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olfhillcap.sharepoint.com/sites/Shared/Shared Documents/Josh/COKE/Models/"/>
    </mc:Choice>
  </mc:AlternateContent>
  <xr:revisionPtr revIDLastSave="13671" documentId="11_38625327464F99D718D57CF42FC9FF632BBC545E" xr6:coauthVersionLast="47" xr6:coauthVersionMax="47" xr10:uidLastSave="{C3CD10F5-B2C5-4271-94F5-5F57C81DE7F1}"/>
  <bookViews>
    <workbookView xWindow="-120" yWindow="-120" windowWidth="29040" windowHeight="15720" xr2:uid="{00000000-000D-0000-FFFF-FFFF00000000}"/>
  </bookViews>
  <sheets>
    <sheet name="Summary" sheetId="1" r:id="rId1"/>
    <sheet name="WH Model" sheetId="2" r:id="rId2"/>
    <sheet name="Segment Build" sheetId="3" r:id="rId3"/>
    <sheet name="COGS Sensitivity" sheetId="7" r:id="rId4"/>
    <sheet name="Canalyst HC - Q" sheetId="4" r:id="rId5"/>
    <sheet name="Canalyst Model" sheetId="5" r:id="rId6"/>
  </sheets>
  <calcPr calcId="191029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 a="1"/>
  <c r="D7" i="1" s="1"/>
  <c r="BQ26" i="3"/>
  <c r="BQ13" i="3"/>
  <c r="AY16" i="3"/>
  <c r="AZ16" i="3"/>
  <c r="BA16" i="3"/>
  <c r="BB16" i="3"/>
  <c r="BC16" i="3"/>
  <c r="BD16" i="3"/>
  <c r="BE16" i="3"/>
  <c r="BF16" i="3"/>
  <c r="BG16" i="3"/>
  <c r="BH16" i="3"/>
  <c r="BI16" i="3"/>
  <c r="AX16" i="3"/>
  <c r="AY29" i="3"/>
  <c r="AZ29" i="3"/>
  <c r="BA29" i="3"/>
  <c r="BB29" i="3"/>
  <c r="BC29" i="3"/>
  <c r="BD29" i="3"/>
  <c r="BE29" i="3"/>
  <c r="BF29" i="3"/>
  <c r="BG29" i="3"/>
  <c r="BH29" i="3"/>
  <c r="BI29" i="3"/>
  <c r="AX29" i="3"/>
  <c r="BT25" i="3"/>
  <c r="BS25" i="3"/>
  <c r="BR25" i="3"/>
  <c r="BQ25" i="3"/>
  <c r="BP25" i="3"/>
  <c r="BO25" i="3"/>
  <c r="BN25" i="3"/>
  <c r="BM25" i="3"/>
  <c r="BL25" i="3"/>
  <c r="BK25" i="3"/>
  <c r="BT12" i="3"/>
  <c r="BS12" i="3"/>
  <c r="BR12" i="3"/>
  <c r="BQ12" i="3"/>
  <c r="BP12" i="3"/>
  <c r="BO12" i="3"/>
  <c r="BN12" i="3"/>
  <c r="BM12" i="3"/>
  <c r="BL12" i="3"/>
  <c r="BK12" i="3"/>
  <c r="AU20" i="2"/>
  <c r="AY20" i="2" s="1"/>
  <c r="BC20" i="2" s="1"/>
  <c r="BG20" i="2" s="1"/>
  <c r="AV20" i="2"/>
  <c r="AZ20" i="2" s="1"/>
  <c r="BD20" i="2" s="1"/>
  <c r="BH20" i="2" s="1"/>
  <c r="AW20" i="2"/>
  <c r="BA20" i="2" s="1"/>
  <c r="BE20" i="2" s="1"/>
  <c r="BI20" i="2" s="1"/>
  <c r="AT20" i="2"/>
  <c r="AX20" i="2" s="1"/>
  <c r="BB20" i="2" s="1"/>
  <c r="BF20" i="2" s="1"/>
  <c r="BK9" i="3"/>
  <c r="BL9" i="3"/>
  <c r="BM9" i="3"/>
  <c r="BM10" i="3" s="1"/>
  <c r="BN9" i="3"/>
  <c r="BO9" i="3"/>
  <c r="BO10" i="3" s="1"/>
  <c r="BP9" i="3"/>
  <c r="BR9" i="3"/>
  <c r="BS9" i="3"/>
  <c r="BT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F9" i="3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L14" i="2"/>
  <c r="BM14" i="2"/>
  <c r="BN14" i="2"/>
  <c r="BO14" i="2"/>
  <c r="BP14" i="2"/>
  <c r="BQ14" i="2"/>
  <c r="BR14" i="2"/>
  <c r="BS14" i="2"/>
  <c r="BT14" i="2"/>
  <c r="BK14" i="2"/>
  <c r="BL7" i="2"/>
  <c r="BM7" i="2"/>
  <c r="BN7" i="2"/>
  <c r="BO7" i="2"/>
  <c r="BP7" i="2"/>
  <c r="BQ7" i="2"/>
  <c r="BR7" i="2"/>
  <c r="BS7" i="2"/>
  <c r="BT7" i="2"/>
  <c r="BK7" i="2"/>
  <c r="AX10" i="2"/>
  <c r="AY10" i="2"/>
  <c r="AZ10" i="2"/>
  <c r="BD10" i="2" s="1"/>
  <c r="BH10" i="2" s="1"/>
  <c r="BA10" i="2"/>
  <c r="BB10" i="2"/>
  <c r="BC10" i="2"/>
  <c r="BE10" i="2"/>
  <c r="BF10" i="2"/>
  <c r="BG10" i="2"/>
  <c r="BI10" i="2"/>
  <c r="AU10" i="2"/>
  <c r="AV10" i="2"/>
  <c r="AW10" i="2"/>
  <c r="AT10" i="2"/>
  <c r="BT73" i="2"/>
  <c r="BS73" i="2"/>
  <c r="BR73" i="2"/>
  <c r="BQ73" i="2"/>
  <c r="BP73" i="2"/>
  <c r="BO73" i="2"/>
  <c r="BN73" i="2"/>
  <c r="BM73" i="2"/>
  <c r="BL73" i="2"/>
  <c r="BK7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J13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AT45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AU36" i="2"/>
  <c r="AV36" i="2"/>
  <c r="AW36" i="2"/>
  <c r="AT36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F45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F36" i="2"/>
  <c r="F87" i="2"/>
  <c r="BP10" i="3" l="1"/>
  <c r="BN10" i="3"/>
  <c r="BS10" i="3"/>
  <c r="BQ9" i="3"/>
  <c r="BT10" i="3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F4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F28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T23" i="2" s="1"/>
  <c r="AX23" i="2" s="1"/>
  <c r="BB23" i="2" s="1"/>
  <c r="BF23" i="2" s="1"/>
  <c r="AQ23" i="2"/>
  <c r="AU23" i="2" s="1"/>
  <c r="AY23" i="2" s="1"/>
  <c r="BC23" i="2" s="1"/>
  <c r="BG23" i="2" s="1"/>
  <c r="AR23" i="2"/>
  <c r="AV23" i="2" s="1"/>
  <c r="AZ23" i="2" s="1"/>
  <c r="BD23" i="2" s="1"/>
  <c r="BH23" i="2" s="1"/>
  <c r="AS23" i="2"/>
  <c r="AW23" i="2" s="1"/>
  <c r="BA23" i="2" s="1"/>
  <c r="BE23" i="2" s="1"/>
  <c r="BI23" i="2" s="1"/>
  <c r="F23" i="2"/>
  <c r="BQ10" i="3" l="1"/>
  <c r="BR10" i="3"/>
  <c r="E33" i="7"/>
  <c r="E35" i="7" s="1"/>
  <c r="E51" i="7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F66" i="2"/>
  <c r="BI35" i="3" l="1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W29" i="3"/>
  <c r="AV29" i="3"/>
  <c r="AU29" i="3"/>
  <c r="AT29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U16" i="3"/>
  <c r="AV16" i="3"/>
  <c r="AW16" i="3"/>
  <c r="AT16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AT14" i="3"/>
  <c r="K24" i="7" l="1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J24" i="7"/>
  <c r="AX37" i="7" l="1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7" i="7"/>
  <c r="AS26" i="7"/>
  <c r="AR27" i="7"/>
  <c r="AR26" i="7"/>
  <c r="AQ27" i="7"/>
  <c r="AQ26" i="7"/>
  <c r="AP27" i="7"/>
  <c r="AP26" i="7"/>
  <c r="AO27" i="7"/>
  <c r="AO26" i="7"/>
  <c r="AN27" i="7"/>
  <c r="AN26" i="7"/>
  <c r="AM27" i="7"/>
  <c r="AM26" i="7"/>
  <c r="AL27" i="7"/>
  <c r="AL26" i="7"/>
  <c r="AK27" i="7"/>
  <c r="AK26" i="7"/>
  <c r="AJ27" i="7"/>
  <c r="AJ26" i="7"/>
  <c r="AI27" i="7"/>
  <c r="AI26" i="7"/>
  <c r="AH27" i="7"/>
  <c r="AH26" i="7"/>
  <c r="AG27" i="7"/>
  <c r="AG26" i="7"/>
  <c r="AF27" i="7"/>
  <c r="AF26" i="7"/>
  <c r="AE27" i="7"/>
  <c r="AE26" i="7"/>
  <c r="AD27" i="7"/>
  <c r="AD26" i="7"/>
  <c r="AC27" i="7"/>
  <c r="AC26" i="7"/>
  <c r="AB27" i="7"/>
  <c r="AB26" i="7"/>
  <c r="AA27" i="7"/>
  <c r="AA26" i="7"/>
  <c r="Z27" i="7"/>
  <c r="Z26" i="7"/>
  <c r="Y27" i="7"/>
  <c r="Y26" i="7"/>
  <c r="X27" i="7"/>
  <c r="X26" i="7"/>
  <c r="W27" i="7"/>
  <c r="W26" i="7"/>
  <c r="V27" i="7"/>
  <c r="V26" i="7"/>
  <c r="U27" i="7"/>
  <c r="U26" i="7"/>
  <c r="T27" i="7"/>
  <c r="T26" i="7"/>
  <c r="S27" i="7"/>
  <c r="S26" i="7"/>
  <c r="R27" i="7"/>
  <c r="R26" i="7"/>
  <c r="Q27" i="7"/>
  <c r="Q26" i="7"/>
  <c r="P27" i="7"/>
  <c r="P26" i="7"/>
  <c r="O27" i="7"/>
  <c r="O26" i="7"/>
  <c r="N27" i="7"/>
  <c r="N26" i="7"/>
  <c r="M27" i="7"/>
  <c r="M26" i="7"/>
  <c r="L27" i="7"/>
  <c r="L26" i="7"/>
  <c r="K27" i="7"/>
  <c r="K26" i="7"/>
  <c r="J27" i="7"/>
  <c r="J26" i="7"/>
  <c r="AQ28" i="7" l="1"/>
  <c r="AQ54" i="7"/>
  <c r="AG28" i="7"/>
  <c r="AG54" i="7"/>
  <c r="S28" i="7"/>
  <c r="S54" i="7"/>
  <c r="AS28" i="7"/>
  <c r="AS54" i="7"/>
  <c r="J28" i="7"/>
  <c r="J54" i="7"/>
  <c r="K28" i="7"/>
  <c r="K54" i="7"/>
  <c r="AJ28" i="7"/>
  <c r="AJ54" i="7"/>
  <c r="M28" i="7"/>
  <c r="M54" i="7"/>
  <c r="AA28" i="7"/>
  <c r="AA54" i="7"/>
  <c r="AM28" i="7"/>
  <c r="AM54" i="7"/>
  <c r="P28" i="7"/>
  <c r="P54" i="7"/>
  <c r="AR28" i="7"/>
  <c r="AR54" i="7"/>
  <c r="U28" i="7"/>
  <c r="U54" i="7"/>
  <c r="AH28" i="7"/>
  <c r="AH54" i="7"/>
  <c r="AI28" i="7"/>
  <c r="AI54" i="7"/>
  <c r="L28" i="7"/>
  <c r="L54" i="7"/>
  <c r="AK28" i="7"/>
  <c r="AK54" i="7"/>
  <c r="Q28" i="7"/>
  <c r="Q54" i="7"/>
  <c r="AC28" i="7"/>
  <c r="AC54" i="7"/>
  <c r="AO28" i="7"/>
  <c r="AO54" i="7"/>
  <c r="AF28" i="7"/>
  <c r="AF54" i="7"/>
  <c r="X28" i="7"/>
  <c r="X54" i="7"/>
  <c r="Y28" i="7"/>
  <c r="Y54" i="7"/>
  <c r="AL28" i="7"/>
  <c r="AL54" i="7"/>
  <c r="O28" i="7"/>
  <c r="O54" i="7"/>
  <c r="AN28" i="7"/>
  <c r="AN54" i="7"/>
  <c r="AE28" i="7"/>
  <c r="AE54" i="7"/>
  <c r="T28" i="7"/>
  <c r="T54" i="7"/>
  <c r="V28" i="7"/>
  <c r="V54" i="7"/>
  <c r="W28" i="7"/>
  <c r="W54" i="7"/>
  <c r="N28" i="7"/>
  <c r="N54" i="7"/>
  <c r="Z28" i="7"/>
  <c r="Z54" i="7"/>
  <c r="AB28" i="7"/>
  <c r="AB54" i="7"/>
  <c r="R28" i="7"/>
  <c r="R54" i="7"/>
  <c r="AD28" i="7"/>
  <c r="AD54" i="7"/>
  <c r="AP28" i="7"/>
  <c r="AP54" i="7"/>
  <c r="AA37" i="7"/>
  <c r="AA40" i="7" s="1"/>
  <c r="AZ37" i="7"/>
  <c r="AY37" i="7"/>
  <c r="BA37" i="7"/>
  <c r="BB37" i="7"/>
  <c r="AB37" i="7"/>
  <c r="AB40" i="7" s="1"/>
  <c r="AD37" i="7"/>
  <c r="AD40" i="7" s="1"/>
  <c r="AC37" i="7"/>
  <c r="AC40" i="7" s="1"/>
  <c r="BC37" i="7"/>
  <c r="K37" i="7"/>
  <c r="K40" i="7" s="1"/>
  <c r="AK37" i="7"/>
  <c r="AK40" i="7" s="1"/>
  <c r="AL37" i="7"/>
  <c r="AL40" i="7" s="1"/>
  <c r="P37" i="7"/>
  <c r="P40" i="7" s="1"/>
  <c r="AN37" i="7"/>
  <c r="AN40" i="7" s="1"/>
  <c r="L37" i="7"/>
  <c r="L40" i="7" s="1"/>
  <c r="Q37" i="7"/>
  <c r="Q40" i="7" s="1"/>
  <c r="AO37" i="7"/>
  <c r="AO40" i="7" s="1"/>
  <c r="BE37" i="7"/>
  <c r="N37" i="7"/>
  <c r="N40" i="7" s="1"/>
  <c r="O37" i="7"/>
  <c r="O40" i="7" s="1"/>
  <c r="R37" i="7"/>
  <c r="R40" i="7" s="1"/>
  <c r="AP37" i="7"/>
  <c r="AP40" i="7" s="1"/>
  <c r="BD37" i="7"/>
  <c r="BI37" i="7"/>
  <c r="AM37" i="7"/>
  <c r="AM40" i="7" s="1"/>
  <c r="S37" i="7"/>
  <c r="S40" i="7" s="1"/>
  <c r="AQ37" i="7"/>
  <c r="AQ40" i="7" s="1"/>
  <c r="AE37" i="7"/>
  <c r="AE40" i="7" s="1"/>
  <c r="AI37" i="7"/>
  <c r="AI40" i="7" s="1"/>
  <c r="M37" i="7"/>
  <c r="M40" i="7" s="1"/>
  <c r="T37" i="7"/>
  <c r="T40" i="7" s="1"/>
  <c r="AR37" i="7"/>
  <c r="AR40" i="7" s="1"/>
  <c r="AG37" i="7"/>
  <c r="AG40" i="7" s="1"/>
  <c r="BG37" i="7"/>
  <c r="W37" i="7"/>
  <c r="W40" i="7" s="1"/>
  <c r="AU37" i="7"/>
  <c r="AF37" i="7"/>
  <c r="AF40" i="7" s="1"/>
  <c r="J37" i="7"/>
  <c r="J40" i="7" s="1"/>
  <c r="AJ37" i="7"/>
  <c r="AJ40" i="7" s="1"/>
  <c r="V37" i="7"/>
  <c r="V40" i="7" s="1"/>
  <c r="X37" i="7"/>
  <c r="X40" i="7" s="1"/>
  <c r="AV37" i="7"/>
  <c r="AH37" i="7"/>
  <c r="AH40" i="7" s="1"/>
  <c r="BH37" i="7"/>
  <c r="U37" i="7"/>
  <c r="U40" i="7" s="1"/>
  <c r="Y37" i="7"/>
  <c r="Y40" i="7" s="1"/>
  <c r="AW37" i="7"/>
  <c r="BF37" i="7"/>
  <c r="AS37" i="7"/>
  <c r="AS40" i="7" s="1"/>
  <c r="AT37" i="7"/>
  <c r="Z37" i="7"/>
  <c r="Z40" i="7" s="1"/>
  <c r="F5" i="7"/>
  <c r="F4" i="7"/>
  <c r="F14" i="7" s="1"/>
  <c r="F45" i="7"/>
  <c r="F46" i="7" s="1"/>
  <c r="M20" i="7" l="1"/>
  <c r="O20" i="7"/>
  <c r="P20" i="7"/>
  <c r="J20" i="7"/>
  <c r="N20" i="7"/>
  <c r="Q20" i="7"/>
  <c r="K20" i="7"/>
  <c r="L20" i="7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F73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F84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F70" i="2"/>
  <c r="F71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F72" i="2"/>
  <c r="G75" i="2"/>
  <c r="G74" i="2" s="1"/>
  <c r="H75" i="2"/>
  <c r="H74" i="2" s="1"/>
  <c r="I75" i="2"/>
  <c r="I74" i="2" s="1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E74" i="2" s="1"/>
  <c r="AF75" i="2"/>
  <c r="AF74" i="2" s="1"/>
  <c r="AG75" i="2"/>
  <c r="AG74" i="2" s="1"/>
  <c r="AH75" i="2"/>
  <c r="AI75" i="2"/>
  <c r="AJ75" i="2"/>
  <c r="AK75" i="2"/>
  <c r="AL75" i="2"/>
  <c r="AM75" i="2"/>
  <c r="AN75" i="2"/>
  <c r="AO75" i="2"/>
  <c r="AP75" i="2"/>
  <c r="AQ75" i="2"/>
  <c r="AR75" i="2"/>
  <c r="AS75" i="2"/>
  <c r="F75" i="2"/>
  <c r="X74" i="2" l="1"/>
  <c r="Y74" i="2"/>
  <c r="Z74" i="2"/>
  <c r="AH74" i="2"/>
  <c r="W74" i="2"/>
  <c r="AB74" i="2"/>
  <c r="AD74" i="2"/>
  <c r="AC74" i="2"/>
  <c r="AA74" i="2"/>
  <c r="J74" i="2"/>
  <c r="U74" i="2"/>
  <c r="AR74" i="2"/>
  <c r="T74" i="2"/>
  <c r="F74" i="2"/>
  <c r="AP74" i="2"/>
  <c r="V74" i="2"/>
  <c r="AQ74" i="2"/>
  <c r="R74" i="2"/>
  <c r="AO74" i="2"/>
  <c r="Q74" i="2"/>
  <c r="AN74" i="2"/>
  <c r="P74" i="2"/>
  <c r="AM74" i="2"/>
  <c r="O74" i="2"/>
  <c r="N74" i="2"/>
  <c r="M74" i="2"/>
  <c r="AJ74" i="2"/>
  <c r="L74" i="2"/>
  <c r="AS74" i="2"/>
  <c r="S74" i="2"/>
  <c r="AL74" i="2"/>
  <c r="AK74" i="2"/>
  <c r="AI74" i="2"/>
  <c r="K74" i="2"/>
  <c r="L21" i="7"/>
  <c r="K21" i="7"/>
  <c r="N21" i="7"/>
  <c r="M21" i="7"/>
  <c r="P21" i="7"/>
  <c r="O21" i="7"/>
  <c r="J21" i="7"/>
  <c r="Q21" i="7"/>
  <c r="B952" i="5"/>
  <c r="B951" i="5"/>
  <c r="B950" i="5"/>
  <c r="B949" i="5"/>
  <c r="B947" i="5"/>
  <c r="B945" i="5"/>
  <c r="B942" i="5"/>
  <c r="B941" i="5"/>
  <c r="B940" i="5"/>
  <c r="B939" i="5"/>
  <c r="B938" i="5"/>
  <c r="B937" i="5"/>
  <c r="CF931" i="5"/>
  <c r="CE931" i="5"/>
  <c r="CD931" i="5"/>
  <c r="CC931" i="5"/>
  <c r="CB931" i="5"/>
  <c r="CA931" i="5"/>
  <c r="BZ931" i="5"/>
  <c r="BY931" i="5"/>
  <c r="BX931" i="5"/>
  <c r="BW931" i="5"/>
  <c r="BV931" i="5"/>
  <c r="BU931" i="5"/>
  <c r="BT931" i="5"/>
  <c r="BS931" i="5"/>
  <c r="BR931" i="5"/>
  <c r="BQ931" i="5"/>
  <c r="BP931" i="5"/>
  <c r="BO931" i="5"/>
  <c r="BN931" i="5"/>
  <c r="BM931" i="5"/>
  <c r="BL931" i="5"/>
  <c r="BK931" i="5"/>
  <c r="BJ931" i="5"/>
  <c r="BI931" i="5"/>
  <c r="BH931" i="5"/>
  <c r="BG931" i="5"/>
  <c r="BF931" i="5"/>
  <c r="BE931" i="5"/>
  <c r="BD931" i="5"/>
  <c r="BC931" i="5"/>
  <c r="BB931" i="5"/>
  <c r="BA931" i="5"/>
  <c r="AZ931" i="5"/>
  <c r="AY931" i="5"/>
  <c r="AX931" i="5"/>
  <c r="AW931" i="5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CF929" i="5"/>
  <c r="CE929" i="5"/>
  <c r="CD929" i="5"/>
  <c r="CC929" i="5"/>
  <c r="CB929" i="5"/>
  <c r="CA929" i="5"/>
  <c r="BZ929" i="5"/>
  <c r="BY929" i="5"/>
  <c r="BX929" i="5"/>
  <c r="BW929" i="5"/>
  <c r="BV929" i="5"/>
  <c r="BU929" i="5"/>
  <c r="BT929" i="5"/>
  <c r="BS929" i="5"/>
  <c r="BR929" i="5"/>
  <c r="BQ929" i="5"/>
  <c r="BP929" i="5"/>
  <c r="BO929" i="5"/>
  <c r="BN929" i="5"/>
  <c r="BM929" i="5"/>
  <c r="BL929" i="5"/>
  <c r="BK929" i="5"/>
  <c r="BJ929" i="5"/>
  <c r="BI929" i="5"/>
  <c r="BH929" i="5"/>
  <c r="BG929" i="5"/>
  <c r="BF929" i="5"/>
  <c r="BE929" i="5"/>
  <c r="BD929" i="5"/>
  <c r="BC929" i="5"/>
  <c r="BB929" i="5"/>
  <c r="BA929" i="5"/>
  <c r="AZ929" i="5"/>
  <c r="AY929" i="5"/>
  <c r="AX929" i="5"/>
  <c r="AW929" i="5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CF928" i="5"/>
  <c r="CE928" i="5"/>
  <c r="CD928" i="5"/>
  <c r="CC928" i="5"/>
  <c r="CB928" i="5"/>
  <c r="CA928" i="5"/>
  <c r="BZ928" i="5"/>
  <c r="BY928" i="5"/>
  <c r="BX928" i="5"/>
  <c r="BW928" i="5"/>
  <c r="BV928" i="5"/>
  <c r="BU928" i="5"/>
  <c r="BT928" i="5"/>
  <c r="BS928" i="5"/>
  <c r="BR928" i="5"/>
  <c r="BQ928" i="5"/>
  <c r="BP928" i="5"/>
  <c r="BO928" i="5"/>
  <c r="BN928" i="5"/>
  <c r="BM928" i="5"/>
  <c r="BL928" i="5"/>
  <c r="BK928" i="5"/>
  <c r="BJ928" i="5"/>
  <c r="BI928" i="5"/>
  <c r="BH928" i="5"/>
  <c r="BG928" i="5"/>
  <c r="BF928" i="5"/>
  <c r="BE928" i="5"/>
  <c r="BD928" i="5"/>
  <c r="BC928" i="5"/>
  <c r="BB928" i="5"/>
  <c r="BA928" i="5"/>
  <c r="AZ928" i="5"/>
  <c r="AY928" i="5"/>
  <c r="AX928" i="5"/>
  <c r="AW928" i="5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CF927" i="5"/>
  <c r="CE927" i="5"/>
  <c r="CD927" i="5"/>
  <c r="CC927" i="5"/>
  <c r="CB927" i="5"/>
  <c r="CA927" i="5"/>
  <c r="BZ927" i="5"/>
  <c r="BY927" i="5"/>
  <c r="BX927" i="5"/>
  <c r="BW927" i="5"/>
  <c r="BV927" i="5"/>
  <c r="BU927" i="5"/>
  <c r="BT927" i="5"/>
  <c r="BS927" i="5"/>
  <c r="BR927" i="5"/>
  <c r="BQ927" i="5"/>
  <c r="BP927" i="5"/>
  <c r="BO927" i="5"/>
  <c r="BN927" i="5"/>
  <c r="BM927" i="5"/>
  <c r="BL927" i="5"/>
  <c r="BK927" i="5"/>
  <c r="BJ927" i="5"/>
  <c r="BI927" i="5"/>
  <c r="BH927" i="5"/>
  <c r="BG927" i="5"/>
  <c r="BF927" i="5"/>
  <c r="BE927" i="5"/>
  <c r="BD927" i="5"/>
  <c r="BC927" i="5"/>
  <c r="BB927" i="5"/>
  <c r="BA927" i="5"/>
  <c r="AZ927" i="5"/>
  <c r="AY927" i="5"/>
  <c r="AX927" i="5"/>
  <c r="AW927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CF926" i="5"/>
  <c r="CE926" i="5"/>
  <c r="CD926" i="5"/>
  <c r="CC926" i="5"/>
  <c r="CB926" i="5"/>
  <c r="CA926" i="5"/>
  <c r="BZ926" i="5"/>
  <c r="BY926" i="5"/>
  <c r="BX926" i="5"/>
  <c r="BW926" i="5"/>
  <c r="BV926" i="5"/>
  <c r="BU926" i="5"/>
  <c r="BT926" i="5"/>
  <c r="BS926" i="5"/>
  <c r="BR926" i="5"/>
  <c r="BQ926" i="5"/>
  <c r="BP926" i="5"/>
  <c r="BO926" i="5"/>
  <c r="BN926" i="5"/>
  <c r="BM926" i="5"/>
  <c r="BL926" i="5"/>
  <c r="BK926" i="5"/>
  <c r="BJ926" i="5"/>
  <c r="BI926" i="5"/>
  <c r="BH926" i="5"/>
  <c r="BG926" i="5"/>
  <c r="BF926" i="5"/>
  <c r="BE926" i="5"/>
  <c r="BD926" i="5"/>
  <c r="BC926" i="5"/>
  <c r="BB926" i="5"/>
  <c r="BA926" i="5"/>
  <c r="AZ926" i="5"/>
  <c r="AY926" i="5"/>
  <c r="AX926" i="5"/>
  <c r="AW926" i="5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CF925" i="5"/>
  <c r="CE925" i="5"/>
  <c r="CD925" i="5"/>
  <c r="CC925" i="5"/>
  <c r="CB925" i="5"/>
  <c r="CA925" i="5"/>
  <c r="BZ925" i="5"/>
  <c r="BY925" i="5"/>
  <c r="BX925" i="5"/>
  <c r="BW925" i="5"/>
  <c r="BV925" i="5"/>
  <c r="BU925" i="5"/>
  <c r="BT925" i="5"/>
  <c r="CF924" i="5"/>
  <c r="CE924" i="5"/>
  <c r="CD924" i="5"/>
  <c r="CC924" i="5"/>
  <c r="CB924" i="5"/>
  <c r="CA924" i="5"/>
  <c r="BZ924" i="5"/>
  <c r="BY924" i="5"/>
  <c r="BX924" i="5"/>
  <c r="BW924" i="5"/>
  <c r="BV924" i="5"/>
  <c r="BU924" i="5"/>
  <c r="BT924" i="5"/>
  <c r="BS924" i="5"/>
  <c r="BR924" i="5"/>
  <c r="BQ924" i="5"/>
  <c r="BP924" i="5"/>
  <c r="BO924" i="5"/>
  <c r="BN924" i="5"/>
  <c r="BM924" i="5"/>
  <c r="BL924" i="5"/>
  <c r="BK924" i="5"/>
  <c r="BJ924" i="5"/>
  <c r="BI924" i="5"/>
  <c r="BH924" i="5"/>
  <c r="BG924" i="5"/>
  <c r="BF924" i="5"/>
  <c r="BE924" i="5"/>
  <c r="BD924" i="5"/>
  <c r="BC924" i="5"/>
  <c r="BB924" i="5"/>
  <c r="BA924" i="5"/>
  <c r="AZ924" i="5"/>
  <c r="AY924" i="5"/>
  <c r="AX924" i="5"/>
  <c r="AW924" i="5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A924" i="5"/>
  <c r="CF922" i="5"/>
  <c r="CE922" i="5"/>
  <c r="CD922" i="5"/>
  <c r="CC922" i="5"/>
  <c r="CB922" i="5"/>
  <c r="CA922" i="5"/>
  <c r="BZ922" i="5"/>
  <c r="BY922" i="5"/>
  <c r="BX922" i="5"/>
  <c r="BW922" i="5"/>
  <c r="BV922" i="5"/>
  <c r="BU922" i="5"/>
  <c r="BT922" i="5"/>
  <c r="BS922" i="5"/>
  <c r="BR922" i="5"/>
  <c r="BQ922" i="5"/>
  <c r="BP922" i="5"/>
  <c r="BO922" i="5"/>
  <c r="BN922" i="5"/>
  <c r="BM922" i="5"/>
  <c r="BL922" i="5"/>
  <c r="BK922" i="5"/>
  <c r="BJ922" i="5"/>
  <c r="BI922" i="5"/>
  <c r="BH922" i="5"/>
  <c r="BG922" i="5"/>
  <c r="BF922" i="5"/>
  <c r="BE922" i="5"/>
  <c r="BD922" i="5"/>
  <c r="BC922" i="5"/>
  <c r="BB922" i="5"/>
  <c r="BA922" i="5"/>
  <c r="AZ922" i="5"/>
  <c r="AY922" i="5"/>
  <c r="AX922" i="5"/>
  <c r="AW922" i="5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CF921" i="5"/>
  <c r="CE921" i="5"/>
  <c r="CD921" i="5"/>
  <c r="CC921" i="5"/>
  <c r="CB921" i="5"/>
  <c r="CA921" i="5"/>
  <c r="BZ921" i="5"/>
  <c r="BY921" i="5"/>
  <c r="BX921" i="5"/>
  <c r="BW921" i="5"/>
  <c r="BV921" i="5"/>
  <c r="BU921" i="5"/>
  <c r="BT921" i="5"/>
  <c r="BS921" i="5"/>
  <c r="BR921" i="5"/>
  <c r="BQ921" i="5"/>
  <c r="BP921" i="5"/>
  <c r="BO921" i="5"/>
  <c r="BN921" i="5"/>
  <c r="BM921" i="5"/>
  <c r="BL921" i="5"/>
  <c r="BK921" i="5"/>
  <c r="BJ921" i="5"/>
  <c r="BI921" i="5"/>
  <c r="BH921" i="5"/>
  <c r="BG921" i="5"/>
  <c r="BF921" i="5"/>
  <c r="BE921" i="5"/>
  <c r="BD921" i="5"/>
  <c r="BC921" i="5"/>
  <c r="BB921" i="5"/>
  <c r="BA921" i="5"/>
  <c r="AZ921" i="5"/>
  <c r="AY921" i="5"/>
  <c r="AX921" i="5"/>
  <c r="AW921" i="5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CF920" i="5"/>
  <c r="CE920" i="5"/>
  <c r="CD920" i="5"/>
  <c r="CC920" i="5"/>
  <c r="CB920" i="5"/>
  <c r="CA920" i="5"/>
  <c r="BZ920" i="5"/>
  <c r="BY920" i="5"/>
  <c r="BX920" i="5"/>
  <c r="BW920" i="5"/>
  <c r="BV920" i="5"/>
  <c r="BU920" i="5"/>
  <c r="BT920" i="5"/>
  <c r="BS920" i="5"/>
  <c r="BR920" i="5"/>
  <c r="BQ920" i="5"/>
  <c r="BP920" i="5"/>
  <c r="BO920" i="5"/>
  <c r="BN920" i="5"/>
  <c r="BM920" i="5"/>
  <c r="BL920" i="5"/>
  <c r="BK920" i="5"/>
  <c r="BJ920" i="5"/>
  <c r="BI920" i="5"/>
  <c r="BH920" i="5"/>
  <c r="BG920" i="5"/>
  <c r="BF920" i="5"/>
  <c r="BE920" i="5"/>
  <c r="BD920" i="5"/>
  <c r="BC920" i="5"/>
  <c r="BB920" i="5"/>
  <c r="BA920" i="5"/>
  <c r="AZ920" i="5"/>
  <c r="AY920" i="5"/>
  <c r="AX920" i="5"/>
  <c r="AW920" i="5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CF917" i="5"/>
  <c r="CE917" i="5"/>
  <c r="CD917" i="5"/>
  <c r="CC917" i="5"/>
  <c r="CB917" i="5"/>
  <c r="CA917" i="5"/>
  <c r="BZ917" i="5"/>
  <c r="BY917" i="5"/>
  <c r="BX917" i="5"/>
  <c r="BW917" i="5"/>
  <c r="BV917" i="5"/>
  <c r="BU917" i="5"/>
  <c r="BT917" i="5"/>
  <c r="BS917" i="5"/>
  <c r="BR917" i="5"/>
  <c r="BQ917" i="5"/>
  <c r="BP917" i="5"/>
  <c r="BO917" i="5"/>
  <c r="BN917" i="5"/>
  <c r="BM917" i="5"/>
  <c r="BL917" i="5"/>
  <c r="BK917" i="5"/>
  <c r="BJ917" i="5"/>
  <c r="BI917" i="5"/>
  <c r="BH917" i="5"/>
  <c r="BG917" i="5"/>
  <c r="BF917" i="5"/>
  <c r="BE917" i="5"/>
  <c r="BD917" i="5"/>
  <c r="BC917" i="5"/>
  <c r="BB917" i="5"/>
  <c r="BA917" i="5"/>
  <c r="AZ917" i="5"/>
  <c r="AY917" i="5"/>
  <c r="AX917" i="5"/>
  <c r="AW917" i="5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A917" i="5"/>
  <c r="CF915" i="5"/>
  <c r="CE915" i="5"/>
  <c r="CD915" i="5"/>
  <c r="CC915" i="5"/>
  <c r="CB915" i="5"/>
  <c r="CA915" i="5"/>
  <c r="BZ915" i="5"/>
  <c r="BY915" i="5"/>
  <c r="BX915" i="5"/>
  <c r="BW915" i="5"/>
  <c r="BV915" i="5"/>
  <c r="BU915" i="5"/>
  <c r="BT915" i="5"/>
  <c r="BS915" i="5"/>
  <c r="BR915" i="5"/>
  <c r="BQ915" i="5"/>
  <c r="BP915" i="5"/>
  <c r="BO915" i="5"/>
  <c r="BN915" i="5"/>
  <c r="BM915" i="5"/>
  <c r="BL915" i="5"/>
  <c r="BK915" i="5"/>
  <c r="BJ915" i="5"/>
  <c r="BI915" i="5"/>
  <c r="BH915" i="5"/>
  <c r="BG915" i="5"/>
  <c r="BF915" i="5"/>
  <c r="BE915" i="5"/>
  <c r="BD915" i="5"/>
  <c r="BC915" i="5"/>
  <c r="BB915" i="5"/>
  <c r="BA915" i="5"/>
  <c r="AZ915" i="5"/>
  <c r="AY915" i="5"/>
  <c r="AX915" i="5"/>
  <c r="AW915" i="5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CF914" i="5"/>
  <c r="CE914" i="5"/>
  <c r="CD914" i="5"/>
  <c r="CC914" i="5"/>
  <c r="CB914" i="5"/>
  <c r="CA914" i="5"/>
  <c r="BZ914" i="5"/>
  <c r="BY914" i="5"/>
  <c r="BX914" i="5"/>
  <c r="BW914" i="5"/>
  <c r="BV914" i="5"/>
  <c r="BU914" i="5"/>
  <c r="BT914" i="5"/>
  <c r="BS914" i="5"/>
  <c r="BR914" i="5"/>
  <c r="BQ914" i="5"/>
  <c r="BP914" i="5"/>
  <c r="BO914" i="5"/>
  <c r="BN914" i="5"/>
  <c r="BM914" i="5"/>
  <c r="BL914" i="5"/>
  <c r="BK914" i="5"/>
  <c r="BJ914" i="5"/>
  <c r="BI914" i="5"/>
  <c r="BH914" i="5"/>
  <c r="BG914" i="5"/>
  <c r="BF914" i="5"/>
  <c r="BE914" i="5"/>
  <c r="BD914" i="5"/>
  <c r="BC914" i="5"/>
  <c r="BB914" i="5"/>
  <c r="BA914" i="5"/>
  <c r="AZ914" i="5"/>
  <c r="AY914" i="5"/>
  <c r="AX914" i="5"/>
  <c r="AW914" i="5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CF913" i="5"/>
  <c r="CE913" i="5"/>
  <c r="CD913" i="5"/>
  <c r="CC913" i="5"/>
  <c r="CB913" i="5"/>
  <c r="CA913" i="5"/>
  <c r="BZ913" i="5"/>
  <c r="BY913" i="5"/>
  <c r="BX913" i="5"/>
  <c r="BW913" i="5"/>
  <c r="BV913" i="5"/>
  <c r="BU913" i="5"/>
  <c r="BT913" i="5"/>
  <c r="BS913" i="5"/>
  <c r="BR913" i="5"/>
  <c r="BQ913" i="5"/>
  <c r="BP913" i="5"/>
  <c r="BO913" i="5"/>
  <c r="BN913" i="5"/>
  <c r="BM913" i="5"/>
  <c r="BL913" i="5"/>
  <c r="BK913" i="5"/>
  <c r="BJ913" i="5"/>
  <c r="BI913" i="5"/>
  <c r="BH913" i="5"/>
  <c r="BG913" i="5"/>
  <c r="BF913" i="5"/>
  <c r="BE913" i="5"/>
  <c r="BD913" i="5"/>
  <c r="BC913" i="5"/>
  <c r="BB913" i="5"/>
  <c r="BA913" i="5"/>
  <c r="AZ913" i="5"/>
  <c r="AY913" i="5"/>
  <c r="AX913" i="5"/>
  <c r="AW913" i="5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CF910" i="5"/>
  <c r="CE910" i="5"/>
  <c r="CD910" i="5"/>
  <c r="CC910" i="5"/>
  <c r="CB910" i="5"/>
  <c r="CA910" i="5"/>
  <c r="BZ910" i="5"/>
  <c r="BY910" i="5"/>
  <c r="BX910" i="5"/>
  <c r="BW910" i="5"/>
  <c r="BV910" i="5"/>
  <c r="BU910" i="5"/>
  <c r="BT910" i="5"/>
  <c r="BS910" i="5"/>
  <c r="BR910" i="5"/>
  <c r="BQ910" i="5"/>
  <c r="BP910" i="5"/>
  <c r="BO910" i="5"/>
  <c r="BN910" i="5"/>
  <c r="BM910" i="5"/>
  <c r="BL910" i="5"/>
  <c r="BK910" i="5"/>
  <c r="BJ910" i="5"/>
  <c r="BI910" i="5"/>
  <c r="BH910" i="5"/>
  <c r="BG910" i="5"/>
  <c r="BF910" i="5"/>
  <c r="BE910" i="5"/>
  <c r="BD910" i="5"/>
  <c r="BC910" i="5"/>
  <c r="BB910" i="5"/>
  <c r="BA910" i="5"/>
  <c r="AZ910" i="5"/>
  <c r="AY910" i="5"/>
  <c r="AX910" i="5"/>
  <c r="AW910" i="5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A910" i="5"/>
  <c r="CF908" i="5"/>
  <c r="CE908" i="5"/>
  <c r="CD908" i="5"/>
  <c r="CC908" i="5"/>
  <c r="CB908" i="5"/>
  <c r="CA908" i="5"/>
  <c r="BZ908" i="5"/>
  <c r="BY908" i="5"/>
  <c r="BX908" i="5"/>
  <c r="BW908" i="5"/>
  <c r="BV908" i="5"/>
  <c r="BU908" i="5"/>
  <c r="BT908" i="5"/>
  <c r="BS908" i="5"/>
  <c r="BR908" i="5"/>
  <c r="BQ908" i="5"/>
  <c r="BP908" i="5"/>
  <c r="BO908" i="5"/>
  <c r="BN908" i="5"/>
  <c r="BM908" i="5"/>
  <c r="BL908" i="5"/>
  <c r="BK908" i="5"/>
  <c r="BJ908" i="5"/>
  <c r="BI908" i="5"/>
  <c r="BH908" i="5"/>
  <c r="BG908" i="5"/>
  <c r="BF908" i="5"/>
  <c r="BE908" i="5"/>
  <c r="BD908" i="5"/>
  <c r="BC908" i="5"/>
  <c r="BB908" i="5"/>
  <c r="BA908" i="5"/>
  <c r="AZ908" i="5"/>
  <c r="AY908" i="5"/>
  <c r="AX908" i="5"/>
  <c r="AW908" i="5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CF907" i="5"/>
  <c r="CE907" i="5"/>
  <c r="CD907" i="5"/>
  <c r="CC907" i="5"/>
  <c r="CB907" i="5"/>
  <c r="CA907" i="5"/>
  <c r="BZ907" i="5"/>
  <c r="BY907" i="5"/>
  <c r="BX907" i="5"/>
  <c r="BW907" i="5"/>
  <c r="BV907" i="5"/>
  <c r="BU907" i="5"/>
  <c r="BT907" i="5"/>
  <c r="BS907" i="5"/>
  <c r="BR907" i="5"/>
  <c r="BQ907" i="5"/>
  <c r="BP907" i="5"/>
  <c r="BO907" i="5"/>
  <c r="BN907" i="5"/>
  <c r="BM907" i="5"/>
  <c r="BL907" i="5"/>
  <c r="BK907" i="5"/>
  <c r="BJ907" i="5"/>
  <c r="BI907" i="5"/>
  <c r="BH907" i="5"/>
  <c r="BG907" i="5"/>
  <c r="BF907" i="5"/>
  <c r="BE907" i="5"/>
  <c r="BD907" i="5"/>
  <c r="BC907" i="5"/>
  <c r="BB907" i="5"/>
  <c r="BA907" i="5"/>
  <c r="AZ907" i="5"/>
  <c r="AY907" i="5"/>
  <c r="AX907" i="5"/>
  <c r="AW907" i="5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CF906" i="5"/>
  <c r="CE906" i="5"/>
  <c r="CD906" i="5"/>
  <c r="CC906" i="5"/>
  <c r="CB906" i="5"/>
  <c r="CA906" i="5"/>
  <c r="BZ906" i="5"/>
  <c r="BY906" i="5"/>
  <c r="BX906" i="5"/>
  <c r="BW906" i="5"/>
  <c r="BV906" i="5"/>
  <c r="BU906" i="5"/>
  <c r="BT906" i="5"/>
  <c r="BS906" i="5"/>
  <c r="BR906" i="5"/>
  <c r="BQ906" i="5"/>
  <c r="BP906" i="5"/>
  <c r="BO906" i="5"/>
  <c r="BN906" i="5"/>
  <c r="BM906" i="5"/>
  <c r="BL906" i="5"/>
  <c r="BK906" i="5"/>
  <c r="BJ906" i="5"/>
  <c r="BI906" i="5"/>
  <c r="BH906" i="5"/>
  <c r="BG906" i="5"/>
  <c r="BF906" i="5"/>
  <c r="BE906" i="5"/>
  <c r="BD906" i="5"/>
  <c r="BC906" i="5"/>
  <c r="BB906" i="5"/>
  <c r="BA906" i="5"/>
  <c r="AZ906" i="5"/>
  <c r="AY906" i="5"/>
  <c r="AX906" i="5"/>
  <c r="AW906" i="5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CF903" i="5"/>
  <c r="CE903" i="5"/>
  <c r="CD903" i="5"/>
  <c r="CC903" i="5"/>
  <c r="CB903" i="5"/>
  <c r="CA903" i="5"/>
  <c r="BZ903" i="5"/>
  <c r="BY903" i="5"/>
  <c r="BX903" i="5"/>
  <c r="BW903" i="5"/>
  <c r="BV903" i="5"/>
  <c r="BU903" i="5"/>
  <c r="BT903" i="5"/>
  <c r="BS903" i="5"/>
  <c r="BR903" i="5"/>
  <c r="BQ903" i="5"/>
  <c r="BP903" i="5"/>
  <c r="BO903" i="5"/>
  <c r="BN903" i="5"/>
  <c r="BM903" i="5"/>
  <c r="BL903" i="5"/>
  <c r="BK903" i="5"/>
  <c r="BJ903" i="5"/>
  <c r="BI903" i="5"/>
  <c r="BH903" i="5"/>
  <c r="BG903" i="5"/>
  <c r="BF903" i="5"/>
  <c r="BE903" i="5"/>
  <c r="BD903" i="5"/>
  <c r="BC903" i="5"/>
  <c r="BB903" i="5"/>
  <c r="BA903" i="5"/>
  <c r="AZ903" i="5"/>
  <c r="AY903" i="5"/>
  <c r="AX903" i="5"/>
  <c r="AW903" i="5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A903" i="5"/>
  <c r="CF902" i="5"/>
  <c r="CE902" i="5"/>
  <c r="CD902" i="5"/>
  <c r="CC902" i="5"/>
  <c r="CB902" i="5"/>
  <c r="CA902" i="5"/>
  <c r="BZ902" i="5"/>
  <c r="BY902" i="5"/>
  <c r="BX902" i="5"/>
  <c r="BW902" i="5"/>
  <c r="BV902" i="5"/>
  <c r="BU902" i="5"/>
  <c r="BT902" i="5"/>
  <c r="BS902" i="5"/>
  <c r="BR902" i="5"/>
  <c r="BQ902" i="5"/>
  <c r="BP902" i="5"/>
  <c r="BO902" i="5"/>
  <c r="BN902" i="5"/>
  <c r="BM902" i="5"/>
  <c r="BL902" i="5"/>
  <c r="BK902" i="5"/>
  <c r="BJ902" i="5"/>
  <c r="BI902" i="5"/>
  <c r="BH902" i="5"/>
  <c r="BG902" i="5"/>
  <c r="BF902" i="5"/>
  <c r="BE902" i="5"/>
  <c r="BD902" i="5"/>
  <c r="BC902" i="5"/>
  <c r="BB902" i="5"/>
  <c r="BA902" i="5"/>
  <c r="AZ902" i="5"/>
  <c r="AY902" i="5"/>
  <c r="AX902" i="5"/>
  <c r="AW902" i="5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CF901" i="5"/>
  <c r="CE901" i="5"/>
  <c r="CD901" i="5"/>
  <c r="CC901" i="5"/>
  <c r="CB901" i="5"/>
  <c r="CA901" i="5"/>
  <c r="BZ901" i="5"/>
  <c r="BY901" i="5"/>
  <c r="BX901" i="5"/>
  <c r="BW901" i="5"/>
  <c r="BV901" i="5"/>
  <c r="BU901" i="5"/>
  <c r="BT901" i="5"/>
  <c r="BS901" i="5"/>
  <c r="BR901" i="5"/>
  <c r="BQ901" i="5"/>
  <c r="BP901" i="5"/>
  <c r="BO901" i="5"/>
  <c r="BN901" i="5"/>
  <c r="BM901" i="5"/>
  <c r="BL901" i="5"/>
  <c r="BK901" i="5"/>
  <c r="BJ901" i="5"/>
  <c r="BI901" i="5"/>
  <c r="BH901" i="5"/>
  <c r="BG901" i="5"/>
  <c r="BF901" i="5"/>
  <c r="BE901" i="5"/>
  <c r="BD901" i="5"/>
  <c r="BC901" i="5"/>
  <c r="BB901" i="5"/>
  <c r="BA901" i="5"/>
  <c r="AZ901" i="5"/>
  <c r="AY901" i="5"/>
  <c r="AX901" i="5"/>
  <c r="AW901" i="5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CF897" i="5"/>
  <c r="CE897" i="5"/>
  <c r="CD897" i="5"/>
  <c r="CC897" i="5"/>
  <c r="CB897" i="5"/>
  <c r="CA897" i="5"/>
  <c r="BZ897" i="5"/>
  <c r="BY897" i="5"/>
  <c r="BX897" i="5"/>
  <c r="BW897" i="5"/>
  <c r="BV897" i="5"/>
  <c r="BU897" i="5"/>
  <c r="BT897" i="5"/>
  <c r="CF896" i="5"/>
  <c r="CE896" i="5"/>
  <c r="CD896" i="5"/>
  <c r="CC896" i="5"/>
  <c r="CB896" i="5"/>
  <c r="CA896" i="5"/>
  <c r="BZ896" i="5"/>
  <c r="BY896" i="5"/>
  <c r="BX896" i="5"/>
  <c r="BW896" i="5"/>
  <c r="BV896" i="5"/>
  <c r="BU896" i="5"/>
  <c r="BT896" i="5"/>
  <c r="A896" i="5"/>
  <c r="CF895" i="5"/>
  <c r="CE895" i="5"/>
  <c r="CD895" i="5"/>
  <c r="CC895" i="5"/>
  <c r="CB895" i="5"/>
  <c r="CA895" i="5"/>
  <c r="BZ895" i="5"/>
  <c r="BY895" i="5"/>
  <c r="BX895" i="5"/>
  <c r="BW895" i="5"/>
  <c r="BV895" i="5"/>
  <c r="BU895" i="5"/>
  <c r="BT895" i="5"/>
  <c r="CF894" i="5"/>
  <c r="CE894" i="5"/>
  <c r="CD894" i="5"/>
  <c r="CC894" i="5"/>
  <c r="CB894" i="5"/>
  <c r="CA894" i="5"/>
  <c r="BZ894" i="5"/>
  <c r="BY894" i="5"/>
  <c r="BX894" i="5"/>
  <c r="BW894" i="5"/>
  <c r="BV894" i="5"/>
  <c r="BU894" i="5"/>
  <c r="BT894" i="5"/>
  <c r="A894" i="5"/>
  <c r="CF893" i="5"/>
  <c r="CE893" i="5"/>
  <c r="CD893" i="5"/>
  <c r="CC893" i="5"/>
  <c r="CB893" i="5"/>
  <c r="CA893" i="5"/>
  <c r="BZ893" i="5"/>
  <c r="BY893" i="5"/>
  <c r="BX893" i="5"/>
  <c r="BW893" i="5"/>
  <c r="BV893" i="5"/>
  <c r="BU893" i="5"/>
  <c r="BT893" i="5"/>
  <c r="CF892" i="5"/>
  <c r="CE892" i="5"/>
  <c r="CD892" i="5"/>
  <c r="CC892" i="5"/>
  <c r="CB892" i="5"/>
  <c r="CA892" i="5"/>
  <c r="BZ892" i="5"/>
  <c r="BY892" i="5"/>
  <c r="BX892" i="5"/>
  <c r="BW892" i="5"/>
  <c r="BV892" i="5"/>
  <c r="BU892" i="5"/>
  <c r="BT892" i="5"/>
  <c r="CF891" i="5"/>
  <c r="CE891" i="5"/>
  <c r="CD891" i="5"/>
  <c r="CC891" i="5"/>
  <c r="CB891" i="5"/>
  <c r="CA891" i="5"/>
  <c r="BZ891" i="5"/>
  <c r="BY891" i="5"/>
  <c r="BX891" i="5"/>
  <c r="BW891" i="5"/>
  <c r="BV891" i="5"/>
  <c r="BU891" i="5"/>
  <c r="BT891" i="5"/>
  <c r="A891" i="5"/>
  <c r="CF890" i="5"/>
  <c r="CE890" i="5"/>
  <c r="CD890" i="5"/>
  <c r="CC890" i="5"/>
  <c r="CB890" i="5"/>
  <c r="CA890" i="5"/>
  <c r="BZ890" i="5"/>
  <c r="BY890" i="5"/>
  <c r="BX890" i="5"/>
  <c r="BW890" i="5"/>
  <c r="BV890" i="5"/>
  <c r="BU890" i="5"/>
  <c r="BT890" i="5"/>
  <c r="CF889" i="5"/>
  <c r="CE889" i="5"/>
  <c r="CD889" i="5"/>
  <c r="CC889" i="5"/>
  <c r="CB889" i="5"/>
  <c r="CA889" i="5"/>
  <c r="BZ889" i="5"/>
  <c r="BY889" i="5"/>
  <c r="BX889" i="5"/>
  <c r="BW889" i="5"/>
  <c r="BV889" i="5"/>
  <c r="BU889" i="5"/>
  <c r="BT889" i="5"/>
  <c r="BS883" i="5"/>
  <c r="BR883" i="5"/>
  <c r="BQ883" i="5"/>
  <c r="BP883" i="5"/>
  <c r="BO883" i="5"/>
  <c r="BN883" i="5"/>
  <c r="BM883" i="5"/>
  <c r="BL883" i="5"/>
  <c r="BK883" i="5"/>
  <c r="BJ883" i="5"/>
  <c r="BI883" i="5"/>
  <c r="BH883" i="5"/>
  <c r="BG883" i="5"/>
  <c r="BF883" i="5"/>
  <c r="BE883" i="5"/>
  <c r="BD883" i="5"/>
  <c r="BC883" i="5"/>
  <c r="AZ883" i="5"/>
  <c r="AY883" i="5"/>
  <c r="AX883" i="5"/>
  <c r="AO883" i="5"/>
  <c r="AN883" i="5"/>
  <c r="AM883" i="5"/>
  <c r="AL883" i="5"/>
  <c r="AK883" i="5"/>
  <c r="AJ883" i="5"/>
  <c r="AI883" i="5"/>
  <c r="A865" i="5"/>
  <c r="A864" i="5"/>
  <c r="A863" i="5"/>
  <c r="A862" i="5"/>
  <c r="A861" i="5"/>
  <c r="A860" i="5"/>
  <c r="CF835" i="5"/>
  <c r="CE835" i="5"/>
  <c r="CD835" i="5"/>
  <c r="CC835" i="5"/>
  <c r="CB835" i="5"/>
  <c r="CA835" i="5"/>
  <c r="BZ835" i="5"/>
  <c r="BY835" i="5"/>
  <c r="BX835" i="5"/>
  <c r="BW835" i="5"/>
  <c r="BV835" i="5"/>
  <c r="BU835" i="5"/>
  <c r="BT835" i="5"/>
  <c r="BS835" i="5"/>
  <c r="BR835" i="5"/>
  <c r="BQ835" i="5"/>
  <c r="BP835" i="5"/>
  <c r="BO835" i="5"/>
  <c r="BN835" i="5"/>
  <c r="BM835" i="5"/>
  <c r="BL835" i="5"/>
  <c r="BK835" i="5"/>
  <c r="BJ835" i="5"/>
  <c r="BI835" i="5"/>
  <c r="BH835" i="5"/>
  <c r="BG835" i="5"/>
  <c r="BF835" i="5"/>
  <c r="BE835" i="5"/>
  <c r="BD835" i="5"/>
  <c r="BC835" i="5"/>
  <c r="BB835" i="5"/>
  <c r="BA835" i="5"/>
  <c r="AZ835" i="5"/>
  <c r="AY835" i="5"/>
  <c r="AX835" i="5"/>
  <c r="AW835" i="5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CC834" i="5"/>
  <c r="BX834" i="5"/>
  <c r="CF833" i="5"/>
  <c r="CE833" i="5"/>
  <c r="CD833" i="5"/>
  <c r="CB833" i="5"/>
  <c r="CA833" i="5"/>
  <c r="BZ833" i="5"/>
  <c r="BY833" i="5"/>
  <c r="BW833" i="5"/>
  <c r="BV833" i="5"/>
  <c r="BU833" i="5"/>
  <c r="BT833" i="5"/>
  <c r="CF828" i="5"/>
  <c r="CE828" i="5"/>
  <c r="CD828" i="5"/>
  <c r="CC828" i="5"/>
  <c r="CB828" i="5"/>
  <c r="CA828" i="5"/>
  <c r="BZ828" i="5"/>
  <c r="BY828" i="5"/>
  <c r="BX828" i="5"/>
  <c r="BW828" i="5"/>
  <c r="BV828" i="5"/>
  <c r="BU828" i="5"/>
  <c r="BT828" i="5"/>
  <c r="BS828" i="5"/>
  <c r="BR828" i="5"/>
  <c r="BQ828" i="5"/>
  <c r="BP828" i="5"/>
  <c r="BO828" i="5"/>
  <c r="BN828" i="5"/>
  <c r="BM828" i="5"/>
  <c r="BL828" i="5"/>
  <c r="BK828" i="5"/>
  <c r="BJ828" i="5"/>
  <c r="BI828" i="5"/>
  <c r="BH828" i="5"/>
  <c r="BG828" i="5"/>
  <c r="BF828" i="5"/>
  <c r="BE828" i="5"/>
  <c r="BD828" i="5"/>
  <c r="BC828" i="5"/>
  <c r="BB828" i="5"/>
  <c r="BA828" i="5"/>
  <c r="AZ828" i="5"/>
  <c r="AY828" i="5"/>
  <c r="AX828" i="5"/>
  <c r="AW828" i="5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Q828" i="5"/>
  <c r="P828" i="5"/>
  <c r="AO817" i="5"/>
  <c r="AJ817" i="5"/>
  <c r="AE817" i="5"/>
  <c r="P817" i="5"/>
  <c r="BT816" i="5"/>
  <c r="BU816" i="5" s="1"/>
  <c r="BR816" i="5"/>
  <c r="BM816" i="5"/>
  <c r="BH816" i="5"/>
  <c r="BC816" i="5"/>
  <c r="AX816" i="5"/>
  <c r="AS816" i="5"/>
  <c r="AN816" i="5"/>
  <c r="AI816" i="5"/>
  <c r="AD816" i="5"/>
  <c r="Y816" i="5"/>
  <c r="T816" i="5"/>
  <c r="O816" i="5"/>
  <c r="J816" i="5"/>
  <c r="BS815" i="5"/>
  <c r="BR815" i="5"/>
  <c r="BQ815" i="5"/>
  <c r="BP815" i="5"/>
  <c r="BO815" i="5"/>
  <c r="BN815" i="5"/>
  <c r="BM815" i="5"/>
  <c r="BL815" i="5"/>
  <c r="BK815" i="5"/>
  <c r="BJ815" i="5"/>
  <c r="BI815" i="5"/>
  <c r="BG815" i="5"/>
  <c r="BF815" i="5"/>
  <c r="BF817" i="5" s="1"/>
  <c r="BE815" i="5"/>
  <c r="BD815" i="5"/>
  <c r="BB815" i="5"/>
  <c r="BA815" i="5"/>
  <c r="AZ815" i="5"/>
  <c r="AY815" i="5"/>
  <c r="AW815" i="5"/>
  <c r="AV815" i="5"/>
  <c r="AU815" i="5"/>
  <c r="AT815" i="5"/>
  <c r="AT817" i="5" s="1"/>
  <c r="AR815" i="5"/>
  <c r="AQ815" i="5"/>
  <c r="AP815" i="5"/>
  <c r="AP817" i="5" s="1"/>
  <c r="AO815" i="5"/>
  <c r="AN815" i="5"/>
  <c r="AN817" i="5" s="1"/>
  <c r="AM815" i="5"/>
  <c r="AM817" i="5" s="1"/>
  <c r="AL815" i="5"/>
  <c r="AL817" i="5" s="1"/>
  <c r="AK815" i="5"/>
  <c r="AJ815" i="5"/>
  <c r="AH815" i="5"/>
  <c r="AG815" i="5"/>
  <c r="AF815" i="5"/>
  <c r="AE815" i="5"/>
  <c r="AC815" i="5"/>
  <c r="AB815" i="5"/>
  <c r="AA815" i="5"/>
  <c r="Z815" i="5"/>
  <c r="X815" i="5"/>
  <c r="W815" i="5"/>
  <c r="V815" i="5"/>
  <c r="U815" i="5"/>
  <c r="S815" i="5"/>
  <c r="R815" i="5"/>
  <c r="Q815" i="5"/>
  <c r="P815" i="5"/>
  <c r="O815" i="5"/>
  <c r="N815" i="5"/>
  <c r="N817" i="5" s="1"/>
  <c r="M815" i="5"/>
  <c r="M817" i="5" s="1"/>
  <c r="L815" i="5"/>
  <c r="K815" i="5"/>
  <c r="I815" i="5"/>
  <c r="H815" i="5"/>
  <c r="G815" i="5"/>
  <c r="F815" i="5"/>
  <c r="E815" i="5"/>
  <c r="D815" i="5"/>
  <c r="C815" i="5"/>
  <c r="BV814" i="5"/>
  <c r="BW814" i="5" s="1"/>
  <c r="BX814" i="5" s="1"/>
  <c r="BY814" i="5" s="1"/>
  <c r="BZ814" i="5" s="1"/>
  <c r="CA814" i="5" s="1"/>
  <c r="CB814" i="5" s="1"/>
  <c r="CC814" i="5" s="1"/>
  <c r="CD814" i="5" s="1"/>
  <c r="CE814" i="5" s="1"/>
  <c r="CF814" i="5" s="1"/>
  <c r="BU814" i="5"/>
  <c r="BT814" i="5"/>
  <c r="BR814" i="5"/>
  <c r="BM814" i="5"/>
  <c r="BH814" i="5"/>
  <c r="BC814" i="5"/>
  <c r="AX814" i="5"/>
  <c r="AS814" i="5"/>
  <c r="AN814" i="5"/>
  <c r="AI814" i="5"/>
  <c r="AD814" i="5"/>
  <c r="Y814" i="5"/>
  <c r="T814" i="5"/>
  <c r="O814" i="5"/>
  <c r="J814" i="5"/>
  <c r="BV813" i="5"/>
  <c r="BW813" i="5" s="1"/>
  <c r="BX813" i="5" s="1"/>
  <c r="BY813" i="5" s="1"/>
  <c r="BZ813" i="5" s="1"/>
  <c r="CA813" i="5" s="1"/>
  <c r="CB813" i="5" s="1"/>
  <c r="CC813" i="5" s="1"/>
  <c r="CD813" i="5" s="1"/>
  <c r="CE813" i="5" s="1"/>
  <c r="CF813" i="5" s="1"/>
  <c r="BT813" i="5"/>
  <c r="BU813" i="5" s="1"/>
  <c r="BR813" i="5"/>
  <c r="BM813" i="5"/>
  <c r="BH813" i="5"/>
  <c r="BC813" i="5"/>
  <c r="AX813" i="5"/>
  <c r="AS813" i="5"/>
  <c r="AN813" i="5"/>
  <c r="AI813" i="5"/>
  <c r="AD813" i="5"/>
  <c r="Y813" i="5"/>
  <c r="T813" i="5"/>
  <c r="O813" i="5"/>
  <c r="J813" i="5"/>
  <c r="CD812" i="5"/>
  <c r="CE812" i="5" s="1"/>
  <c r="CF812" i="5" s="1"/>
  <c r="BU812" i="5"/>
  <c r="BV812" i="5" s="1"/>
  <c r="BW812" i="5" s="1"/>
  <c r="BX812" i="5" s="1"/>
  <c r="BY812" i="5" s="1"/>
  <c r="BZ812" i="5" s="1"/>
  <c r="CA812" i="5" s="1"/>
  <c r="CB812" i="5" s="1"/>
  <c r="CC812" i="5" s="1"/>
  <c r="BT812" i="5"/>
  <c r="BR812" i="5"/>
  <c r="BM812" i="5"/>
  <c r="BH812" i="5"/>
  <c r="BC812" i="5"/>
  <c r="AX812" i="5"/>
  <c r="AS812" i="5"/>
  <c r="AN812" i="5"/>
  <c r="AI812" i="5"/>
  <c r="AD812" i="5"/>
  <c r="Y812" i="5"/>
  <c r="T812" i="5"/>
  <c r="O812" i="5"/>
  <c r="J812" i="5"/>
  <c r="BR811" i="5"/>
  <c r="BM811" i="5"/>
  <c r="BH811" i="5"/>
  <c r="BC811" i="5"/>
  <c r="AX811" i="5"/>
  <c r="AS811" i="5"/>
  <c r="AN811" i="5"/>
  <c r="AI811" i="5"/>
  <c r="AD811" i="5"/>
  <c r="Y811" i="5"/>
  <c r="T811" i="5"/>
  <c r="O811" i="5"/>
  <c r="J811" i="5"/>
  <c r="BR810" i="5"/>
  <c r="BM810" i="5"/>
  <c r="BH810" i="5"/>
  <c r="BC810" i="5"/>
  <c r="AX810" i="5"/>
  <c r="AS810" i="5"/>
  <c r="AN810" i="5"/>
  <c r="AI810" i="5"/>
  <c r="AD810" i="5"/>
  <c r="Y810" i="5"/>
  <c r="T810" i="5"/>
  <c r="O810" i="5"/>
  <c r="J810" i="5"/>
  <c r="BY809" i="5"/>
  <c r="BZ809" i="5" s="1"/>
  <c r="CA809" i="5" s="1"/>
  <c r="CB809" i="5" s="1"/>
  <c r="CC809" i="5" s="1"/>
  <c r="CD809" i="5" s="1"/>
  <c r="CE809" i="5" s="1"/>
  <c r="CF809" i="5" s="1"/>
  <c r="BT809" i="5"/>
  <c r="BU809" i="5" s="1"/>
  <c r="BV809" i="5" s="1"/>
  <c r="BW809" i="5" s="1"/>
  <c r="BX809" i="5" s="1"/>
  <c r="BR809" i="5"/>
  <c r="BM809" i="5"/>
  <c r="BH809" i="5"/>
  <c r="BC809" i="5"/>
  <c r="AX809" i="5"/>
  <c r="AX815" i="5" s="1"/>
  <c r="AS809" i="5"/>
  <c r="AN809" i="5"/>
  <c r="AI809" i="5"/>
  <c r="AD809" i="5"/>
  <c r="Y809" i="5"/>
  <c r="T809" i="5"/>
  <c r="T815" i="5" s="1"/>
  <c r="O809" i="5"/>
  <c r="J809" i="5"/>
  <c r="BV808" i="5"/>
  <c r="BW808" i="5" s="1"/>
  <c r="BU808" i="5"/>
  <c r="BT808" i="5"/>
  <c r="BR808" i="5"/>
  <c r="BM808" i="5"/>
  <c r="BH808" i="5"/>
  <c r="BC808" i="5"/>
  <c r="AX808" i="5"/>
  <c r="AS808" i="5"/>
  <c r="AN808" i="5"/>
  <c r="AI808" i="5"/>
  <c r="AI815" i="5" s="1"/>
  <c r="AD808" i="5"/>
  <c r="Y808" i="5"/>
  <c r="T808" i="5"/>
  <c r="O808" i="5"/>
  <c r="J808" i="5"/>
  <c r="J815" i="5" s="1"/>
  <c r="BK804" i="5"/>
  <c r="AU804" i="5"/>
  <c r="AU817" i="5" s="1"/>
  <c r="AT804" i="5"/>
  <c r="AQ804" i="5"/>
  <c r="AN804" i="5"/>
  <c r="AA804" i="5"/>
  <c r="AA817" i="5" s="1"/>
  <c r="X804" i="5"/>
  <c r="X817" i="5" s="1"/>
  <c r="R804" i="5"/>
  <c r="R817" i="5" s="1"/>
  <c r="P804" i="5"/>
  <c r="K804" i="5"/>
  <c r="F804" i="5"/>
  <c r="F817" i="5" s="1"/>
  <c r="F819" i="5" s="1"/>
  <c r="BS803" i="5"/>
  <c r="BQ803" i="5"/>
  <c r="BP803" i="5"/>
  <c r="BO803" i="5"/>
  <c r="BN803" i="5"/>
  <c r="BL803" i="5"/>
  <c r="BK803" i="5"/>
  <c r="BJ803" i="5"/>
  <c r="BI803" i="5"/>
  <c r="BG803" i="5"/>
  <c r="BF803" i="5"/>
  <c r="BE803" i="5"/>
  <c r="BD803" i="5"/>
  <c r="BD804" i="5" s="1"/>
  <c r="BB803" i="5"/>
  <c r="BB804" i="5" s="1"/>
  <c r="BB817" i="5" s="1"/>
  <c r="BA803" i="5"/>
  <c r="AZ803" i="5"/>
  <c r="AZ804" i="5" s="1"/>
  <c r="AZ817" i="5" s="1"/>
  <c r="AY803" i="5"/>
  <c r="AW803" i="5"/>
  <c r="AV803" i="5"/>
  <c r="AU803" i="5"/>
  <c r="AT803" i="5"/>
  <c r="AR803" i="5"/>
  <c r="AQ803" i="5"/>
  <c r="AP803" i="5"/>
  <c r="AO803" i="5"/>
  <c r="AM803" i="5"/>
  <c r="AL803" i="5"/>
  <c r="AK803" i="5"/>
  <c r="AJ803" i="5"/>
  <c r="AH803" i="5"/>
  <c r="AG803" i="5"/>
  <c r="AF803" i="5"/>
  <c r="AE803" i="5"/>
  <c r="AD803" i="5"/>
  <c r="AC803" i="5"/>
  <c r="AB803" i="5"/>
  <c r="AB804" i="5" s="1"/>
  <c r="AA803" i="5"/>
  <c r="Z803" i="5"/>
  <c r="X803" i="5"/>
  <c r="W803" i="5"/>
  <c r="V803" i="5"/>
  <c r="U803" i="5"/>
  <c r="S803" i="5"/>
  <c r="R803" i="5"/>
  <c r="Q803" i="5"/>
  <c r="P803" i="5"/>
  <c r="N803" i="5"/>
  <c r="M803" i="5"/>
  <c r="L803" i="5"/>
  <c r="K803" i="5"/>
  <c r="I803" i="5"/>
  <c r="H803" i="5"/>
  <c r="G803" i="5"/>
  <c r="F803" i="5"/>
  <c r="E803" i="5"/>
  <c r="D803" i="5"/>
  <c r="C803" i="5"/>
  <c r="BR802" i="5"/>
  <c r="BM802" i="5"/>
  <c r="BH802" i="5"/>
  <c r="BC802" i="5"/>
  <c r="AX802" i="5"/>
  <c r="AS802" i="5"/>
  <c r="AN802" i="5"/>
  <c r="AI802" i="5"/>
  <c r="AD802" i="5"/>
  <c r="Y802" i="5"/>
  <c r="T802" i="5"/>
  <c r="O802" i="5"/>
  <c r="J802" i="5"/>
  <c r="BR801" i="5"/>
  <c r="BM801" i="5"/>
  <c r="BH801" i="5"/>
  <c r="BC801" i="5"/>
  <c r="AX801" i="5"/>
  <c r="AX803" i="5" s="1"/>
  <c r="AS801" i="5"/>
  <c r="AN801" i="5"/>
  <c r="AI801" i="5"/>
  <c r="AD801" i="5"/>
  <c r="Y801" i="5"/>
  <c r="T801" i="5"/>
  <c r="O801" i="5"/>
  <c r="J801" i="5"/>
  <c r="CC800" i="5"/>
  <c r="CD800" i="5" s="1"/>
  <c r="CE800" i="5" s="1"/>
  <c r="CF800" i="5" s="1"/>
  <c r="BU800" i="5"/>
  <c r="BV800" i="5" s="1"/>
  <c r="BW800" i="5" s="1"/>
  <c r="BX800" i="5" s="1"/>
  <c r="BY800" i="5" s="1"/>
  <c r="BZ800" i="5" s="1"/>
  <c r="CA800" i="5" s="1"/>
  <c r="CB800" i="5" s="1"/>
  <c r="BT800" i="5"/>
  <c r="BR800" i="5"/>
  <c r="BM800" i="5"/>
  <c r="BH800" i="5"/>
  <c r="BC800" i="5"/>
  <c r="AX800" i="5"/>
  <c r="AS800" i="5"/>
  <c r="AN800" i="5"/>
  <c r="AN803" i="5" s="1"/>
  <c r="BY799" i="5"/>
  <c r="BZ799" i="5" s="1"/>
  <c r="CA799" i="5" s="1"/>
  <c r="CB799" i="5" s="1"/>
  <c r="CC799" i="5" s="1"/>
  <c r="CD799" i="5" s="1"/>
  <c r="CE799" i="5" s="1"/>
  <c r="CF799" i="5" s="1"/>
  <c r="BW799" i="5"/>
  <c r="BX799" i="5" s="1"/>
  <c r="BV799" i="5"/>
  <c r="BU799" i="5"/>
  <c r="BT799" i="5"/>
  <c r="BR799" i="5"/>
  <c r="BM799" i="5"/>
  <c r="BH799" i="5"/>
  <c r="BC799" i="5"/>
  <c r="AX799" i="5"/>
  <c r="AS799" i="5"/>
  <c r="AN799" i="5"/>
  <c r="AI799" i="5"/>
  <c r="AI803" i="5" s="1"/>
  <c r="AD799" i="5"/>
  <c r="Y799" i="5"/>
  <c r="Y803" i="5" s="1"/>
  <c r="T799" i="5"/>
  <c r="O799" i="5"/>
  <c r="J799" i="5"/>
  <c r="BU798" i="5"/>
  <c r="BV798" i="5" s="1"/>
  <c r="BW798" i="5" s="1"/>
  <c r="BX798" i="5" s="1"/>
  <c r="BY798" i="5" s="1"/>
  <c r="BZ798" i="5" s="1"/>
  <c r="CA798" i="5" s="1"/>
  <c r="CB798" i="5" s="1"/>
  <c r="CC798" i="5" s="1"/>
  <c r="CD798" i="5" s="1"/>
  <c r="CE798" i="5" s="1"/>
  <c r="CF798" i="5" s="1"/>
  <c r="BT798" i="5"/>
  <c r="BR798" i="5"/>
  <c r="BM798" i="5"/>
  <c r="BH798" i="5"/>
  <c r="BC798" i="5"/>
  <c r="AX798" i="5"/>
  <c r="AS798" i="5"/>
  <c r="AN798" i="5"/>
  <c r="AI798" i="5"/>
  <c r="AD798" i="5"/>
  <c r="Y798" i="5"/>
  <c r="T798" i="5"/>
  <c r="T803" i="5" s="1"/>
  <c r="T804" i="5" s="1"/>
  <c r="O798" i="5"/>
  <c r="J798" i="5"/>
  <c r="BR797" i="5"/>
  <c r="BM797" i="5"/>
  <c r="BH797" i="5"/>
  <c r="BC797" i="5"/>
  <c r="AX797" i="5"/>
  <c r="AS797" i="5"/>
  <c r="AN797" i="5"/>
  <c r="AI797" i="5"/>
  <c r="AD797" i="5"/>
  <c r="Y797" i="5"/>
  <c r="T797" i="5"/>
  <c r="O797" i="5"/>
  <c r="J797" i="5"/>
  <c r="BQ794" i="5"/>
  <c r="BQ804" i="5" s="1"/>
  <c r="BQ817" i="5" s="1"/>
  <c r="BB794" i="5"/>
  <c r="AZ794" i="5"/>
  <c r="AW794" i="5"/>
  <c r="AW804" i="5" s="1"/>
  <c r="AW817" i="5" s="1"/>
  <c r="AU794" i="5"/>
  <c r="AT794" i="5"/>
  <c r="AS794" i="5"/>
  <c r="AR794" i="5"/>
  <c r="AR804" i="5" s="1"/>
  <c r="AR817" i="5" s="1"/>
  <c r="AQ794" i="5"/>
  <c r="AP794" i="5"/>
  <c r="AP804" i="5" s="1"/>
  <c r="AO794" i="5"/>
  <c r="AO804" i="5" s="1"/>
  <c r="AN794" i="5"/>
  <c r="AL794" i="5"/>
  <c r="AL804" i="5" s="1"/>
  <c r="AK794" i="5"/>
  <c r="AK804" i="5" s="1"/>
  <c r="AI794" i="5"/>
  <c r="AI804" i="5" s="1"/>
  <c r="AF794" i="5"/>
  <c r="AF804" i="5" s="1"/>
  <c r="AF817" i="5" s="1"/>
  <c r="AE794" i="5"/>
  <c r="AE804" i="5" s="1"/>
  <c r="AC794" i="5"/>
  <c r="AB794" i="5"/>
  <c r="AA794" i="5"/>
  <c r="X794" i="5"/>
  <c r="U794" i="5"/>
  <c r="U804" i="5" s="1"/>
  <c r="U817" i="5" s="1"/>
  <c r="S794" i="5"/>
  <c r="S804" i="5" s="1"/>
  <c r="S817" i="5" s="1"/>
  <c r="R794" i="5"/>
  <c r="Q794" i="5"/>
  <c r="P794" i="5"/>
  <c r="M794" i="5"/>
  <c r="M804" i="5" s="1"/>
  <c r="L794" i="5"/>
  <c r="L804" i="5" s="1"/>
  <c r="I794" i="5"/>
  <c r="I804" i="5" s="1"/>
  <c r="H794" i="5"/>
  <c r="H804" i="5" s="1"/>
  <c r="H817" i="5" s="1"/>
  <c r="G794" i="5"/>
  <c r="G804" i="5" s="1"/>
  <c r="F794" i="5"/>
  <c r="D794" i="5"/>
  <c r="C794" i="5"/>
  <c r="CB793" i="5"/>
  <c r="CC793" i="5" s="1"/>
  <c r="CD793" i="5" s="1"/>
  <c r="CE793" i="5" s="1"/>
  <c r="CF793" i="5" s="1"/>
  <c r="BT793" i="5"/>
  <c r="BU793" i="5" s="1"/>
  <c r="BV793" i="5" s="1"/>
  <c r="BW793" i="5" s="1"/>
  <c r="BX793" i="5" s="1"/>
  <c r="BY793" i="5" s="1"/>
  <c r="BZ793" i="5" s="1"/>
  <c r="CA793" i="5" s="1"/>
  <c r="BU792" i="5"/>
  <c r="BV792" i="5" s="1"/>
  <c r="BW792" i="5" s="1"/>
  <c r="BX792" i="5" s="1"/>
  <c r="BY792" i="5" s="1"/>
  <c r="BZ792" i="5" s="1"/>
  <c r="CA792" i="5" s="1"/>
  <c r="CB792" i="5" s="1"/>
  <c r="CC792" i="5" s="1"/>
  <c r="CD792" i="5" s="1"/>
  <c r="CE792" i="5" s="1"/>
  <c r="CF792" i="5" s="1"/>
  <c r="BT792" i="5"/>
  <c r="BR792" i="5"/>
  <c r="BM792" i="5"/>
  <c r="BH792" i="5"/>
  <c r="BC792" i="5"/>
  <c r="BU791" i="5"/>
  <c r="BV791" i="5" s="1"/>
  <c r="BW791" i="5" s="1"/>
  <c r="BX791" i="5" s="1"/>
  <c r="BY791" i="5" s="1"/>
  <c r="BZ791" i="5" s="1"/>
  <c r="CA791" i="5" s="1"/>
  <c r="CB791" i="5" s="1"/>
  <c r="CC791" i="5" s="1"/>
  <c r="CD791" i="5" s="1"/>
  <c r="CE791" i="5" s="1"/>
  <c r="CF791" i="5" s="1"/>
  <c r="BT791" i="5"/>
  <c r="BR791" i="5"/>
  <c r="BM791" i="5"/>
  <c r="BH791" i="5"/>
  <c r="BC791" i="5"/>
  <c r="AX791" i="5"/>
  <c r="AS791" i="5"/>
  <c r="AN791" i="5"/>
  <c r="AI791" i="5"/>
  <c r="AD791" i="5"/>
  <c r="Y791" i="5"/>
  <c r="T791" i="5"/>
  <c r="O791" i="5"/>
  <c r="J791" i="5"/>
  <c r="BT790" i="5"/>
  <c r="BU790" i="5" s="1"/>
  <c r="BV790" i="5" s="1"/>
  <c r="BW790" i="5" s="1"/>
  <c r="BX790" i="5" s="1"/>
  <c r="BY790" i="5" s="1"/>
  <c r="BZ790" i="5" s="1"/>
  <c r="CA790" i="5" s="1"/>
  <c r="CB790" i="5" s="1"/>
  <c r="CC790" i="5" s="1"/>
  <c r="CD790" i="5" s="1"/>
  <c r="CE790" i="5" s="1"/>
  <c r="CF790" i="5" s="1"/>
  <c r="BR790" i="5"/>
  <c r="BM790" i="5"/>
  <c r="BH790" i="5"/>
  <c r="BC790" i="5"/>
  <c r="AX790" i="5"/>
  <c r="AS790" i="5"/>
  <c r="AN790" i="5"/>
  <c r="AI790" i="5"/>
  <c r="AD790" i="5"/>
  <c r="Y790" i="5"/>
  <c r="T790" i="5"/>
  <c r="O790" i="5"/>
  <c r="J790" i="5"/>
  <c r="BS789" i="5"/>
  <c r="BQ789" i="5"/>
  <c r="BP789" i="5"/>
  <c r="BP794" i="5" s="1"/>
  <c r="BP804" i="5" s="1"/>
  <c r="BP817" i="5" s="1"/>
  <c r="BO789" i="5"/>
  <c r="BN789" i="5"/>
  <c r="BM789" i="5"/>
  <c r="BL789" i="5"/>
  <c r="BK789" i="5"/>
  <c r="BJ789" i="5"/>
  <c r="BI789" i="5"/>
  <c r="BH789" i="5" s="1"/>
  <c r="BC789" i="5"/>
  <c r="AX789" i="5"/>
  <c r="AS789" i="5"/>
  <c r="AN789" i="5"/>
  <c r="AI789" i="5"/>
  <c r="AD789" i="5"/>
  <c r="Y789" i="5"/>
  <c r="T789" i="5"/>
  <c r="O789" i="5"/>
  <c r="J789" i="5"/>
  <c r="CD788" i="5"/>
  <c r="CE788" i="5" s="1"/>
  <c r="CF788" i="5" s="1"/>
  <c r="BZ788" i="5"/>
  <c r="CA788" i="5" s="1"/>
  <c r="CB788" i="5" s="1"/>
  <c r="CC788" i="5" s="1"/>
  <c r="BT788" i="5"/>
  <c r="BU788" i="5" s="1"/>
  <c r="BV788" i="5" s="1"/>
  <c r="BW788" i="5" s="1"/>
  <c r="BX788" i="5" s="1"/>
  <c r="BY788" i="5" s="1"/>
  <c r="BS787" i="5"/>
  <c r="BQ787" i="5"/>
  <c r="BP787" i="5"/>
  <c r="BO787" i="5"/>
  <c r="BO794" i="5" s="1"/>
  <c r="BO804" i="5" s="1"/>
  <c r="BO817" i="5" s="1"/>
  <c r="BN787" i="5"/>
  <c r="BN794" i="5" s="1"/>
  <c r="BN804" i="5" s="1"/>
  <c r="BN817" i="5" s="1"/>
  <c r="BL787" i="5"/>
  <c r="BK787" i="5"/>
  <c r="BK794" i="5" s="1"/>
  <c r="BJ787" i="5"/>
  <c r="BI787" i="5"/>
  <c r="BG787" i="5"/>
  <c r="BG794" i="5" s="1"/>
  <c r="BG804" i="5" s="1"/>
  <c r="BF787" i="5"/>
  <c r="BF794" i="5" s="1"/>
  <c r="BF804" i="5" s="1"/>
  <c r="BE787" i="5"/>
  <c r="BE794" i="5" s="1"/>
  <c r="BE804" i="5" s="1"/>
  <c r="BD787" i="5"/>
  <c r="BD794" i="5" s="1"/>
  <c r="BB787" i="5"/>
  <c r="BA787" i="5"/>
  <c r="BA794" i="5" s="1"/>
  <c r="BA804" i="5" s="1"/>
  <c r="BA817" i="5" s="1"/>
  <c r="AZ787" i="5"/>
  <c r="AY787" i="5"/>
  <c r="AW787" i="5"/>
  <c r="AV787" i="5"/>
  <c r="AV794" i="5" s="1"/>
  <c r="AV804" i="5" s="1"/>
  <c r="AU787" i="5"/>
  <c r="AT787" i="5"/>
  <c r="AR787" i="5"/>
  <c r="AQ787" i="5"/>
  <c r="AP787" i="5"/>
  <c r="AO787" i="5"/>
  <c r="AN787" i="5"/>
  <c r="AM787" i="5"/>
  <c r="AM794" i="5" s="1"/>
  <c r="AM804" i="5" s="1"/>
  <c r="AL787" i="5"/>
  <c r="AK787" i="5"/>
  <c r="AJ787" i="5"/>
  <c r="AJ794" i="5" s="1"/>
  <c r="AJ804" i="5" s="1"/>
  <c r="AH787" i="5"/>
  <c r="AH794" i="5" s="1"/>
  <c r="AH804" i="5" s="1"/>
  <c r="AG787" i="5"/>
  <c r="AG794" i="5" s="1"/>
  <c r="AG804" i="5" s="1"/>
  <c r="AF787" i="5"/>
  <c r="AE787" i="5"/>
  <c r="AC787" i="5"/>
  <c r="AB787" i="5"/>
  <c r="AA787" i="5"/>
  <c r="Z787" i="5"/>
  <c r="Y787" i="5"/>
  <c r="X787" i="5"/>
  <c r="W787" i="5"/>
  <c r="V787" i="5"/>
  <c r="U787" i="5"/>
  <c r="S787" i="5"/>
  <c r="R787" i="5"/>
  <c r="Q787" i="5"/>
  <c r="P787" i="5"/>
  <c r="N787" i="5"/>
  <c r="N794" i="5" s="1"/>
  <c r="N804" i="5" s="1"/>
  <c r="M787" i="5"/>
  <c r="L787" i="5"/>
  <c r="K787" i="5"/>
  <c r="K794" i="5" s="1"/>
  <c r="I787" i="5"/>
  <c r="H787" i="5"/>
  <c r="G787" i="5"/>
  <c r="F787" i="5"/>
  <c r="E787" i="5"/>
  <c r="E794" i="5" s="1"/>
  <c r="D787" i="5"/>
  <c r="C787" i="5"/>
  <c r="BR786" i="5"/>
  <c r="BM786" i="5"/>
  <c r="BM787" i="5" s="1"/>
  <c r="BH786" i="5"/>
  <c r="BC786" i="5"/>
  <c r="BC787" i="5" s="1"/>
  <c r="AX786" i="5"/>
  <c r="AX787" i="5" s="1"/>
  <c r="AS786" i="5"/>
  <c r="AN786" i="5"/>
  <c r="AI786" i="5"/>
  <c r="AI787" i="5" s="1"/>
  <c r="AD786" i="5"/>
  <c r="Y786" i="5"/>
  <c r="T786" i="5"/>
  <c r="T787" i="5" s="1"/>
  <c r="O786" i="5"/>
  <c r="J786" i="5"/>
  <c r="BR785" i="5"/>
  <c r="BM785" i="5"/>
  <c r="BH785" i="5"/>
  <c r="BH787" i="5" s="1"/>
  <c r="BC785" i="5"/>
  <c r="AX785" i="5"/>
  <c r="AS785" i="5"/>
  <c r="AS787" i="5" s="1"/>
  <c r="AN785" i="5"/>
  <c r="AI785" i="5"/>
  <c r="AD785" i="5"/>
  <c r="Y785" i="5"/>
  <c r="T785" i="5"/>
  <c r="O785" i="5"/>
  <c r="O787" i="5" s="1"/>
  <c r="J785" i="5"/>
  <c r="J787" i="5" s="1"/>
  <c r="BR784" i="5"/>
  <c r="BM784" i="5"/>
  <c r="BH784" i="5"/>
  <c r="BC784" i="5"/>
  <c r="AX784" i="5"/>
  <c r="AS784" i="5"/>
  <c r="AN784" i="5"/>
  <c r="AI784" i="5"/>
  <c r="AD784" i="5"/>
  <c r="Y784" i="5"/>
  <c r="T784" i="5"/>
  <c r="O784" i="5"/>
  <c r="J784" i="5"/>
  <c r="BT783" i="5"/>
  <c r="BU783" i="5" s="1"/>
  <c r="BR783" i="5"/>
  <c r="BM783" i="5"/>
  <c r="BH783" i="5"/>
  <c r="BH794" i="5" s="1"/>
  <c r="BC783" i="5"/>
  <c r="AX783" i="5"/>
  <c r="AX509" i="5" s="1"/>
  <c r="AS783" i="5"/>
  <c r="AN783" i="5"/>
  <c r="BR782" i="5"/>
  <c r="BM782" i="5"/>
  <c r="BH782" i="5"/>
  <c r="BC782" i="5"/>
  <c r="AX782" i="5"/>
  <c r="AS782" i="5"/>
  <c r="AN782" i="5"/>
  <c r="AI782" i="5"/>
  <c r="AD782" i="5"/>
  <c r="Y782" i="5"/>
  <c r="T782" i="5"/>
  <c r="T794" i="5" s="1"/>
  <c r="O782" i="5"/>
  <c r="J782" i="5"/>
  <c r="BE779" i="5"/>
  <c r="BD779" i="5"/>
  <c r="BB779" i="5"/>
  <c r="AY779" i="5"/>
  <c r="BQ778" i="5"/>
  <c r="BP778" i="5"/>
  <c r="BL778" i="5"/>
  <c r="BL779" i="5" s="1"/>
  <c r="BA778" i="5"/>
  <c r="AZ778" i="5"/>
  <c r="AY778" i="5"/>
  <c r="AW778" i="5"/>
  <c r="AR778" i="5"/>
  <c r="AM778" i="5"/>
  <c r="AG778" i="5"/>
  <c r="AF778" i="5"/>
  <c r="AC778" i="5"/>
  <c r="X778" i="5"/>
  <c r="W778" i="5"/>
  <c r="W779" i="5" s="1"/>
  <c r="U778" i="5"/>
  <c r="R778" i="5"/>
  <c r="P778" i="5"/>
  <c r="N778" i="5"/>
  <c r="F778" i="5"/>
  <c r="E778" i="5"/>
  <c r="D778" i="5"/>
  <c r="C778" i="5"/>
  <c r="BS777" i="5"/>
  <c r="BS778" i="5" s="1"/>
  <c r="BQ777" i="5"/>
  <c r="BQ741" i="5" s="1"/>
  <c r="BP777" i="5"/>
  <c r="BO777" i="5"/>
  <c r="BN777" i="5"/>
  <c r="BN741" i="5" s="1"/>
  <c r="BL777" i="5"/>
  <c r="BK777" i="5"/>
  <c r="BK778" i="5" s="1"/>
  <c r="BJ777" i="5"/>
  <c r="BI777" i="5"/>
  <c r="BI741" i="5" s="1"/>
  <c r="BG777" i="5"/>
  <c r="BF777" i="5"/>
  <c r="BF778" i="5" s="1"/>
  <c r="BE777" i="5"/>
  <c r="BE778" i="5" s="1"/>
  <c r="BD777" i="5"/>
  <c r="BD778" i="5" s="1"/>
  <c r="BB777" i="5"/>
  <c r="BB778" i="5" s="1"/>
  <c r="BA777" i="5"/>
  <c r="AZ777" i="5"/>
  <c r="AY777" i="5"/>
  <c r="AW777" i="5"/>
  <c r="AV777" i="5"/>
  <c r="AV778" i="5" s="1"/>
  <c r="AU777" i="5"/>
  <c r="AT777" i="5"/>
  <c r="AR777" i="5"/>
  <c r="AQ777" i="5"/>
  <c r="AQ778" i="5" s="1"/>
  <c r="AP777" i="5"/>
  <c r="AP778" i="5" s="1"/>
  <c r="AO777" i="5"/>
  <c r="AO778" i="5" s="1"/>
  <c r="AM777" i="5"/>
  <c r="AL777" i="5"/>
  <c r="AK777" i="5"/>
  <c r="AJ777" i="5"/>
  <c r="AH777" i="5"/>
  <c r="AG777" i="5"/>
  <c r="AF777" i="5"/>
  <c r="AE777" i="5"/>
  <c r="AE778" i="5" s="1"/>
  <c r="AA777" i="5"/>
  <c r="AA778" i="5" s="1"/>
  <c r="Z777" i="5"/>
  <c r="Z741" i="5" s="1"/>
  <c r="X777" i="5"/>
  <c r="W777" i="5"/>
  <c r="V777" i="5"/>
  <c r="V778" i="5" s="1"/>
  <c r="U777" i="5"/>
  <c r="S777" i="5"/>
  <c r="S741" i="5" s="1"/>
  <c r="T737" i="5" s="1"/>
  <c r="R777" i="5"/>
  <c r="R741" i="5" s="1"/>
  <c r="Q777" i="5"/>
  <c r="P777" i="5"/>
  <c r="P741" i="5" s="1"/>
  <c r="N777" i="5"/>
  <c r="M777" i="5"/>
  <c r="M778" i="5" s="1"/>
  <c r="L777" i="5"/>
  <c r="K777" i="5"/>
  <c r="J777" i="5"/>
  <c r="J741" i="5" s="1"/>
  <c r="I777" i="5"/>
  <c r="H777" i="5"/>
  <c r="H778" i="5" s="1"/>
  <c r="G777" i="5"/>
  <c r="F777" i="5"/>
  <c r="E777" i="5"/>
  <c r="D777" i="5"/>
  <c r="C777" i="5"/>
  <c r="BR776" i="5"/>
  <c r="BM776" i="5"/>
  <c r="BH776" i="5"/>
  <c r="BC776" i="5"/>
  <c r="AX776" i="5"/>
  <c r="AS776" i="5"/>
  <c r="AN776" i="5"/>
  <c r="AI776" i="5"/>
  <c r="AD776" i="5"/>
  <c r="AC776" i="5"/>
  <c r="AC777" i="5" s="1"/>
  <c r="AB776" i="5"/>
  <c r="AB777" i="5" s="1"/>
  <c r="AB778" i="5" s="1"/>
  <c r="Y776" i="5"/>
  <c r="T776" i="5"/>
  <c r="O776" i="5"/>
  <c r="J776" i="5"/>
  <c r="BR775" i="5"/>
  <c r="BR777" i="5" s="1"/>
  <c r="BR741" i="5" s="1"/>
  <c r="BM775" i="5"/>
  <c r="BH775" i="5"/>
  <c r="BH777" i="5" s="1"/>
  <c r="BH741" i="5" s="1"/>
  <c r="BC775" i="5"/>
  <c r="AX775" i="5"/>
  <c r="AS775" i="5"/>
  <c r="AN775" i="5"/>
  <c r="AI775" i="5"/>
  <c r="AD775" i="5"/>
  <c r="BR774" i="5"/>
  <c r="BM774" i="5"/>
  <c r="BH774" i="5"/>
  <c r="BC774" i="5"/>
  <c r="AX774" i="5"/>
  <c r="AS774" i="5"/>
  <c r="AN774" i="5"/>
  <c r="AI774" i="5"/>
  <c r="AD774" i="5"/>
  <c r="Y774" i="5"/>
  <c r="Y777" i="5" s="1"/>
  <c r="T774" i="5"/>
  <c r="T777" i="5" s="1"/>
  <c r="O774" i="5"/>
  <c r="J774" i="5"/>
  <c r="BX773" i="5"/>
  <c r="BY773" i="5" s="1"/>
  <c r="BZ773" i="5" s="1"/>
  <c r="CA773" i="5" s="1"/>
  <c r="CB773" i="5" s="1"/>
  <c r="CC773" i="5" s="1"/>
  <c r="CD773" i="5" s="1"/>
  <c r="CE773" i="5" s="1"/>
  <c r="CF773" i="5" s="1"/>
  <c r="BU773" i="5"/>
  <c r="BV773" i="5" s="1"/>
  <c r="BW773" i="5" s="1"/>
  <c r="BT773" i="5"/>
  <c r="BR773" i="5"/>
  <c r="BM773" i="5"/>
  <c r="BH773" i="5"/>
  <c r="BC773" i="5"/>
  <c r="AX773" i="5"/>
  <c r="AS773" i="5"/>
  <c r="AS777" i="5" s="1"/>
  <c r="AS741" i="5" s="1"/>
  <c r="AN773" i="5"/>
  <c r="AI773" i="5"/>
  <c r="AI777" i="5" s="1"/>
  <c r="AI741" i="5" s="1"/>
  <c r="AD773" i="5"/>
  <c r="BT772" i="5"/>
  <c r="BU772" i="5" s="1"/>
  <c r="BV772" i="5" s="1"/>
  <c r="BW772" i="5" s="1"/>
  <c r="BX772" i="5" s="1"/>
  <c r="BY772" i="5" s="1"/>
  <c r="BZ772" i="5" s="1"/>
  <c r="CA772" i="5" s="1"/>
  <c r="CB772" i="5" s="1"/>
  <c r="CC772" i="5" s="1"/>
  <c r="CD772" i="5" s="1"/>
  <c r="CE772" i="5" s="1"/>
  <c r="CF772" i="5" s="1"/>
  <c r="BR772" i="5"/>
  <c r="BM772" i="5"/>
  <c r="BH772" i="5"/>
  <c r="BC772" i="5"/>
  <c r="AX772" i="5"/>
  <c r="AS772" i="5"/>
  <c r="AN772" i="5"/>
  <c r="AI772" i="5"/>
  <c r="AD772" i="5"/>
  <c r="Y772" i="5"/>
  <c r="T772" i="5"/>
  <c r="T778" i="5" s="1"/>
  <c r="O772" i="5"/>
  <c r="J772" i="5"/>
  <c r="CD771" i="5"/>
  <c r="CE771" i="5" s="1"/>
  <c r="CF771" i="5" s="1"/>
  <c r="CC771" i="5"/>
  <c r="BT771" i="5"/>
  <c r="BU771" i="5" s="1"/>
  <c r="BV771" i="5" s="1"/>
  <c r="BW771" i="5" s="1"/>
  <c r="BX771" i="5" s="1"/>
  <c r="BY771" i="5" s="1"/>
  <c r="BZ771" i="5" s="1"/>
  <c r="CA771" i="5" s="1"/>
  <c r="CB771" i="5" s="1"/>
  <c r="BR771" i="5"/>
  <c r="BM771" i="5"/>
  <c r="BH771" i="5"/>
  <c r="BC771" i="5"/>
  <c r="AX771" i="5"/>
  <c r="AS771" i="5"/>
  <c r="AN771" i="5"/>
  <c r="AI771" i="5"/>
  <c r="AD771" i="5"/>
  <c r="Y771" i="5"/>
  <c r="T771" i="5"/>
  <c r="O771" i="5"/>
  <c r="J771" i="5"/>
  <c r="BT770" i="5"/>
  <c r="BU770" i="5" s="1"/>
  <c r="BV770" i="5" s="1"/>
  <c r="BW770" i="5" s="1"/>
  <c r="BX770" i="5" s="1"/>
  <c r="BY770" i="5" s="1"/>
  <c r="BZ770" i="5" s="1"/>
  <c r="CA770" i="5" s="1"/>
  <c r="CB770" i="5" s="1"/>
  <c r="CC770" i="5" s="1"/>
  <c r="CD770" i="5" s="1"/>
  <c r="CE770" i="5" s="1"/>
  <c r="CF770" i="5" s="1"/>
  <c r="BR770" i="5"/>
  <c r="BM770" i="5"/>
  <c r="BH770" i="5"/>
  <c r="BC770" i="5"/>
  <c r="AX770" i="5"/>
  <c r="AS770" i="5"/>
  <c r="AN770" i="5"/>
  <c r="AI770" i="5"/>
  <c r="AD770" i="5"/>
  <c r="Y770" i="5"/>
  <c r="T770" i="5"/>
  <c r="O770" i="5"/>
  <c r="J770" i="5"/>
  <c r="BT769" i="5"/>
  <c r="BU769" i="5" s="1"/>
  <c r="BV769" i="5" s="1"/>
  <c r="BW769" i="5" s="1"/>
  <c r="BX769" i="5" s="1"/>
  <c r="BY769" i="5" s="1"/>
  <c r="BZ769" i="5" s="1"/>
  <c r="CA769" i="5" s="1"/>
  <c r="CB769" i="5" s="1"/>
  <c r="CC769" i="5" s="1"/>
  <c r="CD769" i="5" s="1"/>
  <c r="CE769" i="5" s="1"/>
  <c r="CF769" i="5" s="1"/>
  <c r="BR769" i="5"/>
  <c r="BM769" i="5"/>
  <c r="BH769" i="5"/>
  <c r="BC769" i="5"/>
  <c r="AX769" i="5"/>
  <c r="AS769" i="5"/>
  <c r="AN769" i="5"/>
  <c r="BR768" i="5"/>
  <c r="BR778" i="5" s="1"/>
  <c r="BM768" i="5"/>
  <c r="BM735" i="5" s="1"/>
  <c r="BH768" i="5"/>
  <c r="BH735" i="5" s="1"/>
  <c r="BC768" i="5"/>
  <c r="AX768" i="5"/>
  <c r="AS768" i="5"/>
  <c r="AN768" i="5"/>
  <c r="AI768" i="5"/>
  <c r="AD768" i="5"/>
  <c r="Y768" i="5"/>
  <c r="Y778" i="5" s="1"/>
  <c r="T768" i="5"/>
  <c r="O768" i="5"/>
  <c r="J768" i="5"/>
  <c r="BP765" i="5"/>
  <c r="BP779" i="5" s="1"/>
  <c r="BO765" i="5"/>
  <c r="BN765" i="5"/>
  <c r="BL765" i="5"/>
  <c r="BK765" i="5"/>
  <c r="BK779" i="5" s="1"/>
  <c r="BJ765" i="5"/>
  <c r="BI765" i="5"/>
  <c r="BH765" i="5"/>
  <c r="BG765" i="5"/>
  <c r="AW765" i="5"/>
  <c r="AW779" i="5" s="1"/>
  <c r="AV765" i="5"/>
  <c r="AV779" i="5" s="1"/>
  <c r="AR765" i="5"/>
  <c r="AR779" i="5" s="1"/>
  <c r="AQ765" i="5"/>
  <c r="AP765" i="5"/>
  <c r="AP779" i="5" s="1"/>
  <c r="AO765" i="5"/>
  <c r="AH765" i="5"/>
  <c r="AF765" i="5"/>
  <c r="AE765" i="5"/>
  <c r="AE779" i="5" s="1"/>
  <c r="V765" i="5"/>
  <c r="S765" i="5"/>
  <c r="R765" i="5"/>
  <c r="Q765" i="5"/>
  <c r="H765" i="5"/>
  <c r="G765" i="5"/>
  <c r="E765" i="5"/>
  <c r="E779" i="5" s="1"/>
  <c r="BU764" i="5"/>
  <c r="BV764" i="5" s="1"/>
  <c r="BW764" i="5" s="1"/>
  <c r="BX764" i="5" s="1"/>
  <c r="BY764" i="5" s="1"/>
  <c r="BZ764" i="5" s="1"/>
  <c r="CA764" i="5" s="1"/>
  <c r="CB764" i="5" s="1"/>
  <c r="CC764" i="5" s="1"/>
  <c r="CD764" i="5" s="1"/>
  <c r="CE764" i="5" s="1"/>
  <c r="CF764" i="5" s="1"/>
  <c r="BT764" i="5"/>
  <c r="BR764" i="5"/>
  <c r="BM764" i="5"/>
  <c r="BH764" i="5"/>
  <c r="BC764" i="5"/>
  <c r="AX764" i="5"/>
  <c r="AS764" i="5"/>
  <c r="BU763" i="5"/>
  <c r="BV763" i="5" s="1"/>
  <c r="BW763" i="5" s="1"/>
  <c r="BX763" i="5" s="1"/>
  <c r="BY763" i="5" s="1"/>
  <c r="BZ763" i="5" s="1"/>
  <c r="CA763" i="5" s="1"/>
  <c r="CB763" i="5" s="1"/>
  <c r="CC763" i="5" s="1"/>
  <c r="CD763" i="5" s="1"/>
  <c r="CE763" i="5" s="1"/>
  <c r="CF763" i="5" s="1"/>
  <c r="BT763" i="5"/>
  <c r="BR763" i="5"/>
  <c r="BM763" i="5"/>
  <c r="BH763" i="5"/>
  <c r="BC763" i="5"/>
  <c r="AX763" i="5"/>
  <c r="AS763" i="5"/>
  <c r="AN763" i="5"/>
  <c r="AI763" i="5"/>
  <c r="AD763" i="5"/>
  <c r="Y763" i="5"/>
  <c r="T763" i="5"/>
  <c r="O763" i="5"/>
  <c r="J763" i="5"/>
  <c r="BR762" i="5"/>
  <c r="BM762" i="5"/>
  <c r="BH762" i="5"/>
  <c r="BC762" i="5"/>
  <c r="AX762" i="5"/>
  <c r="AS762" i="5"/>
  <c r="AN762" i="5"/>
  <c r="AI762" i="5"/>
  <c r="AD762" i="5"/>
  <c r="Y762" i="5"/>
  <c r="T762" i="5"/>
  <c r="O762" i="5"/>
  <c r="J762" i="5"/>
  <c r="BS761" i="5"/>
  <c r="BQ761" i="5"/>
  <c r="BQ765" i="5" s="1"/>
  <c r="BQ779" i="5" s="1"/>
  <c r="BP761" i="5"/>
  <c r="BO761" i="5"/>
  <c r="BN761" i="5"/>
  <c r="BL761" i="5"/>
  <c r="BK761" i="5"/>
  <c r="BJ761" i="5"/>
  <c r="BI761" i="5"/>
  <c r="BH761" i="5"/>
  <c r="BG761" i="5"/>
  <c r="BF761" i="5"/>
  <c r="BF765" i="5" s="1"/>
  <c r="BF779" i="5" s="1"/>
  <c r="BE761" i="5"/>
  <c r="BE765" i="5" s="1"/>
  <c r="BD761" i="5"/>
  <c r="BD765" i="5" s="1"/>
  <c r="BB761" i="5"/>
  <c r="BB765" i="5" s="1"/>
  <c r="BA761" i="5"/>
  <c r="BA765" i="5" s="1"/>
  <c r="BA779" i="5" s="1"/>
  <c r="AZ761" i="5"/>
  <c r="AY761" i="5"/>
  <c r="AY765" i="5" s="1"/>
  <c r="AW761" i="5"/>
  <c r="AV761" i="5"/>
  <c r="AU761" i="5"/>
  <c r="AU765" i="5" s="1"/>
  <c r="AT761" i="5"/>
  <c r="AT765" i="5" s="1"/>
  <c r="AR761" i="5"/>
  <c r="AQ761" i="5"/>
  <c r="AP761" i="5"/>
  <c r="AO761" i="5"/>
  <c r="AN761" i="5"/>
  <c r="AM761" i="5"/>
  <c r="AM765" i="5" s="1"/>
  <c r="AM779" i="5" s="1"/>
  <c r="AL761" i="5"/>
  <c r="AL765" i="5" s="1"/>
  <c r="AK761" i="5"/>
  <c r="AK765" i="5" s="1"/>
  <c r="AJ761" i="5"/>
  <c r="AJ765" i="5" s="1"/>
  <c r="AI761" i="5"/>
  <c r="AH761" i="5"/>
  <c r="AG761" i="5"/>
  <c r="AG765" i="5" s="1"/>
  <c r="AF761" i="5"/>
  <c r="AE761" i="5"/>
  <c r="AC761" i="5"/>
  <c r="AC765" i="5" s="1"/>
  <c r="AC779" i="5" s="1"/>
  <c r="AB761" i="5"/>
  <c r="AA761" i="5"/>
  <c r="AA765" i="5" s="1"/>
  <c r="AA779" i="5" s="1"/>
  <c r="X761" i="5"/>
  <c r="X765" i="5" s="1"/>
  <c r="X779" i="5" s="1"/>
  <c r="W761" i="5"/>
  <c r="W765" i="5" s="1"/>
  <c r="V761" i="5"/>
  <c r="U761" i="5"/>
  <c r="U765" i="5" s="1"/>
  <c r="S761" i="5"/>
  <c r="R761" i="5"/>
  <c r="Q761" i="5"/>
  <c r="P761" i="5"/>
  <c r="N761" i="5"/>
  <c r="N765" i="5" s="1"/>
  <c r="N779" i="5" s="1"/>
  <c r="M761" i="5"/>
  <c r="L761" i="5"/>
  <c r="L765" i="5" s="1"/>
  <c r="K761" i="5"/>
  <c r="K765" i="5" s="1"/>
  <c r="I761" i="5"/>
  <c r="I765" i="5" s="1"/>
  <c r="H761" i="5"/>
  <c r="G761" i="5"/>
  <c r="F761" i="5"/>
  <c r="F765" i="5" s="1"/>
  <c r="F779" i="5" s="1"/>
  <c r="E761" i="5"/>
  <c r="D761" i="5"/>
  <c r="D765" i="5" s="1"/>
  <c r="D779" i="5" s="1"/>
  <c r="C761" i="5"/>
  <c r="C765" i="5" s="1"/>
  <c r="C779" i="5" s="1"/>
  <c r="BR760" i="5"/>
  <c r="BM760" i="5"/>
  <c r="BH760" i="5"/>
  <c r="BC760" i="5"/>
  <c r="AX760" i="5"/>
  <c r="AS760" i="5"/>
  <c r="AN760" i="5"/>
  <c r="AI760" i="5"/>
  <c r="AD760" i="5"/>
  <c r="Y760" i="5"/>
  <c r="T760" i="5"/>
  <c r="O760" i="5"/>
  <c r="J760" i="5"/>
  <c r="BR759" i="5"/>
  <c r="BM759" i="5"/>
  <c r="BH759" i="5"/>
  <c r="BC759" i="5"/>
  <c r="AX759" i="5"/>
  <c r="AS759" i="5"/>
  <c r="AN759" i="5"/>
  <c r="AI759" i="5"/>
  <c r="AD759" i="5"/>
  <c r="Y759" i="5"/>
  <c r="T759" i="5"/>
  <c r="O759" i="5"/>
  <c r="J759" i="5"/>
  <c r="BR758" i="5"/>
  <c r="BM758" i="5"/>
  <c r="BH758" i="5"/>
  <c r="BC758" i="5"/>
  <c r="AX758" i="5"/>
  <c r="AS758" i="5"/>
  <c r="AN758" i="5"/>
  <c r="AI758" i="5"/>
  <c r="AD758" i="5"/>
  <c r="AD761" i="5" s="1"/>
  <c r="Z758" i="5"/>
  <c r="Z761" i="5" s="1"/>
  <c r="Z765" i="5" s="1"/>
  <c r="BR757" i="5"/>
  <c r="BM757" i="5"/>
  <c r="BM761" i="5" s="1"/>
  <c r="BH757" i="5"/>
  <c r="BC757" i="5"/>
  <c r="AX757" i="5"/>
  <c r="AS757" i="5"/>
  <c r="AS761" i="5" s="1"/>
  <c r="AN757" i="5"/>
  <c r="AI757" i="5"/>
  <c r="AD757" i="5"/>
  <c r="Y757" i="5"/>
  <c r="Y761" i="5" s="1"/>
  <c r="T757" i="5"/>
  <c r="T761" i="5" s="1"/>
  <c r="O757" i="5"/>
  <c r="J757" i="5"/>
  <c r="BT756" i="5"/>
  <c r="BU756" i="5" s="1"/>
  <c r="BV756" i="5" s="1"/>
  <c r="BW756" i="5" s="1"/>
  <c r="BX756" i="5" s="1"/>
  <c r="BY756" i="5" s="1"/>
  <c r="BZ756" i="5" s="1"/>
  <c r="CA756" i="5" s="1"/>
  <c r="CB756" i="5" s="1"/>
  <c r="CC756" i="5" s="1"/>
  <c r="CD756" i="5" s="1"/>
  <c r="CE756" i="5" s="1"/>
  <c r="CF756" i="5" s="1"/>
  <c r="BR756" i="5"/>
  <c r="BM756" i="5"/>
  <c r="BH756" i="5"/>
  <c r="BC756" i="5"/>
  <c r="AX756" i="5"/>
  <c r="AS756" i="5"/>
  <c r="AN756" i="5"/>
  <c r="AI756" i="5"/>
  <c r="AD756" i="5"/>
  <c r="Y756" i="5"/>
  <c r="T756" i="5"/>
  <c r="O756" i="5"/>
  <c r="J756" i="5"/>
  <c r="BT755" i="5"/>
  <c r="BU755" i="5" s="1"/>
  <c r="BV755" i="5" s="1"/>
  <c r="BW755" i="5" s="1"/>
  <c r="BX755" i="5" s="1"/>
  <c r="BY755" i="5" s="1"/>
  <c r="BZ755" i="5" s="1"/>
  <c r="CA755" i="5" s="1"/>
  <c r="CB755" i="5" s="1"/>
  <c r="CC755" i="5" s="1"/>
  <c r="CD755" i="5" s="1"/>
  <c r="CE755" i="5" s="1"/>
  <c r="CF755" i="5" s="1"/>
  <c r="BR755" i="5"/>
  <c r="BM755" i="5"/>
  <c r="BR754" i="5"/>
  <c r="BM754" i="5"/>
  <c r="BH754" i="5"/>
  <c r="BC754" i="5"/>
  <c r="AX754" i="5"/>
  <c r="AS754" i="5"/>
  <c r="AN754" i="5"/>
  <c r="AI754" i="5"/>
  <c r="AD754" i="5"/>
  <c r="Y754" i="5"/>
  <c r="T754" i="5"/>
  <c r="O754" i="5"/>
  <c r="J754" i="5"/>
  <c r="CC750" i="5"/>
  <c r="BX750" i="5"/>
  <c r="CF749" i="5"/>
  <c r="CF739" i="5" s="1"/>
  <c r="CE749" i="5"/>
  <c r="CD749" i="5"/>
  <c r="CB749" i="5"/>
  <c r="CB739" i="5" s="1"/>
  <c r="CA749" i="5"/>
  <c r="CA733" i="5" s="1"/>
  <c r="BZ749" i="5"/>
  <c r="BZ733" i="5" s="1"/>
  <c r="BY749" i="5"/>
  <c r="BY733" i="5" s="1"/>
  <c r="BW749" i="5"/>
  <c r="BV749" i="5"/>
  <c r="BU749" i="5"/>
  <c r="BT749" i="5"/>
  <c r="BS741" i="5"/>
  <c r="BP741" i="5"/>
  <c r="BL741" i="5"/>
  <c r="BK741" i="5"/>
  <c r="BL737" i="5" s="1"/>
  <c r="BF741" i="5"/>
  <c r="BG737" i="5" s="1"/>
  <c r="BE741" i="5"/>
  <c r="BD741" i="5"/>
  <c r="BI737" i="5" s="1"/>
  <c r="BB741" i="5"/>
  <c r="BC737" i="5" s="1"/>
  <c r="BA741" i="5"/>
  <c r="AZ741" i="5"/>
  <c r="AY741" i="5"/>
  <c r="BD737" i="5" s="1"/>
  <c r="AW741" i="5"/>
  <c r="AV741" i="5"/>
  <c r="AR741" i="5"/>
  <c r="AP741" i="5"/>
  <c r="AO741" i="5"/>
  <c r="AM741" i="5"/>
  <c r="AG741" i="5"/>
  <c r="AF741" i="5"/>
  <c r="AE741" i="5"/>
  <c r="AJ737" i="5" s="1"/>
  <c r="AC741" i="5"/>
  <c r="AD737" i="5" s="1"/>
  <c r="AB741" i="5"/>
  <c r="AC737" i="5" s="1"/>
  <c r="AA741" i="5"/>
  <c r="AB737" i="5" s="1"/>
  <c r="Y741" i="5"/>
  <c r="X741" i="5"/>
  <c r="W741" i="5"/>
  <c r="X737" i="5" s="1"/>
  <c r="V741" i="5"/>
  <c r="W737" i="5" s="1"/>
  <c r="U741" i="5"/>
  <c r="Z737" i="5" s="1"/>
  <c r="T741" i="5"/>
  <c r="N741" i="5"/>
  <c r="O737" i="5" s="1"/>
  <c r="M741" i="5"/>
  <c r="F741" i="5"/>
  <c r="K737" i="5" s="1"/>
  <c r="E741" i="5"/>
  <c r="D741" i="5"/>
  <c r="C741" i="5"/>
  <c r="CE739" i="5"/>
  <c r="CA739" i="5"/>
  <c r="BZ739" i="5"/>
  <c r="BY739" i="5"/>
  <c r="BW739" i="5"/>
  <c r="BV739" i="5"/>
  <c r="BU739" i="5"/>
  <c r="BT739" i="5"/>
  <c r="BB737" i="5"/>
  <c r="BA737" i="5"/>
  <c r="AX737" i="5"/>
  <c r="AW737" i="5"/>
  <c r="AT737" i="5"/>
  <c r="AS737" i="5"/>
  <c r="AQ737" i="5"/>
  <c r="AH737" i="5"/>
  <c r="AG737" i="5"/>
  <c r="AF737" i="5"/>
  <c r="AE737" i="5"/>
  <c r="AA737" i="5"/>
  <c r="U737" i="5"/>
  <c r="S737" i="5"/>
  <c r="Q737" i="5"/>
  <c r="G737" i="5"/>
  <c r="F737" i="5"/>
  <c r="E737" i="5"/>
  <c r="D737" i="5"/>
  <c r="BS735" i="5"/>
  <c r="BQ735" i="5"/>
  <c r="BR731" i="5" s="1"/>
  <c r="BP735" i="5"/>
  <c r="BQ731" i="5" s="1"/>
  <c r="BO735" i="5"/>
  <c r="BN735" i="5"/>
  <c r="BL735" i="5"/>
  <c r="BK735" i="5"/>
  <c r="BL731" i="5" s="1"/>
  <c r="BJ735" i="5"/>
  <c r="BI735" i="5"/>
  <c r="BN731" i="5" s="1"/>
  <c r="BG735" i="5"/>
  <c r="BF735" i="5"/>
  <c r="BE735" i="5"/>
  <c r="BF731" i="5" s="1"/>
  <c r="BD735" i="5"/>
  <c r="BC735" i="5"/>
  <c r="BB735" i="5"/>
  <c r="BC731" i="5" s="1"/>
  <c r="BA735" i="5"/>
  <c r="BB731" i="5" s="1"/>
  <c r="AZ735" i="5"/>
  <c r="AY735" i="5"/>
  <c r="AX735" i="5"/>
  <c r="AW735" i="5"/>
  <c r="AV735" i="5"/>
  <c r="AU735" i="5"/>
  <c r="AT735" i="5"/>
  <c r="AS735" i="5"/>
  <c r="AR735" i="5"/>
  <c r="AQ735" i="5"/>
  <c r="AP735" i="5"/>
  <c r="AO735" i="5"/>
  <c r="AM735" i="5"/>
  <c r="AL735" i="5"/>
  <c r="AK735" i="5"/>
  <c r="AJ735" i="5"/>
  <c r="AK731" i="5" s="1"/>
  <c r="AI735" i="5"/>
  <c r="AH735" i="5"/>
  <c r="AG735" i="5"/>
  <c r="AF735" i="5"/>
  <c r="AG731" i="5" s="1"/>
  <c r="AE735" i="5"/>
  <c r="AF731" i="5" s="1"/>
  <c r="AD735" i="5"/>
  <c r="AC735" i="5"/>
  <c r="AD731" i="5" s="1"/>
  <c r="AB735" i="5"/>
  <c r="AC731" i="5" s="1"/>
  <c r="AA735" i="5"/>
  <c r="Z735" i="5"/>
  <c r="Y735" i="5"/>
  <c r="X735" i="5"/>
  <c r="W735" i="5"/>
  <c r="V735" i="5"/>
  <c r="U735" i="5"/>
  <c r="T735" i="5"/>
  <c r="S735" i="5"/>
  <c r="R735" i="5"/>
  <c r="S731" i="5" s="1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F731" i="5" s="1"/>
  <c r="D735" i="5"/>
  <c r="E731" i="5" s="1"/>
  <c r="C735" i="5"/>
  <c r="D731" i="5" s="1"/>
  <c r="CF733" i="5"/>
  <c r="CE733" i="5"/>
  <c r="BW733" i="5"/>
  <c r="BV733" i="5"/>
  <c r="BU733" i="5"/>
  <c r="BT733" i="5"/>
  <c r="BX733" i="5" s="1"/>
  <c r="BX731" i="5"/>
  <c r="BT731" i="5"/>
  <c r="BS731" i="5"/>
  <c r="BP731" i="5"/>
  <c r="BO731" i="5"/>
  <c r="BM731" i="5"/>
  <c r="BK731" i="5"/>
  <c r="BJ731" i="5"/>
  <c r="BH731" i="5"/>
  <c r="BG731" i="5"/>
  <c r="BA731" i="5"/>
  <c r="AZ731" i="5"/>
  <c r="AY731" i="5"/>
  <c r="AX731" i="5"/>
  <c r="AW731" i="5"/>
  <c r="AT731" i="5"/>
  <c r="AS731" i="5"/>
  <c r="AR731" i="5"/>
  <c r="AQ731" i="5"/>
  <c r="AP731" i="5"/>
  <c r="AN731" i="5"/>
  <c r="AM731" i="5"/>
  <c r="AL731" i="5"/>
  <c r="AJ731" i="5"/>
  <c r="AI731" i="5"/>
  <c r="AH731" i="5"/>
  <c r="AB731" i="5"/>
  <c r="AA731" i="5"/>
  <c r="Z731" i="5"/>
  <c r="Y731" i="5"/>
  <c r="X731" i="5"/>
  <c r="V731" i="5"/>
  <c r="U731" i="5"/>
  <c r="T731" i="5"/>
  <c r="R731" i="5"/>
  <c r="Q731" i="5"/>
  <c r="J731" i="5"/>
  <c r="I731" i="5"/>
  <c r="H731" i="5"/>
  <c r="BS717" i="5"/>
  <c r="BN717" i="5"/>
  <c r="BI717" i="5"/>
  <c r="BD717" i="5"/>
  <c r="AY717" i="5"/>
  <c r="AT717" i="5"/>
  <c r="AO717" i="5"/>
  <c r="AJ717" i="5"/>
  <c r="AE717" i="5"/>
  <c r="Z717" i="5"/>
  <c r="U717" i="5"/>
  <c r="P717" i="5"/>
  <c r="K717" i="5"/>
  <c r="F717" i="5"/>
  <c r="E717" i="5"/>
  <c r="D717" i="5"/>
  <c r="C717" i="5"/>
  <c r="BS716" i="5"/>
  <c r="BN716" i="5"/>
  <c r="BI716" i="5"/>
  <c r="BD716" i="5"/>
  <c r="AY716" i="5"/>
  <c r="AT716" i="5"/>
  <c r="AO716" i="5"/>
  <c r="AJ716" i="5"/>
  <c r="AE716" i="5"/>
  <c r="Z716" i="5"/>
  <c r="U716" i="5"/>
  <c r="P716" i="5"/>
  <c r="K716" i="5"/>
  <c r="F716" i="5"/>
  <c r="E716" i="5"/>
  <c r="D716" i="5"/>
  <c r="C716" i="5"/>
  <c r="A714" i="5"/>
  <c r="C713" i="5"/>
  <c r="A713" i="5"/>
  <c r="A711" i="5"/>
  <c r="CC710" i="5"/>
  <c r="BX710" i="5"/>
  <c r="BS710" i="5"/>
  <c r="BQ710" i="5"/>
  <c r="BP710" i="5"/>
  <c r="BO710" i="5"/>
  <c r="BN710" i="5"/>
  <c r="BL710" i="5"/>
  <c r="BK710" i="5"/>
  <c r="BJ710" i="5"/>
  <c r="BI710" i="5"/>
  <c r="BG710" i="5"/>
  <c r="BF710" i="5"/>
  <c r="BE710" i="5"/>
  <c r="BD710" i="5"/>
  <c r="BB710" i="5"/>
  <c r="BA710" i="5"/>
  <c r="AZ710" i="5"/>
  <c r="AY710" i="5"/>
  <c r="AW710" i="5"/>
  <c r="AV710" i="5"/>
  <c r="AU710" i="5"/>
  <c r="AT710" i="5"/>
  <c r="AR710" i="5"/>
  <c r="AQ710" i="5"/>
  <c r="AP710" i="5"/>
  <c r="AO710" i="5"/>
  <c r="AM710" i="5"/>
  <c r="AL710" i="5"/>
  <c r="AK710" i="5"/>
  <c r="AJ710" i="5"/>
  <c r="AH710" i="5"/>
  <c r="AG710" i="5"/>
  <c r="AF710" i="5"/>
  <c r="AE710" i="5"/>
  <c r="AC710" i="5"/>
  <c r="AB710" i="5"/>
  <c r="AA710" i="5"/>
  <c r="Z710" i="5"/>
  <c r="X710" i="5"/>
  <c r="W710" i="5"/>
  <c r="V710" i="5"/>
  <c r="U710" i="5"/>
  <c r="S710" i="5"/>
  <c r="R710" i="5"/>
  <c r="Q710" i="5"/>
  <c r="P710" i="5"/>
  <c r="N710" i="5"/>
  <c r="M710" i="5"/>
  <c r="L710" i="5"/>
  <c r="K710" i="5"/>
  <c r="I710" i="5"/>
  <c r="H710" i="5"/>
  <c r="G710" i="5"/>
  <c r="F710" i="5"/>
  <c r="E710" i="5"/>
  <c r="D710" i="5"/>
  <c r="C710" i="5"/>
  <c r="A710" i="5"/>
  <c r="A708" i="5"/>
  <c r="CC707" i="5"/>
  <c r="BX707" i="5"/>
  <c r="BS707" i="5"/>
  <c r="BQ707" i="5"/>
  <c r="BP707" i="5"/>
  <c r="BO707" i="5"/>
  <c r="BN707" i="5"/>
  <c r="BL707" i="5"/>
  <c r="BK707" i="5"/>
  <c r="BJ707" i="5"/>
  <c r="BI707" i="5"/>
  <c r="BG707" i="5"/>
  <c r="BF707" i="5"/>
  <c r="BE707" i="5"/>
  <c r="BD707" i="5"/>
  <c r="BB707" i="5"/>
  <c r="BA707" i="5"/>
  <c r="AZ707" i="5"/>
  <c r="AY707" i="5"/>
  <c r="AW707" i="5"/>
  <c r="AV707" i="5"/>
  <c r="AU707" i="5"/>
  <c r="AT707" i="5"/>
  <c r="AR707" i="5"/>
  <c r="AQ707" i="5"/>
  <c r="AP707" i="5"/>
  <c r="AO707" i="5"/>
  <c r="AM707" i="5"/>
  <c r="AL707" i="5"/>
  <c r="AK707" i="5"/>
  <c r="AJ707" i="5"/>
  <c r="AH707" i="5"/>
  <c r="AG707" i="5"/>
  <c r="AF707" i="5"/>
  <c r="AE707" i="5"/>
  <c r="AC707" i="5"/>
  <c r="AB707" i="5"/>
  <c r="AA707" i="5"/>
  <c r="Z707" i="5"/>
  <c r="X707" i="5"/>
  <c r="W707" i="5"/>
  <c r="V707" i="5"/>
  <c r="U707" i="5"/>
  <c r="S707" i="5"/>
  <c r="R707" i="5"/>
  <c r="Q707" i="5"/>
  <c r="P707" i="5"/>
  <c r="N707" i="5"/>
  <c r="M707" i="5"/>
  <c r="L707" i="5"/>
  <c r="K707" i="5"/>
  <c r="I707" i="5"/>
  <c r="H707" i="5"/>
  <c r="G707" i="5"/>
  <c r="F707" i="5"/>
  <c r="E707" i="5"/>
  <c r="D707" i="5"/>
  <c r="C707" i="5"/>
  <c r="A707" i="5"/>
  <c r="CF706" i="5"/>
  <c r="CE706" i="5"/>
  <c r="CD706" i="5"/>
  <c r="CB706" i="5"/>
  <c r="CA706" i="5"/>
  <c r="BZ706" i="5"/>
  <c r="BY706" i="5"/>
  <c r="CC706" i="5" s="1"/>
  <c r="BX706" i="5"/>
  <c r="BW706" i="5"/>
  <c r="BV706" i="5"/>
  <c r="BU706" i="5"/>
  <c r="BT706" i="5"/>
  <c r="BS706" i="5"/>
  <c r="BR706" i="5"/>
  <c r="BQ706" i="5"/>
  <c r="BP706" i="5"/>
  <c r="BO706" i="5"/>
  <c r="BN706" i="5"/>
  <c r="BM706" i="5"/>
  <c r="BL706" i="5"/>
  <c r="BK706" i="5"/>
  <c r="BJ706" i="5"/>
  <c r="BI706" i="5"/>
  <c r="BH706" i="5"/>
  <c r="BG706" i="5"/>
  <c r="BF706" i="5"/>
  <c r="BE706" i="5"/>
  <c r="BD706" i="5"/>
  <c r="BC706" i="5"/>
  <c r="BB706" i="5"/>
  <c r="BA706" i="5"/>
  <c r="AZ706" i="5"/>
  <c r="AY706" i="5"/>
  <c r="AX706" i="5"/>
  <c r="AW706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A706" i="5"/>
  <c r="CC705" i="5"/>
  <c r="BX705" i="5"/>
  <c r="BS705" i="5"/>
  <c r="BQ705" i="5"/>
  <c r="BP705" i="5"/>
  <c r="BO705" i="5"/>
  <c r="BN705" i="5"/>
  <c r="BL705" i="5"/>
  <c r="BK705" i="5"/>
  <c r="BJ705" i="5"/>
  <c r="BI705" i="5"/>
  <c r="BG705" i="5"/>
  <c r="BF705" i="5"/>
  <c r="BE705" i="5"/>
  <c r="BD705" i="5"/>
  <c r="BB705" i="5"/>
  <c r="BA705" i="5"/>
  <c r="AZ705" i="5"/>
  <c r="AY705" i="5"/>
  <c r="AW705" i="5"/>
  <c r="AV705" i="5"/>
  <c r="AU705" i="5"/>
  <c r="AT705" i="5"/>
  <c r="AR705" i="5"/>
  <c r="AQ705" i="5"/>
  <c r="AP705" i="5"/>
  <c r="AO705" i="5"/>
  <c r="AM705" i="5"/>
  <c r="AL705" i="5"/>
  <c r="AK705" i="5"/>
  <c r="AJ705" i="5"/>
  <c r="AH705" i="5"/>
  <c r="AG705" i="5"/>
  <c r="AF705" i="5"/>
  <c r="AE705" i="5"/>
  <c r="AC705" i="5"/>
  <c r="AB705" i="5"/>
  <c r="AA705" i="5"/>
  <c r="Z705" i="5"/>
  <c r="X705" i="5"/>
  <c r="W705" i="5"/>
  <c r="V705" i="5"/>
  <c r="U705" i="5"/>
  <c r="S705" i="5"/>
  <c r="R705" i="5"/>
  <c r="Q705" i="5"/>
  <c r="P705" i="5"/>
  <c r="N705" i="5"/>
  <c r="M705" i="5"/>
  <c r="L705" i="5"/>
  <c r="K705" i="5"/>
  <c r="I705" i="5"/>
  <c r="H705" i="5"/>
  <c r="G705" i="5"/>
  <c r="F705" i="5"/>
  <c r="E705" i="5"/>
  <c r="D705" i="5"/>
  <c r="C705" i="5"/>
  <c r="A705" i="5"/>
  <c r="CC704" i="5"/>
  <c r="BX704" i="5"/>
  <c r="BS704" i="5"/>
  <c r="BQ704" i="5"/>
  <c r="BP704" i="5"/>
  <c r="BO704" i="5"/>
  <c r="BN704" i="5"/>
  <c r="BL704" i="5"/>
  <c r="BK704" i="5"/>
  <c r="BJ704" i="5"/>
  <c r="BI704" i="5"/>
  <c r="BG704" i="5"/>
  <c r="BF704" i="5"/>
  <c r="BE704" i="5"/>
  <c r="BD704" i="5"/>
  <c r="BB704" i="5"/>
  <c r="BA704" i="5"/>
  <c r="AZ704" i="5"/>
  <c r="AY704" i="5"/>
  <c r="AW704" i="5"/>
  <c r="AV704" i="5"/>
  <c r="AU704" i="5"/>
  <c r="AT704" i="5"/>
  <c r="AR704" i="5"/>
  <c r="AQ704" i="5"/>
  <c r="AP704" i="5"/>
  <c r="AO704" i="5"/>
  <c r="AM704" i="5"/>
  <c r="AL704" i="5"/>
  <c r="AK704" i="5"/>
  <c r="AJ704" i="5"/>
  <c r="AH704" i="5"/>
  <c r="AG704" i="5"/>
  <c r="AF704" i="5"/>
  <c r="AE704" i="5"/>
  <c r="AC704" i="5"/>
  <c r="AB704" i="5"/>
  <c r="AA704" i="5"/>
  <c r="Z704" i="5"/>
  <c r="X704" i="5"/>
  <c r="W704" i="5"/>
  <c r="V704" i="5"/>
  <c r="U704" i="5"/>
  <c r="S704" i="5"/>
  <c r="R704" i="5"/>
  <c r="Q704" i="5"/>
  <c r="P704" i="5"/>
  <c r="N704" i="5"/>
  <c r="M704" i="5"/>
  <c r="L704" i="5"/>
  <c r="K704" i="5"/>
  <c r="I704" i="5"/>
  <c r="H704" i="5"/>
  <c r="G704" i="5"/>
  <c r="F704" i="5"/>
  <c r="E704" i="5"/>
  <c r="D704" i="5"/>
  <c r="C704" i="5"/>
  <c r="A704" i="5"/>
  <c r="CC703" i="5"/>
  <c r="BX703" i="5"/>
  <c r="BS703" i="5"/>
  <c r="BQ703" i="5"/>
  <c r="BP703" i="5"/>
  <c r="BO703" i="5"/>
  <c r="BN703" i="5"/>
  <c r="BL703" i="5"/>
  <c r="BK703" i="5"/>
  <c r="BJ703" i="5"/>
  <c r="BI703" i="5"/>
  <c r="BG703" i="5"/>
  <c r="BF703" i="5"/>
  <c r="BE703" i="5"/>
  <c r="BD703" i="5"/>
  <c r="BB703" i="5"/>
  <c r="BA703" i="5"/>
  <c r="AZ703" i="5"/>
  <c r="AY703" i="5"/>
  <c r="AW703" i="5"/>
  <c r="AV703" i="5"/>
  <c r="AU703" i="5"/>
  <c r="AT703" i="5"/>
  <c r="AR703" i="5"/>
  <c r="AQ703" i="5"/>
  <c r="AP703" i="5"/>
  <c r="AO703" i="5"/>
  <c r="AM703" i="5"/>
  <c r="AL703" i="5"/>
  <c r="AK703" i="5"/>
  <c r="AJ703" i="5"/>
  <c r="AH703" i="5"/>
  <c r="AG703" i="5"/>
  <c r="AF703" i="5"/>
  <c r="AE703" i="5"/>
  <c r="AC703" i="5"/>
  <c r="AB703" i="5"/>
  <c r="AA703" i="5"/>
  <c r="Z703" i="5"/>
  <c r="X703" i="5"/>
  <c r="W703" i="5"/>
  <c r="V703" i="5"/>
  <c r="U703" i="5"/>
  <c r="S703" i="5"/>
  <c r="R703" i="5"/>
  <c r="Q703" i="5"/>
  <c r="P703" i="5"/>
  <c r="N703" i="5"/>
  <c r="M703" i="5"/>
  <c r="L703" i="5"/>
  <c r="K703" i="5"/>
  <c r="I703" i="5"/>
  <c r="H703" i="5"/>
  <c r="G703" i="5"/>
  <c r="F703" i="5"/>
  <c r="E703" i="5"/>
  <c r="D703" i="5"/>
  <c r="C703" i="5"/>
  <c r="A703" i="5"/>
  <c r="CC702" i="5"/>
  <c r="BX702" i="5"/>
  <c r="BS702" i="5"/>
  <c r="BQ702" i="5"/>
  <c r="BP702" i="5"/>
  <c r="BO702" i="5"/>
  <c r="BN702" i="5"/>
  <c r="BL702" i="5"/>
  <c r="BK702" i="5"/>
  <c r="BJ702" i="5"/>
  <c r="BI702" i="5"/>
  <c r="BG702" i="5"/>
  <c r="BF702" i="5"/>
  <c r="BE702" i="5"/>
  <c r="BD702" i="5"/>
  <c r="BB702" i="5"/>
  <c r="BA702" i="5"/>
  <c r="AZ702" i="5"/>
  <c r="AY702" i="5"/>
  <c r="AW702" i="5"/>
  <c r="AV702" i="5"/>
  <c r="AU702" i="5"/>
  <c r="AT702" i="5"/>
  <c r="AR702" i="5"/>
  <c r="AQ702" i="5"/>
  <c r="AP702" i="5"/>
  <c r="AO702" i="5"/>
  <c r="AM702" i="5"/>
  <c r="AL702" i="5"/>
  <c r="AK702" i="5"/>
  <c r="AJ702" i="5"/>
  <c r="AH702" i="5"/>
  <c r="AG702" i="5"/>
  <c r="AF702" i="5"/>
  <c r="AE702" i="5"/>
  <c r="AC702" i="5"/>
  <c r="AB702" i="5"/>
  <c r="AA702" i="5"/>
  <c r="Z702" i="5"/>
  <c r="X702" i="5"/>
  <c r="W702" i="5"/>
  <c r="V702" i="5"/>
  <c r="U702" i="5"/>
  <c r="S702" i="5"/>
  <c r="R702" i="5"/>
  <c r="Q702" i="5"/>
  <c r="P702" i="5"/>
  <c r="N702" i="5"/>
  <c r="M702" i="5"/>
  <c r="L702" i="5"/>
  <c r="K702" i="5"/>
  <c r="I702" i="5"/>
  <c r="H702" i="5"/>
  <c r="G702" i="5"/>
  <c r="F702" i="5"/>
  <c r="E702" i="5"/>
  <c r="D702" i="5"/>
  <c r="C702" i="5"/>
  <c r="A702" i="5"/>
  <c r="CC701" i="5"/>
  <c r="BX701" i="5"/>
  <c r="BS701" i="5"/>
  <c r="BQ701" i="5"/>
  <c r="BP701" i="5"/>
  <c r="BO701" i="5"/>
  <c r="BN701" i="5"/>
  <c r="BL701" i="5"/>
  <c r="BK701" i="5"/>
  <c r="BJ701" i="5"/>
  <c r="BI701" i="5"/>
  <c r="BG701" i="5"/>
  <c r="BF701" i="5"/>
  <c r="BE701" i="5"/>
  <c r="BD701" i="5"/>
  <c r="BB701" i="5"/>
  <c r="BA701" i="5"/>
  <c r="AZ701" i="5"/>
  <c r="AY701" i="5"/>
  <c r="AW701" i="5"/>
  <c r="AV701" i="5"/>
  <c r="AU701" i="5"/>
  <c r="AT701" i="5"/>
  <c r="AR701" i="5"/>
  <c r="AQ701" i="5"/>
  <c r="AP701" i="5"/>
  <c r="AO701" i="5"/>
  <c r="AM701" i="5"/>
  <c r="AL701" i="5"/>
  <c r="AK701" i="5"/>
  <c r="AJ701" i="5"/>
  <c r="AH701" i="5"/>
  <c r="AG701" i="5"/>
  <c r="AF701" i="5"/>
  <c r="AE701" i="5"/>
  <c r="AC701" i="5"/>
  <c r="AB701" i="5"/>
  <c r="AA701" i="5"/>
  <c r="Z701" i="5"/>
  <c r="X701" i="5"/>
  <c r="W701" i="5"/>
  <c r="V701" i="5"/>
  <c r="U701" i="5"/>
  <c r="S701" i="5"/>
  <c r="R701" i="5"/>
  <c r="Q701" i="5"/>
  <c r="P701" i="5"/>
  <c r="N701" i="5"/>
  <c r="M701" i="5"/>
  <c r="L701" i="5"/>
  <c r="K701" i="5"/>
  <c r="I701" i="5"/>
  <c r="H701" i="5"/>
  <c r="G701" i="5"/>
  <c r="F701" i="5"/>
  <c r="E701" i="5"/>
  <c r="D701" i="5"/>
  <c r="C701" i="5"/>
  <c r="A701" i="5"/>
  <c r="CC700" i="5"/>
  <c r="BX700" i="5"/>
  <c r="BS700" i="5"/>
  <c r="BQ700" i="5"/>
  <c r="BP700" i="5"/>
  <c r="BO700" i="5"/>
  <c r="BN700" i="5"/>
  <c r="BL700" i="5"/>
  <c r="BK700" i="5"/>
  <c r="BJ700" i="5"/>
  <c r="BI700" i="5"/>
  <c r="BG700" i="5"/>
  <c r="BF700" i="5"/>
  <c r="BE700" i="5"/>
  <c r="BD700" i="5"/>
  <c r="BB700" i="5"/>
  <c r="BA700" i="5"/>
  <c r="AZ700" i="5"/>
  <c r="AY700" i="5"/>
  <c r="AW700" i="5"/>
  <c r="AV700" i="5"/>
  <c r="AU700" i="5"/>
  <c r="AT700" i="5"/>
  <c r="AR700" i="5"/>
  <c r="AQ700" i="5"/>
  <c r="AP700" i="5"/>
  <c r="AO700" i="5"/>
  <c r="AM700" i="5"/>
  <c r="AL700" i="5"/>
  <c r="AK700" i="5"/>
  <c r="AJ700" i="5"/>
  <c r="AH700" i="5"/>
  <c r="AG700" i="5"/>
  <c r="AF700" i="5"/>
  <c r="AE700" i="5"/>
  <c r="AC700" i="5"/>
  <c r="AB700" i="5"/>
  <c r="AA700" i="5"/>
  <c r="Z700" i="5"/>
  <c r="X700" i="5"/>
  <c r="W700" i="5"/>
  <c r="V700" i="5"/>
  <c r="U700" i="5"/>
  <c r="S700" i="5"/>
  <c r="R700" i="5"/>
  <c r="Q700" i="5"/>
  <c r="P700" i="5"/>
  <c r="N700" i="5"/>
  <c r="M700" i="5"/>
  <c r="L700" i="5"/>
  <c r="K700" i="5"/>
  <c r="I700" i="5"/>
  <c r="H700" i="5"/>
  <c r="G700" i="5"/>
  <c r="F700" i="5"/>
  <c r="E700" i="5"/>
  <c r="D700" i="5"/>
  <c r="C700" i="5"/>
  <c r="A700" i="5"/>
  <c r="BS699" i="5"/>
  <c r="BQ699" i="5"/>
  <c r="BP699" i="5"/>
  <c r="BO699" i="5"/>
  <c r="BN699" i="5"/>
  <c r="BL699" i="5"/>
  <c r="BK699" i="5"/>
  <c r="BJ699" i="5"/>
  <c r="BI699" i="5"/>
  <c r="BG699" i="5"/>
  <c r="BF699" i="5"/>
  <c r="BE699" i="5"/>
  <c r="BD699" i="5"/>
  <c r="BB699" i="5"/>
  <c r="BA699" i="5"/>
  <c r="AZ699" i="5"/>
  <c r="AY699" i="5"/>
  <c r="AW699" i="5"/>
  <c r="AV699" i="5"/>
  <c r="AU699" i="5"/>
  <c r="AT699" i="5"/>
  <c r="AR699" i="5"/>
  <c r="AQ699" i="5"/>
  <c r="AP699" i="5"/>
  <c r="AO699" i="5"/>
  <c r="AM699" i="5"/>
  <c r="AL699" i="5"/>
  <c r="AK699" i="5"/>
  <c r="AJ699" i="5"/>
  <c r="AH699" i="5"/>
  <c r="AG699" i="5"/>
  <c r="AF699" i="5"/>
  <c r="AE699" i="5"/>
  <c r="AC699" i="5"/>
  <c r="AB699" i="5"/>
  <c r="AA699" i="5"/>
  <c r="Z699" i="5"/>
  <c r="X699" i="5"/>
  <c r="W699" i="5"/>
  <c r="V699" i="5"/>
  <c r="U699" i="5"/>
  <c r="S699" i="5"/>
  <c r="R699" i="5"/>
  <c r="Q699" i="5"/>
  <c r="P699" i="5"/>
  <c r="N699" i="5"/>
  <c r="M699" i="5"/>
  <c r="L699" i="5"/>
  <c r="K699" i="5"/>
  <c r="I699" i="5"/>
  <c r="H699" i="5"/>
  <c r="G699" i="5"/>
  <c r="F699" i="5"/>
  <c r="E699" i="5"/>
  <c r="D699" i="5"/>
  <c r="C699" i="5"/>
  <c r="A699" i="5"/>
  <c r="CC698" i="5"/>
  <c r="BX698" i="5"/>
  <c r="BS698" i="5"/>
  <c r="BQ698" i="5"/>
  <c r="BP698" i="5"/>
  <c r="BO698" i="5"/>
  <c r="BN698" i="5"/>
  <c r="BL698" i="5"/>
  <c r="BK698" i="5"/>
  <c r="BJ698" i="5"/>
  <c r="BI698" i="5"/>
  <c r="BG698" i="5"/>
  <c r="BF698" i="5"/>
  <c r="BE698" i="5"/>
  <c r="BD698" i="5"/>
  <c r="BB698" i="5"/>
  <c r="BA698" i="5"/>
  <c r="AZ698" i="5"/>
  <c r="AY698" i="5"/>
  <c r="AW698" i="5"/>
  <c r="AV698" i="5"/>
  <c r="AU698" i="5"/>
  <c r="AT698" i="5"/>
  <c r="AR698" i="5"/>
  <c r="AQ698" i="5"/>
  <c r="AP698" i="5"/>
  <c r="AO698" i="5"/>
  <c r="AM698" i="5"/>
  <c r="AL698" i="5"/>
  <c r="AK698" i="5"/>
  <c r="AJ698" i="5"/>
  <c r="AH698" i="5"/>
  <c r="AG698" i="5"/>
  <c r="AF698" i="5"/>
  <c r="AE698" i="5"/>
  <c r="AC698" i="5"/>
  <c r="AB698" i="5"/>
  <c r="AA698" i="5"/>
  <c r="Z698" i="5"/>
  <c r="X698" i="5"/>
  <c r="W698" i="5"/>
  <c r="V698" i="5"/>
  <c r="U698" i="5"/>
  <c r="S698" i="5"/>
  <c r="R698" i="5"/>
  <c r="Q698" i="5"/>
  <c r="P698" i="5"/>
  <c r="N698" i="5"/>
  <c r="M698" i="5"/>
  <c r="L698" i="5"/>
  <c r="K698" i="5"/>
  <c r="I698" i="5"/>
  <c r="H698" i="5"/>
  <c r="G698" i="5"/>
  <c r="F698" i="5"/>
  <c r="E698" i="5"/>
  <c r="D698" i="5"/>
  <c r="C698" i="5"/>
  <c r="A698" i="5"/>
  <c r="CC697" i="5"/>
  <c r="BX697" i="5"/>
  <c r="BS697" i="5"/>
  <c r="BQ697" i="5"/>
  <c r="BP697" i="5"/>
  <c r="BO697" i="5"/>
  <c r="BN697" i="5"/>
  <c r="BL697" i="5"/>
  <c r="BK697" i="5"/>
  <c r="BJ697" i="5"/>
  <c r="BI697" i="5"/>
  <c r="BG697" i="5"/>
  <c r="BF697" i="5"/>
  <c r="BE697" i="5"/>
  <c r="BD697" i="5"/>
  <c r="BB697" i="5"/>
  <c r="BA697" i="5"/>
  <c r="AZ697" i="5"/>
  <c r="AY697" i="5"/>
  <c r="AW697" i="5"/>
  <c r="AV697" i="5"/>
  <c r="AU697" i="5"/>
  <c r="AT697" i="5"/>
  <c r="AR697" i="5"/>
  <c r="AQ697" i="5"/>
  <c r="AP697" i="5"/>
  <c r="AO697" i="5"/>
  <c r="AM697" i="5"/>
  <c r="AL697" i="5"/>
  <c r="AK697" i="5"/>
  <c r="AJ697" i="5"/>
  <c r="AH697" i="5"/>
  <c r="AG697" i="5"/>
  <c r="AF697" i="5"/>
  <c r="AE697" i="5"/>
  <c r="AC697" i="5"/>
  <c r="AB697" i="5"/>
  <c r="AA697" i="5"/>
  <c r="Z697" i="5"/>
  <c r="X697" i="5"/>
  <c r="W697" i="5"/>
  <c r="V697" i="5"/>
  <c r="U697" i="5"/>
  <c r="S697" i="5"/>
  <c r="R697" i="5"/>
  <c r="Q697" i="5"/>
  <c r="P697" i="5"/>
  <c r="N697" i="5"/>
  <c r="M697" i="5"/>
  <c r="L697" i="5"/>
  <c r="K697" i="5"/>
  <c r="I697" i="5"/>
  <c r="H697" i="5"/>
  <c r="G697" i="5"/>
  <c r="F697" i="5"/>
  <c r="E697" i="5"/>
  <c r="D697" i="5"/>
  <c r="C697" i="5"/>
  <c r="A697" i="5"/>
  <c r="CC696" i="5"/>
  <c r="BX696" i="5"/>
  <c r="BS696" i="5"/>
  <c r="BQ696" i="5"/>
  <c r="BP696" i="5"/>
  <c r="BO696" i="5"/>
  <c r="BN696" i="5"/>
  <c r="BL696" i="5"/>
  <c r="BK696" i="5"/>
  <c r="BJ696" i="5"/>
  <c r="BI696" i="5"/>
  <c r="BG696" i="5"/>
  <c r="BF696" i="5"/>
  <c r="BE696" i="5"/>
  <c r="BD696" i="5"/>
  <c r="BB696" i="5"/>
  <c r="BA696" i="5"/>
  <c r="AZ696" i="5"/>
  <c r="AY696" i="5"/>
  <c r="AW696" i="5"/>
  <c r="AV696" i="5"/>
  <c r="AU696" i="5"/>
  <c r="AT696" i="5"/>
  <c r="AR696" i="5"/>
  <c r="AQ696" i="5"/>
  <c r="AP696" i="5"/>
  <c r="AO696" i="5"/>
  <c r="AM696" i="5"/>
  <c r="AL696" i="5"/>
  <c r="AK696" i="5"/>
  <c r="AJ696" i="5"/>
  <c r="AH696" i="5"/>
  <c r="AG696" i="5"/>
  <c r="AF696" i="5"/>
  <c r="AE696" i="5"/>
  <c r="AC696" i="5"/>
  <c r="AB696" i="5"/>
  <c r="AA696" i="5"/>
  <c r="Z696" i="5"/>
  <c r="X696" i="5"/>
  <c r="W696" i="5"/>
  <c r="V696" i="5"/>
  <c r="U696" i="5"/>
  <c r="S696" i="5"/>
  <c r="R696" i="5"/>
  <c r="Q696" i="5"/>
  <c r="P696" i="5"/>
  <c r="N696" i="5"/>
  <c r="M696" i="5"/>
  <c r="L696" i="5"/>
  <c r="K696" i="5"/>
  <c r="I696" i="5"/>
  <c r="H696" i="5"/>
  <c r="G696" i="5"/>
  <c r="F696" i="5"/>
  <c r="E696" i="5"/>
  <c r="D696" i="5"/>
  <c r="C696" i="5"/>
  <c r="A696" i="5"/>
  <c r="CC695" i="5"/>
  <c r="BX695" i="5"/>
  <c r="BS695" i="5"/>
  <c r="BQ695" i="5"/>
  <c r="BP695" i="5"/>
  <c r="BO695" i="5"/>
  <c r="BN695" i="5"/>
  <c r="BL695" i="5"/>
  <c r="BK695" i="5"/>
  <c r="BJ695" i="5"/>
  <c r="BI695" i="5"/>
  <c r="BG695" i="5"/>
  <c r="BF695" i="5"/>
  <c r="BE695" i="5"/>
  <c r="BD695" i="5"/>
  <c r="BB695" i="5"/>
  <c r="BA695" i="5"/>
  <c r="AZ695" i="5"/>
  <c r="AY695" i="5"/>
  <c r="AW695" i="5"/>
  <c r="AV695" i="5"/>
  <c r="AU695" i="5"/>
  <c r="AT695" i="5"/>
  <c r="AR695" i="5"/>
  <c r="AQ695" i="5"/>
  <c r="AP695" i="5"/>
  <c r="AO695" i="5"/>
  <c r="AM695" i="5"/>
  <c r="AL695" i="5"/>
  <c r="AK695" i="5"/>
  <c r="AJ695" i="5"/>
  <c r="AH695" i="5"/>
  <c r="AG695" i="5"/>
  <c r="AF695" i="5"/>
  <c r="AE695" i="5"/>
  <c r="AC695" i="5"/>
  <c r="AB695" i="5"/>
  <c r="AA695" i="5"/>
  <c r="Z695" i="5"/>
  <c r="X695" i="5"/>
  <c r="W695" i="5"/>
  <c r="V695" i="5"/>
  <c r="U695" i="5"/>
  <c r="S695" i="5"/>
  <c r="R695" i="5"/>
  <c r="Q695" i="5"/>
  <c r="P695" i="5"/>
  <c r="N695" i="5"/>
  <c r="M695" i="5"/>
  <c r="L695" i="5"/>
  <c r="K695" i="5"/>
  <c r="I695" i="5"/>
  <c r="H695" i="5"/>
  <c r="G695" i="5"/>
  <c r="F695" i="5"/>
  <c r="E695" i="5"/>
  <c r="D695" i="5"/>
  <c r="C695" i="5"/>
  <c r="A695" i="5"/>
  <c r="CC694" i="5"/>
  <c r="BX694" i="5"/>
  <c r="BS694" i="5"/>
  <c r="BQ694" i="5"/>
  <c r="BP694" i="5"/>
  <c r="BO694" i="5"/>
  <c r="BN694" i="5"/>
  <c r="BL694" i="5"/>
  <c r="BK694" i="5"/>
  <c r="BJ694" i="5"/>
  <c r="BI694" i="5"/>
  <c r="BG694" i="5"/>
  <c r="BF694" i="5"/>
  <c r="BE694" i="5"/>
  <c r="BD694" i="5"/>
  <c r="BB694" i="5"/>
  <c r="BA694" i="5"/>
  <c r="AZ694" i="5"/>
  <c r="AY694" i="5"/>
  <c r="AW694" i="5"/>
  <c r="AV694" i="5"/>
  <c r="AU694" i="5"/>
  <c r="AT694" i="5"/>
  <c r="AR694" i="5"/>
  <c r="AQ694" i="5"/>
  <c r="AP694" i="5"/>
  <c r="AO694" i="5"/>
  <c r="AM694" i="5"/>
  <c r="AL694" i="5"/>
  <c r="AK694" i="5"/>
  <c r="AJ694" i="5"/>
  <c r="AH694" i="5"/>
  <c r="AG694" i="5"/>
  <c r="AF694" i="5"/>
  <c r="AE694" i="5"/>
  <c r="AC694" i="5"/>
  <c r="AB694" i="5"/>
  <c r="AA694" i="5"/>
  <c r="Z694" i="5"/>
  <c r="X694" i="5"/>
  <c r="W694" i="5"/>
  <c r="V694" i="5"/>
  <c r="U694" i="5"/>
  <c r="S694" i="5"/>
  <c r="R694" i="5"/>
  <c r="Q694" i="5"/>
  <c r="P694" i="5"/>
  <c r="N694" i="5"/>
  <c r="M694" i="5"/>
  <c r="L694" i="5"/>
  <c r="K694" i="5"/>
  <c r="I694" i="5"/>
  <c r="H694" i="5"/>
  <c r="G694" i="5"/>
  <c r="F694" i="5"/>
  <c r="E694" i="5"/>
  <c r="D694" i="5"/>
  <c r="C694" i="5"/>
  <c r="A694" i="5"/>
  <c r="CC693" i="5"/>
  <c r="BX693" i="5"/>
  <c r="BS693" i="5"/>
  <c r="BQ693" i="5"/>
  <c r="BP693" i="5"/>
  <c r="BO693" i="5"/>
  <c r="BN693" i="5"/>
  <c r="BL693" i="5"/>
  <c r="BK693" i="5"/>
  <c r="BJ693" i="5"/>
  <c r="BI693" i="5"/>
  <c r="BG693" i="5"/>
  <c r="BF693" i="5"/>
  <c r="BE693" i="5"/>
  <c r="BD693" i="5"/>
  <c r="BB693" i="5"/>
  <c r="BA693" i="5"/>
  <c r="AZ693" i="5"/>
  <c r="AY693" i="5"/>
  <c r="AW693" i="5"/>
  <c r="AV693" i="5"/>
  <c r="AU693" i="5"/>
  <c r="AT693" i="5"/>
  <c r="AR693" i="5"/>
  <c r="AQ693" i="5"/>
  <c r="AP693" i="5"/>
  <c r="AO693" i="5"/>
  <c r="AM693" i="5"/>
  <c r="AL693" i="5"/>
  <c r="AK693" i="5"/>
  <c r="AJ693" i="5"/>
  <c r="AH693" i="5"/>
  <c r="AG693" i="5"/>
  <c r="AF693" i="5"/>
  <c r="AE693" i="5"/>
  <c r="AC693" i="5"/>
  <c r="AB693" i="5"/>
  <c r="AA693" i="5"/>
  <c r="Z693" i="5"/>
  <c r="X693" i="5"/>
  <c r="W693" i="5"/>
  <c r="V693" i="5"/>
  <c r="U693" i="5"/>
  <c r="S693" i="5"/>
  <c r="R693" i="5"/>
  <c r="Q693" i="5"/>
  <c r="P693" i="5"/>
  <c r="N693" i="5"/>
  <c r="M693" i="5"/>
  <c r="L693" i="5"/>
  <c r="K693" i="5"/>
  <c r="I693" i="5"/>
  <c r="H693" i="5"/>
  <c r="G693" i="5"/>
  <c r="F693" i="5"/>
  <c r="E693" i="5"/>
  <c r="D693" i="5"/>
  <c r="C693" i="5"/>
  <c r="A693" i="5"/>
  <c r="CC692" i="5"/>
  <c r="BX692" i="5"/>
  <c r="BS692" i="5"/>
  <c r="BQ692" i="5"/>
  <c r="BP692" i="5"/>
  <c r="BO692" i="5"/>
  <c r="BN692" i="5"/>
  <c r="BL692" i="5"/>
  <c r="BK692" i="5"/>
  <c r="BJ692" i="5"/>
  <c r="BI692" i="5"/>
  <c r="BG692" i="5"/>
  <c r="BF692" i="5"/>
  <c r="BE692" i="5"/>
  <c r="BD692" i="5"/>
  <c r="BC692" i="5"/>
  <c r="BB692" i="5"/>
  <c r="BA692" i="5"/>
  <c r="AZ692" i="5"/>
  <c r="AY692" i="5"/>
  <c r="AW692" i="5"/>
  <c r="AV692" i="5"/>
  <c r="AU692" i="5"/>
  <c r="AT692" i="5"/>
  <c r="AR692" i="5"/>
  <c r="AQ692" i="5"/>
  <c r="AP692" i="5"/>
  <c r="AO692" i="5"/>
  <c r="AM692" i="5"/>
  <c r="AL692" i="5"/>
  <c r="AK692" i="5"/>
  <c r="AJ692" i="5"/>
  <c r="AH692" i="5"/>
  <c r="AG692" i="5"/>
  <c r="AF692" i="5"/>
  <c r="AE692" i="5"/>
  <c r="AC692" i="5"/>
  <c r="AB692" i="5"/>
  <c r="AA692" i="5"/>
  <c r="Z692" i="5"/>
  <c r="X692" i="5"/>
  <c r="W692" i="5"/>
  <c r="V692" i="5"/>
  <c r="U692" i="5"/>
  <c r="S692" i="5"/>
  <c r="R692" i="5"/>
  <c r="Q692" i="5"/>
  <c r="P692" i="5"/>
  <c r="N692" i="5"/>
  <c r="M692" i="5"/>
  <c r="L692" i="5"/>
  <c r="K692" i="5"/>
  <c r="I692" i="5"/>
  <c r="H692" i="5"/>
  <c r="G692" i="5"/>
  <c r="F692" i="5"/>
  <c r="E692" i="5"/>
  <c r="D692" i="5"/>
  <c r="C692" i="5"/>
  <c r="A692" i="5"/>
  <c r="CC691" i="5"/>
  <c r="BX691" i="5"/>
  <c r="BS691" i="5"/>
  <c r="BR691" i="5"/>
  <c r="BQ691" i="5"/>
  <c r="BP691" i="5"/>
  <c r="BO691" i="5"/>
  <c r="BN691" i="5"/>
  <c r="BL691" i="5"/>
  <c r="BK691" i="5"/>
  <c r="BJ691" i="5"/>
  <c r="BI691" i="5"/>
  <c r="BG691" i="5"/>
  <c r="BF691" i="5"/>
  <c r="BE691" i="5"/>
  <c r="BD691" i="5"/>
  <c r="BB691" i="5"/>
  <c r="BA691" i="5"/>
  <c r="AZ691" i="5"/>
  <c r="AY691" i="5"/>
  <c r="AW691" i="5"/>
  <c r="AV691" i="5"/>
  <c r="AU691" i="5"/>
  <c r="AT691" i="5"/>
  <c r="AS691" i="5"/>
  <c r="AR691" i="5"/>
  <c r="AQ691" i="5"/>
  <c r="AP691" i="5"/>
  <c r="AO691" i="5"/>
  <c r="AM691" i="5"/>
  <c r="AL691" i="5"/>
  <c r="AK691" i="5"/>
  <c r="AJ691" i="5"/>
  <c r="AH691" i="5"/>
  <c r="AG691" i="5"/>
  <c r="AF691" i="5"/>
  <c r="AE691" i="5"/>
  <c r="AC691" i="5"/>
  <c r="AB691" i="5"/>
  <c r="AA691" i="5"/>
  <c r="A691" i="5"/>
  <c r="CC690" i="5"/>
  <c r="BX690" i="5"/>
  <c r="BS690" i="5"/>
  <c r="BQ690" i="5"/>
  <c r="BP690" i="5"/>
  <c r="BO690" i="5"/>
  <c r="BN690" i="5"/>
  <c r="BL690" i="5"/>
  <c r="BK690" i="5"/>
  <c r="BJ690" i="5"/>
  <c r="BI690" i="5"/>
  <c r="BG690" i="5"/>
  <c r="BF690" i="5"/>
  <c r="BE690" i="5"/>
  <c r="BD690" i="5"/>
  <c r="BB690" i="5"/>
  <c r="BA690" i="5"/>
  <c r="AZ690" i="5"/>
  <c r="AY690" i="5"/>
  <c r="AW690" i="5"/>
  <c r="AV690" i="5"/>
  <c r="AU690" i="5"/>
  <c r="AT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A690" i="5"/>
  <c r="CC689" i="5"/>
  <c r="BX689" i="5"/>
  <c r="BS689" i="5"/>
  <c r="BQ689" i="5"/>
  <c r="BP689" i="5"/>
  <c r="BO689" i="5"/>
  <c r="BN689" i="5"/>
  <c r="BL689" i="5"/>
  <c r="BK689" i="5"/>
  <c r="BJ689" i="5"/>
  <c r="BI689" i="5"/>
  <c r="BG689" i="5"/>
  <c r="BF689" i="5"/>
  <c r="BE689" i="5"/>
  <c r="BD689" i="5"/>
  <c r="BB689" i="5"/>
  <c r="BA689" i="5"/>
  <c r="AZ689" i="5"/>
  <c r="AY689" i="5"/>
  <c r="AW689" i="5"/>
  <c r="AV689" i="5"/>
  <c r="AU689" i="5"/>
  <c r="AT689" i="5"/>
  <c r="AR689" i="5"/>
  <c r="AQ689" i="5"/>
  <c r="AP689" i="5"/>
  <c r="AO689" i="5"/>
  <c r="AM689" i="5"/>
  <c r="AL689" i="5"/>
  <c r="AK689" i="5"/>
  <c r="AJ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A689" i="5"/>
  <c r="CC688" i="5"/>
  <c r="BX688" i="5"/>
  <c r="BS688" i="5"/>
  <c r="BQ688" i="5"/>
  <c r="BP688" i="5"/>
  <c r="BO688" i="5"/>
  <c r="BN688" i="5"/>
  <c r="BL688" i="5"/>
  <c r="BK688" i="5"/>
  <c r="BJ688" i="5"/>
  <c r="BI688" i="5"/>
  <c r="BG688" i="5"/>
  <c r="BF688" i="5"/>
  <c r="BE688" i="5"/>
  <c r="BD688" i="5"/>
  <c r="BB688" i="5"/>
  <c r="BA688" i="5"/>
  <c r="AZ688" i="5"/>
  <c r="AY688" i="5"/>
  <c r="AW688" i="5"/>
  <c r="AV688" i="5"/>
  <c r="AU688" i="5"/>
  <c r="AT688" i="5"/>
  <c r="AR688" i="5"/>
  <c r="AQ688" i="5"/>
  <c r="AP688" i="5"/>
  <c r="AO688" i="5"/>
  <c r="AM688" i="5"/>
  <c r="AL688" i="5"/>
  <c r="AK688" i="5"/>
  <c r="AJ688" i="5"/>
  <c r="AH688" i="5"/>
  <c r="AG688" i="5"/>
  <c r="AF688" i="5"/>
  <c r="AE688" i="5"/>
  <c r="AC688" i="5"/>
  <c r="AB688" i="5"/>
  <c r="AA688" i="5"/>
  <c r="Z688" i="5"/>
  <c r="X688" i="5"/>
  <c r="W688" i="5"/>
  <c r="V688" i="5"/>
  <c r="U688" i="5"/>
  <c r="S688" i="5"/>
  <c r="R688" i="5"/>
  <c r="Q688" i="5"/>
  <c r="P688" i="5"/>
  <c r="O688" i="5"/>
  <c r="N688" i="5"/>
  <c r="M688" i="5"/>
  <c r="L688" i="5"/>
  <c r="K688" i="5"/>
  <c r="I688" i="5"/>
  <c r="H688" i="5"/>
  <c r="G688" i="5"/>
  <c r="F688" i="5"/>
  <c r="E688" i="5"/>
  <c r="D688" i="5"/>
  <c r="C688" i="5"/>
  <c r="A688" i="5"/>
  <c r="CC687" i="5"/>
  <c r="BX687" i="5"/>
  <c r="BS687" i="5"/>
  <c r="BQ687" i="5"/>
  <c r="BP687" i="5"/>
  <c r="BO687" i="5"/>
  <c r="BN687" i="5"/>
  <c r="BL687" i="5"/>
  <c r="BK687" i="5"/>
  <c r="BJ687" i="5"/>
  <c r="BJ708" i="5" s="1"/>
  <c r="BI687" i="5"/>
  <c r="BI708" i="5" s="1"/>
  <c r="BG687" i="5"/>
  <c r="BF687" i="5"/>
  <c r="BE687" i="5"/>
  <c r="BD687" i="5"/>
  <c r="BB687" i="5"/>
  <c r="BA687" i="5"/>
  <c r="AZ687" i="5"/>
  <c r="AY687" i="5"/>
  <c r="AW687" i="5"/>
  <c r="AV687" i="5"/>
  <c r="AU687" i="5"/>
  <c r="AT687" i="5"/>
  <c r="AR687" i="5"/>
  <c r="AQ687" i="5"/>
  <c r="AP687" i="5"/>
  <c r="AO687" i="5"/>
  <c r="AN687" i="5"/>
  <c r="AM687" i="5"/>
  <c r="AL687" i="5"/>
  <c r="AK687" i="5"/>
  <c r="AJ687" i="5"/>
  <c r="AH687" i="5"/>
  <c r="AG687" i="5"/>
  <c r="AF687" i="5"/>
  <c r="AE687" i="5"/>
  <c r="AC687" i="5"/>
  <c r="AB687" i="5"/>
  <c r="AA687" i="5"/>
  <c r="Z687" i="5"/>
  <c r="X687" i="5"/>
  <c r="W687" i="5"/>
  <c r="V687" i="5"/>
  <c r="U687" i="5"/>
  <c r="S687" i="5"/>
  <c r="R687" i="5"/>
  <c r="Q687" i="5"/>
  <c r="P687" i="5"/>
  <c r="N687" i="5"/>
  <c r="M687" i="5"/>
  <c r="L687" i="5"/>
  <c r="K687" i="5"/>
  <c r="I687" i="5"/>
  <c r="H687" i="5"/>
  <c r="G687" i="5"/>
  <c r="F687" i="5"/>
  <c r="E687" i="5"/>
  <c r="D687" i="5"/>
  <c r="C687" i="5"/>
  <c r="A687" i="5"/>
  <c r="CF686" i="5"/>
  <c r="CE686" i="5"/>
  <c r="CD686" i="5"/>
  <c r="CB686" i="5"/>
  <c r="CA686" i="5"/>
  <c r="BZ686" i="5"/>
  <c r="BY686" i="5"/>
  <c r="BW686" i="5"/>
  <c r="BV686" i="5"/>
  <c r="BU686" i="5"/>
  <c r="BT686" i="5"/>
  <c r="BS686" i="5"/>
  <c r="BQ686" i="5"/>
  <c r="BP686" i="5"/>
  <c r="BO686" i="5"/>
  <c r="BN686" i="5"/>
  <c r="BL686" i="5"/>
  <c r="BK686" i="5"/>
  <c r="BJ686" i="5"/>
  <c r="BI686" i="5"/>
  <c r="BG686" i="5"/>
  <c r="BF686" i="5"/>
  <c r="BE686" i="5"/>
  <c r="BD686" i="5"/>
  <c r="BB686" i="5"/>
  <c r="BA686" i="5"/>
  <c r="AZ686" i="5"/>
  <c r="AY686" i="5"/>
  <c r="AW686" i="5"/>
  <c r="AV686" i="5"/>
  <c r="AU686" i="5"/>
  <c r="AT686" i="5"/>
  <c r="AR686" i="5"/>
  <c r="AQ686" i="5"/>
  <c r="AP686" i="5"/>
  <c r="AO686" i="5"/>
  <c r="AM686" i="5"/>
  <c r="AL686" i="5"/>
  <c r="AK686" i="5"/>
  <c r="AJ686" i="5"/>
  <c r="AH686" i="5"/>
  <c r="AG686" i="5"/>
  <c r="AF686" i="5"/>
  <c r="AE686" i="5"/>
  <c r="AC686" i="5"/>
  <c r="AC708" i="5" s="1"/>
  <c r="AB686" i="5"/>
  <c r="AA686" i="5"/>
  <c r="Z686" i="5"/>
  <c r="X686" i="5"/>
  <c r="W686" i="5"/>
  <c r="V686" i="5"/>
  <c r="U686" i="5"/>
  <c r="S686" i="5"/>
  <c r="R686" i="5"/>
  <c r="Q686" i="5"/>
  <c r="P686" i="5"/>
  <c r="N686" i="5"/>
  <c r="M686" i="5"/>
  <c r="L686" i="5"/>
  <c r="K686" i="5"/>
  <c r="I686" i="5"/>
  <c r="H686" i="5"/>
  <c r="G686" i="5"/>
  <c r="F686" i="5"/>
  <c r="E686" i="5"/>
  <c r="D686" i="5"/>
  <c r="C686" i="5"/>
  <c r="C708" i="5" s="1"/>
  <c r="A686" i="5"/>
  <c r="CC685" i="5"/>
  <c r="BX685" i="5"/>
  <c r="BS685" i="5"/>
  <c r="BQ685" i="5"/>
  <c r="BP685" i="5"/>
  <c r="BO685" i="5"/>
  <c r="BN685" i="5"/>
  <c r="BL685" i="5"/>
  <c r="BK685" i="5"/>
  <c r="BJ685" i="5"/>
  <c r="BI685" i="5"/>
  <c r="BG685" i="5"/>
  <c r="BF685" i="5"/>
  <c r="BE685" i="5"/>
  <c r="BD685" i="5"/>
  <c r="BB685" i="5"/>
  <c r="BA685" i="5"/>
  <c r="AZ685" i="5"/>
  <c r="AY685" i="5"/>
  <c r="AX685" i="5"/>
  <c r="AW685" i="5"/>
  <c r="AV685" i="5"/>
  <c r="AU685" i="5"/>
  <c r="AT685" i="5"/>
  <c r="AS685" i="5"/>
  <c r="AR685" i="5"/>
  <c r="AQ685" i="5"/>
  <c r="AP685" i="5"/>
  <c r="AO685" i="5"/>
  <c r="AM685" i="5"/>
  <c r="AL685" i="5"/>
  <c r="AK685" i="5"/>
  <c r="AJ685" i="5"/>
  <c r="AH685" i="5"/>
  <c r="AG685" i="5"/>
  <c r="AF685" i="5"/>
  <c r="AE685" i="5"/>
  <c r="AC685" i="5"/>
  <c r="AB685" i="5"/>
  <c r="AA685" i="5"/>
  <c r="Z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A685" i="5"/>
  <c r="CC684" i="5"/>
  <c r="BX684" i="5"/>
  <c r="BS684" i="5"/>
  <c r="BQ684" i="5"/>
  <c r="BP684" i="5"/>
  <c r="BO684" i="5"/>
  <c r="BN684" i="5"/>
  <c r="BL684" i="5"/>
  <c r="BK684" i="5"/>
  <c r="BJ684" i="5"/>
  <c r="BI684" i="5"/>
  <c r="BG684" i="5"/>
  <c r="BF684" i="5"/>
  <c r="BE684" i="5"/>
  <c r="BD684" i="5"/>
  <c r="BB684" i="5"/>
  <c r="BA684" i="5"/>
  <c r="AZ684" i="5"/>
  <c r="AY684" i="5"/>
  <c r="AW684" i="5"/>
  <c r="AV684" i="5"/>
  <c r="AV708" i="5" s="1"/>
  <c r="AU684" i="5"/>
  <c r="AT684" i="5"/>
  <c r="AR684" i="5"/>
  <c r="AQ684" i="5"/>
  <c r="AP684" i="5"/>
  <c r="AP708" i="5" s="1"/>
  <c r="AO684" i="5"/>
  <c r="AM684" i="5"/>
  <c r="AL684" i="5"/>
  <c r="AK684" i="5"/>
  <c r="AJ684" i="5"/>
  <c r="AH684" i="5"/>
  <c r="AH708" i="5" s="1"/>
  <c r="AG684" i="5"/>
  <c r="AG708" i="5" s="1"/>
  <c r="AF684" i="5"/>
  <c r="AE684" i="5"/>
  <c r="AC684" i="5"/>
  <c r="AB684" i="5"/>
  <c r="AA684" i="5"/>
  <c r="Z684" i="5"/>
  <c r="X684" i="5"/>
  <c r="W684" i="5"/>
  <c r="V684" i="5"/>
  <c r="U684" i="5"/>
  <c r="S684" i="5"/>
  <c r="R684" i="5"/>
  <c r="R708" i="5" s="1"/>
  <c r="Q684" i="5"/>
  <c r="P684" i="5"/>
  <c r="N684" i="5"/>
  <c r="M684" i="5"/>
  <c r="L684" i="5"/>
  <c r="K684" i="5"/>
  <c r="I684" i="5"/>
  <c r="H684" i="5"/>
  <c r="G684" i="5"/>
  <c r="F684" i="5"/>
  <c r="E684" i="5"/>
  <c r="D684" i="5"/>
  <c r="C684" i="5"/>
  <c r="A684" i="5"/>
  <c r="A683" i="5"/>
  <c r="BZ681" i="5"/>
  <c r="BT681" i="5"/>
  <c r="A681" i="5"/>
  <c r="CC680" i="5"/>
  <c r="BX680" i="5"/>
  <c r="BS680" i="5"/>
  <c r="BQ680" i="5"/>
  <c r="BP680" i="5"/>
  <c r="BO680" i="5"/>
  <c r="BN680" i="5"/>
  <c r="BL680" i="5"/>
  <c r="BK680" i="5"/>
  <c r="BJ680" i="5"/>
  <c r="BI680" i="5"/>
  <c r="BG680" i="5"/>
  <c r="BF680" i="5"/>
  <c r="BE680" i="5"/>
  <c r="BD680" i="5"/>
  <c r="BB680" i="5"/>
  <c r="BA680" i="5"/>
  <c r="AZ680" i="5"/>
  <c r="AY680" i="5"/>
  <c r="AW680" i="5"/>
  <c r="AV680" i="5"/>
  <c r="AU680" i="5"/>
  <c r="AT680" i="5"/>
  <c r="AR680" i="5"/>
  <c r="AQ680" i="5"/>
  <c r="AP680" i="5"/>
  <c r="AO680" i="5"/>
  <c r="AM680" i="5"/>
  <c r="AL680" i="5"/>
  <c r="AK680" i="5"/>
  <c r="AJ680" i="5"/>
  <c r="AH680" i="5"/>
  <c r="AG680" i="5"/>
  <c r="AF680" i="5"/>
  <c r="AE680" i="5"/>
  <c r="AC680" i="5"/>
  <c r="AB680" i="5"/>
  <c r="AA680" i="5"/>
  <c r="Z680" i="5"/>
  <c r="X680" i="5"/>
  <c r="W680" i="5"/>
  <c r="V680" i="5"/>
  <c r="U680" i="5"/>
  <c r="S680" i="5"/>
  <c r="R680" i="5"/>
  <c r="Q680" i="5"/>
  <c r="P680" i="5"/>
  <c r="N680" i="5"/>
  <c r="M680" i="5"/>
  <c r="L680" i="5"/>
  <c r="K680" i="5"/>
  <c r="I680" i="5"/>
  <c r="H680" i="5"/>
  <c r="G680" i="5"/>
  <c r="F680" i="5"/>
  <c r="E680" i="5"/>
  <c r="D680" i="5"/>
  <c r="C680" i="5"/>
  <c r="A680" i="5"/>
  <c r="CF679" i="5"/>
  <c r="CE679" i="5"/>
  <c r="CD679" i="5"/>
  <c r="CB679" i="5"/>
  <c r="CB681" i="5" s="1"/>
  <c r="CA679" i="5"/>
  <c r="BZ679" i="5"/>
  <c r="BY679" i="5"/>
  <c r="BW679" i="5"/>
  <c r="BV679" i="5"/>
  <c r="BU679" i="5"/>
  <c r="BT679" i="5"/>
  <c r="BX679" i="5" s="1"/>
  <c r="BS679" i="5"/>
  <c r="BQ679" i="5"/>
  <c r="BP679" i="5"/>
  <c r="BO679" i="5"/>
  <c r="BN679" i="5"/>
  <c r="BL679" i="5"/>
  <c r="BK679" i="5"/>
  <c r="BJ679" i="5"/>
  <c r="BI679" i="5"/>
  <c r="BG679" i="5"/>
  <c r="BF679" i="5"/>
  <c r="BE679" i="5"/>
  <c r="BD679" i="5"/>
  <c r="BB679" i="5"/>
  <c r="BA679" i="5"/>
  <c r="AZ679" i="5"/>
  <c r="AY679" i="5"/>
  <c r="AW679" i="5"/>
  <c r="AV679" i="5"/>
  <c r="AU679" i="5"/>
  <c r="AT679" i="5"/>
  <c r="AR679" i="5"/>
  <c r="AQ679" i="5"/>
  <c r="AP679" i="5"/>
  <c r="AO679" i="5"/>
  <c r="AM679" i="5"/>
  <c r="AL679" i="5"/>
  <c r="AK679" i="5"/>
  <c r="AJ679" i="5"/>
  <c r="AH679" i="5"/>
  <c r="AG679" i="5"/>
  <c r="AF679" i="5"/>
  <c r="AE679" i="5"/>
  <c r="AC679" i="5"/>
  <c r="AB679" i="5"/>
  <c r="AA679" i="5"/>
  <c r="Z679" i="5"/>
  <c r="X679" i="5"/>
  <c r="W679" i="5"/>
  <c r="V679" i="5"/>
  <c r="U679" i="5"/>
  <c r="S679" i="5"/>
  <c r="R679" i="5"/>
  <c r="Q679" i="5"/>
  <c r="P679" i="5"/>
  <c r="N679" i="5"/>
  <c r="M679" i="5"/>
  <c r="L679" i="5"/>
  <c r="K679" i="5"/>
  <c r="I679" i="5"/>
  <c r="H679" i="5"/>
  <c r="G679" i="5"/>
  <c r="F679" i="5"/>
  <c r="E679" i="5"/>
  <c r="D679" i="5"/>
  <c r="C679" i="5"/>
  <c r="A679" i="5"/>
  <c r="CC678" i="5"/>
  <c r="BX678" i="5"/>
  <c r="BS678" i="5"/>
  <c r="BQ678" i="5"/>
  <c r="BP678" i="5"/>
  <c r="BO678" i="5"/>
  <c r="BN678" i="5"/>
  <c r="BL678" i="5"/>
  <c r="BK678" i="5"/>
  <c r="BJ678" i="5"/>
  <c r="BI678" i="5"/>
  <c r="BG678" i="5"/>
  <c r="BF678" i="5"/>
  <c r="BE678" i="5"/>
  <c r="BD678" i="5"/>
  <c r="BB678" i="5"/>
  <c r="BA678" i="5"/>
  <c r="AZ678" i="5"/>
  <c r="AY678" i="5"/>
  <c r="AW678" i="5"/>
  <c r="AV678" i="5"/>
  <c r="AU678" i="5"/>
  <c r="AT678" i="5"/>
  <c r="AR678" i="5"/>
  <c r="AQ678" i="5"/>
  <c r="AP678" i="5"/>
  <c r="AO678" i="5"/>
  <c r="AM678" i="5"/>
  <c r="AL678" i="5"/>
  <c r="AK678" i="5"/>
  <c r="AJ678" i="5"/>
  <c r="AH678" i="5"/>
  <c r="AG678" i="5"/>
  <c r="AF678" i="5"/>
  <c r="AE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N678" i="5"/>
  <c r="M678" i="5"/>
  <c r="L678" i="5"/>
  <c r="K678" i="5"/>
  <c r="I678" i="5"/>
  <c r="H678" i="5"/>
  <c r="G678" i="5"/>
  <c r="F678" i="5"/>
  <c r="E678" i="5"/>
  <c r="D678" i="5"/>
  <c r="C678" i="5"/>
  <c r="A678" i="5"/>
  <c r="CC677" i="5"/>
  <c r="BX677" i="5"/>
  <c r="BS677" i="5"/>
  <c r="BQ677" i="5"/>
  <c r="BP677" i="5"/>
  <c r="BO677" i="5"/>
  <c r="BN677" i="5"/>
  <c r="BL677" i="5"/>
  <c r="BK677" i="5"/>
  <c r="BJ677" i="5"/>
  <c r="BI677" i="5"/>
  <c r="BG677" i="5"/>
  <c r="BF677" i="5"/>
  <c r="BE677" i="5"/>
  <c r="BD677" i="5"/>
  <c r="BB677" i="5"/>
  <c r="BA677" i="5"/>
  <c r="AZ677" i="5"/>
  <c r="AY677" i="5"/>
  <c r="AW677" i="5"/>
  <c r="AV677" i="5"/>
  <c r="AU677" i="5"/>
  <c r="AT677" i="5"/>
  <c r="AR677" i="5"/>
  <c r="AQ677" i="5"/>
  <c r="AP677" i="5"/>
  <c r="AO677" i="5"/>
  <c r="AM677" i="5"/>
  <c r="AL677" i="5"/>
  <c r="AK677" i="5"/>
  <c r="AJ677" i="5"/>
  <c r="AH677" i="5"/>
  <c r="AG677" i="5"/>
  <c r="AF677" i="5"/>
  <c r="AE677" i="5"/>
  <c r="AC677" i="5"/>
  <c r="AB677" i="5"/>
  <c r="AA677" i="5"/>
  <c r="A677" i="5"/>
  <c r="CC676" i="5"/>
  <c r="BX676" i="5"/>
  <c r="BS676" i="5"/>
  <c r="BQ676" i="5"/>
  <c r="BP676" i="5"/>
  <c r="BO676" i="5"/>
  <c r="BN676" i="5"/>
  <c r="BL676" i="5"/>
  <c r="BK676" i="5"/>
  <c r="BJ676" i="5"/>
  <c r="BI676" i="5"/>
  <c r="BG676" i="5"/>
  <c r="BF676" i="5"/>
  <c r="BE676" i="5"/>
  <c r="BD676" i="5"/>
  <c r="BC676" i="5"/>
  <c r="BB676" i="5"/>
  <c r="BA676" i="5"/>
  <c r="AZ676" i="5"/>
  <c r="AY676" i="5"/>
  <c r="AX676" i="5"/>
  <c r="AW676" i="5"/>
  <c r="AV676" i="5"/>
  <c r="AU676" i="5"/>
  <c r="AT676" i="5"/>
  <c r="AS676" i="5"/>
  <c r="AR676" i="5"/>
  <c r="AQ676" i="5"/>
  <c r="AP676" i="5"/>
  <c r="AO676" i="5"/>
  <c r="AM676" i="5"/>
  <c r="AL676" i="5"/>
  <c r="AK676" i="5"/>
  <c r="AJ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A676" i="5"/>
  <c r="CC675" i="5"/>
  <c r="BX675" i="5"/>
  <c r="BS675" i="5"/>
  <c r="BQ675" i="5"/>
  <c r="BP675" i="5"/>
  <c r="BO675" i="5"/>
  <c r="BN675" i="5"/>
  <c r="BL675" i="5"/>
  <c r="BK675" i="5"/>
  <c r="BJ675" i="5"/>
  <c r="BI675" i="5"/>
  <c r="BG675" i="5"/>
  <c r="BF675" i="5"/>
  <c r="BE675" i="5"/>
  <c r="BD675" i="5"/>
  <c r="BB675" i="5"/>
  <c r="BA675" i="5"/>
  <c r="AZ675" i="5"/>
  <c r="AY675" i="5"/>
  <c r="AW675" i="5"/>
  <c r="AV675" i="5"/>
  <c r="AU675" i="5"/>
  <c r="AT675" i="5"/>
  <c r="AR675" i="5"/>
  <c r="AQ675" i="5"/>
  <c r="AP675" i="5"/>
  <c r="AO675" i="5"/>
  <c r="AM675" i="5"/>
  <c r="AL675" i="5"/>
  <c r="AK675" i="5"/>
  <c r="AJ675" i="5"/>
  <c r="AH675" i="5"/>
  <c r="AG675" i="5"/>
  <c r="AF675" i="5"/>
  <c r="AE675" i="5"/>
  <c r="AC675" i="5"/>
  <c r="AB675" i="5"/>
  <c r="AA675" i="5"/>
  <c r="Z675" i="5"/>
  <c r="Y675" i="5"/>
  <c r="X675" i="5"/>
  <c r="W675" i="5"/>
  <c r="V675" i="5"/>
  <c r="U675" i="5"/>
  <c r="S675" i="5"/>
  <c r="R675" i="5"/>
  <c r="Q675" i="5"/>
  <c r="P675" i="5"/>
  <c r="N675" i="5"/>
  <c r="M675" i="5"/>
  <c r="L675" i="5"/>
  <c r="K675" i="5"/>
  <c r="I675" i="5"/>
  <c r="H675" i="5"/>
  <c r="G675" i="5"/>
  <c r="F675" i="5"/>
  <c r="E675" i="5"/>
  <c r="D675" i="5"/>
  <c r="C675" i="5"/>
  <c r="A675" i="5"/>
  <c r="CC674" i="5"/>
  <c r="BX674" i="5"/>
  <c r="BS674" i="5"/>
  <c r="BQ674" i="5"/>
  <c r="BP674" i="5"/>
  <c r="BO674" i="5"/>
  <c r="BN674" i="5"/>
  <c r="BL674" i="5"/>
  <c r="BK674" i="5"/>
  <c r="BJ674" i="5"/>
  <c r="BI674" i="5"/>
  <c r="BG674" i="5"/>
  <c r="BF674" i="5"/>
  <c r="BE674" i="5"/>
  <c r="BD674" i="5"/>
  <c r="BB674" i="5"/>
  <c r="BA674" i="5"/>
  <c r="AZ674" i="5"/>
  <c r="AY674" i="5"/>
  <c r="AW674" i="5"/>
  <c r="AV674" i="5"/>
  <c r="AU674" i="5"/>
  <c r="AT674" i="5"/>
  <c r="AR674" i="5"/>
  <c r="AQ674" i="5"/>
  <c r="AP674" i="5"/>
  <c r="AO674" i="5"/>
  <c r="AM674" i="5"/>
  <c r="AL674" i="5"/>
  <c r="AK674" i="5"/>
  <c r="AJ674" i="5"/>
  <c r="AH674" i="5"/>
  <c r="AG674" i="5"/>
  <c r="AF674" i="5"/>
  <c r="AE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A674" i="5"/>
  <c r="CC673" i="5"/>
  <c r="BX673" i="5"/>
  <c r="BS673" i="5"/>
  <c r="BQ673" i="5"/>
  <c r="BP673" i="5"/>
  <c r="BO673" i="5"/>
  <c r="BN673" i="5"/>
  <c r="BL673" i="5"/>
  <c r="BK673" i="5"/>
  <c r="BJ673" i="5"/>
  <c r="BI673" i="5"/>
  <c r="BG673" i="5"/>
  <c r="BF673" i="5"/>
  <c r="BE673" i="5"/>
  <c r="BD673" i="5"/>
  <c r="BB673" i="5"/>
  <c r="BA673" i="5"/>
  <c r="AZ673" i="5"/>
  <c r="AY673" i="5"/>
  <c r="AW673" i="5"/>
  <c r="AV673" i="5"/>
  <c r="AU673" i="5"/>
  <c r="AT673" i="5"/>
  <c r="AR673" i="5"/>
  <c r="AQ673" i="5"/>
  <c r="AP673" i="5"/>
  <c r="AO673" i="5"/>
  <c r="AM673" i="5"/>
  <c r="AL673" i="5"/>
  <c r="AK673" i="5"/>
  <c r="AJ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A673" i="5"/>
  <c r="CC672" i="5"/>
  <c r="BX672" i="5"/>
  <c r="BS672" i="5"/>
  <c r="BQ672" i="5"/>
  <c r="BP672" i="5"/>
  <c r="BO672" i="5"/>
  <c r="BN672" i="5"/>
  <c r="BL672" i="5"/>
  <c r="BK672" i="5"/>
  <c r="BJ672" i="5"/>
  <c r="BI672" i="5"/>
  <c r="BG672" i="5"/>
  <c r="BF672" i="5"/>
  <c r="BE672" i="5"/>
  <c r="BD672" i="5"/>
  <c r="BB672" i="5"/>
  <c r="BA672" i="5"/>
  <c r="AZ672" i="5"/>
  <c r="AY672" i="5"/>
  <c r="AW672" i="5"/>
  <c r="AV672" i="5"/>
  <c r="AV681" i="5" s="1"/>
  <c r="AU672" i="5"/>
  <c r="AT672" i="5"/>
  <c r="AR672" i="5"/>
  <c r="AQ672" i="5"/>
  <c r="AP672" i="5"/>
  <c r="AO672" i="5"/>
  <c r="AM672" i="5"/>
  <c r="AL672" i="5"/>
  <c r="AK672" i="5"/>
  <c r="AJ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A672" i="5"/>
  <c r="CF671" i="5"/>
  <c r="CF681" i="5" s="1"/>
  <c r="CE671" i="5"/>
  <c r="CE681" i="5" s="1"/>
  <c r="CD671" i="5"/>
  <c r="CB671" i="5"/>
  <c r="CA671" i="5"/>
  <c r="CA681" i="5" s="1"/>
  <c r="BZ671" i="5"/>
  <c r="BY671" i="5"/>
  <c r="BX671" i="5"/>
  <c r="BW671" i="5"/>
  <c r="BV671" i="5"/>
  <c r="BU671" i="5"/>
  <c r="BT671" i="5"/>
  <c r="BS671" i="5"/>
  <c r="BQ671" i="5"/>
  <c r="BP671" i="5"/>
  <c r="BO671" i="5"/>
  <c r="BN671" i="5"/>
  <c r="BL671" i="5"/>
  <c r="BK671" i="5"/>
  <c r="BJ671" i="5"/>
  <c r="BI671" i="5"/>
  <c r="BG671" i="5"/>
  <c r="BF671" i="5"/>
  <c r="BE671" i="5"/>
  <c r="BD671" i="5"/>
  <c r="BC671" i="5"/>
  <c r="BB671" i="5"/>
  <c r="BA671" i="5"/>
  <c r="AZ671" i="5"/>
  <c r="AY671" i="5"/>
  <c r="AW671" i="5"/>
  <c r="AV671" i="5"/>
  <c r="AU671" i="5"/>
  <c r="AT671" i="5"/>
  <c r="AR671" i="5"/>
  <c r="AQ671" i="5"/>
  <c r="AP671" i="5"/>
  <c r="AO671" i="5"/>
  <c r="AM671" i="5"/>
  <c r="AL671" i="5"/>
  <c r="AK671" i="5"/>
  <c r="AJ671" i="5"/>
  <c r="AH671" i="5"/>
  <c r="AG671" i="5"/>
  <c r="AF671" i="5"/>
  <c r="AE671" i="5"/>
  <c r="AC671" i="5"/>
  <c r="AB671" i="5"/>
  <c r="AA671" i="5"/>
  <c r="Z671" i="5"/>
  <c r="X671" i="5"/>
  <c r="W671" i="5"/>
  <c r="V671" i="5"/>
  <c r="U671" i="5"/>
  <c r="S671" i="5"/>
  <c r="R671" i="5"/>
  <c r="Q671" i="5"/>
  <c r="P671" i="5"/>
  <c r="N671" i="5"/>
  <c r="M671" i="5"/>
  <c r="L671" i="5"/>
  <c r="K671" i="5"/>
  <c r="I671" i="5"/>
  <c r="H671" i="5"/>
  <c r="G671" i="5"/>
  <c r="F671" i="5"/>
  <c r="E671" i="5"/>
  <c r="D671" i="5"/>
  <c r="C671" i="5"/>
  <c r="A671" i="5"/>
  <c r="CC670" i="5"/>
  <c r="BX670" i="5"/>
  <c r="BS670" i="5"/>
  <c r="BQ670" i="5"/>
  <c r="BP670" i="5"/>
  <c r="BO670" i="5"/>
  <c r="BN670" i="5"/>
  <c r="BM670" i="5"/>
  <c r="BL670" i="5"/>
  <c r="BK670" i="5"/>
  <c r="BJ670" i="5"/>
  <c r="BI670" i="5"/>
  <c r="BH670" i="5"/>
  <c r="BG670" i="5"/>
  <c r="BF670" i="5"/>
  <c r="BE670" i="5"/>
  <c r="BD670" i="5"/>
  <c r="BC670" i="5"/>
  <c r="BB670" i="5"/>
  <c r="BA670" i="5"/>
  <c r="AZ670" i="5"/>
  <c r="AY670" i="5"/>
  <c r="AW670" i="5"/>
  <c r="AV670" i="5"/>
  <c r="AU670" i="5"/>
  <c r="AT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A670" i="5"/>
  <c r="CC669" i="5"/>
  <c r="BX669" i="5"/>
  <c r="BS669" i="5"/>
  <c r="BQ669" i="5"/>
  <c r="BP669" i="5"/>
  <c r="BO669" i="5"/>
  <c r="BN669" i="5"/>
  <c r="BL669" i="5"/>
  <c r="BK669" i="5"/>
  <c r="BJ669" i="5"/>
  <c r="BI669" i="5"/>
  <c r="BH669" i="5"/>
  <c r="BG669" i="5"/>
  <c r="BF669" i="5"/>
  <c r="BE669" i="5"/>
  <c r="BD669" i="5"/>
  <c r="BC669" i="5"/>
  <c r="BB669" i="5"/>
  <c r="BA669" i="5"/>
  <c r="AZ669" i="5"/>
  <c r="AY669" i="5"/>
  <c r="AX669" i="5"/>
  <c r="AW669" i="5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A669" i="5"/>
  <c r="CC668" i="5"/>
  <c r="BX668" i="5"/>
  <c r="BS668" i="5"/>
  <c r="BQ668" i="5"/>
  <c r="BP668" i="5"/>
  <c r="BO668" i="5"/>
  <c r="BN668" i="5"/>
  <c r="BL668" i="5"/>
  <c r="BK668" i="5"/>
  <c r="BJ668" i="5"/>
  <c r="BI668" i="5"/>
  <c r="BH668" i="5"/>
  <c r="BG668" i="5"/>
  <c r="BF668" i="5"/>
  <c r="BE668" i="5"/>
  <c r="BE681" i="5" s="1"/>
  <c r="BD668" i="5"/>
  <c r="BD681" i="5" s="1"/>
  <c r="BC668" i="5"/>
  <c r="BB668" i="5"/>
  <c r="BA668" i="5"/>
  <c r="AZ668" i="5"/>
  <c r="AY668" i="5"/>
  <c r="AX668" i="5"/>
  <c r="AW668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F681" i="5" s="1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A668" i="5"/>
  <c r="CF667" i="5"/>
  <c r="CF832" i="5" s="1"/>
  <c r="CE667" i="5"/>
  <c r="CE832" i="5" s="1"/>
  <c r="CD667" i="5"/>
  <c r="CD832" i="5" s="1"/>
  <c r="CB667" i="5"/>
  <c r="CB832" i="5" s="1"/>
  <c r="CA667" i="5"/>
  <c r="CA832" i="5" s="1"/>
  <c r="BZ667" i="5"/>
  <c r="BZ832" i="5" s="1"/>
  <c r="BY667" i="5"/>
  <c r="BX667" i="5"/>
  <c r="BW667" i="5"/>
  <c r="BV667" i="5"/>
  <c r="BU667" i="5"/>
  <c r="BT667" i="5"/>
  <c r="BT832" i="5" s="1"/>
  <c r="BS667" i="5"/>
  <c r="BQ667" i="5"/>
  <c r="BP667" i="5"/>
  <c r="BO667" i="5"/>
  <c r="BO681" i="5" s="1"/>
  <c r="BN667" i="5"/>
  <c r="BL667" i="5"/>
  <c r="BK667" i="5"/>
  <c r="BJ667" i="5"/>
  <c r="BJ681" i="5" s="1"/>
  <c r="BI667" i="5"/>
  <c r="BI681" i="5" s="1"/>
  <c r="BG667" i="5"/>
  <c r="BF667" i="5"/>
  <c r="BE667" i="5"/>
  <c r="BD667" i="5"/>
  <c r="BD832" i="5" s="1"/>
  <c r="BB667" i="5"/>
  <c r="BA667" i="5"/>
  <c r="AZ667" i="5"/>
  <c r="AY667" i="5"/>
  <c r="AW667" i="5"/>
  <c r="AV667" i="5"/>
  <c r="AU667" i="5"/>
  <c r="AT667" i="5"/>
  <c r="AR667" i="5"/>
  <c r="AQ667" i="5"/>
  <c r="AQ681" i="5" s="1"/>
  <c r="AP667" i="5"/>
  <c r="AO667" i="5"/>
  <c r="AM667" i="5"/>
  <c r="AL667" i="5"/>
  <c r="AL681" i="5" s="1"/>
  <c r="AK667" i="5"/>
  <c r="AK733" i="5" s="1"/>
  <c r="AJ667" i="5"/>
  <c r="AH667" i="5"/>
  <c r="AG667" i="5"/>
  <c r="AF667" i="5"/>
  <c r="AE667" i="5"/>
  <c r="AC667" i="5"/>
  <c r="AB667" i="5"/>
  <c r="AA667" i="5"/>
  <c r="Z667" i="5"/>
  <c r="X667" i="5"/>
  <c r="W667" i="5"/>
  <c r="V667" i="5"/>
  <c r="U667" i="5"/>
  <c r="S667" i="5"/>
  <c r="R667" i="5"/>
  <c r="Q667" i="5"/>
  <c r="P667" i="5"/>
  <c r="N667" i="5"/>
  <c r="M667" i="5"/>
  <c r="M832" i="5" s="1"/>
  <c r="L667" i="5"/>
  <c r="L832" i="5" s="1"/>
  <c r="K667" i="5"/>
  <c r="K832" i="5" s="1"/>
  <c r="I667" i="5"/>
  <c r="H667" i="5"/>
  <c r="G667" i="5"/>
  <c r="F667" i="5"/>
  <c r="E667" i="5"/>
  <c r="D667" i="5"/>
  <c r="C667" i="5"/>
  <c r="A667" i="5"/>
  <c r="A666" i="5"/>
  <c r="A664" i="5"/>
  <c r="CC663" i="5"/>
  <c r="BX663" i="5"/>
  <c r="BS663" i="5"/>
  <c r="BQ663" i="5"/>
  <c r="BP663" i="5"/>
  <c r="BO663" i="5"/>
  <c r="BN663" i="5"/>
  <c r="BL663" i="5"/>
  <c r="BK663" i="5"/>
  <c r="BJ663" i="5"/>
  <c r="BI663" i="5"/>
  <c r="BG663" i="5"/>
  <c r="BF663" i="5"/>
  <c r="BE663" i="5"/>
  <c r="BD663" i="5"/>
  <c r="BB663" i="5"/>
  <c r="BA663" i="5"/>
  <c r="AZ663" i="5"/>
  <c r="AY663" i="5"/>
  <c r="AW663" i="5"/>
  <c r="AV663" i="5"/>
  <c r="AU663" i="5"/>
  <c r="AT663" i="5"/>
  <c r="AR663" i="5"/>
  <c r="AQ663" i="5"/>
  <c r="AP663" i="5"/>
  <c r="AO663" i="5"/>
  <c r="AM663" i="5"/>
  <c r="AL663" i="5"/>
  <c r="AK663" i="5"/>
  <c r="AJ663" i="5"/>
  <c r="AH663" i="5"/>
  <c r="AG663" i="5"/>
  <c r="AF663" i="5"/>
  <c r="AE663" i="5"/>
  <c r="AC663" i="5"/>
  <c r="AB663" i="5"/>
  <c r="AA663" i="5"/>
  <c r="Z663" i="5"/>
  <c r="X663" i="5"/>
  <c r="W663" i="5"/>
  <c r="V663" i="5"/>
  <c r="U663" i="5"/>
  <c r="S663" i="5"/>
  <c r="R663" i="5"/>
  <c r="Q663" i="5"/>
  <c r="P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A663" i="5"/>
  <c r="CC662" i="5"/>
  <c r="BX662" i="5"/>
  <c r="BS662" i="5"/>
  <c r="BQ662" i="5"/>
  <c r="BP662" i="5"/>
  <c r="BO662" i="5"/>
  <c r="BN662" i="5"/>
  <c r="BM662" i="5"/>
  <c r="BL662" i="5"/>
  <c r="BK662" i="5"/>
  <c r="BJ662" i="5"/>
  <c r="BI662" i="5"/>
  <c r="BG662" i="5"/>
  <c r="BF662" i="5"/>
  <c r="BE662" i="5"/>
  <c r="BD662" i="5"/>
  <c r="BB662" i="5"/>
  <c r="BA662" i="5"/>
  <c r="AZ662" i="5"/>
  <c r="AY662" i="5"/>
  <c r="AW662" i="5"/>
  <c r="AV662" i="5"/>
  <c r="AU662" i="5"/>
  <c r="AT662" i="5"/>
  <c r="AR662" i="5"/>
  <c r="AQ662" i="5"/>
  <c r="AP662" i="5"/>
  <c r="AO662" i="5"/>
  <c r="AM662" i="5"/>
  <c r="AL662" i="5"/>
  <c r="AK662" i="5"/>
  <c r="AJ662" i="5"/>
  <c r="AH662" i="5"/>
  <c r="AG662" i="5"/>
  <c r="AF662" i="5"/>
  <c r="AE662" i="5"/>
  <c r="AC662" i="5"/>
  <c r="AB662" i="5"/>
  <c r="AA662" i="5"/>
  <c r="Z662" i="5"/>
  <c r="X662" i="5"/>
  <c r="W662" i="5"/>
  <c r="V662" i="5"/>
  <c r="U662" i="5"/>
  <c r="S662" i="5"/>
  <c r="R662" i="5"/>
  <c r="Q662" i="5"/>
  <c r="P662" i="5"/>
  <c r="N662" i="5"/>
  <c r="M662" i="5"/>
  <c r="L662" i="5"/>
  <c r="K662" i="5"/>
  <c r="I662" i="5"/>
  <c r="H662" i="5"/>
  <c r="G662" i="5"/>
  <c r="F662" i="5"/>
  <c r="E662" i="5"/>
  <c r="D662" i="5"/>
  <c r="C662" i="5"/>
  <c r="A662" i="5"/>
  <c r="CC661" i="5"/>
  <c r="BX661" i="5"/>
  <c r="BS661" i="5"/>
  <c r="BQ661" i="5"/>
  <c r="BP661" i="5"/>
  <c r="BO661" i="5"/>
  <c r="BN661" i="5"/>
  <c r="BL661" i="5"/>
  <c r="BK661" i="5"/>
  <c r="BJ661" i="5"/>
  <c r="BI661" i="5"/>
  <c r="BG661" i="5"/>
  <c r="BF661" i="5"/>
  <c r="BE661" i="5"/>
  <c r="BD661" i="5"/>
  <c r="BB661" i="5"/>
  <c r="BA661" i="5"/>
  <c r="AZ661" i="5"/>
  <c r="AY661" i="5"/>
  <c r="AW661" i="5"/>
  <c r="AV661" i="5"/>
  <c r="AU661" i="5"/>
  <c r="AT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C661" i="5"/>
  <c r="AB661" i="5"/>
  <c r="AA661" i="5"/>
  <c r="Z661" i="5"/>
  <c r="X661" i="5"/>
  <c r="W661" i="5"/>
  <c r="V661" i="5"/>
  <c r="U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A661" i="5"/>
  <c r="BS660" i="5"/>
  <c r="BR660" i="5"/>
  <c r="BQ660" i="5"/>
  <c r="BP660" i="5"/>
  <c r="BO660" i="5"/>
  <c r="BN660" i="5"/>
  <c r="BM660" i="5"/>
  <c r="BL660" i="5"/>
  <c r="BK660" i="5"/>
  <c r="BJ660" i="5"/>
  <c r="BI660" i="5"/>
  <c r="BH660" i="5"/>
  <c r="BG660" i="5"/>
  <c r="BF660" i="5"/>
  <c r="BE660" i="5"/>
  <c r="BD660" i="5"/>
  <c r="BC660" i="5"/>
  <c r="BB660" i="5"/>
  <c r="BA660" i="5"/>
  <c r="AZ660" i="5"/>
  <c r="AY660" i="5"/>
  <c r="AX660" i="5"/>
  <c r="AW660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A660" i="5"/>
  <c r="BS659" i="5"/>
  <c r="BR659" i="5"/>
  <c r="BQ659" i="5"/>
  <c r="BP659" i="5"/>
  <c r="BO659" i="5"/>
  <c r="BN659" i="5"/>
  <c r="BM659" i="5"/>
  <c r="BL659" i="5"/>
  <c r="BK659" i="5"/>
  <c r="BJ659" i="5"/>
  <c r="BI659" i="5"/>
  <c r="BH659" i="5"/>
  <c r="BG659" i="5"/>
  <c r="BF659" i="5"/>
  <c r="BE659" i="5"/>
  <c r="BD659" i="5"/>
  <c r="BC659" i="5"/>
  <c r="BB659" i="5"/>
  <c r="BA659" i="5"/>
  <c r="AZ659" i="5"/>
  <c r="AY659" i="5"/>
  <c r="AX659" i="5"/>
  <c r="AW659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A659" i="5"/>
  <c r="BS658" i="5"/>
  <c r="BR658" i="5"/>
  <c r="BQ658" i="5"/>
  <c r="BP658" i="5"/>
  <c r="BO658" i="5"/>
  <c r="BN658" i="5"/>
  <c r="BM658" i="5"/>
  <c r="BL658" i="5"/>
  <c r="BK658" i="5"/>
  <c r="BJ658" i="5"/>
  <c r="BI658" i="5"/>
  <c r="BH658" i="5"/>
  <c r="BG658" i="5"/>
  <c r="BF658" i="5"/>
  <c r="BE658" i="5"/>
  <c r="BD658" i="5"/>
  <c r="BC658" i="5"/>
  <c r="BB658" i="5"/>
  <c r="BA658" i="5"/>
  <c r="AZ658" i="5"/>
  <c r="AY658" i="5"/>
  <c r="AX658" i="5"/>
  <c r="AW658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A658" i="5"/>
  <c r="G657" i="5"/>
  <c r="D657" i="5"/>
  <c r="D664" i="5" s="1"/>
  <c r="A657" i="5"/>
  <c r="CC656" i="5"/>
  <c r="BX656" i="5"/>
  <c r="BS656" i="5"/>
  <c r="BQ656" i="5"/>
  <c r="BP656" i="5"/>
  <c r="BO656" i="5"/>
  <c r="BN656" i="5"/>
  <c r="BL656" i="5"/>
  <c r="BK656" i="5"/>
  <c r="BJ656" i="5"/>
  <c r="BI656" i="5"/>
  <c r="BG656" i="5"/>
  <c r="BF656" i="5"/>
  <c r="BE656" i="5"/>
  <c r="BD656" i="5"/>
  <c r="BB656" i="5"/>
  <c r="BA656" i="5"/>
  <c r="AZ656" i="5"/>
  <c r="AY656" i="5"/>
  <c r="AX656" i="5"/>
  <c r="AW656" i="5"/>
  <c r="AV656" i="5"/>
  <c r="AU656" i="5"/>
  <c r="AT656" i="5"/>
  <c r="AR656" i="5"/>
  <c r="AQ656" i="5"/>
  <c r="AP656" i="5"/>
  <c r="AO656" i="5"/>
  <c r="AM656" i="5"/>
  <c r="AL656" i="5"/>
  <c r="AK656" i="5"/>
  <c r="AJ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S656" i="5"/>
  <c r="R656" i="5"/>
  <c r="Q656" i="5"/>
  <c r="P656" i="5"/>
  <c r="N656" i="5"/>
  <c r="M656" i="5"/>
  <c r="L656" i="5"/>
  <c r="K656" i="5"/>
  <c r="I656" i="5"/>
  <c r="H656" i="5"/>
  <c r="G656" i="5"/>
  <c r="F656" i="5"/>
  <c r="E656" i="5"/>
  <c r="D656" i="5"/>
  <c r="C656" i="5"/>
  <c r="A656" i="5"/>
  <c r="CC655" i="5"/>
  <c r="BX655" i="5"/>
  <c r="BS655" i="5"/>
  <c r="BQ655" i="5"/>
  <c r="BP655" i="5"/>
  <c r="BO655" i="5"/>
  <c r="BN655" i="5"/>
  <c r="BL655" i="5"/>
  <c r="BK655" i="5"/>
  <c r="BJ655" i="5"/>
  <c r="BI655" i="5"/>
  <c r="BG655" i="5"/>
  <c r="BF655" i="5"/>
  <c r="BE655" i="5"/>
  <c r="BD655" i="5"/>
  <c r="BB655" i="5"/>
  <c r="BA655" i="5"/>
  <c r="AZ655" i="5"/>
  <c r="AY655" i="5"/>
  <c r="AW655" i="5"/>
  <c r="AV655" i="5"/>
  <c r="AU655" i="5"/>
  <c r="AT655" i="5"/>
  <c r="AR655" i="5"/>
  <c r="AQ655" i="5"/>
  <c r="AP655" i="5"/>
  <c r="AO655" i="5"/>
  <c r="AM655" i="5"/>
  <c r="AL655" i="5"/>
  <c r="AK655" i="5"/>
  <c r="AJ655" i="5"/>
  <c r="AH655" i="5"/>
  <c r="AG655" i="5"/>
  <c r="AF655" i="5"/>
  <c r="AE655" i="5"/>
  <c r="AC655" i="5"/>
  <c r="AB655" i="5"/>
  <c r="AA655" i="5"/>
  <c r="Z655" i="5"/>
  <c r="X655" i="5"/>
  <c r="W655" i="5"/>
  <c r="V655" i="5"/>
  <c r="U655" i="5"/>
  <c r="S655" i="5"/>
  <c r="R655" i="5"/>
  <c r="Q655" i="5"/>
  <c r="P655" i="5"/>
  <c r="N655" i="5"/>
  <c r="M655" i="5"/>
  <c r="L655" i="5"/>
  <c r="K655" i="5"/>
  <c r="I655" i="5"/>
  <c r="H655" i="5"/>
  <c r="G655" i="5"/>
  <c r="F655" i="5"/>
  <c r="E655" i="5"/>
  <c r="D655" i="5"/>
  <c r="C655" i="5"/>
  <c r="A655" i="5"/>
  <c r="CC654" i="5"/>
  <c r="BX654" i="5"/>
  <c r="BS654" i="5"/>
  <c r="BQ654" i="5"/>
  <c r="BP654" i="5"/>
  <c r="BO654" i="5"/>
  <c r="BN654" i="5"/>
  <c r="BL654" i="5"/>
  <c r="BK654" i="5"/>
  <c r="BJ654" i="5"/>
  <c r="BI654" i="5"/>
  <c r="BH654" i="5"/>
  <c r="BG654" i="5"/>
  <c r="BF654" i="5"/>
  <c r="BE654" i="5"/>
  <c r="BD654" i="5"/>
  <c r="BC654" i="5"/>
  <c r="BB654" i="5"/>
  <c r="BA654" i="5"/>
  <c r="AZ654" i="5"/>
  <c r="AY654" i="5"/>
  <c r="AW654" i="5"/>
  <c r="AV654" i="5"/>
  <c r="AU654" i="5"/>
  <c r="AT654" i="5"/>
  <c r="AR654" i="5"/>
  <c r="AQ654" i="5"/>
  <c r="AP654" i="5"/>
  <c r="AO654" i="5"/>
  <c r="AM654" i="5"/>
  <c r="AL654" i="5"/>
  <c r="AK654" i="5"/>
  <c r="AJ654" i="5"/>
  <c r="AH654" i="5"/>
  <c r="AG654" i="5"/>
  <c r="AF654" i="5"/>
  <c r="AE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A654" i="5"/>
  <c r="CC653" i="5"/>
  <c r="BX653" i="5"/>
  <c r="BS653" i="5"/>
  <c r="BQ653" i="5"/>
  <c r="BP653" i="5"/>
  <c r="BO653" i="5"/>
  <c r="BN653" i="5"/>
  <c r="BL653" i="5"/>
  <c r="BK653" i="5"/>
  <c r="BJ653" i="5"/>
  <c r="BI653" i="5"/>
  <c r="BG653" i="5"/>
  <c r="BF653" i="5"/>
  <c r="BE653" i="5"/>
  <c r="BD653" i="5"/>
  <c r="BC653" i="5"/>
  <c r="BB653" i="5"/>
  <c r="BA653" i="5"/>
  <c r="AZ653" i="5"/>
  <c r="AY653" i="5"/>
  <c r="AW653" i="5"/>
  <c r="AV653" i="5"/>
  <c r="AU653" i="5"/>
  <c r="AT653" i="5"/>
  <c r="AR653" i="5"/>
  <c r="AQ653" i="5"/>
  <c r="AP653" i="5"/>
  <c r="AO653" i="5"/>
  <c r="AM653" i="5"/>
  <c r="AL653" i="5"/>
  <c r="AK653" i="5"/>
  <c r="AJ653" i="5"/>
  <c r="AH653" i="5"/>
  <c r="AG653" i="5"/>
  <c r="AF653" i="5"/>
  <c r="AE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E657" i="5" s="1"/>
  <c r="E664" i="5" s="1"/>
  <c r="E480" i="5" s="1"/>
  <c r="D653" i="5"/>
  <c r="C653" i="5"/>
  <c r="A653" i="5"/>
  <c r="CC652" i="5"/>
  <c r="BX652" i="5"/>
  <c r="BS652" i="5"/>
  <c r="BQ652" i="5"/>
  <c r="BP652" i="5"/>
  <c r="BO652" i="5"/>
  <c r="BN652" i="5"/>
  <c r="BL652" i="5"/>
  <c r="BK652" i="5"/>
  <c r="BJ652" i="5"/>
  <c r="BI652" i="5"/>
  <c r="BH652" i="5"/>
  <c r="BG652" i="5"/>
  <c r="BF652" i="5"/>
  <c r="BE652" i="5"/>
  <c r="BD652" i="5"/>
  <c r="BC652" i="5"/>
  <c r="BB652" i="5"/>
  <c r="BA652" i="5"/>
  <c r="AZ652" i="5"/>
  <c r="AY652" i="5"/>
  <c r="AX652" i="5"/>
  <c r="AW652" i="5"/>
  <c r="AV652" i="5"/>
  <c r="AU652" i="5"/>
  <c r="AT652" i="5"/>
  <c r="AR652" i="5"/>
  <c r="AQ652" i="5"/>
  <c r="AP652" i="5"/>
  <c r="AO652" i="5"/>
  <c r="AM652" i="5"/>
  <c r="AL652" i="5"/>
  <c r="AK652" i="5"/>
  <c r="AJ652" i="5"/>
  <c r="AH652" i="5"/>
  <c r="AG652" i="5"/>
  <c r="AF652" i="5"/>
  <c r="AE652" i="5"/>
  <c r="AC652" i="5"/>
  <c r="AB652" i="5"/>
  <c r="AA652" i="5"/>
  <c r="Z652" i="5"/>
  <c r="Y652" i="5"/>
  <c r="X652" i="5"/>
  <c r="W652" i="5"/>
  <c r="V652" i="5"/>
  <c r="U652" i="5"/>
  <c r="S652" i="5"/>
  <c r="R652" i="5"/>
  <c r="Q652" i="5"/>
  <c r="P652" i="5"/>
  <c r="N652" i="5"/>
  <c r="M652" i="5"/>
  <c r="L652" i="5"/>
  <c r="K652" i="5"/>
  <c r="I652" i="5"/>
  <c r="H652" i="5"/>
  <c r="G652" i="5"/>
  <c r="F652" i="5"/>
  <c r="E652" i="5"/>
  <c r="D652" i="5"/>
  <c r="C652" i="5"/>
  <c r="A652" i="5"/>
  <c r="CC651" i="5"/>
  <c r="BX651" i="5"/>
  <c r="BS651" i="5"/>
  <c r="BQ651" i="5"/>
  <c r="BP651" i="5"/>
  <c r="BO651" i="5"/>
  <c r="BN651" i="5"/>
  <c r="BL651" i="5"/>
  <c r="BK651" i="5"/>
  <c r="BJ651" i="5"/>
  <c r="BI651" i="5"/>
  <c r="BG651" i="5"/>
  <c r="BF651" i="5"/>
  <c r="BE651" i="5"/>
  <c r="BD651" i="5"/>
  <c r="BB651" i="5"/>
  <c r="BA651" i="5"/>
  <c r="AZ651" i="5"/>
  <c r="AY651" i="5"/>
  <c r="AW651" i="5"/>
  <c r="AV651" i="5"/>
  <c r="AU651" i="5"/>
  <c r="AT651" i="5"/>
  <c r="AR651" i="5"/>
  <c r="AQ651" i="5"/>
  <c r="AP651" i="5"/>
  <c r="AO651" i="5"/>
  <c r="AM651" i="5"/>
  <c r="AL651" i="5"/>
  <c r="AK651" i="5"/>
  <c r="AJ651" i="5"/>
  <c r="AH651" i="5"/>
  <c r="AG651" i="5"/>
  <c r="AF651" i="5"/>
  <c r="AE651" i="5"/>
  <c r="AC651" i="5"/>
  <c r="AB651" i="5"/>
  <c r="AA651" i="5"/>
  <c r="Z651" i="5"/>
  <c r="X651" i="5"/>
  <c r="W651" i="5"/>
  <c r="V651" i="5"/>
  <c r="U651" i="5"/>
  <c r="S651" i="5"/>
  <c r="R651" i="5"/>
  <c r="Q651" i="5"/>
  <c r="P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A651" i="5"/>
  <c r="CC650" i="5"/>
  <c r="BX650" i="5"/>
  <c r="BS650" i="5"/>
  <c r="BQ650" i="5"/>
  <c r="BP650" i="5"/>
  <c r="BO650" i="5"/>
  <c r="BN650" i="5"/>
  <c r="BL650" i="5"/>
  <c r="BK650" i="5"/>
  <c r="BJ650" i="5"/>
  <c r="BI650" i="5"/>
  <c r="BG650" i="5"/>
  <c r="BF650" i="5"/>
  <c r="BE650" i="5"/>
  <c r="BD650" i="5"/>
  <c r="BB650" i="5"/>
  <c r="BA650" i="5"/>
  <c r="AZ650" i="5"/>
  <c r="AY650" i="5"/>
  <c r="AW650" i="5"/>
  <c r="AV650" i="5"/>
  <c r="AU650" i="5"/>
  <c r="AT650" i="5"/>
  <c r="AR650" i="5"/>
  <c r="AQ650" i="5"/>
  <c r="AP650" i="5"/>
  <c r="AO650" i="5"/>
  <c r="AM650" i="5"/>
  <c r="AL650" i="5"/>
  <c r="AK650" i="5"/>
  <c r="AJ650" i="5"/>
  <c r="AH650" i="5"/>
  <c r="AG650" i="5"/>
  <c r="AF650" i="5"/>
  <c r="AE650" i="5"/>
  <c r="AC650" i="5"/>
  <c r="AB650" i="5"/>
  <c r="AA650" i="5"/>
  <c r="Z650" i="5"/>
  <c r="X650" i="5"/>
  <c r="W650" i="5"/>
  <c r="V650" i="5"/>
  <c r="U650" i="5"/>
  <c r="S650" i="5"/>
  <c r="R650" i="5"/>
  <c r="Q650" i="5"/>
  <c r="P650" i="5"/>
  <c r="N650" i="5"/>
  <c r="M650" i="5"/>
  <c r="L650" i="5"/>
  <c r="K650" i="5"/>
  <c r="K657" i="5" s="1"/>
  <c r="K478" i="5" s="1"/>
  <c r="I650" i="5"/>
  <c r="H650" i="5"/>
  <c r="G650" i="5"/>
  <c r="F650" i="5"/>
  <c r="E650" i="5"/>
  <c r="D650" i="5"/>
  <c r="C650" i="5"/>
  <c r="A650" i="5"/>
  <c r="CF649" i="5"/>
  <c r="CE649" i="5"/>
  <c r="CD649" i="5"/>
  <c r="CB649" i="5"/>
  <c r="CA649" i="5"/>
  <c r="BZ649" i="5"/>
  <c r="CC649" i="5" s="1"/>
  <c r="BY649" i="5"/>
  <c r="BW649" i="5"/>
  <c r="BV649" i="5"/>
  <c r="BU649" i="5"/>
  <c r="BT649" i="5"/>
  <c r="BS649" i="5"/>
  <c r="BQ649" i="5"/>
  <c r="BP649" i="5"/>
  <c r="BO649" i="5"/>
  <c r="BN649" i="5"/>
  <c r="BL649" i="5"/>
  <c r="BK649" i="5"/>
  <c r="BJ649" i="5"/>
  <c r="BI649" i="5"/>
  <c r="BG649" i="5"/>
  <c r="BF649" i="5"/>
  <c r="BE649" i="5"/>
  <c r="BD649" i="5"/>
  <c r="BB649" i="5"/>
  <c r="BA649" i="5"/>
  <c r="AZ649" i="5"/>
  <c r="AY649" i="5"/>
  <c r="AW649" i="5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X649" i="5"/>
  <c r="W649" i="5"/>
  <c r="V649" i="5"/>
  <c r="U649" i="5"/>
  <c r="S649" i="5"/>
  <c r="R649" i="5"/>
  <c r="Q649" i="5"/>
  <c r="P649" i="5"/>
  <c r="O649" i="5"/>
  <c r="N649" i="5"/>
  <c r="M649" i="5"/>
  <c r="L649" i="5"/>
  <c r="K649" i="5"/>
  <c r="I649" i="5"/>
  <c r="H649" i="5"/>
  <c r="G649" i="5"/>
  <c r="F649" i="5"/>
  <c r="E649" i="5"/>
  <c r="D649" i="5"/>
  <c r="C649" i="5"/>
  <c r="A649" i="5"/>
  <c r="CC648" i="5"/>
  <c r="BX648" i="5"/>
  <c r="BS648" i="5"/>
  <c r="BQ648" i="5"/>
  <c r="BP648" i="5"/>
  <c r="BO648" i="5"/>
  <c r="BN648" i="5"/>
  <c r="BM648" i="5"/>
  <c r="BL648" i="5"/>
  <c r="BK648" i="5"/>
  <c r="BJ648" i="5"/>
  <c r="BI648" i="5"/>
  <c r="BG648" i="5"/>
  <c r="BF648" i="5"/>
  <c r="BE648" i="5"/>
  <c r="BD648" i="5"/>
  <c r="BB648" i="5"/>
  <c r="BA648" i="5"/>
  <c r="AZ648" i="5"/>
  <c r="AY648" i="5"/>
  <c r="AW648" i="5"/>
  <c r="AV648" i="5"/>
  <c r="AU648" i="5"/>
  <c r="AT648" i="5"/>
  <c r="AR648" i="5"/>
  <c r="AQ648" i="5"/>
  <c r="AP648" i="5"/>
  <c r="AO648" i="5"/>
  <c r="AM648" i="5"/>
  <c r="AL648" i="5"/>
  <c r="AK648" i="5"/>
  <c r="AJ648" i="5"/>
  <c r="AH648" i="5"/>
  <c r="AG648" i="5"/>
  <c r="AF648" i="5"/>
  <c r="AE648" i="5"/>
  <c r="AC648" i="5"/>
  <c r="AB648" i="5"/>
  <c r="AA648" i="5"/>
  <c r="Z648" i="5"/>
  <c r="X648" i="5"/>
  <c r="W648" i="5"/>
  <c r="V648" i="5"/>
  <c r="U648" i="5"/>
  <c r="S648" i="5"/>
  <c r="R648" i="5"/>
  <c r="Q648" i="5"/>
  <c r="P648" i="5"/>
  <c r="N648" i="5"/>
  <c r="M648" i="5"/>
  <c r="L648" i="5"/>
  <c r="K648" i="5"/>
  <c r="I648" i="5"/>
  <c r="H648" i="5"/>
  <c r="G648" i="5"/>
  <c r="F648" i="5"/>
  <c r="E648" i="5"/>
  <c r="D648" i="5"/>
  <c r="C648" i="5"/>
  <c r="A648" i="5"/>
  <c r="CC647" i="5"/>
  <c r="BX647" i="5"/>
  <c r="BS647" i="5"/>
  <c r="BQ647" i="5"/>
  <c r="BP647" i="5"/>
  <c r="BO647" i="5"/>
  <c r="BN647" i="5"/>
  <c r="BM647" i="5"/>
  <c r="BL647" i="5"/>
  <c r="BK647" i="5"/>
  <c r="BJ647" i="5"/>
  <c r="BI647" i="5"/>
  <c r="BH647" i="5"/>
  <c r="BG647" i="5"/>
  <c r="BF647" i="5"/>
  <c r="BE647" i="5"/>
  <c r="BD647" i="5"/>
  <c r="BB647" i="5"/>
  <c r="BA647" i="5"/>
  <c r="AZ647" i="5"/>
  <c r="AY647" i="5"/>
  <c r="AW647" i="5"/>
  <c r="AV647" i="5"/>
  <c r="AU647" i="5"/>
  <c r="AT647" i="5"/>
  <c r="AR647" i="5"/>
  <c r="AQ647" i="5"/>
  <c r="AP647" i="5"/>
  <c r="AO647" i="5"/>
  <c r="AM647" i="5"/>
  <c r="AL647" i="5"/>
  <c r="AK647" i="5"/>
  <c r="AJ647" i="5"/>
  <c r="AI647" i="5"/>
  <c r="AH647" i="5"/>
  <c r="AG647" i="5"/>
  <c r="AF647" i="5"/>
  <c r="AE647" i="5"/>
  <c r="AC647" i="5"/>
  <c r="AB647" i="5"/>
  <c r="AA647" i="5"/>
  <c r="Z647" i="5"/>
  <c r="X647" i="5"/>
  <c r="W647" i="5"/>
  <c r="V647" i="5"/>
  <c r="U647" i="5"/>
  <c r="S647" i="5"/>
  <c r="R647" i="5"/>
  <c r="Q647" i="5"/>
  <c r="P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A647" i="5"/>
  <c r="CC646" i="5"/>
  <c r="BX646" i="5"/>
  <c r="BS646" i="5"/>
  <c r="BQ646" i="5"/>
  <c r="BP646" i="5"/>
  <c r="BO646" i="5"/>
  <c r="BN646" i="5"/>
  <c r="BL646" i="5"/>
  <c r="BK646" i="5"/>
  <c r="BJ646" i="5"/>
  <c r="BI646" i="5"/>
  <c r="BH646" i="5"/>
  <c r="BG646" i="5"/>
  <c r="BF646" i="5"/>
  <c r="BE646" i="5"/>
  <c r="BD646" i="5"/>
  <c r="BB646" i="5"/>
  <c r="BA646" i="5"/>
  <c r="AZ646" i="5"/>
  <c r="AY646" i="5"/>
  <c r="AW646" i="5"/>
  <c r="AV646" i="5"/>
  <c r="AU646" i="5"/>
  <c r="AT646" i="5"/>
  <c r="AR646" i="5"/>
  <c r="AQ646" i="5"/>
  <c r="AP646" i="5"/>
  <c r="AO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A646" i="5"/>
  <c r="CC645" i="5"/>
  <c r="BX645" i="5"/>
  <c r="BS645" i="5"/>
  <c r="BQ645" i="5"/>
  <c r="BP645" i="5"/>
  <c r="BO645" i="5"/>
  <c r="BN645" i="5"/>
  <c r="BL645" i="5"/>
  <c r="BK645" i="5"/>
  <c r="BJ645" i="5"/>
  <c r="BI645" i="5"/>
  <c r="BG645" i="5"/>
  <c r="BF645" i="5"/>
  <c r="BE645" i="5"/>
  <c r="BD645" i="5"/>
  <c r="BB645" i="5"/>
  <c r="BA645" i="5"/>
  <c r="AZ645" i="5"/>
  <c r="AY645" i="5"/>
  <c r="AW645" i="5"/>
  <c r="AV645" i="5"/>
  <c r="AU645" i="5"/>
  <c r="AT645" i="5"/>
  <c r="AR645" i="5"/>
  <c r="AQ645" i="5"/>
  <c r="AP645" i="5"/>
  <c r="AO645" i="5"/>
  <c r="AM645" i="5"/>
  <c r="AL645" i="5"/>
  <c r="AK645" i="5"/>
  <c r="AJ645" i="5"/>
  <c r="AH645" i="5"/>
  <c r="AG645" i="5"/>
  <c r="AF645" i="5"/>
  <c r="AE645" i="5"/>
  <c r="AC645" i="5"/>
  <c r="AB645" i="5"/>
  <c r="AA645" i="5"/>
  <c r="Z645" i="5"/>
  <c r="X645" i="5"/>
  <c r="W645" i="5"/>
  <c r="V645" i="5"/>
  <c r="U645" i="5"/>
  <c r="S645" i="5"/>
  <c r="R645" i="5"/>
  <c r="Q645" i="5"/>
  <c r="P645" i="5"/>
  <c r="N645" i="5"/>
  <c r="M645" i="5"/>
  <c r="L645" i="5"/>
  <c r="K645" i="5"/>
  <c r="I645" i="5"/>
  <c r="H645" i="5"/>
  <c r="G645" i="5"/>
  <c r="F645" i="5"/>
  <c r="E645" i="5"/>
  <c r="D645" i="5"/>
  <c r="C645" i="5"/>
  <c r="A645" i="5"/>
  <c r="CC644" i="5"/>
  <c r="BX644" i="5"/>
  <c r="BS644" i="5"/>
  <c r="BQ644" i="5"/>
  <c r="BP644" i="5"/>
  <c r="BO644" i="5"/>
  <c r="BN644" i="5"/>
  <c r="BM644" i="5"/>
  <c r="BL644" i="5"/>
  <c r="BK644" i="5"/>
  <c r="BJ644" i="5"/>
  <c r="BI644" i="5"/>
  <c r="BH644" i="5"/>
  <c r="BG644" i="5"/>
  <c r="BF644" i="5"/>
  <c r="BE644" i="5"/>
  <c r="BD644" i="5"/>
  <c r="BB644" i="5"/>
  <c r="BA644" i="5"/>
  <c r="AZ644" i="5"/>
  <c r="AY644" i="5"/>
  <c r="AX644" i="5"/>
  <c r="AW644" i="5"/>
  <c r="AV644" i="5"/>
  <c r="AU644" i="5"/>
  <c r="AT644" i="5"/>
  <c r="AS644" i="5"/>
  <c r="AR644" i="5"/>
  <c r="AQ644" i="5"/>
  <c r="AP644" i="5"/>
  <c r="AO644" i="5"/>
  <c r="AM644" i="5"/>
  <c r="AL644" i="5"/>
  <c r="AK644" i="5"/>
  <c r="AJ644" i="5"/>
  <c r="AH644" i="5"/>
  <c r="AG644" i="5"/>
  <c r="AF644" i="5"/>
  <c r="AE644" i="5"/>
  <c r="AC644" i="5"/>
  <c r="AB644" i="5"/>
  <c r="AA644" i="5"/>
  <c r="Z644" i="5"/>
  <c r="Y644" i="5"/>
  <c r="X644" i="5"/>
  <c r="W644" i="5"/>
  <c r="V644" i="5"/>
  <c r="U644" i="5"/>
  <c r="S644" i="5"/>
  <c r="R644" i="5"/>
  <c r="Q644" i="5"/>
  <c r="P644" i="5"/>
  <c r="N644" i="5"/>
  <c r="M644" i="5"/>
  <c r="L644" i="5"/>
  <c r="K644" i="5"/>
  <c r="I644" i="5"/>
  <c r="H644" i="5"/>
  <c r="G644" i="5"/>
  <c r="F644" i="5"/>
  <c r="E644" i="5"/>
  <c r="D644" i="5"/>
  <c r="C644" i="5"/>
  <c r="A644" i="5"/>
  <c r="CC643" i="5"/>
  <c r="BX643" i="5"/>
  <c r="BS643" i="5"/>
  <c r="BR643" i="5"/>
  <c r="BQ643" i="5"/>
  <c r="BP643" i="5"/>
  <c r="BO643" i="5"/>
  <c r="BN643" i="5"/>
  <c r="BL643" i="5"/>
  <c r="BK643" i="5"/>
  <c r="BJ643" i="5"/>
  <c r="BI643" i="5"/>
  <c r="BG643" i="5"/>
  <c r="BF643" i="5"/>
  <c r="BE643" i="5"/>
  <c r="BD643" i="5"/>
  <c r="BB643" i="5"/>
  <c r="BA643" i="5"/>
  <c r="AZ643" i="5"/>
  <c r="AY643" i="5"/>
  <c r="AW643" i="5"/>
  <c r="AV643" i="5"/>
  <c r="AU643" i="5"/>
  <c r="AT643" i="5"/>
  <c r="AS643" i="5"/>
  <c r="AR643" i="5"/>
  <c r="AQ643" i="5"/>
  <c r="AP643" i="5"/>
  <c r="AO643" i="5"/>
  <c r="AM643" i="5"/>
  <c r="AL643" i="5"/>
  <c r="AK643" i="5"/>
  <c r="AJ643" i="5"/>
  <c r="AH643" i="5"/>
  <c r="AG643" i="5"/>
  <c r="AF643" i="5"/>
  <c r="AE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A643" i="5"/>
  <c r="CC642" i="5"/>
  <c r="BX642" i="5"/>
  <c r="BS642" i="5"/>
  <c r="BR642" i="5"/>
  <c r="BQ642" i="5"/>
  <c r="BP642" i="5"/>
  <c r="BO642" i="5"/>
  <c r="BN642" i="5"/>
  <c r="BM642" i="5"/>
  <c r="BL642" i="5"/>
  <c r="BK642" i="5"/>
  <c r="BJ642" i="5"/>
  <c r="BI642" i="5"/>
  <c r="BH642" i="5"/>
  <c r="BG642" i="5"/>
  <c r="BF642" i="5"/>
  <c r="BE642" i="5"/>
  <c r="BD642" i="5"/>
  <c r="BB642" i="5"/>
  <c r="BA642" i="5"/>
  <c r="AZ642" i="5"/>
  <c r="AY642" i="5"/>
  <c r="AW642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H642" i="5"/>
  <c r="AG642" i="5"/>
  <c r="AF642" i="5"/>
  <c r="AE642" i="5"/>
  <c r="AC642" i="5"/>
  <c r="AB642" i="5"/>
  <c r="AA642" i="5"/>
  <c r="A642" i="5"/>
  <c r="CC641" i="5"/>
  <c r="BX641" i="5"/>
  <c r="BS641" i="5"/>
  <c r="BQ641" i="5"/>
  <c r="BP641" i="5"/>
  <c r="BO641" i="5"/>
  <c r="BN641" i="5"/>
  <c r="BL641" i="5"/>
  <c r="BK641" i="5"/>
  <c r="BJ641" i="5"/>
  <c r="BI641" i="5"/>
  <c r="BG641" i="5"/>
  <c r="BF641" i="5"/>
  <c r="BE641" i="5"/>
  <c r="BD641" i="5"/>
  <c r="BB641" i="5"/>
  <c r="BA641" i="5"/>
  <c r="AZ641" i="5"/>
  <c r="AY641" i="5"/>
  <c r="AW641" i="5"/>
  <c r="AV641" i="5"/>
  <c r="AU641" i="5"/>
  <c r="AT641" i="5"/>
  <c r="AR641" i="5"/>
  <c r="AQ641" i="5"/>
  <c r="AP641" i="5"/>
  <c r="AO641" i="5"/>
  <c r="AM641" i="5"/>
  <c r="AL641" i="5"/>
  <c r="AK641" i="5"/>
  <c r="AJ641" i="5"/>
  <c r="AH641" i="5"/>
  <c r="AG641" i="5"/>
  <c r="AF641" i="5"/>
  <c r="AE641" i="5"/>
  <c r="AC641" i="5"/>
  <c r="AB641" i="5"/>
  <c r="AA641" i="5"/>
  <c r="Z641" i="5"/>
  <c r="X641" i="5"/>
  <c r="W641" i="5"/>
  <c r="V641" i="5"/>
  <c r="U641" i="5"/>
  <c r="S641" i="5"/>
  <c r="R641" i="5"/>
  <c r="Q641" i="5"/>
  <c r="P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A641" i="5"/>
  <c r="BS640" i="5"/>
  <c r="BR640" i="5"/>
  <c r="BQ640" i="5"/>
  <c r="BP640" i="5"/>
  <c r="BO640" i="5"/>
  <c r="BN640" i="5"/>
  <c r="BM640" i="5"/>
  <c r="BL640" i="5"/>
  <c r="BK640" i="5"/>
  <c r="BJ640" i="5"/>
  <c r="BI640" i="5"/>
  <c r="BG640" i="5"/>
  <c r="BF640" i="5"/>
  <c r="BE640" i="5"/>
  <c r="BD640" i="5"/>
  <c r="BB640" i="5"/>
  <c r="BA640" i="5"/>
  <c r="AZ640" i="5"/>
  <c r="AY640" i="5"/>
  <c r="AX640" i="5"/>
  <c r="AW640" i="5"/>
  <c r="AV640" i="5"/>
  <c r="AU640" i="5"/>
  <c r="AT640" i="5"/>
  <c r="AS640" i="5"/>
  <c r="AR640" i="5"/>
  <c r="AQ640" i="5"/>
  <c r="AP640" i="5"/>
  <c r="AO640" i="5"/>
  <c r="AM640" i="5"/>
  <c r="AL640" i="5"/>
  <c r="AK640" i="5"/>
  <c r="AJ640" i="5"/>
  <c r="AH640" i="5"/>
  <c r="AG640" i="5"/>
  <c r="AF640" i="5"/>
  <c r="AE640" i="5"/>
  <c r="AC640" i="5"/>
  <c r="AB640" i="5"/>
  <c r="AA640" i="5"/>
  <c r="Z640" i="5"/>
  <c r="Y640" i="5"/>
  <c r="X640" i="5"/>
  <c r="W640" i="5"/>
  <c r="V640" i="5"/>
  <c r="U640" i="5"/>
  <c r="S640" i="5"/>
  <c r="R640" i="5"/>
  <c r="Q640" i="5"/>
  <c r="P640" i="5"/>
  <c r="N640" i="5"/>
  <c r="M640" i="5"/>
  <c r="L640" i="5"/>
  <c r="K640" i="5"/>
  <c r="I640" i="5"/>
  <c r="H640" i="5"/>
  <c r="G640" i="5"/>
  <c r="F640" i="5"/>
  <c r="E640" i="5"/>
  <c r="D640" i="5"/>
  <c r="C640" i="5"/>
  <c r="A640" i="5"/>
  <c r="CC639" i="5"/>
  <c r="BX639" i="5"/>
  <c r="BS639" i="5"/>
  <c r="BQ639" i="5"/>
  <c r="BP639" i="5"/>
  <c r="BO639" i="5"/>
  <c r="BN639" i="5"/>
  <c r="BM639" i="5"/>
  <c r="BL639" i="5"/>
  <c r="BK639" i="5"/>
  <c r="BJ639" i="5"/>
  <c r="BI639" i="5"/>
  <c r="BG639" i="5"/>
  <c r="BF639" i="5"/>
  <c r="BE639" i="5"/>
  <c r="BD639" i="5"/>
  <c r="BB639" i="5"/>
  <c r="BA639" i="5"/>
  <c r="AZ639" i="5"/>
  <c r="AY639" i="5"/>
  <c r="AW639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A639" i="5"/>
  <c r="CC638" i="5"/>
  <c r="BX638" i="5"/>
  <c r="BS638" i="5"/>
  <c r="BR638" i="5"/>
  <c r="BQ638" i="5"/>
  <c r="BP638" i="5"/>
  <c r="BO638" i="5"/>
  <c r="BN638" i="5"/>
  <c r="BM638" i="5"/>
  <c r="BL638" i="5"/>
  <c r="BK638" i="5"/>
  <c r="BJ638" i="5"/>
  <c r="BI638" i="5"/>
  <c r="BH638" i="5"/>
  <c r="BG638" i="5"/>
  <c r="BF638" i="5"/>
  <c r="BE638" i="5"/>
  <c r="BD638" i="5"/>
  <c r="BC638" i="5"/>
  <c r="BB638" i="5"/>
  <c r="BA638" i="5"/>
  <c r="BA657" i="5" s="1"/>
  <c r="BA664" i="5" s="1"/>
  <c r="AZ638" i="5"/>
  <c r="AY638" i="5"/>
  <c r="AX638" i="5"/>
  <c r="AW638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A638" i="5"/>
  <c r="BS637" i="5"/>
  <c r="BR637" i="5"/>
  <c r="BQ637" i="5"/>
  <c r="BP637" i="5"/>
  <c r="BO637" i="5"/>
  <c r="BN637" i="5"/>
  <c r="BL637" i="5"/>
  <c r="BK637" i="5"/>
  <c r="BJ637" i="5"/>
  <c r="BI637" i="5"/>
  <c r="BG637" i="5"/>
  <c r="BF637" i="5"/>
  <c r="BE637" i="5"/>
  <c r="BD637" i="5"/>
  <c r="BB637" i="5"/>
  <c r="BA637" i="5"/>
  <c r="AZ637" i="5"/>
  <c r="AY637" i="5"/>
  <c r="AW637" i="5"/>
  <c r="AV637" i="5"/>
  <c r="AU637" i="5"/>
  <c r="AT637" i="5"/>
  <c r="AS637" i="5"/>
  <c r="AR637" i="5"/>
  <c r="AQ637" i="5"/>
  <c r="AP637" i="5"/>
  <c r="AO637" i="5"/>
  <c r="AM637" i="5"/>
  <c r="AL637" i="5"/>
  <c r="AK637" i="5"/>
  <c r="AJ637" i="5"/>
  <c r="AH637" i="5"/>
  <c r="AG637" i="5"/>
  <c r="AF637" i="5"/>
  <c r="AE637" i="5"/>
  <c r="AC637" i="5"/>
  <c r="AB637" i="5"/>
  <c r="AA637" i="5"/>
  <c r="Z637" i="5"/>
  <c r="X637" i="5"/>
  <c r="W637" i="5"/>
  <c r="V637" i="5"/>
  <c r="U637" i="5"/>
  <c r="S637" i="5"/>
  <c r="R637" i="5"/>
  <c r="Q637" i="5"/>
  <c r="P637" i="5"/>
  <c r="N637" i="5"/>
  <c r="M637" i="5"/>
  <c r="L637" i="5"/>
  <c r="K637" i="5"/>
  <c r="I637" i="5"/>
  <c r="H637" i="5"/>
  <c r="G637" i="5"/>
  <c r="F637" i="5"/>
  <c r="E637" i="5"/>
  <c r="D637" i="5"/>
  <c r="C637" i="5"/>
  <c r="A637" i="5"/>
  <c r="BS636" i="5"/>
  <c r="BQ636" i="5"/>
  <c r="BP636" i="5"/>
  <c r="BO636" i="5"/>
  <c r="BN636" i="5"/>
  <c r="BL636" i="5"/>
  <c r="BK636" i="5"/>
  <c r="BJ636" i="5"/>
  <c r="BI636" i="5"/>
  <c r="BG636" i="5"/>
  <c r="BF636" i="5"/>
  <c r="BE636" i="5"/>
  <c r="BD636" i="5"/>
  <c r="BB636" i="5"/>
  <c r="BA636" i="5"/>
  <c r="AZ636" i="5"/>
  <c r="AZ657" i="5" s="1"/>
  <c r="AY636" i="5"/>
  <c r="AY657" i="5" s="1"/>
  <c r="AY664" i="5" s="1"/>
  <c r="AW636" i="5"/>
  <c r="AV636" i="5"/>
  <c r="AU636" i="5"/>
  <c r="AT636" i="5"/>
  <c r="AS636" i="5"/>
  <c r="AR636" i="5"/>
  <c r="AQ636" i="5"/>
  <c r="AP636" i="5"/>
  <c r="AO636" i="5"/>
  <c r="AM636" i="5"/>
  <c r="AL636" i="5"/>
  <c r="AK636" i="5"/>
  <c r="AJ636" i="5"/>
  <c r="AH636" i="5"/>
  <c r="AG636" i="5"/>
  <c r="AF636" i="5"/>
  <c r="AE636" i="5"/>
  <c r="AD636" i="5"/>
  <c r="AC636" i="5"/>
  <c r="AB636" i="5"/>
  <c r="AB657" i="5" s="1"/>
  <c r="AB664" i="5" s="1"/>
  <c r="AA636" i="5"/>
  <c r="AA657" i="5" s="1"/>
  <c r="AA664" i="5" s="1"/>
  <c r="Z636" i="5"/>
  <c r="Y636" i="5"/>
  <c r="X636" i="5"/>
  <c r="W636" i="5"/>
  <c r="W657" i="5" s="1"/>
  <c r="W664" i="5" s="1"/>
  <c r="V636" i="5"/>
  <c r="U636" i="5"/>
  <c r="S636" i="5"/>
  <c r="R636" i="5"/>
  <c r="Q636" i="5"/>
  <c r="P636" i="5"/>
  <c r="N636" i="5"/>
  <c r="M636" i="5"/>
  <c r="L636" i="5"/>
  <c r="K636" i="5"/>
  <c r="I636" i="5"/>
  <c r="H636" i="5"/>
  <c r="G636" i="5"/>
  <c r="F636" i="5"/>
  <c r="E636" i="5"/>
  <c r="D636" i="5"/>
  <c r="C636" i="5"/>
  <c r="A636" i="5"/>
  <c r="BS635" i="5"/>
  <c r="BQ635" i="5"/>
  <c r="BP635" i="5"/>
  <c r="BO635" i="5"/>
  <c r="BN635" i="5"/>
  <c r="BL635" i="5"/>
  <c r="BK635" i="5"/>
  <c r="BJ635" i="5"/>
  <c r="BI635" i="5"/>
  <c r="BG635" i="5"/>
  <c r="BF635" i="5"/>
  <c r="BE635" i="5"/>
  <c r="BD635" i="5"/>
  <c r="BB635" i="5"/>
  <c r="BA635" i="5"/>
  <c r="AZ635" i="5"/>
  <c r="AY635" i="5"/>
  <c r="AX635" i="5"/>
  <c r="AW635" i="5"/>
  <c r="AV635" i="5"/>
  <c r="AU635" i="5"/>
  <c r="AT635" i="5"/>
  <c r="AR635" i="5"/>
  <c r="AQ635" i="5"/>
  <c r="AP635" i="5"/>
  <c r="AO635" i="5"/>
  <c r="AM635" i="5"/>
  <c r="AL635" i="5"/>
  <c r="AK635" i="5"/>
  <c r="AJ635" i="5"/>
  <c r="AH635" i="5"/>
  <c r="AG635" i="5"/>
  <c r="AF635" i="5"/>
  <c r="AE635" i="5"/>
  <c r="AC635" i="5"/>
  <c r="AB635" i="5"/>
  <c r="AA635" i="5"/>
  <c r="Z635" i="5"/>
  <c r="X635" i="5"/>
  <c r="W635" i="5"/>
  <c r="V635" i="5"/>
  <c r="U635" i="5"/>
  <c r="S635" i="5"/>
  <c r="R635" i="5"/>
  <c r="Q635" i="5"/>
  <c r="P635" i="5"/>
  <c r="N635" i="5"/>
  <c r="M635" i="5"/>
  <c r="L635" i="5"/>
  <c r="K635" i="5"/>
  <c r="I635" i="5"/>
  <c r="H635" i="5"/>
  <c r="G635" i="5"/>
  <c r="F635" i="5"/>
  <c r="E635" i="5"/>
  <c r="D635" i="5"/>
  <c r="C635" i="5"/>
  <c r="A635" i="5"/>
  <c r="A634" i="5"/>
  <c r="BR631" i="5"/>
  <c r="BM631" i="5"/>
  <c r="BH631" i="5"/>
  <c r="BC631" i="5"/>
  <c r="AX631" i="5"/>
  <c r="AS631" i="5"/>
  <c r="AN631" i="5"/>
  <c r="AI631" i="5"/>
  <c r="AD631" i="5"/>
  <c r="Y631" i="5"/>
  <c r="T631" i="5"/>
  <c r="O631" i="5"/>
  <c r="J631" i="5"/>
  <c r="BR630" i="5"/>
  <c r="BM630" i="5"/>
  <c r="BH630" i="5"/>
  <c r="BC630" i="5"/>
  <c r="AX630" i="5"/>
  <c r="AS630" i="5"/>
  <c r="AN630" i="5"/>
  <c r="AI630" i="5"/>
  <c r="AD630" i="5"/>
  <c r="Y630" i="5"/>
  <c r="T630" i="5"/>
  <c r="O630" i="5"/>
  <c r="J630" i="5"/>
  <c r="CF625" i="5"/>
  <c r="CE625" i="5"/>
  <c r="BG625" i="5"/>
  <c r="AY625" i="5"/>
  <c r="AW625" i="5"/>
  <c r="S625" i="5"/>
  <c r="R625" i="5"/>
  <c r="K625" i="5"/>
  <c r="CB624" i="5"/>
  <c r="BW624" i="5"/>
  <c r="BR624" i="5"/>
  <c r="BR710" i="5" s="1"/>
  <c r="BM624" i="5"/>
  <c r="BM710" i="5" s="1"/>
  <c r="BH624" i="5"/>
  <c r="BH710" i="5" s="1"/>
  <c r="BC624" i="5"/>
  <c r="BC710" i="5" s="1"/>
  <c r="AX624" i="5"/>
  <c r="AX710" i="5" s="1"/>
  <c r="AS624" i="5"/>
  <c r="AS710" i="5" s="1"/>
  <c r="AN624" i="5"/>
  <c r="AN710" i="5" s="1"/>
  <c r="AI624" i="5"/>
  <c r="AI710" i="5" s="1"/>
  <c r="AD624" i="5"/>
  <c r="AD710" i="5" s="1"/>
  <c r="Y624" i="5"/>
  <c r="Y710" i="5" s="1"/>
  <c r="T624" i="5"/>
  <c r="T710" i="5" s="1"/>
  <c r="O624" i="5"/>
  <c r="O710" i="5" s="1"/>
  <c r="J624" i="5"/>
  <c r="J710" i="5" s="1"/>
  <c r="CF622" i="5"/>
  <c r="CE622" i="5"/>
  <c r="CD622" i="5"/>
  <c r="CC622" i="5"/>
  <c r="CA622" i="5"/>
  <c r="BZ622" i="5"/>
  <c r="BY622" i="5"/>
  <c r="BX622" i="5"/>
  <c r="BX625" i="5" s="1"/>
  <c r="BV622" i="5"/>
  <c r="BU622" i="5"/>
  <c r="BT622" i="5"/>
  <c r="BS622" i="5"/>
  <c r="BS625" i="5" s="1"/>
  <c r="BQ622" i="5"/>
  <c r="BP622" i="5"/>
  <c r="BP625" i="5" s="1"/>
  <c r="BO622" i="5"/>
  <c r="BO625" i="5" s="1"/>
  <c r="BN622" i="5"/>
  <c r="BN625" i="5" s="1"/>
  <c r="BL622" i="5"/>
  <c r="BK622" i="5"/>
  <c r="BK625" i="5" s="1"/>
  <c r="BJ622" i="5"/>
  <c r="BJ625" i="5" s="1"/>
  <c r="BI622" i="5"/>
  <c r="BI625" i="5" s="1"/>
  <c r="BG622" i="5"/>
  <c r="BF622" i="5"/>
  <c r="BE622" i="5"/>
  <c r="BD622" i="5"/>
  <c r="BB622" i="5"/>
  <c r="BA622" i="5"/>
  <c r="AZ622" i="5"/>
  <c r="AY622" i="5"/>
  <c r="AW622" i="5"/>
  <c r="AV622" i="5"/>
  <c r="AU622" i="5"/>
  <c r="AT622" i="5"/>
  <c r="AT625" i="5" s="1"/>
  <c r="AR622" i="5"/>
  <c r="AR625" i="5" s="1"/>
  <c r="AQ622" i="5"/>
  <c r="AQ625" i="5" s="1"/>
  <c r="AP622" i="5"/>
  <c r="AP625" i="5" s="1"/>
  <c r="AO622" i="5"/>
  <c r="AO625" i="5" s="1"/>
  <c r="AM622" i="5"/>
  <c r="AL622" i="5"/>
  <c r="AK622" i="5"/>
  <c r="AK625" i="5" s="1"/>
  <c r="AJ622" i="5"/>
  <c r="AJ625" i="5" s="1"/>
  <c r="AH622" i="5"/>
  <c r="AG622" i="5"/>
  <c r="AF622" i="5"/>
  <c r="AE622" i="5"/>
  <c r="AC622" i="5"/>
  <c r="AB622" i="5"/>
  <c r="AA622" i="5"/>
  <c r="Z622" i="5"/>
  <c r="X622" i="5"/>
  <c r="W622" i="5"/>
  <c r="V622" i="5"/>
  <c r="U622" i="5"/>
  <c r="S622" i="5"/>
  <c r="R622" i="5"/>
  <c r="Q622" i="5"/>
  <c r="P622" i="5"/>
  <c r="P625" i="5" s="1"/>
  <c r="N622" i="5"/>
  <c r="N625" i="5" s="1"/>
  <c r="M622" i="5"/>
  <c r="M625" i="5" s="1"/>
  <c r="L622" i="5"/>
  <c r="L625" i="5" s="1"/>
  <c r="K622" i="5"/>
  <c r="I622" i="5"/>
  <c r="H622" i="5"/>
  <c r="H625" i="5" s="1"/>
  <c r="G622" i="5"/>
  <c r="F622" i="5"/>
  <c r="E622" i="5"/>
  <c r="D622" i="5"/>
  <c r="C622" i="5"/>
  <c r="CB621" i="5"/>
  <c r="BW621" i="5"/>
  <c r="BR621" i="5"/>
  <c r="BR707" i="5" s="1"/>
  <c r="BM621" i="5"/>
  <c r="BM707" i="5" s="1"/>
  <c r="BH621" i="5"/>
  <c r="BH707" i="5" s="1"/>
  <c r="BC621" i="5"/>
  <c r="BC707" i="5" s="1"/>
  <c r="AX621" i="5"/>
  <c r="AX707" i="5" s="1"/>
  <c r="AS621" i="5"/>
  <c r="AS707" i="5" s="1"/>
  <c r="AN621" i="5"/>
  <c r="AN707" i="5" s="1"/>
  <c r="AI621" i="5"/>
  <c r="AI707" i="5" s="1"/>
  <c r="AD621" i="5"/>
  <c r="AD707" i="5" s="1"/>
  <c r="Y621" i="5"/>
  <c r="Y707" i="5" s="1"/>
  <c r="T621" i="5"/>
  <c r="T707" i="5" s="1"/>
  <c r="O621" i="5"/>
  <c r="O707" i="5" s="1"/>
  <c r="J621" i="5"/>
  <c r="J707" i="5" s="1"/>
  <c r="CB620" i="5"/>
  <c r="BW620" i="5"/>
  <c r="CB619" i="5"/>
  <c r="BW619" i="5"/>
  <c r="BR619" i="5"/>
  <c r="BR705" i="5" s="1"/>
  <c r="BM619" i="5"/>
  <c r="BM705" i="5" s="1"/>
  <c r="BH619" i="5"/>
  <c r="BH705" i="5" s="1"/>
  <c r="BC619" i="5"/>
  <c r="BC705" i="5" s="1"/>
  <c r="AX619" i="5"/>
  <c r="AX705" i="5" s="1"/>
  <c r="AS619" i="5"/>
  <c r="AS705" i="5" s="1"/>
  <c r="AN619" i="5"/>
  <c r="AN705" i="5" s="1"/>
  <c r="AI619" i="5"/>
  <c r="AI705" i="5" s="1"/>
  <c r="AD619" i="5"/>
  <c r="AD705" i="5" s="1"/>
  <c r="Y619" i="5"/>
  <c r="Y705" i="5" s="1"/>
  <c r="T619" i="5"/>
  <c r="T705" i="5" s="1"/>
  <c r="O619" i="5"/>
  <c r="O705" i="5" s="1"/>
  <c r="J619" i="5"/>
  <c r="J705" i="5" s="1"/>
  <c r="CB618" i="5"/>
  <c r="BW618" i="5"/>
  <c r="BR618" i="5"/>
  <c r="BR704" i="5" s="1"/>
  <c r="BM618" i="5"/>
  <c r="BM704" i="5" s="1"/>
  <c r="BH618" i="5"/>
  <c r="BH704" i="5" s="1"/>
  <c r="BC618" i="5"/>
  <c r="BC704" i="5" s="1"/>
  <c r="AX618" i="5"/>
  <c r="AX704" i="5" s="1"/>
  <c r="AS618" i="5"/>
  <c r="AS704" i="5" s="1"/>
  <c r="AN618" i="5"/>
  <c r="AN704" i="5" s="1"/>
  <c r="AI618" i="5"/>
  <c r="AI704" i="5" s="1"/>
  <c r="AD618" i="5"/>
  <c r="AD704" i="5" s="1"/>
  <c r="Y618" i="5"/>
  <c r="Y704" i="5" s="1"/>
  <c r="T618" i="5"/>
  <c r="T704" i="5" s="1"/>
  <c r="O618" i="5"/>
  <c r="O704" i="5" s="1"/>
  <c r="J618" i="5"/>
  <c r="J704" i="5" s="1"/>
  <c r="CB617" i="5"/>
  <c r="BW617" i="5"/>
  <c r="BR617" i="5"/>
  <c r="BR703" i="5" s="1"/>
  <c r="BM617" i="5"/>
  <c r="BM703" i="5" s="1"/>
  <c r="BH617" i="5"/>
  <c r="BH703" i="5" s="1"/>
  <c r="BC617" i="5"/>
  <c r="BC703" i="5" s="1"/>
  <c r="AX617" i="5"/>
  <c r="AX703" i="5" s="1"/>
  <c r="AS617" i="5"/>
  <c r="AS703" i="5" s="1"/>
  <c r="AN617" i="5"/>
  <c r="AN703" i="5" s="1"/>
  <c r="AI617" i="5"/>
  <c r="AI703" i="5" s="1"/>
  <c r="AD617" i="5"/>
  <c r="AD703" i="5" s="1"/>
  <c r="Y617" i="5"/>
  <c r="Y703" i="5" s="1"/>
  <c r="T617" i="5"/>
  <c r="T703" i="5" s="1"/>
  <c r="O617" i="5"/>
  <c r="O703" i="5" s="1"/>
  <c r="J617" i="5"/>
  <c r="J703" i="5" s="1"/>
  <c r="CB616" i="5"/>
  <c r="BW616" i="5"/>
  <c r="BR616" i="5"/>
  <c r="BR702" i="5" s="1"/>
  <c r="BM616" i="5"/>
  <c r="BM702" i="5" s="1"/>
  <c r="BH616" i="5"/>
  <c r="BH702" i="5" s="1"/>
  <c r="BC616" i="5"/>
  <c r="BC702" i="5" s="1"/>
  <c r="AX616" i="5"/>
  <c r="AX702" i="5" s="1"/>
  <c r="AS616" i="5"/>
  <c r="AS702" i="5" s="1"/>
  <c r="AN616" i="5"/>
  <c r="AN702" i="5" s="1"/>
  <c r="AI616" i="5"/>
  <c r="AI702" i="5" s="1"/>
  <c r="AD616" i="5"/>
  <c r="AD702" i="5" s="1"/>
  <c r="Y616" i="5"/>
  <c r="Y702" i="5" s="1"/>
  <c r="T616" i="5"/>
  <c r="T702" i="5" s="1"/>
  <c r="O616" i="5"/>
  <c r="O702" i="5" s="1"/>
  <c r="J616" i="5"/>
  <c r="J702" i="5" s="1"/>
  <c r="CB615" i="5"/>
  <c r="BW615" i="5"/>
  <c r="BR615" i="5"/>
  <c r="BR701" i="5" s="1"/>
  <c r="BM615" i="5"/>
  <c r="BM701" i="5" s="1"/>
  <c r="BH615" i="5"/>
  <c r="BH701" i="5" s="1"/>
  <c r="BC615" i="5"/>
  <c r="BC701" i="5" s="1"/>
  <c r="AX615" i="5"/>
  <c r="AX701" i="5" s="1"/>
  <c r="AS615" i="5"/>
  <c r="AS701" i="5" s="1"/>
  <c r="AS486" i="5" s="1"/>
  <c r="AN615" i="5"/>
  <c r="AN701" i="5" s="1"/>
  <c r="AI615" i="5"/>
  <c r="AI701" i="5" s="1"/>
  <c r="AD615" i="5"/>
  <c r="AD701" i="5" s="1"/>
  <c r="Y615" i="5"/>
  <c r="Y701" i="5" s="1"/>
  <c r="T615" i="5"/>
  <c r="T701" i="5" s="1"/>
  <c r="O615" i="5"/>
  <c r="O701" i="5" s="1"/>
  <c r="J615" i="5"/>
  <c r="J701" i="5" s="1"/>
  <c r="CB614" i="5"/>
  <c r="BW614" i="5"/>
  <c r="BR614" i="5"/>
  <c r="BR700" i="5" s="1"/>
  <c r="BM614" i="5"/>
  <c r="BM700" i="5" s="1"/>
  <c r="BH614" i="5"/>
  <c r="BH700" i="5" s="1"/>
  <c r="BC614" i="5"/>
  <c r="BC700" i="5" s="1"/>
  <c r="AX614" i="5"/>
  <c r="AX700" i="5" s="1"/>
  <c r="AS614" i="5"/>
  <c r="AS700" i="5" s="1"/>
  <c r="AN614" i="5"/>
  <c r="AN700" i="5" s="1"/>
  <c r="AI614" i="5"/>
  <c r="AI700" i="5" s="1"/>
  <c r="AD614" i="5"/>
  <c r="AD700" i="5" s="1"/>
  <c r="Y614" i="5"/>
  <c r="Y700" i="5" s="1"/>
  <c r="T614" i="5"/>
  <c r="T700" i="5" s="1"/>
  <c r="O614" i="5"/>
  <c r="O700" i="5" s="1"/>
  <c r="O492" i="5" s="1"/>
  <c r="J614" i="5"/>
  <c r="J700" i="5" s="1"/>
  <c r="CB613" i="5"/>
  <c r="BW613" i="5"/>
  <c r="BR613" i="5"/>
  <c r="BR699" i="5" s="1"/>
  <c r="BM613" i="5"/>
  <c r="BM699" i="5" s="1"/>
  <c r="BH613" i="5"/>
  <c r="BH699" i="5" s="1"/>
  <c r="BC613" i="5"/>
  <c r="BC699" i="5" s="1"/>
  <c r="AX613" i="5"/>
  <c r="AX699" i="5" s="1"/>
  <c r="AS613" i="5"/>
  <c r="AS699" i="5" s="1"/>
  <c r="AN613" i="5"/>
  <c r="AN699" i="5" s="1"/>
  <c r="AI613" i="5"/>
  <c r="AI699" i="5" s="1"/>
  <c r="AD613" i="5"/>
  <c r="AD699" i="5" s="1"/>
  <c r="Y613" i="5"/>
  <c r="Y699" i="5" s="1"/>
  <c r="T613" i="5"/>
  <c r="T699" i="5" s="1"/>
  <c r="T488" i="5" s="1"/>
  <c r="O613" i="5"/>
  <c r="O699" i="5" s="1"/>
  <c r="J613" i="5"/>
  <c r="J699" i="5" s="1"/>
  <c r="CB612" i="5"/>
  <c r="BW612" i="5"/>
  <c r="BR612" i="5"/>
  <c r="BR698" i="5" s="1"/>
  <c r="BM612" i="5"/>
  <c r="BM698" i="5" s="1"/>
  <c r="BH612" i="5"/>
  <c r="BH698" i="5" s="1"/>
  <c r="BC612" i="5"/>
  <c r="BC698" i="5" s="1"/>
  <c r="AX612" i="5"/>
  <c r="AX698" i="5" s="1"/>
  <c r="AS612" i="5"/>
  <c r="AS698" i="5" s="1"/>
  <c r="AN612" i="5"/>
  <c r="AN698" i="5" s="1"/>
  <c r="AI612" i="5"/>
  <c r="AI698" i="5" s="1"/>
  <c r="AD612" i="5"/>
  <c r="AD698" i="5" s="1"/>
  <c r="Y612" i="5"/>
  <c r="Y698" i="5" s="1"/>
  <c r="T612" i="5"/>
  <c r="T698" i="5" s="1"/>
  <c r="O612" i="5"/>
  <c r="O698" i="5" s="1"/>
  <c r="J612" i="5"/>
  <c r="J698" i="5" s="1"/>
  <c r="CB611" i="5"/>
  <c r="BW611" i="5"/>
  <c r="BR611" i="5"/>
  <c r="BR697" i="5" s="1"/>
  <c r="BM611" i="5"/>
  <c r="BM697" i="5" s="1"/>
  <c r="BH611" i="5"/>
  <c r="BH697" i="5" s="1"/>
  <c r="BC611" i="5"/>
  <c r="BC697" i="5" s="1"/>
  <c r="AX611" i="5"/>
  <c r="AX697" i="5" s="1"/>
  <c r="AS611" i="5"/>
  <c r="AS697" i="5" s="1"/>
  <c r="AN611" i="5"/>
  <c r="AN697" i="5" s="1"/>
  <c r="AI611" i="5"/>
  <c r="AI697" i="5" s="1"/>
  <c r="AD611" i="5"/>
  <c r="AD697" i="5" s="1"/>
  <c r="Y611" i="5"/>
  <c r="Y697" i="5" s="1"/>
  <c r="T611" i="5"/>
  <c r="T697" i="5" s="1"/>
  <c r="O611" i="5"/>
  <c r="O697" i="5" s="1"/>
  <c r="J611" i="5"/>
  <c r="J697" i="5" s="1"/>
  <c r="CB610" i="5"/>
  <c r="BW610" i="5"/>
  <c r="BR610" i="5"/>
  <c r="BR696" i="5" s="1"/>
  <c r="BM610" i="5"/>
  <c r="BM696" i="5" s="1"/>
  <c r="BH610" i="5"/>
  <c r="BH696" i="5" s="1"/>
  <c r="BC610" i="5"/>
  <c r="BC696" i="5" s="1"/>
  <c r="AX610" i="5"/>
  <c r="AX696" i="5" s="1"/>
  <c r="AS610" i="5"/>
  <c r="AS696" i="5" s="1"/>
  <c r="AN610" i="5"/>
  <c r="AN696" i="5" s="1"/>
  <c r="AI610" i="5"/>
  <c r="AI696" i="5" s="1"/>
  <c r="AD610" i="5"/>
  <c r="AD696" i="5" s="1"/>
  <c r="Y610" i="5"/>
  <c r="Y696" i="5" s="1"/>
  <c r="T610" i="5"/>
  <c r="T696" i="5" s="1"/>
  <c r="O610" i="5"/>
  <c r="O696" i="5" s="1"/>
  <c r="J610" i="5"/>
  <c r="J696" i="5" s="1"/>
  <c r="CB609" i="5"/>
  <c r="BW609" i="5"/>
  <c r="BR609" i="5"/>
  <c r="BR695" i="5" s="1"/>
  <c r="BM609" i="5"/>
  <c r="BM695" i="5" s="1"/>
  <c r="BH609" i="5"/>
  <c r="BH695" i="5" s="1"/>
  <c r="BC609" i="5"/>
  <c r="BC695" i="5" s="1"/>
  <c r="AX609" i="5"/>
  <c r="AX695" i="5" s="1"/>
  <c r="AS609" i="5"/>
  <c r="AS695" i="5" s="1"/>
  <c r="AN609" i="5"/>
  <c r="AN695" i="5" s="1"/>
  <c r="AI609" i="5"/>
  <c r="AI695" i="5" s="1"/>
  <c r="AD609" i="5"/>
  <c r="AD695" i="5" s="1"/>
  <c r="Y609" i="5"/>
  <c r="Y695" i="5" s="1"/>
  <c r="T609" i="5"/>
  <c r="T695" i="5" s="1"/>
  <c r="O609" i="5"/>
  <c r="O695" i="5" s="1"/>
  <c r="J609" i="5"/>
  <c r="J695" i="5" s="1"/>
  <c r="CB608" i="5"/>
  <c r="BW608" i="5"/>
  <c r="BR608" i="5"/>
  <c r="BR694" i="5" s="1"/>
  <c r="BM608" i="5"/>
  <c r="BM694" i="5" s="1"/>
  <c r="BH608" i="5"/>
  <c r="BH694" i="5" s="1"/>
  <c r="BC608" i="5"/>
  <c r="BC694" i="5" s="1"/>
  <c r="AX608" i="5"/>
  <c r="AX694" i="5" s="1"/>
  <c r="AS608" i="5"/>
  <c r="AS694" i="5" s="1"/>
  <c r="AN608" i="5"/>
  <c r="AN694" i="5" s="1"/>
  <c r="AI608" i="5"/>
  <c r="AI694" i="5" s="1"/>
  <c r="AD608" i="5"/>
  <c r="AD694" i="5" s="1"/>
  <c r="Y608" i="5"/>
  <c r="Y694" i="5" s="1"/>
  <c r="T608" i="5"/>
  <c r="T694" i="5" s="1"/>
  <c r="O608" i="5"/>
  <c r="O694" i="5" s="1"/>
  <c r="J608" i="5"/>
  <c r="J694" i="5" s="1"/>
  <c r="CB607" i="5"/>
  <c r="BW607" i="5"/>
  <c r="BR607" i="5"/>
  <c r="BR693" i="5" s="1"/>
  <c r="BM607" i="5"/>
  <c r="BM693" i="5" s="1"/>
  <c r="BH607" i="5"/>
  <c r="BH693" i="5" s="1"/>
  <c r="BC607" i="5"/>
  <c r="BC693" i="5" s="1"/>
  <c r="AX607" i="5"/>
  <c r="AX693" i="5" s="1"/>
  <c r="AS607" i="5"/>
  <c r="AS693" i="5" s="1"/>
  <c r="AN607" i="5"/>
  <c r="AN693" i="5" s="1"/>
  <c r="AI607" i="5"/>
  <c r="AI693" i="5" s="1"/>
  <c r="AD607" i="5"/>
  <c r="AD693" i="5" s="1"/>
  <c r="Y607" i="5"/>
  <c r="Y693" i="5" s="1"/>
  <c r="T607" i="5"/>
  <c r="T693" i="5" s="1"/>
  <c r="O607" i="5"/>
  <c r="O693" i="5" s="1"/>
  <c r="J607" i="5"/>
  <c r="J693" i="5" s="1"/>
  <c r="CB606" i="5"/>
  <c r="BW606" i="5"/>
  <c r="BR606" i="5"/>
  <c r="BR692" i="5" s="1"/>
  <c r="BM606" i="5"/>
  <c r="BM692" i="5" s="1"/>
  <c r="BH606" i="5"/>
  <c r="BH692" i="5" s="1"/>
  <c r="BC606" i="5"/>
  <c r="AX606" i="5"/>
  <c r="AX692" i="5" s="1"/>
  <c r="AS606" i="5"/>
  <c r="AS692" i="5" s="1"/>
  <c r="AN606" i="5"/>
  <c r="AN692" i="5" s="1"/>
  <c r="AI606" i="5"/>
  <c r="AI692" i="5" s="1"/>
  <c r="AD606" i="5"/>
  <c r="AD692" i="5" s="1"/>
  <c r="Y606" i="5"/>
  <c r="Y692" i="5" s="1"/>
  <c r="T606" i="5"/>
  <c r="T692" i="5" s="1"/>
  <c r="O606" i="5"/>
  <c r="O692" i="5" s="1"/>
  <c r="J606" i="5"/>
  <c r="J692" i="5" s="1"/>
  <c r="CB605" i="5"/>
  <c r="BW605" i="5"/>
  <c r="BR605" i="5"/>
  <c r="BM605" i="5"/>
  <c r="BM691" i="5" s="1"/>
  <c r="BH605" i="5"/>
  <c r="BH691" i="5" s="1"/>
  <c r="BC605" i="5"/>
  <c r="BC691" i="5" s="1"/>
  <c r="AX605" i="5"/>
  <c r="AX691" i="5" s="1"/>
  <c r="AS605" i="5"/>
  <c r="AN605" i="5"/>
  <c r="AN691" i="5" s="1"/>
  <c r="AI605" i="5"/>
  <c r="AI691" i="5" s="1"/>
  <c r="AD605" i="5"/>
  <c r="AD691" i="5" s="1"/>
  <c r="CB604" i="5"/>
  <c r="BW604" i="5"/>
  <c r="BR604" i="5"/>
  <c r="BR690" i="5" s="1"/>
  <c r="BM604" i="5"/>
  <c r="BM690" i="5" s="1"/>
  <c r="BH604" i="5"/>
  <c r="BH690" i="5" s="1"/>
  <c r="BC604" i="5"/>
  <c r="BC690" i="5" s="1"/>
  <c r="AX604" i="5"/>
  <c r="AX690" i="5" s="1"/>
  <c r="AS604" i="5"/>
  <c r="AS690" i="5" s="1"/>
  <c r="CB603" i="5"/>
  <c r="BW603" i="5"/>
  <c r="BR603" i="5"/>
  <c r="BR689" i="5" s="1"/>
  <c r="BM603" i="5"/>
  <c r="BM689" i="5" s="1"/>
  <c r="BH603" i="5"/>
  <c r="BH689" i="5" s="1"/>
  <c r="BC603" i="5"/>
  <c r="BC689" i="5" s="1"/>
  <c r="AX603" i="5"/>
  <c r="AX689" i="5" s="1"/>
  <c r="AS603" i="5"/>
  <c r="AS689" i="5" s="1"/>
  <c r="AN603" i="5"/>
  <c r="AN689" i="5" s="1"/>
  <c r="AI603" i="5"/>
  <c r="AI689" i="5" s="1"/>
  <c r="CB602" i="5"/>
  <c r="BW602" i="5"/>
  <c r="BR602" i="5"/>
  <c r="BR688" i="5" s="1"/>
  <c r="BM602" i="5"/>
  <c r="BM688" i="5" s="1"/>
  <c r="BH602" i="5"/>
  <c r="BH688" i="5" s="1"/>
  <c r="BC602" i="5"/>
  <c r="BC688" i="5" s="1"/>
  <c r="AX602" i="5"/>
  <c r="AX688" i="5" s="1"/>
  <c r="AS602" i="5"/>
  <c r="AS688" i="5" s="1"/>
  <c r="AN602" i="5"/>
  <c r="AN688" i="5" s="1"/>
  <c r="AI602" i="5"/>
  <c r="AI688" i="5" s="1"/>
  <c r="AD602" i="5"/>
  <c r="AD688" i="5" s="1"/>
  <c r="Y602" i="5"/>
  <c r="Y688" i="5" s="1"/>
  <c r="T602" i="5"/>
  <c r="T688" i="5" s="1"/>
  <c r="O602" i="5"/>
  <c r="J602" i="5"/>
  <c r="J688" i="5" s="1"/>
  <c r="CB601" i="5"/>
  <c r="BW601" i="5"/>
  <c r="BR601" i="5"/>
  <c r="BR687" i="5" s="1"/>
  <c r="BM601" i="5"/>
  <c r="BM687" i="5" s="1"/>
  <c r="BH601" i="5"/>
  <c r="BC601" i="5"/>
  <c r="BC687" i="5" s="1"/>
  <c r="AX601" i="5"/>
  <c r="AX687" i="5" s="1"/>
  <c r="AS601" i="5"/>
  <c r="AS687" i="5" s="1"/>
  <c r="AN601" i="5"/>
  <c r="AI601" i="5"/>
  <c r="AI687" i="5" s="1"/>
  <c r="AD601" i="5"/>
  <c r="AD687" i="5" s="1"/>
  <c r="Y601" i="5"/>
  <c r="Y687" i="5" s="1"/>
  <c r="T601" i="5"/>
  <c r="T687" i="5" s="1"/>
  <c r="O601" i="5"/>
  <c r="O687" i="5" s="1"/>
  <c r="J601" i="5"/>
  <c r="J687" i="5" s="1"/>
  <c r="CB600" i="5"/>
  <c r="BW600" i="5"/>
  <c r="BR600" i="5"/>
  <c r="BR686" i="5" s="1"/>
  <c r="BM600" i="5"/>
  <c r="BM686" i="5" s="1"/>
  <c r="BH600" i="5"/>
  <c r="BH686" i="5" s="1"/>
  <c r="BC600" i="5"/>
  <c r="BC686" i="5" s="1"/>
  <c r="AX600" i="5"/>
  <c r="AX686" i="5" s="1"/>
  <c r="AS600" i="5"/>
  <c r="AS686" i="5" s="1"/>
  <c r="AN600" i="5"/>
  <c r="AN686" i="5" s="1"/>
  <c r="AI600" i="5"/>
  <c r="AI686" i="5" s="1"/>
  <c r="AD600" i="5"/>
  <c r="AD686" i="5" s="1"/>
  <c r="Y600" i="5"/>
  <c r="Y686" i="5" s="1"/>
  <c r="T600" i="5"/>
  <c r="O600" i="5"/>
  <c r="O686" i="5" s="1"/>
  <c r="J600" i="5"/>
  <c r="J686" i="5" s="1"/>
  <c r="CB599" i="5"/>
  <c r="BW599" i="5"/>
  <c r="BR599" i="5"/>
  <c r="BR685" i="5" s="1"/>
  <c r="BR491" i="5" s="1"/>
  <c r="BM599" i="5"/>
  <c r="BM685" i="5" s="1"/>
  <c r="BH599" i="5"/>
  <c r="BH685" i="5" s="1"/>
  <c r="BC599" i="5"/>
  <c r="BC685" i="5" s="1"/>
  <c r="AX599" i="5"/>
  <c r="AS599" i="5"/>
  <c r="AN599" i="5"/>
  <c r="AN685" i="5" s="1"/>
  <c r="AI599" i="5"/>
  <c r="AI685" i="5" s="1"/>
  <c r="AD599" i="5"/>
  <c r="AD685" i="5" s="1"/>
  <c r="Y599" i="5"/>
  <c r="Y685" i="5" s="1"/>
  <c r="CB598" i="5"/>
  <c r="BW598" i="5"/>
  <c r="BR598" i="5"/>
  <c r="BR684" i="5" s="1"/>
  <c r="BM598" i="5"/>
  <c r="BM684" i="5" s="1"/>
  <c r="BH598" i="5"/>
  <c r="BH684" i="5" s="1"/>
  <c r="BC598" i="5"/>
  <c r="AX598" i="5"/>
  <c r="AX684" i="5" s="1"/>
  <c r="AS598" i="5"/>
  <c r="AS684" i="5" s="1"/>
  <c r="AN598" i="5"/>
  <c r="AN684" i="5" s="1"/>
  <c r="AI598" i="5"/>
  <c r="AD598" i="5"/>
  <c r="Y598" i="5"/>
  <c r="T598" i="5"/>
  <c r="T684" i="5" s="1"/>
  <c r="O598" i="5"/>
  <c r="O684" i="5" s="1"/>
  <c r="J598" i="5"/>
  <c r="J684" i="5" s="1"/>
  <c r="CF595" i="5"/>
  <c r="CE595" i="5"/>
  <c r="CD595" i="5"/>
  <c r="CD625" i="5" s="1"/>
  <c r="CC595" i="5"/>
  <c r="CA595" i="5"/>
  <c r="BZ595" i="5"/>
  <c r="BY595" i="5"/>
  <c r="BX595" i="5"/>
  <c r="BV595" i="5"/>
  <c r="BU595" i="5"/>
  <c r="BT595" i="5"/>
  <c r="BT625" i="5" s="1"/>
  <c r="BS595" i="5"/>
  <c r="BQ595" i="5"/>
  <c r="BP595" i="5"/>
  <c r="BO595" i="5"/>
  <c r="BN595" i="5"/>
  <c r="BL595" i="5"/>
  <c r="BK595" i="5"/>
  <c r="BJ595" i="5"/>
  <c r="BI595" i="5"/>
  <c r="BG595" i="5"/>
  <c r="BF595" i="5"/>
  <c r="BF625" i="5" s="1"/>
  <c r="BE595" i="5"/>
  <c r="BD595" i="5"/>
  <c r="BB595" i="5"/>
  <c r="BA595" i="5"/>
  <c r="AZ595" i="5"/>
  <c r="AY595" i="5"/>
  <c r="AW595" i="5"/>
  <c r="AV595" i="5"/>
  <c r="AU595" i="5"/>
  <c r="AT595" i="5"/>
  <c r="AR595" i="5"/>
  <c r="AQ595" i="5"/>
  <c r="AP595" i="5"/>
  <c r="AO595" i="5"/>
  <c r="AM595" i="5"/>
  <c r="AL595" i="5"/>
  <c r="AK595" i="5"/>
  <c r="AJ595" i="5"/>
  <c r="AH595" i="5"/>
  <c r="AH625" i="5" s="1"/>
  <c r="AG595" i="5"/>
  <c r="AF595" i="5"/>
  <c r="AE595" i="5"/>
  <c r="AC595" i="5"/>
  <c r="AB595" i="5"/>
  <c r="AA595" i="5"/>
  <c r="Z595" i="5"/>
  <c r="X595" i="5"/>
  <c r="W595" i="5"/>
  <c r="V595" i="5"/>
  <c r="U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G625" i="5" s="1"/>
  <c r="F595" i="5"/>
  <c r="E595" i="5"/>
  <c r="D595" i="5"/>
  <c r="C595" i="5"/>
  <c r="CB594" i="5"/>
  <c r="BW594" i="5"/>
  <c r="BR594" i="5"/>
  <c r="BR680" i="5" s="1"/>
  <c r="BM594" i="5"/>
  <c r="BM680" i="5" s="1"/>
  <c r="BH594" i="5"/>
  <c r="BH680" i="5" s="1"/>
  <c r="BC594" i="5"/>
  <c r="BC680" i="5" s="1"/>
  <c r="AX594" i="5"/>
  <c r="AX680" i="5" s="1"/>
  <c r="AS594" i="5"/>
  <c r="AS680" i="5" s="1"/>
  <c r="AN594" i="5"/>
  <c r="AN680" i="5" s="1"/>
  <c r="AI594" i="5"/>
  <c r="AI680" i="5" s="1"/>
  <c r="AD594" i="5"/>
  <c r="AD680" i="5" s="1"/>
  <c r="Y594" i="5"/>
  <c r="Y680" i="5" s="1"/>
  <c r="T594" i="5"/>
  <c r="T680" i="5" s="1"/>
  <c r="O594" i="5"/>
  <c r="O680" i="5" s="1"/>
  <c r="J594" i="5"/>
  <c r="J680" i="5" s="1"/>
  <c r="CB593" i="5"/>
  <c r="BW593" i="5"/>
  <c r="BR593" i="5"/>
  <c r="BR679" i="5" s="1"/>
  <c r="BM593" i="5"/>
  <c r="BM679" i="5" s="1"/>
  <c r="BH593" i="5"/>
  <c r="BH679" i="5" s="1"/>
  <c r="BC593" i="5"/>
  <c r="BC679" i="5" s="1"/>
  <c r="AX593" i="5"/>
  <c r="AX679" i="5" s="1"/>
  <c r="AS593" i="5"/>
  <c r="AS679" i="5" s="1"/>
  <c r="AN593" i="5"/>
  <c r="AN679" i="5" s="1"/>
  <c r="AI593" i="5"/>
  <c r="AI679" i="5" s="1"/>
  <c r="AD593" i="5"/>
  <c r="AD679" i="5" s="1"/>
  <c r="Y593" i="5"/>
  <c r="Y679" i="5" s="1"/>
  <c r="T593" i="5"/>
  <c r="T679" i="5" s="1"/>
  <c r="O593" i="5"/>
  <c r="O679" i="5" s="1"/>
  <c r="J593" i="5"/>
  <c r="J679" i="5" s="1"/>
  <c r="CB592" i="5"/>
  <c r="BW592" i="5"/>
  <c r="BR592" i="5"/>
  <c r="BR678" i="5" s="1"/>
  <c r="BM592" i="5"/>
  <c r="BM678" i="5" s="1"/>
  <c r="BH592" i="5"/>
  <c r="BH678" i="5" s="1"/>
  <c r="BC592" i="5"/>
  <c r="BC678" i="5" s="1"/>
  <c r="AX592" i="5"/>
  <c r="AX678" i="5" s="1"/>
  <c r="AS592" i="5"/>
  <c r="AS678" i="5" s="1"/>
  <c r="AN592" i="5"/>
  <c r="AN678" i="5" s="1"/>
  <c r="AI592" i="5"/>
  <c r="AI678" i="5" s="1"/>
  <c r="AD592" i="5"/>
  <c r="AD678" i="5" s="1"/>
  <c r="Y592" i="5"/>
  <c r="T592" i="5"/>
  <c r="O592" i="5"/>
  <c r="O678" i="5" s="1"/>
  <c r="J592" i="5"/>
  <c r="J678" i="5" s="1"/>
  <c r="CB591" i="5"/>
  <c r="BW591" i="5"/>
  <c r="BR591" i="5"/>
  <c r="BR677" i="5" s="1"/>
  <c r="BM591" i="5"/>
  <c r="BM677" i="5" s="1"/>
  <c r="BH591" i="5"/>
  <c r="BH677" i="5" s="1"/>
  <c r="BC591" i="5"/>
  <c r="BC677" i="5" s="1"/>
  <c r="AX591" i="5"/>
  <c r="AX677" i="5" s="1"/>
  <c r="AS591" i="5"/>
  <c r="AS677" i="5" s="1"/>
  <c r="AN591" i="5"/>
  <c r="AN677" i="5" s="1"/>
  <c r="AI591" i="5"/>
  <c r="AI677" i="5" s="1"/>
  <c r="AD591" i="5"/>
  <c r="AD677" i="5" s="1"/>
  <c r="CB590" i="5"/>
  <c r="BW590" i="5"/>
  <c r="BR590" i="5"/>
  <c r="BR676" i="5" s="1"/>
  <c r="BM590" i="5"/>
  <c r="BM676" i="5" s="1"/>
  <c r="BH590" i="5"/>
  <c r="BH676" i="5" s="1"/>
  <c r="BC590" i="5"/>
  <c r="AX590" i="5"/>
  <c r="AS590" i="5"/>
  <c r="AN590" i="5"/>
  <c r="AN676" i="5" s="1"/>
  <c r="AI590" i="5"/>
  <c r="AI676" i="5" s="1"/>
  <c r="AD590" i="5"/>
  <c r="CB589" i="5"/>
  <c r="BW589" i="5"/>
  <c r="BR589" i="5"/>
  <c r="BR675" i="5" s="1"/>
  <c r="BM589" i="5"/>
  <c r="BM675" i="5" s="1"/>
  <c r="BH589" i="5"/>
  <c r="BH675" i="5" s="1"/>
  <c r="BC589" i="5"/>
  <c r="BC675" i="5" s="1"/>
  <c r="AX589" i="5"/>
  <c r="AX675" i="5" s="1"/>
  <c r="AS589" i="5"/>
  <c r="AS675" i="5" s="1"/>
  <c r="AN589" i="5"/>
  <c r="AN675" i="5" s="1"/>
  <c r="AI589" i="5"/>
  <c r="AI675" i="5" s="1"/>
  <c r="AD589" i="5"/>
  <c r="AD675" i="5" s="1"/>
  <c r="Y589" i="5"/>
  <c r="T589" i="5"/>
  <c r="T675" i="5" s="1"/>
  <c r="O589" i="5"/>
  <c r="O675" i="5" s="1"/>
  <c r="J589" i="5"/>
  <c r="J675" i="5" s="1"/>
  <c r="CB588" i="5"/>
  <c r="BW588" i="5"/>
  <c r="BR588" i="5"/>
  <c r="BR674" i="5" s="1"/>
  <c r="BM588" i="5"/>
  <c r="BM674" i="5" s="1"/>
  <c r="BH588" i="5"/>
  <c r="BH674" i="5" s="1"/>
  <c r="BC588" i="5"/>
  <c r="BC674" i="5" s="1"/>
  <c r="AX588" i="5"/>
  <c r="AX674" i="5" s="1"/>
  <c r="AS588" i="5"/>
  <c r="AS674" i="5" s="1"/>
  <c r="AN588" i="5"/>
  <c r="AN674" i="5" s="1"/>
  <c r="AI588" i="5"/>
  <c r="AI674" i="5" s="1"/>
  <c r="AD588" i="5"/>
  <c r="AD674" i="5" s="1"/>
  <c r="CB587" i="5"/>
  <c r="BW587" i="5"/>
  <c r="BR587" i="5"/>
  <c r="BR673" i="5" s="1"/>
  <c r="BM587" i="5"/>
  <c r="BM673" i="5" s="1"/>
  <c r="BH587" i="5"/>
  <c r="BH673" i="5" s="1"/>
  <c r="BC587" i="5"/>
  <c r="BC673" i="5" s="1"/>
  <c r="AX587" i="5"/>
  <c r="AX673" i="5" s="1"/>
  <c r="AS587" i="5"/>
  <c r="AS673" i="5" s="1"/>
  <c r="AN587" i="5"/>
  <c r="AN673" i="5" s="1"/>
  <c r="AI587" i="5"/>
  <c r="AI673" i="5" s="1"/>
  <c r="AD587" i="5"/>
  <c r="CB586" i="5"/>
  <c r="BW586" i="5"/>
  <c r="BR586" i="5"/>
  <c r="BR672" i="5" s="1"/>
  <c r="BM586" i="5"/>
  <c r="BM672" i="5" s="1"/>
  <c r="BH586" i="5"/>
  <c r="BH672" i="5" s="1"/>
  <c r="BC586" i="5"/>
  <c r="BC672" i="5" s="1"/>
  <c r="AX586" i="5"/>
  <c r="AX672" i="5" s="1"/>
  <c r="AS586" i="5"/>
  <c r="AS672" i="5" s="1"/>
  <c r="AN586" i="5"/>
  <c r="AN672" i="5" s="1"/>
  <c r="AI586" i="5"/>
  <c r="AI672" i="5" s="1"/>
  <c r="AD586" i="5"/>
  <c r="CB585" i="5"/>
  <c r="BW585" i="5"/>
  <c r="BR585" i="5"/>
  <c r="BR671" i="5" s="1"/>
  <c r="BM585" i="5"/>
  <c r="BM671" i="5" s="1"/>
  <c r="BH585" i="5"/>
  <c r="BH671" i="5" s="1"/>
  <c r="BC585" i="5"/>
  <c r="AX585" i="5"/>
  <c r="AX671" i="5" s="1"/>
  <c r="AS585" i="5"/>
  <c r="AS671" i="5" s="1"/>
  <c r="AN585" i="5"/>
  <c r="AN671" i="5" s="1"/>
  <c r="AI585" i="5"/>
  <c r="AI671" i="5" s="1"/>
  <c r="AD585" i="5"/>
  <c r="AD671" i="5" s="1"/>
  <c r="Y585" i="5"/>
  <c r="Y671" i="5" s="1"/>
  <c r="T585" i="5"/>
  <c r="T671" i="5" s="1"/>
  <c r="O585" i="5"/>
  <c r="O671" i="5" s="1"/>
  <c r="J585" i="5"/>
  <c r="J671" i="5" s="1"/>
  <c r="CB584" i="5"/>
  <c r="BW584" i="5"/>
  <c r="BR584" i="5"/>
  <c r="BR670" i="5" s="1"/>
  <c r="BM584" i="5"/>
  <c r="BH584" i="5"/>
  <c r="BC584" i="5"/>
  <c r="AX584" i="5"/>
  <c r="AX670" i="5" s="1"/>
  <c r="AS584" i="5"/>
  <c r="AS670" i="5" s="1"/>
  <c r="AN584" i="5"/>
  <c r="BR583" i="5"/>
  <c r="BR669" i="5" s="1"/>
  <c r="BM583" i="5"/>
  <c r="BM669" i="5" s="1"/>
  <c r="BR582" i="5"/>
  <c r="BR668" i="5" s="1"/>
  <c r="BM582" i="5"/>
  <c r="BM668" i="5" s="1"/>
  <c r="CB581" i="5"/>
  <c r="BW581" i="5"/>
  <c r="BW595" i="5" s="1"/>
  <c r="BR581" i="5"/>
  <c r="BR667" i="5" s="1"/>
  <c r="BM581" i="5"/>
  <c r="BM667" i="5" s="1"/>
  <c r="BH581" i="5"/>
  <c r="BC581" i="5"/>
  <c r="BC667" i="5" s="1"/>
  <c r="AX581" i="5"/>
  <c r="AX667" i="5" s="1"/>
  <c r="AS581" i="5"/>
  <c r="AS667" i="5" s="1"/>
  <c r="AN581" i="5"/>
  <c r="AN667" i="5" s="1"/>
  <c r="AI581" i="5"/>
  <c r="AD581" i="5"/>
  <c r="AD667" i="5" s="1"/>
  <c r="Y581" i="5"/>
  <c r="Y667" i="5" s="1"/>
  <c r="T581" i="5"/>
  <c r="O581" i="5"/>
  <c r="O667" i="5" s="1"/>
  <c r="J581" i="5"/>
  <c r="J667" i="5" s="1"/>
  <c r="CD578" i="5"/>
  <c r="CA578" i="5"/>
  <c r="CA625" i="5" s="1"/>
  <c r="BZ578" i="5"/>
  <c r="BP578" i="5"/>
  <c r="BO578" i="5"/>
  <c r="BN578" i="5"/>
  <c r="BL578" i="5"/>
  <c r="BK578" i="5"/>
  <c r="BJ578" i="5"/>
  <c r="BF578" i="5"/>
  <c r="BB578" i="5"/>
  <c r="AW578" i="5"/>
  <c r="AV578" i="5"/>
  <c r="AV625" i="5" s="1"/>
  <c r="AR578" i="5"/>
  <c r="AQ578" i="5"/>
  <c r="AP578" i="5"/>
  <c r="AM578" i="5"/>
  <c r="AK578" i="5"/>
  <c r="AC578" i="5"/>
  <c r="V578" i="5"/>
  <c r="U578" i="5"/>
  <c r="S578" i="5"/>
  <c r="R578" i="5"/>
  <c r="P578" i="5"/>
  <c r="N578" i="5"/>
  <c r="M578" i="5"/>
  <c r="CB577" i="5"/>
  <c r="BW577" i="5"/>
  <c r="BR577" i="5"/>
  <c r="BR663" i="5" s="1"/>
  <c r="BM577" i="5"/>
  <c r="BM663" i="5" s="1"/>
  <c r="BH577" i="5"/>
  <c r="BH663" i="5" s="1"/>
  <c r="BC577" i="5"/>
  <c r="BC663" i="5" s="1"/>
  <c r="AX577" i="5"/>
  <c r="AX663" i="5" s="1"/>
  <c r="AS577" i="5"/>
  <c r="AS663" i="5" s="1"/>
  <c r="AN577" i="5"/>
  <c r="AN663" i="5" s="1"/>
  <c r="AI577" i="5"/>
  <c r="AI663" i="5" s="1"/>
  <c r="AD577" i="5"/>
  <c r="AD663" i="5" s="1"/>
  <c r="Y577" i="5"/>
  <c r="Y663" i="5" s="1"/>
  <c r="T577" i="5"/>
  <c r="T663" i="5" s="1"/>
  <c r="O577" i="5"/>
  <c r="O663" i="5" s="1"/>
  <c r="J577" i="5"/>
  <c r="CB576" i="5"/>
  <c r="BW576" i="5"/>
  <c r="BR576" i="5"/>
  <c r="BR662" i="5" s="1"/>
  <c r="BM576" i="5"/>
  <c r="BH576" i="5"/>
  <c r="BH662" i="5" s="1"/>
  <c r="BC576" i="5"/>
  <c r="BC662" i="5" s="1"/>
  <c r="AX576" i="5"/>
  <c r="AX662" i="5" s="1"/>
  <c r="AS576" i="5"/>
  <c r="AS662" i="5" s="1"/>
  <c r="AN576" i="5"/>
  <c r="AN662" i="5" s="1"/>
  <c r="AI576" i="5"/>
  <c r="AI662" i="5" s="1"/>
  <c r="AD576" i="5"/>
  <c r="AD662" i="5" s="1"/>
  <c r="Y576" i="5"/>
  <c r="Y662" i="5" s="1"/>
  <c r="T576" i="5"/>
  <c r="T662" i="5" s="1"/>
  <c r="O576" i="5"/>
  <c r="O662" i="5" s="1"/>
  <c r="J576" i="5"/>
  <c r="J662" i="5" s="1"/>
  <c r="CB575" i="5"/>
  <c r="BW575" i="5"/>
  <c r="BR575" i="5"/>
  <c r="BR661" i="5" s="1"/>
  <c r="BM575" i="5"/>
  <c r="BM661" i="5" s="1"/>
  <c r="BH575" i="5"/>
  <c r="BH661" i="5" s="1"/>
  <c r="BC575" i="5"/>
  <c r="BC661" i="5" s="1"/>
  <c r="AX575" i="5"/>
  <c r="AX661" i="5" s="1"/>
  <c r="AS575" i="5"/>
  <c r="AS661" i="5" s="1"/>
  <c r="AN575" i="5"/>
  <c r="AI575" i="5"/>
  <c r="AD575" i="5"/>
  <c r="AD661" i="5" s="1"/>
  <c r="Y575" i="5"/>
  <c r="Y661" i="5" s="1"/>
  <c r="T575" i="5"/>
  <c r="T661" i="5" s="1"/>
  <c r="O575" i="5"/>
  <c r="J575" i="5"/>
  <c r="CF571" i="5"/>
  <c r="CF578" i="5" s="1"/>
  <c r="CE571" i="5"/>
  <c r="CE578" i="5" s="1"/>
  <c r="CD571" i="5"/>
  <c r="CC571" i="5"/>
  <c r="CC578" i="5" s="1"/>
  <c r="CC625" i="5" s="1"/>
  <c r="CA571" i="5"/>
  <c r="BZ571" i="5"/>
  <c r="BY571" i="5"/>
  <c r="BY578" i="5" s="1"/>
  <c r="BX571" i="5"/>
  <c r="BX578" i="5" s="1"/>
  <c r="BV571" i="5"/>
  <c r="BV578" i="5" s="1"/>
  <c r="BV625" i="5" s="1"/>
  <c r="BU571" i="5"/>
  <c r="BU578" i="5" s="1"/>
  <c r="BU625" i="5" s="1"/>
  <c r="BT571" i="5"/>
  <c r="BT578" i="5" s="1"/>
  <c r="BS571" i="5"/>
  <c r="BS578" i="5" s="1"/>
  <c r="BQ571" i="5"/>
  <c r="BQ578" i="5" s="1"/>
  <c r="BP571" i="5"/>
  <c r="BO571" i="5"/>
  <c r="BN571" i="5"/>
  <c r="BL571" i="5"/>
  <c r="BK571" i="5"/>
  <c r="BJ571" i="5"/>
  <c r="BI571" i="5"/>
  <c r="BI578" i="5" s="1"/>
  <c r="BG571" i="5"/>
  <c r="BG578" i="5" s="1"/>
  <c r="BF571" i="5"/>
  <c r="BE571" i="5"/>
  <c r="BE578" i="5" s="1"/>
  <c r="BE625" i="5" s="1"/>
  <c r="BD571" i="5"/>
  <c r="BD578" i="5" s="1"/>
  <c r="BB571" i="5"/>
  <c r="BA571" i="5"/>
  <c r="BA578" i="5" s="1"/>
  <c r="AZ571" i="5"/>
  <c r="AZ578" i="5" s="1"/>
  <c r="AY571" i="5"/>
  <c r="AY578" i="5" s="1"/>
  <c r="AW571" i="5"/>
  <c r="AV571" i="5"/>
  <c r="AU571" i="5"/>
  <c r="AU578" i="5" s="1"/>
  <c r="AU625" i="5" s="1"/>
  <c r="AT571" i="5"/>
  <c r="AT578" i="5" s="1"/>
  <c r="AR571" i="5"/>
  <c r="AQ571" i="5"/>
  <c r="AP571" i="5"/>
  <c r="AO571" i="5"/>
  <c r="AO578" i="5" s="1"/>
  <c r="AM571" i="5"/>
  <c r="AL571" i="5"/>
  <c r="AL578" i="5" s="1"/>
  <c r="AK571" i="5"/>
  <c r="AJ571" i="5"/>
  <c r="AJ578" i="5" s="1"/>
  <c r="AH571" i="5"/>
  <c r="AH578" i="5" s="1"/>
  <c r="AG571" i="5"/>
  <c r="AG578" i="5" s="1"/>
  <c r="AG625" i="5" s="1"/>
  <c r="AF571" i="5"/>
  <c r="AF578" i="5" s="1"/>
  <c r="AE571" i="5"/>
  <c r="AE578" i="5" s="1"/>
  <c r="AC571" i="5"/>
  <c r="AB571" i="5"/>
  <c r="AB578" i="5" s="1"/>
  <c r="AA571" i="5"/>
  <c r="AA578" i="5" s="1"/>
  <c r="Z571" i="5"/>
  <c r="Z578" i="5" s="1"/>
  <c r="X571" i="5"/>
  <c r="X578" i="5" s="1"/>
  <c r="X625" i="5" s="1"/>
  <c r="W571" i="5"/>
  <c r="W578" i="5" s="1"/>
  <c r="W625" i="5" s="1"/>
  <c r="V571" i="5"/>
  <c r="U571" i="5"/>
  <c r="S571" i="5"/>
  <c r="R571" i="5"/>
  <c r="Q571" i="5"/>
  <c r="Q578" i="5" s="1"/>
  <c r="Q625" i="5" s="1"/>
  <c r="P571" i="5"/>
  <c r="N571" i="5"/>
  <c r="M571" i="5"/>
  <c r="L571" i="5"/>
  <c r="L578" i="5" s="1"/>
  <c r="K571" i="5"/>
  <c r="K578" i="5" s="1"/>
  <c r="I571" i="5"/>
  <c r="I578" i="5" s="1"/>
  <c r="I625" i="5" s="1"/>
  <c r="H571" i="5"/>
  <c r="H578" i="5" s="1"/>
  <c r="G571" i="5"/>
  <c r="G578" i="5" s="1"/>
  <c r="F571" i="5"/>
  <c r="F578" i="5" s="1"/>
  <c r="E571" i="5"/>
  <c r="E578" i="5" s="1"/>
  <c r="D571" i="5"/>
  <c r="D578" i="5" s="1"/>
  <c r="C571" i="5"/>
  <c r="C578" i="5" s="1"/>
  <c r="CB570" i="5"/>
  <c r="BW570" i="5"/>
  <c r="BR570" i="5"/>
  <c r="BR656" i="5" s="1"/>
  <c r="BM570" i="5"/>
  <c r="BM656" i="5" s="1"/>
  <c r="BH570" i="5"/>
  <c r="BH656" i="5" s="1"/>
  <c r="BC570" i="5"/>
  <c r="BC656" i="5" s="1"/>
  <c r="AX570" i="5"/>
  <c r="AS570" i="5"/>
  <c r="AS656" i="5" s="1"/>
  <c r="AN570" i="5"/>
  <c r="AN656" i="5" s="1"/>
  <c r="AI570" i="5"/>
  <c r="AI656" i="5" s="1"/>
  <c r="AD570" i="5"/>
  <c r="Y570" i="5"/>
  <c r="T570" i="5"/>
  <c r="T656" i="5" s="1"/>
  <c r="O570" i="5"/>
  <c r="O656" i="5" s="1"/>
  <c r="J570" i="5"/>
  <c r="J656" i="5" s="1"/>
  <c r="CB569" i="5"/>
  <c r="BW569" i="5"/>
  <c r="BR569" i="5"/>
  <c r="BR655" i="5" s="1"/>
  <c r="BM569" i="5"/>
  <c r="BM655" i="5" s="1"/>
  <c r="BH569" i="5"/>
  <c r="BH655" i="5" s="1"/>
  <c r="BC569" i="5"/>
  <c r="BC655" i="5" s="1"/>
  <c r="AX569" i="5"/>
  <c r="AX655" i="5" s="1"/>
  <c r="AS569" i="5"/>
  <c r="AS655" i="5" s="1"/>
  <c r="AN569" i="5"/>
  <c r="AN655" i="5" s="1"/>
  <c r="AI569" i="5"/>
  <c r="AI655" i="5" s="1"/>
  <c r="AD569" i="5"/>
  <c r="AD655" i="5" s="1"/>
  <c r="Y569" i="5"/>
  <c r="Y655" i="5" s="1"/>
  <c r="T569" i="5"/>
  <c r="T655" i="5" s="1"/>
  <c r="O569" i="5"/>
  <c r="O655" i="5" s="1"/>
  <c r="J569" i="5"/>
  <c r="J655" i="5" s="1"/>
  <c r="CB568" i="5"/>
  <c r="BW568" i="5"/>
  <c r="BR568" i="5"/>
  <c r="BR654" i="5" s="1"/>
  <c r="BM568" i="5"/>
  <c r="BM654" i="5" s="1"/>
  <c r="BH568" i="5"/>
  <c r="BC568" i="5"/>
  <c r="AX568" i="5"/>
  <c r="AX654" i="5" s="1"/>
  <c r="AS568" i="5"/>
  <c r="AS654" i="5" s="1"/>
  <c r="AN568" i="5"/>
  <c r="AN654" i="5" s="1"/>
  <c r="AI568" i="5"/>
  <c r="AI654" i="5" s="1"/>
  <c r="AD568" i="5"/>
  <c r="AD654" i="5" s="1"/>
  <c r="CB567" i="5"/>
  <c r="BW567" i="5"/>
  <c r="BR567" i="5"/>
  <c r="BR653" i="5" s="1"/>
  <c r="BM567" i="5"/>
  <c r="BM653" i="5" s="1"/>
  <c r="BH567" i="5"/>
  <c r="BH653" i="5" s="1"/>
  <c r="BC567" i="5"/>
  <c r="AX567" i="5"/>
  <c r="AX653" i="5" s="1"/>
  <c r="AS567" i="5"/>
  <c r="AS653" i="5" s="1"/>
  <c r="AN567" i="5"/>
  <c r="AN653" i="5" s="1"/>
  <c r="AI567" i="5"/>
  <c r="AI653" i="5" s="1"/>
  <c r="AD567" i="5"/>
  <c r="AD653" i="5" s="1"/>
  <c r="CB566" i="5"/>
  <c r="BW566" i="5"/>
  <c r="BR566" i="5"/>
  <c r="BR652" i="5" s="1"/>
  <c r="BM566" i="5"/>
  <c r="BM652" i="5" s="1"/>
  <c r="BH566" i="5"/>
  <c r="BC566" i="5"/>
  <c r="AX566" i="5"/>
  <c r="AS566" i="5"/>
  <c r="AS652" i="5" s="1"/>
  <c r="AN566" i="5"/>
  <c r="AN652" i="5" s="1"/>
  <c r="AI566" i="5"/>
  <c r="AI652" i="5" s="1"/>
  <c r="AD566" i="5"/>
  <c r="AD652" i="5" s="1"/>
  <c r="Y566" i="5"/>
  <c r="T566" i="5"/>
  <c r="T652" i="5" s="1"/>
  <c r="O566" i="5"/>
  <c r="O652" i="5" s="1"/>
  <c r="J566" i="5"/>
  <c r="J652" i="5" s="1"/>
  <c r="CB565" i="5"/>
  <c r="BW565" i="5"/>
  <c r="BR565" i="5"/>
  <c r="BR651" i="5" s="1"/>
  <c r="BM565" i="5"/>
  <c r="BM651" i="5" s="1"/>
  <c r="BH565" i="5"/>
  <c r="BH651" i="5" s="1"/>
  <c r="BC565" i="5"/>
  <c r="BC651" i="5" s="1"/>
  <c r="AX565" i="5"/>
  <c r="AX651" i="5" s="1"/>
  <c r="AS565" i="5"/>
  <c r="AS651" i="5" s="1"/>
  <c r="AN565" i="5"/>
  <c r="AN651" i="5" s="1"/>
  <c r="AI565" i="5"/>
  <c r="AI651" i="5" s="1"/>
  <c r="AD565" i="5"/>
  <c r="AD651" i="5" s="1"/>
  <c r="Y565" i="5"/>
  <c r="Y651" i="5" s="1"/>
  <c r="T565" i="5"/>
  <c r="T651" i="5" s="1"/>
  <c r="O565" i="5"/>
  <c r="O651" i="5" s="1"/>
  <c r="J565" i="5"/>
  <c r="CB564" i="5"/>
  <c r="BW564" i="5"/>
  <c r="BR564" i="5"/>
  <c r="BR650" i="5" s="1"/>
  <c r="BM564" i="5"/>
  <c r="BM650" i="5" s="1"/>
  <c r="BH564" i="5"/>
  <c r="BH650" i="5" s="1"/>
  <c r="BC564" i="5"/>
  <c r="BC650" i="5" s="1"/>
  <c r="AX564" i="5"/>
  <c r="AX650" i="5" s="1"/>
  <c r="AS564" i="5"/>
  <c r="AS650" i="5" s="1"/>
  <c r="AN564" i="5"/>
  <c r="AN650" i="5" s="1"/>
  <c r="AI564" i="5"/>
  <c r="AI650" i="5" s="1"/>
  <c r="AD564" i="5"/>
  <c r="AD650" i="5" s="1"/>
  <c r="Y564" i="5"/>
  <c r="Y650" i="5" s="1"/>
  <c r="T564" i="5"/>
  <c r="T650" i="5" s="1"/>
  <c r="O564" i="5"/>
  <c r="O650" i="5" s="1"/>
  <c r="J564" i="5"/>
  <c r="J650" i="5" s="1"/>
  <c r="CB563" i="5"/>
  <c r="BW563" i="5"/>
  <c r="BR563" i="5"/>
  <c r="BR649" i="5" s="1"/>
  <c r="BM563" i="5"/>
  <c r="BM649" i="5" s="1"/>
  <c r="BH563" i="5"/>
  <c r="BH649" i="5" s="1"/>
  <c r="BC563" i="5"/>
  <c r="BC649" i="5" s="1"/>
  <c r="AX563" i="5"/>
  <c r="AX649" i="5" s="1"/>
  <c r="AS563" i="5"/>
  <c r="AN563" i="5"/>
  <c r="AI563" i="5"/>
  <c r="AD563" i="5"/>
  <c r="Y563" i="5"/>
  <c r="Y649" i="5" s="1"/>
  <c r="T563" i="5"/>
  <c r="T649" i="5" s="1"/>
  <c r="O563" i="5"/>
  <c r="J563" i="5"/>
  <c r="J649" i="5" s="1"/>
  <c r="CB562" i="5"/>
  <c r="BW562" i="5"/>
  <c r="BR562" i="5"/>
  <c r="BR648" i="5" s="1"/>
  <c r="BM562" i="5"/>
  <c r="BH562" i="5"/>
  <c r="BH648" i="5" s="1"/>
  <c r="BC562" i="5"/>
  <c r="BC648" i="5" s="1"/>
  <c r="AX562" i="5"/>
  <c r="AX648" i="5" s="1"/>
  <c r="AS562" i="5"/>
  <c r="AS648" i="5" s="1"/>
  <c r="AN562" i="5"/>
  <c r="AN648" i="5" s="1"/>
  <c r="AI562" i="5"/>
  <c r="AI648" i="5" s="1"/>
  <c r="AD562" i="5"/>
  <c r="AD648" i="5" s="1"/>
  <c r="Y562" i="5"/>
  <c r="Y648" i="5" s="1"/>
  <c r="T562" i="5"/>
  <c r="T648" i="5" s="1"/>
  <c r="O562" i="5"/>
  <c r="O648" i="5" s="1"/>
  <c r="J562" i="5"/>
  <c r="J648" i="5" s="1"/>
  <c r="CB561" i="5"/>
  <c r="BW561" i="5"/>
  <c r="BR561" i="5"/>
  <c r="BR647" i="5" s="1"/>
  <c r="BM561" i="5"/>
  <c r="BH561" i="5"/>
  <c r="BC561" i="5"/>
  <c r="BC647" i="5" s="1"/>
  <c r="AX561" i="5"/>
  <c r="AX647" i="5" s="1"/>
  <c r="AS561" i="5"/>
  <c r="AS647" i="5" s="1"/>
  <c r="AN561" i="5"/>
  <c r="AN647" i="5" s="1"/>
  <c r="AI561" i="5"/>
  <c r="AD561" i="5"/>
  <c r="AD647" i="5" s="1"/>
  <c r="Y561" i="5"/>
  <c r="Y647" i="5" s="1"/>
  <c r="T561" i="5"/>
  <c r="T647" i="5" s="1"/>
  <c r="O561" i="5"/>
  <c r="O647" i="5" s="1"/>
  <c r="J561" i="5"/>
  <c r="CB560" i="5"/>
  <c r="BW560" i="5"/>
  <c r="BR560" i="5"/>
  <c r="BR646" i="5" s="1"/>
  <c r="BM560" i="5"/>
  <c r="BM646" i="5" s="1"/>
  <c r="BH560" i="5"/>
  <c r="BC560" i="5"/>
  <c r="BC646" i="5" s="1"/>
  <c r="AX560" i="5"/>
  <c r="AX646" i="5" s="1"/>
  <c r="AS560" i="5"/>
  <c r="AS646" i="5" s="1"/>
  <c r="AN560" i="5"/>
  <c r="AN646" i="5" s="1"/>
  <c r="AI560" i="5"/>
  <c r="AD560" i="5"/>
  <c r="Y560" i="5"/>
  <c r="T560" i="5"/>
  <c r="T646" i="5" s="1"/>
  <c r="O560" i="5"/>
  <c r="J560" i="5"/>
  <c r="CB559" i="5"/>
  <c r="BW559" i="5"/>
  <c r="BR559" i="5"/>
  <c r="BR645" i="5" s="1"/>
  <c r="BM559" i="5"/>
  <c r="BM645" i="5" s="1"/>
  <c r="BH559" i="5"/>
  <c r="BH645" i="5" s="1"/>
  <c r="BC559" i="5"/>
  <c r="BC645" i="5" s="1"/>
  <c r="AX559" i="5"/>
  <c r="AX645" i="5" s="1"/>
  <c r="AS559" i="5"/>
  <c r="AS645" i="5" s="1"/>
  <c r="AN559" i="5"/>
  <c r="AN645" i="5" s="1"/>
  <c r="AI559" i="5"/>
  <c r="AI645" i="5" s="1"/>
  <c r="AD559" i="5"/>
  <c r="AD645" i="5" s="1"/>
  <c r="Y559" i="5"/>
  <c r="Y645" i="5" s="1"/>
  <c r="T559" i="5"/>
  <c r="T645" i="5" s="1"/>
  <c r="O559" i="5"/>
  <c r="O645" i="5" s="1"/>
  <c r="J559" i="5"/>
  <c r="J645" i="5" s="1"/>
  <c r="CB558" i="5"/>
  <c r="BW558" i="5"/>
  <c r="BR558" i="5"/>
  <c r="BR644" i="5" s="1"/>
  <c r="BM558" i="5"/>
  <c r="BH558" i="5"/>
  <c r="BC558" i="5"/>
  <c r="BC644" i="5" s="1"/>
  <c r="AX558" i="5"/>
  <c r="AS558" i="5"/>
  <c r="AN558" i="5"/>
  <c r="AN644" i="5" s="1"/>
  <c r="AI558" i="5"/>
  <c r="AI644" i="5" s="1"/>
  <c r="AD558" i="5"/>
  <c r="AD644" i="5" s="1"/>
  <c r="Y558" i="5"/>
  <c r="T558" i="5"/>
  <c r="T644" i="5" s="1"/>
  <c r="O558" i="5"/>
  <c r="O644" i="5" s="1"/>
  <c r="J558" i="5"/>
  <c r="J644" i="5" s="1"/>
  <c r="CB557" i="5"/>
  <c r="BW557" i="5"/>
  <c r="BR557" i="5"/>
  <c r="BM557" i="5"/>
  <c r="BM643" i="5" s="1"/>
  <c r="BH557" i="5"/>
  <c r="BH643" i="5" s="1"/>
  <c r="BC557" i="5"/>
  <c r="BC643" i="5" s="1"/>
  <c r="AX557" i="5"/>
  <c r="AX643" i="5" s="1"/>
  <c r="AS557" i="5"/>
  <c r="AN557" i="5"/>
  <c r="AN643" i="5" s="1"/>
  <c r="AI557" i="5"/>
  <c r="AI643" i="5" s="1"/>
  <c r="AD557" i="5"/>
  <c r="AD643" i="5" s="1"/>
  <c r="CB556" i="5"/>
  <c r="BW556" i="5"/>
  <c r="BR556" i="5"/>
  <c r="BM556" i="5"/>
  <c r="BH556" i="5"/>
  <c r="BC556" i="5"/>
  <c r="BC642" i="5" s="1"/>
  <c r="AX556" i="5"/>
  <c r="AX642" i="5" s="1"/>
  <c r="AS556" i="5"/>
  <c r="AN556" i="5"/>
  <c r="AI556" i="5"/>
  <c r="AI642" i="5" s="1"/>
  <c r="AD556" i="5"/>
  <c r="AD642" i="5" s="1"/>
  <c r="CB555" i="5"/>
  <c r="BW555" i="5"/>
  <c r="BR555" i="5"/>
  <c r="BR641" i="5" s="1"/>
  <c r="BM555" i="5"/>
  <c r="BM641" i="5" s="1"/>
  <c r="BH555" i="5"/>
  <c r="BH641" i="5" s="1"/>
  <c r="BC555" i="5"/>
  <c r="BC641" i="5" s="1"/>
  <c r="AX555" i="5"/>
  <c r="AX641" i="5" s="1"/>
  <c r="AS555" i="5"/>
  <c r="AS641" i="5" s="1"/>
  <c r="AN555" i="5"/>
  <c r="AN641" i="5" s="1"/>
  <c r="AI555" i="5"/>
  <c r="AI641" i="5" s="1"/>
  <c r="AD555" i="5"/>
  <c r="AD641" i="5" s="1"/>
  <c r="Y555" i="5"/>
  <c r="Y641" i="5" s="1"/>
  <c r="T555" i="5"/>
  <c r="T641" i="5" s="1"/>
  <c r="O555" i="5"/>
  <c r="O641" i="5" s="1"/>
  <c r="J555" i="5"/>
  <c r="CB554" i="5"/>
  <c r="BW554" i="5"/>
  <c r="BR554" i="5"/>
  <c r="BM554" i="5"/>
  <c r="BH554" i="5"/>
  <c r="BH640" i="5" s="1"/>
  <c r="BC554" i="5"/>
  <c r="BC640" i="5" s="1"/>
  <c r="AX554" i="5"/>
  <c r="AS554" i="5"/>
  <c r="AN554" i="5"/>
  <c r="AN640" i="5" s="1"/>
  <c r="AI554" i="5"/>
  <c r="AI640" i="5" s="1"/>
  <c r="AD554" i="5"/>
  <c r="AD640" i="5" s="1"/>
  <c r="Y554" i="5"/>
  <c r="T554" i="5"/>
  <c r="T640" i="5" s="1"/>
  <c r="O554" i="5"/>
  <c r="O640" i="5" s="1"/>
  <c r="J554" i="5"/>
  <c r="J640" i="5" s="1"/>
  <c r="CB553" i="5"/>
  <c r="BW553" i="5"/>
  <c r="BR553" i="5"/>
  <c r="BR639" i="5" s="1"/>
  <c r="BM553" i="5"/>
  <c r="BH553" i="5"/>
  <c r="BH639" i="5" s="1"/>
  <c r="BC553" i="5"/>
  <c r="BC639" i="5" s="1"/>
  <c r="AX553" i="5"/>
  <c r="AX639" i="5" s="1"/>
  <c r="BR552" i="5"/>
  <c r="BM552" i="5"/>
  <c r="BH552" i="5"/>
  <c r="CB551" i="5"/>
  <c r="BW551" i="5"/>
  <c r="BR551" i="5"/>
  <c r="BM551" i="5"/>
  <c r="BM637" i="5" s="1"/>
  <c r="BH551" i="5"/>
  <c r="BH637" i="5" s="1"/>
  <c r="BC551" i="5"/>
  <c r="BC637" i="5" s="1"/>
  <c r="AX551" i="5"/>
  <c r="AX637" i="5" s="1"/>
  <c r="AS551" i="5"/>
  <c r="AN551" i="5"/>
  <c r="AN637" i="5" s="1"/>
  <c r="AI551" i="5"/>
  <c r="AI637" i="5" s="1"/>
  <c r="AD551" i="5"/>
  <c r="AD637" i="5" s="1"/>
  <c r="Y551" i="5"/>
  <c r="Y637" i="5" s="1"/>
  <c r="T551" i="5"/>
  <c r="T637" i="5" s="1"/>
  <c r="O551" i="5"/>
  <c r="O637" i="5" s="1"/>
  <c r="J551" i="5"/>
  <c r="J637" i="5" s="1"/>
  <c r="CB550" i="5"/>
  <c r="BW550" i="5"/>
  <c r="BR550" i="5"/>
  <c r="BR636" i="5" s="1"/>
  <c r="BM550" i="5"/>
  <c r="BH550" i="5"/>
  <c r="BH636" i="5" s="1"/>
  <c r="BC550" i="5"/>
  <c r="BC636" i="5" s="1"/>
  <c r="AX550" i="5"/>
  <c r="AX636" i="5" s="1"/>
  <c r="AS550" i="5"/>
  <c r="AN550" i="5"/>
  <c r="AN636" i="5" s="1"/>
  <c r="AI550" i="5"/>
  <c r="AI636" i="5" s="1"/>
  <c r="AD550" i="5"/>
  <c r="Y550" i="5"/>
  <c r="T550" i="5"/>
  <c r="T636" i="5" s="1"/>
  <c r="O550" i="5"/>
  <c r="O636" i="5" s="1"/>
  <c r="J550" i="5"/>
  <c r="J636" i="5" s="1"/>
  <c r="CB549" i="5"/>
  <c r="BW549" i="5"/>
  <c r="BR549" i="5"/>
  <c r="BR635" i="5" s="1"/>
  <c r="BM549" i="5"/>
  <c r="BM635" i="5" s="1"/>
  <c r="BH549" i="5"/>
  <c r="BC549" i="5"/>
  <c r="AX549" i="5"/>
  <c r="AS549" i="5"/>
  <c r="AS635" i="5" s="1"/>
  <c r="AN549" i="5"/>
  <c r="AI549" i="5"/>
  <c r="AD549" i="5"/>
  <c r="Y549" i="5"/>
  <c r="Y635" i="5" s="1"/>
  <c r="T549" i="5"/>
  <c r="O549" i="5"/>
  <c r="J549" i="5"/>
  <c r="CF545" i="5"/>
  <c r="CE545" i="5"/>
  <c r="CD545" i="5"/>
  <c r="CC545" i="5"/>
  <c r="CB545" i="5"/>
  <c r="CA545" i="5"/>
  <c r="BZ545" i="5"/>
  <c r="BY545" i="5"/>
  <c r="BX545" i="5"/>
  <c r="BW545" i="5"/>
  <c r="BV545" i="5"/>
  <c r="BU545" i="5"/>
  <c r="BT545" i="5"/>
  <c r="BS545" i="5"/>
  <c r="BR545" i="5"/>
  <c r="BQ545" i="5"/>
  <c r="BP545" i="5"/>
  <c r="BO545" i="5"/>
  <c r="BN545" i="5"/>
  <c r="BM545" i="5"/>
  <c r="BL545" i="5"/>
  <c r="BK545" i="5"/>
  <c r="BJ545" i="5"/>
  <c r="BI545" i="5"/>
  <c r="BH545" i="5"/>
  <c r="BG545" i="5"/>
  <c r="BF545" i="5"/>
  <c r="BE545" i="5"/>
  <c r="BD545" i="5"/>
  <c r="BC545" i="5"/>
  <c r="BB545" i="5"/>
  <c r="BA545" i="5"/>
  <c r="AZ545" i="5"/>
  <c r="AY545" i="5"/>
  <c r="AX545" i="5"/>
  <c r="AW545" i="5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S526" i="5" s="1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T543" i="5"/>
  <c r="BS543" i="5"/>
  <c r="BR543" i="5"/>
  <c r="BQ543" i="5"/>
  <c r="BP543" i="5"/>
  <c r="BO543" i="5"/>
  <c r="BN543" i="5"/>
  <c r="BM543" i="5"/>
  <c r="BL543" i="5"/>
  <c r="BK543" i="5"/>
  <c r="BJ543" i="5"/>
  <c r="BI543" i="5"/>
  <c r="BH543" i="5"/>
  <c r="BG543" i="5"/>
  <c r="BF543" i="5"/>
  <c r="BE543" i="5"/>
  <c r="BD543" i="5"/>
  <c r="BC543" i="5"/>
  <c r="BB543" i="5"/>
  <c r="BA543" i="5"/>
  <c r="AZ543" i="5"/>
  <c r="AY543" i="5"/>
  <c r="AX543" i="5"/>
  <c r="AW543" i="5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CF540" i="5"/>
  <c r="CE540" i="5"/>
  <c r="CD540" i="5"/>
  <c r="CC540" i="5"/>
  <c r="CB540" i="5"/>
  <c r="CA540" i="5"/>
  <c r="BZ540" i="5"/>
  <c r="BY540" i="5"/>
  <c r="BX540" i="5"/>
  <c r="BW540" i="5"/>
  <c r="BV540" i="5"/>
  <c r="BU540" i="5"/>
  <c r="BT540" i="5"/>
  <c r="BS540" i="5"/>
  <c r="BR540" i="5"/>
  <c r="BQ540" i="5"/>
  <c r="BP540" i="5"/>
  <c r="BO540" i="5"/>
  <c r="BN540" i="5"/>
  <c r="BM540" i="5"/>
  <c r="BL540" i="5"/>
  <c r="BK540" i="5"/>
  <c r="BJ540" i="5"/>
  <c r="BI540" i="5"/>
  <c r="BH540" i="5"/>
  <c r="BG540" i="5"/>
  <c r="BF540" i="5"/>
  <c r="BE540" i="5"/>
  <c r="BD540" i="5"/>
  <c r="BC540" i="5"/>
  <c r="BB540" i="5"/>
  <c r="BA540" i="5"/>
  <c r="AZ540" i="5"/>
  <c r="AY540" i="5"/>
  <c r="AX540" i="5"/>
  <c r="AW540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A540" i="5"/>
  <c r="CF539" i="5"/>
  <c r="CE539" i="5"/>
  <c r="CD539" i="5"/>
  <c r="CC539" i="5"/>
  <c r="CB539" i="5"/>
  <c r="CA539" i="5"/>
  <c r="BZ539" i="5"/>
  <c r="BY539" i="5"/>
  <c r="BX539" i="5"/>
  <c r="BW539" i="5"/>
  <c r="BV539" i="5"/>
  <c r="BU539" i="5"/>
  <c r="BT539" i="5"/>
  <c r="BS539" i="5"/>
  <c r="BR539" i="5"/>
  <c r="BQ539" i="5"/>
  <c r="BP539" i="5"/>
  <c r="BO539" i="5"/>
  <c r="BN539" i="5"/>
  <c r="BM539" i="5"/>
  <c r="BL539" i="5"/>
  <c r="BK539" i="5"/>
  <c r="BJ539" i="5"/>
  <c r="BI539" i="5"/>
  <c r="BH539" i="5"/>
  <c r="BG539" i="5"/>
  <c r="BF539" i="5"/>
  <c r="BE539" i="5"/>
  <c r="BD539" i="5"/>
  <c r="BC539" i="5"/>
  <c r="BB539" i="5"/>
  <c r="BA539" i="5"/>
  <c r="AZ539" i="5"/>
  <c r="AY539" i="5"/>
  <c r="AX539" i="5"/>
  <c r="AW539" i="5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A539" i="5"/>
  <c r="CF538" i="5"/>
  <c r="CE538" i="5"/>
  <c r="CD538" i="5"/>
  <c r="CC538" i="5"/>
  <c r="CB538" i="5"/>
  <c r="CA538" i="5"/>
  <c r="BZ538" i="5"/>
  <c r="BY538" i="5"/>
  <c r="BX538" i="5"/>
  <c r="BW538" i="5"/>
  <c r="BV538" i="5"/>
  <c r="BU538" i="5"/>
  <c r="BT538" i="5"/>
  <c r="BS538" i="5"/>
  <c r="BR538" i="5"/>
  <c r="BQ538" i="5"/>
  <c r="BP538" i="5"/>
  <c r="BO538" i="5"/>
  <c r="BN538" i="5"/>
  <c r="BM538" i="5"/>
  <c r="BL538" i="5"/>
  <c r="BK538" i="5"/>
  <c r="BJ538" i="5"/>
  <c r="BI538" i="5"/>
  <c r="BH538" i="5"/>
  <c r="BG538" i="5"/>
  <c r="BF538" i="5"/>
  <c r="BE538" i="5"/>
  <c r="BD538" i="5"/>
  <c r="BC538" i="5"/>
  <c r="BB538" i="5"/>
  <c r="BA538" i="5"/>
  <c r="AZ538" i="5"/>
  <c r="AY538" i="5"/>
  <c r="AX538" i="5"/>
  <c r="AW538" i="5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A538" i="5"/>
  <c r="CF537" i="5"/>
  <c r="CE537" i="5"/>
  <c r="CD537" i="5"/>
  <c r="CC537" i="5"/>
  <c r="CB537" i="5"/>
  <c r="CA537" i="5"/>
  <c r="BZ537" i="5"/>
  <c r="BY537" i="5"/>
  <c r="BX537" i="5"/>
  <c r="BW537" i="5"/>
  <c r="BV537" i="5"/>
  <c r="BU537" i="5"/>
  <c r="BT537" i="5"/>
  <c r="BS537" i="5"/>
  <c r="BR537" i="5"/>
  <c r="BQ537" i="5"/>
  <c r="BP537" i="5"/>
  <c r="BO537" i="5"/>
  <c r="BN537" i="5"/>
  <c r="BM537" i="5"/>
  <c r="BL537" i="5"/>
  <c r="BK537" i="5"/>
  <c r="BJ537" i="5"/>
  <c r="BI537" i="5"/>
  <c r="BH537" i="5"/>
  <c r="BG537" i="5"/>
  <c r="BF537" i="5"/>
  <c r="BE537" i="5"/>
  <c r="BD537" i="5"/>
  <c r="BC537" i="5"/>
  <c r="BB537" i="5"/>
  <c r="BA537" i="5"/>
  <c r="AZ537" i="5"/>
  <c r="AY537" i="5"/>
  <c r="AX537" i="5"/>
  <c r="AW537" i="5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A537" i="5"/>
  <c r="CF536" i="5"/>
  <c r="CE536" i="5"/>
  <c r="CD536" i="5"/>
  <c r="CC536" i="5"/>
  <c r="CB536" i="5"/>
  <c r="CA536" i="5"/>
  <c r="BZ536" i="5"/>
  <c r="BY536" i="5"/>
  <c r="BX536" i="5"/>
  <c r="BW536" i="5"/>
  <c r="BV536" i="5"/>
  <c r="BU536" i="5"/>
  <c r="BT536" i="5"/>
  <c r="BS536" i="5"/>
  <c r="BR536" i="5"/>
  <c r="BQ536" i="5"/>
  <c r="BP536" i="5"/>
  <c r="BO536" i="5"/>
  <c r="BN536" i="5"/>
  <c r="BM536" i="5"/>
  <c r="BL536" i="5"/>
  <c r="BK536" i="5"/>
  <c r="BJ536" i="5"/>
  <c r="BI536" i="5"/>
  <c r="BH536" i="5"/>
  <c r="BG536" i="5"/>
  <c r="BF536" i="5"/>
  <c r="BE536" i="5"/>
  <c r="BD536" i="5"/>
  <c r="BC536" i="5"/>
  <c r="BB536" i="5"/>
  <c r="BA536" i="5"/>
  <c r="AZ536" i="5"/>
  <c r="AY536" i="5"/>
  <c r="AX536" i="5"/>
  <c r="AW536" i="5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A536" i="5"/>
  <c r="CF535" i="5"/>
  <c r="CE535" i="5"/>
  <c r="CD535" i="5"/>
  <c r="CC535" i="5"/>
  <c r="CB535" i="5"/>
  <c r="CA535" i="5"/>
  <c r="BZ535" i="5"/>
  <c r="BY535" i="5"/>
  <c r="BX535" i="5"/>
  <c r="BW535" i="5"/>
  <c r="BV535" i="5"/>
  <c r="BU535" i="5"/>
  <c r="BT535" i="5"/>
  <c r="BS535" i="5"/>
  <c r="BR535" i="5"/>
  <c r="BQ535" i="5"/>
  <c r="BP535" i="5"/>
  <c r="BO535" i="5"/>
  <c r="BN535" i="5"/>
  <c r="BM535" i="5"/>
  <c r="BL535" i="5"/>
  <c r="BK535" i="5"/>
  <c r="BJ535" i="5"/>
  <c r="BI535" i="5"/>
  <c r="BH535" i="5"/>
  <c r="BG535" i="5"/>
  <c r="BF535" i="5"/>
  <c r="BE535" i="5"/>
  <c r="BD535" i="5"/>
  <c r="BC535" i="5"/>
  <c r="BB535" i="5"/>
  <c r="BA535" i="5"/>
  <c r="AZ535" i="5"/>
  <c r="AY535" i="5"/>
  <c r="AX535" i="5"/>
  <c r="AW535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A535" i="5"/>
  <c r="CF534" i="5"/>
  <c r="CE534" i="5"/>
  <c r="CD534" i="5"/>
  <c r="CC534" i="5"/>
  <c r="CB534" i="5"/>
  <c r="CA534" i="5"/>
  <c r="BZ534" i="5"/>
  <c r="BY534" i="5"/>
  <c r="BX534" i="5"/>
  <c r="BW534" i="5"/>
  <c r="BV534" i="5"/>
  <c r="BU534" i="5"/>
  <c r="BT534" i="5"/>
  <c r="BS534" i="5"/>
  <c r="BR534" i="5"/>
  <c r="BQ534" i="5"/>
  <c r="BP534" i="5"/>
  <c r="BO534" i="5"/>
  <c r="BN534" i="5"/>
  <c r="BM534" i="5"/>
  <c r="BL534" i="5"/>
  <c r="BK534" i="5"/>
  <c r="BJ534" i="5"/>
  <c r="BI534" i="5"/>
  <c r="BH534" i="5"/>
  <c r="BG534" i="5"/>
  <c r="BF534" i="5"/>
  <c r="BE534" i="5"/>
  <c r="BD534" i="5"/>
  <c r="BC534" i="5"/>
  <c r="BB534" i="5"/>
  <c r="BA534" i="5"/>
  <c r="AZ534" i="5"/>
  <c r="AY534" i="5"/>
  <c r="AX534" i="5"/>
  <c r="AW534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A534" i="5"/>
  <c r="A532" i="5"/>
  <c r="A531" i="5"/>
  <c r="A530" i="5"/>
  <c r="A529" i="5"/>
  <c r="A528" i="5"/>
  <c r="Q526" i="5"/>
  <c r="A526" i="5"/>
  <c r="CF525" i="5"/>
  <c r="CE525" i="5"/>
  <c r="CD525" i="5"/>
  <c r="CC525" i="5"/>
  <c r="CB525" i="5"/>
  <c r="CA525" i="5"/>
  <c r="BZ525" i="5"/>
  <c r="BY525" i="5"/>
  <c r="BX525" i="5"/>
  <c r="BW525" i="5"/>
  <c r="BV525" i="5"/>
  <c r="BU525" i="5"/>
  <c r="BT525" i="5"/>
  <c r="BS525" i="5"/>
  <c r="BR525" i="5"/>
  <c r="BQ525" i="5"/>
  <c r="BP525" i="5"/>
  <c r="BO525" i="5"/>
  <c r="BN525" i="5"/>
  <c r="BM525" i="5"/>
  <c r="BL525" i="5"/>
  <c r="BK525" i="5"/>
  <c r="BJ525" i="5"/>
  <c r="BI525" i="5"/>
  <c r="BH525" i="5"/>
  <c r="BG525" i="5"/>
  <c r="BF525" i="5"/>
  <c r="BE525" i="5"/>
  <c r="BD525" i="5"/>
  <c r="BC525" i="5"/>
  <c r="BB525" i="5"/>
  <c r="BA525" i="5"/>
  <c r="AZ525" i="5"/>
  <c r="AY525" i="5"/>
  <c r="AX525" i="5"/>
  <c r="AW525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A525" i="5"/>
  <c r="CF524" i="5"/>
  <c r="CE524" i="5"/>
  <c r="CD524" i="5"/>
  <c r="CC524" i="5"/>
  <c r="CB524" i="5"/>
  <c r="CA524" i="5"/>
  <c r="BZ524" i="5"/>
  <c r="BY524" i="5"/>
  <c r="BX524" i="5"/>
  <c r="BW524" i="5"/>
  <c r="BV524" i="5"/>
  <c r="BU524" i="5"/>
  <c r="BT524" i="5"/>
  <c r="BS524" i="5"/>
  <c r="BR524" i="5"/>
  <c r="BQ524" i="5"/>
  <c r="BP524" i="5"/>
  <c r="BO524" i="5"/>
  <c r="BN524" i="5"/>
  <c r="BM524" i="5"/>
  <c r="BL524" i="5"/>
  <c r="BK524" i="5"/>
  <c r="BJ524" i="5"/>
  <c r="BI524" i="5"/>
  <c r="BH524" i="5"/>
  <c r="BG524" i="5"/>
  <c r="BF524" i="5"/>
  <c r="BE524" i="5"/>
  <c r="BD524" i="5"/>
  <c r="BC524" i="5"/>
  <c r="BB524" i="5"/>
  <c r="BA524" i="5"/>
  <c r="AZ524" i="5"/>
  <c r="AY524" i="5"/>
  <c r="AX524" i="5"/>
  <c r="AW524" i="5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A524" i="5"/>
  <c r="Z516" i="5"/>
  <c r="Z517" i="5" s="1"/>
  <c r="BO510" i="5"/>
  <c r="BM510" i="5"/>
  <c r="BM526" i="5" s="1"/>
  <c r="BL510" i="5"/>
  <c r="BL526" i="5" s="1"/>
  <c r="BK510" i="5"/>
  <c r="BK526" i="5" s="1"/>
  <c r="BJ510" i="5"/>
  <c r="BJ526" i="5" s="1"/>
  <c r="BG510" i="5"/>
  <c r="BG526" i="5" s="1"/>
  <c r="AV510" i="5"/>
  <c r="AM510" i="5"/>
  <c r="AM526" i="5" s="1"/>
  <c r="AI510" i="5"/>
  <c r="AI526" i="5" s="1"/>
  <c r="T510" i="5"/>
  <c r="T526" i="5" s="1"/>
  <c r="O510" i="5"/>
  <c r="O526" i="5" s="1"/>
  <c r="M510" i="5"/>
  <c r="M526" i="5" s="1"/>
  <c r="L510" i="5"/>
  <c r="L526" i="5" s="1"/>
  <c r="J510" i="5"/>
  <c r="J526" i="5" s="1"/>
  <c r="I510" i="5"/>
  <c r="I526" i="5" s="1"/>
  <c r="H510" i="5"/>
  <c r="H526" i="5" s="1"/>
  <c r="G510" i="5"/>
  <c r="G526" i="5" s="1"/>
  <c r="BU509" i="5"/>
  <c r="BT509" i="5"/>
  <c r="BS509" i="5"/>
  <c r="BS510" i="5" s="1"/>
  <c r="BR509" i="5"/>
  <c r="BQ509" i="5"/>
  <c r="BQ510" i="5" s="1"/>
  <c r="BQ526" i="5" s="1"/>
  <c r="BP509" i="5"/>
  <c r="BO509" i="5"/>
  <c r="BN509" i="5"/>
  <c r="BM509" i="5"/>
  <c r="BL509" i="5"/>
  <c r="BK509" i="5"/>
  <c r="BJ509" i="5"/>
  <c r="BI509" i="5"/>
  <c r="BH509" i="5"/>
  <c r="BG509" i="5"/>
  <c r="BF509" i="5"/>
  <c r="BE509" i="5"/>
  <c r="BD509" i="5"/>
  <c r="BC509" i="5"/>
  <c r="BB509" i="5"/>
  <c r="BA509" i="5"/>
  <c r="AZ509" i="5"/>
  <c r="AY509" i="5"/>
  <c r="AW509" i="5"/>
  <c r="AV509" i="5"/>
  <c r="AU509" i="5"/>
  <c r="AU510" i="5" s="1"/>
  <c r="AT509" i="5"/>
  <c r="AS509" i="5"/>
  <c r="AS510" i="5" s="1"/>
  <c r="AS526" i="5" s="1"/>
  <c r="AR509" i="5"/>
  <c r="AQ509" i="5"/>
  <c r="AQ510" i="5" s="1"/>
  <c r="AP509" i="5"/>
  <c r="AO509" i="5"/>
  <c r="AO510" i="5" s="1"/>
  <c r="AN509" i="5"/>
  <c r="AN510" i="5" s="1"/>
  <c r="AN526" i="5" s="1"/>
  <c r="AM509" i="5"/>
  <c r="AL509" i="5"/>
  <c r="AK509" i="5"/>
  <c r="AJ509" i="5"/>
  <c r="AI509" i="5"/>
  <c r="AH509" i="5"/>
  <c r="AG509" i="5"/>
  <c r="AG510" i="5" s="1"/>
  <c r="AG526" i="5" s="1"/>
  <c r="AF509" i="5"/>
  <c r="AE509" i="5"/>
  <c r="AD509" i="5"/>
  <c r="AC509" i="5"/>
  <c r="AB509" i="5"/>
  <c r="AA509" i="5"/>
  <c r="Z509" i="5"/>
  <c r="Y509" i="5"/>
  <c r="X509" i="5"/>
  <c r="X510" i="5" s="1"/>
  <c r="X526" i="5" s="1"/>
  <c r="W509" i="5"/>
  <c r="W510" i="5" s="1"/>
  <c r="W526" i="5" s="1"/>
  <c r="V509" i="5"/>
  <c r="U509" i="5"/>
  <c r="T509" i="5"/>
  <c r="S509" i="5"/>
  <c r="S510" i="5" s="1"/>
  <c r="R509" i="5"/>
  <c r="Q509" i="5"/>
  <c r="Q510" i="5" s="1"/>
  <c r="P509" i="5"/>
  <c r="P510" i="5" s="1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S508" i="5"/>
  <c r="BS825" i="5" s="1"/>
  <c r="BR508" i="5"/>
  <c r="BR825" i="5" s="1"/>
  <c r="BQ508" i="5"/>
  <c r="BQ825" i="5" s="1"/>
  <c r="BP508" i="5"/>
  <c r="BP825" i="5" s="1"/>
  <c r="BO508" i="5"/>
  <c r="BO825" i="5" s="1"/>
  <c r="BN508" i="5"/>
  <c r="BM508" i="5"/>
  <c r="BM825" i="5" s="1"/>
  <c r="BL508" i="5"/>
  <c r="BL825" i="5" s="1"/>
  <c r="BK508" i="5"/>
  <c r="BK825" i="5" s="1"/>
  <c r="BJ508" i="5"/>
  <c r="BJ825" i="5" s="1"/>
  <c r="BI508" i="5"/>
  <c r="BI825" i="5" s="1"/>
  <c r="BH508" i="5"/>
  <c r="BH825" i="5" s="1"/>
  <c r="BG508" i="5"/>
  <c r="BG825" i="5" s="1"/>
  <c r="BF508" i="5"/>
  <c r="BF825" i="5" s="1"/>
  <c r="BE508" i="5"/>
  <c r="BE825" i="5" s="1"/>
  <c r="BD508" i="5"/>
  <c r="BC508" i="5"/>
  <c r="BB508" i="5"/>
  <c r="BA508" i="5"/>
  <c r="BA825" i="5" s="1"/>
  <c r="AZ508" i="5"/>
  <c r="AY508" i="5"/>
  <c r="AX508" i="5"/>
  <c r="AW508" i="5"/>
  <c r="AV508" i="5"/>
  <c r="AV825" i="5" s="1"/>
  <c r="AU508" i="5"/>
  <c r="AU825" i="5" s="1"/>
  <c r="AT508" i="5"/>
  <c r="AT825" i="5" s="1"/>
  <c r="AS508" i="5"/>
  <c r="AS825" i="5" s="1"/>
  <c r="AR508" i="5"/>
  <c r="AQ508" i="5"/>
  <c r="AQ825" i="5" s="1"/>
  <c r="AP508" i="5"/>
  <c r="AO508" i="5"/>
  <c r="AO825" i="5" s="1"/>
  <c r="AN508" i="5"/>
  <c r="AN825" i="5" s="1"/>
  <c r="AM508" i="5"/>
  <c r="AM825" i="5" s="1"/>
  <c r="AL508" i="5"/>
  <c r="AL825" i="5" s="1"/>
  <c r="AK508" i="5"/>
  <c r="AK825" i="5" s="1"/>
  <c r="AJ508" i="5"/>
  <c r="AJ825" i="5" s="1"/>
  <c r="AI508" i="5"/>
  <c r="AI825" i="5" s="1"/>
  <c r="AH508" i="5"/>
  <c r="AG508" i="5"/>
  <c r="AG825" i="5" s="1"/>
  <c r="AF508" i="5"/>
  <c r="AE508" i="5"/>
  <c r="AD508" i="5"/>
  <c r="AC508" i="5"/>
  <c r="AB508" i="5"/>
  <c r="AA508" i="5"/>
  <c r="Z508" i="5"/>
  <c r="Y508" i="5"/>
  <c r="Y825" i="5" s="1"/>
  <c r="X508" i="5"/>
  <c r="X825" i="5" s="1"/>
  <c r="W508" i="5"/>
  <c r="W825" i="5" s="1"/>
  <c r="V508" i="5"/>
  <c r="V825" i="5" s="1"/>
  <c r="U508" i="5"/>
  <c r="U825" i="5" s="1"/>
  <c r="T508" i="5"/>
  <c r="T825" i="5" s="1"/>
  <c r="S508" i="5"/>
  <c r="S825" i="5" s="1"/>
  <c r="R508" i="5"/>
  <c r="Q508" i="5"/>
  <c r="Q825" i="5" s="1"/>
  <c r="P508" i="5"/>
  <c r="P825" i="5" s="1"/>
  <c r="O508" i="5"/>
  <c r="O825" i="5" s="1"/>
  <c r="N508" i="5"/>
  <c r="N825" i="5" s="1"/>
  <c r="M508" i="5"/>
  <c r="M825" i="5" s="1"/>
  <c r="L508" i="5"/>
  <c r="L825" i="5" s="1"/>
  <c r="K508" i="5"/>
  <c r="J508" i="5"/>
  <c r="J825" i="5" s="1"/>
  <c r="I508" i="5"/>
  <c r="I825" i="5" s="1"/>
  <c r="H508" i="5"/>
  <c r="H825" i="5" s="1"/>
  <c r="G508" i="5"/>
  <c r="G825" i="5" s="1"/>
  <c r="F508" i="5"/>
  <c r="E508" i="5"/>
  <c r="D508" i="5"/>
  <c r="C508" i="5"/>
  <c r="BS507" i="5"/>
  <c r="BT507" i="5" s="1"/>
  <c r="BR507" i="5"/>
  <c r="BQ507" i="5"/>
  <c r="BP507" i="5"/>
  <c r="BO507" i="5"/>
  <c r="BN507" i="5"/>
  <c r="BM507" i="5"/>
  <c r="BL507" i="5"/>
  <c r="BK507" i="5"/>
  <c r="BJ507" i="5"/>
  <c r="BI507" i="5"/>
  <c r="BH507" i="5"/>
  <c r="BG507" i="5"/>
  <c r="BF507" i="5"/>
  <c r="BE507" i="5"/>
  <c r="BD507" i="5"/>
  <c r="BC507" i="5"/>
  <c r="BB507" i="5"/>
  <c r="BA507" i="5"/>
  <c r="AZ507" i="5"/>
  <c r="AY507" i="5"/>
  <c r="AX507" i="5"/>
  <c r="AW507" i="5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S506" i="5"/>
  <c r="BR506" i="5"/>
  <c r="BQ506" i="5"/>
  <c r="BP506" i="5"/>
  <c r="BO506" i="5"/>
  <c r="BN506" i="5"/>
  <c r="BM506" i="5"/>
  <c r="BL506" i="5"/>
  <c r="BK506" i="5"/>
  <c r="BJ506" i="5"/>
  <c r="BI506" i="5"/>
  <c r="BH506" i="5"/>
  <c r="BG506" i="5"/>
  <c r="BF506" i="5"/>
  <c r="BE506" i="5"/>
  <c r="BD506" i="5"/>
  <c r="BC506" i="5"/>
  <c r="BB506" i="5"/>
  <c r="BA506" i="5"/>
  <c r="AZ506" i="5"/>
  <c r="AY506" i="5"/>
  <c r="AX506" i="5"/>
  <c r="AW506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S505" i="5"/>
  <c r="BR505" i="5"/>
  <c r="BR824" i="5" s="1"/>
  <c r="BQ505" i="5"/>
  <c r="BQ824" i="5" s="1"/>
  <c r="BP505" i="5"/>
  <c r="BP824" i="5" s="1"/>
  <c r="BO505" i="5"/>
  <c r="BO824" i="5" s="1"/>
  <c r="BN505" i="5"/>
  <c r="BN824" i="5" s="1"/>
  <c r="BM505" i="5"/>
  <c r="BM824" i="5" s="1"/>
  <c r="BL505" i="5"/>
  <c r="BL824" i="5" s="1"/>
  <c r="BK505" i="5"/>
  <c r="BK824" i="5" s="1"/>
  <c r="BJ505" i="5"/>
  <c r="BJ824" i="5" s="1"/>
  <c r="BI505" i="5"/>
  <c r="BI824" i="5" s="1"/>
  <c r="BH505" i="5"/>
  <c r="BH824" i="5" s="1"/>
  <c r="BG505" i="5"/>
  <c r="BG824" i="5" s="1"/>
  <c r="BF505" i="5"/>
  <c r="BF824" i="5" s="1"/>
  <c r="BE505" i="5"/>
  <c r="BE824" i="5" s="1"/>
  <c r="BD505" i="5"/>
  <c r="BD824" i="5" s="1"/>
  <c r="BC505" i="5"/>
  <c r="BC824" i="5" s="1"/>
  <c r="BB505" i="5"/>
  <c r="BB824" i="5" s="1"/>
  <c r="BA505" i="5"/>
  <c r="BA824" i="5" s="1"/>
  <c r="AZ505" i="5"/>
  <c r="AZ824" i="5" s="1"/>
  <c r="AY505" i="5"/>
  <c r="AY824" i="5" s="1"/>
  <c r="AX505" i="5"/>
  <c r="AX824" i="5" s="1"/>
  <c r="AW505" i="5"/>
  <c r="AW824" i="5" s="1"/>
  <c r="AV505" i="5"/>
  <c r="AV824" i="5" s="1"/>
  <c r="AU505" i="5"/>
  <c r="AU824" i="5" s="1"/>
  <c r="AT505" i="5"/>
  <c r="AS505" i="5"/>
  <c r="AS824" i="5" s="1"/>
  <c r="AR505" i="5"/>
  <c r="AR824" i="5" s="1"/>
  <c r="AQ505" i="5"/>
  <c r="AQ824" i="5" s="1"/>
  <c r="AP505" i="5"/>
  <c r="AP824" i="5" s="1"/>
  <c r="AO505" i="5"/>
  <c r="AO824" i="5" s="1"/>
  <c r="AN505" i="5"/>
  <c r="AN824" i="5" s="1"/>
  <c r="AM505" i="5"/>
  <c r="AM824" i="5" s="1"/>
  <c r="AL505" i="5"/>
  <c r="AL824" i="5" s="1"/>
  <c r="AK505" i="5"/>
  <c r="AK824" i="5" s="1"/>
  <c r="AJ505" i="5"/>
  <c r="AJ824" i="5" s="1"/>
  <c r="AI505" i="5"/>
  <c r="AI824" i="5" s="1"/>
  <c r="AH505" i="5"/>
  <c r="AH824" i="5" s="1"/>
  <c r="AG505" i="5"/>
  <c r="AG824" i="5" s="1"/>
  <c r="AF505" i="5"/>
  <c r="AF824" i="5" s="1"/>
  <c r="AE505" i="5"/>
  <c r="AE824" i="5" s="1"/>
  <c r="AD505" i="5"/>
  <c r="AD824" i="5" s="1"/>
  <c r="AC505" i="5"/>
  <c r="AC824" i="5" s="1"/>
  <c r="AB505" i="5"/>
  <c r="AB824" i="5" s="1"/>
  <c r="AA505" i="5"/>
  <c r="AA824" i="5" s="1"/>
  <c r="Z505" i="5"/>
  <c r="Z824" i="5" s="1"/>
  <c r="Y505" i="5"/>
  <c r="Y824" i="5" s="1"/>
  <c r="X505" i="5"/>
  <c r="X824" i="5" s="1"/>
  <c r="W505" i="5"/>
  <c r="W824" i="5" s="1"/>
  <c r="V505" i="5"/>
  <c r="V824" i="5" s="1"/>
  <c r="U505" i="5"/>
  <c r="U824" i="5" s="1"/>
  <c r="T505" i="5"/>
  <c r="T824" i="5" s="1"/>
  <c r="S505" i="5"/>
  <c r="S824" i="5" s="1"/>
  <c r="R505" i="5"/>
  <c r="R824" i="5" s="1"/>
  <c r="Q505" i="5"/>
  <c r="Q824" i="5" s="1"/>
  <c r="P505" i="5"/>
  <c r="P824" i="5" s="1"/>
  <c r="O505" i="5"/>
  <c r="O824" i="5" s="1"/>
  <c r="N505" i="5"/>
  <c r="M505" i="5"/>
  <c r="M824" i="5" s="1"/>
  <c r="L505" i="5"/>
  <c r="L824" i="5" s="1"/>
  <c r="K505" i="5"/>
  <c r="K824" i="5" s="1"/>
  <c r="J505" i="5"/>
  <c r="J824" i="5" s="1"/>
  <c r="I505" i="5"/>
  <c r="I824" i="5" s="1"/>
  <c r="H505" i="5"/>
  <c r="H824" i="5" s="1"/>
  <c r="G505" i="5"/>
  <c r="G824" i="5" s="1"/>
  <c r="F505" i="5"/>
  <c r="F824" i="5" s="1"/>
  <c r="E505" i="5"/>
  <c r="E824" i="5" s="1"/>
  <c r="D505" i="5"/>
  <c r="D824" i="5" s="1"/>
  <c r="C505" i="5"/>
  <c r="C824" i="5" s="1"/>
  <c r="CC493" i="5"/>
  <c r="BX493" i="5"/>
  <c r="CC492" i="5"/>
  <c r="BX492" i="5"/>
  <c r="BS492" i="5"/>
  <c r="BR492" i="5"/>
  <c r="BQ492" i="5"/>
  <c r="BP492" i="5"/>
  <c r="BO492" i="5"/>
  <c r="BN492" i="5"/>
  <c r="BM492" i="5"/>
  <c r="BL492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BS491" i="5"/>
  <c r="BQ491" i="5"/>
  <c r="BP491" i="5"/>
  <c r="BN491" i="5"/>
  <c r="BM491" i="5"/>
  <c r="BL491" i="5"/>
  <c r="BK491" i="5"/>
  <c r="BJ491" i="5"/>
  <c r="BI491" i="5"/>
  <c r="BG491" i="5"/>
  <c r="BF491" i="5"/>
  <c r="BE491" i="5"/>
  <c r="BD491" i="5"/>
  <c r="BB491" i="5"/>
  <c r="BA491" i="5"/>
  <c r="AZ491" i="5"/>
  <c r="AY491" i="5"/>
  <c r="AW491" i="5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H491" i="5"/>
  <c r="AG491" i="5"/>
  <c r="AF491" i="5"/>
  <c r="AE491" i="5"/>
  <c r="AC491" i="5"/>
  <c r="AB491" i="5"/>
  <c r="AA491" i="5"/>
  <c r="Z491" i="5"/>
  <c r="X491" i="5"/>
  <c r="W491" i="5"/>
  <c r="V491" i="5"/>
  <c r="U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CC489" i="5"/>
  <c r="BX489" i="5"/>
  <c r="BS489" i="5"/>
  <c r="BO489" i="5"/>
  <c r="BM489" i="5"/>
  <c r="BL489" i="5"/>
  <c r="BK489" i="5"/>
  <c r="BJ489" i="5"/>
  <c r="BH489" i="5"/>
  <c r="BI489" i="5" s="1"/>
  <c r="BG489" i="5"/>
  <c r="BF489" i="5"/>
  <c r="BE489" i="5"/>
  <c r="BC489" i="5"/>
  <c r="BB489" i="5"/>
  <c r="BA489" i="5"/>
  <c r="AZ489" i="5"/>
  <c r="AX489" i="5"/>
  <c r="AW489" i="5"/>
  <c r="AV489" i="5"/>
  <c r="AU489" i="5"/>
  <c r="AS489" i="5"/>
  <c r="AR489" i="5"/>
  <c r="AQ489" i="5"/>
  <c r="AP489" i="5"/>
  <c r="AO489" i="5"/>
  <c r="AN489" i="5"/>
  <c r="AM489" i="5"/>
  <c r="AL489" i="5"/>
  <c r="AK489" i="5"/>
  <c r="AI489" i="5"/>
  <c r="AJ489" i="5" s="1"/>
  <c r="AH489" i="5"/>
  <c r="AG489" i="5"/>
  <c r="AF489" i="5"/>
  <c r="AD489" i="5"/>
  <c r="AC489" i="5"/>
  <c r="AB489" i="5"/>
  <c r="AE489" i="5" s="1"/>
  <c r="AA489" i="5"/>
  <c r="Y489" i="5"/>
  <c r="X489" i="5"/>
  <c r="W489" i="5"/>
  <c r="Z489" i="5" s="1"/>
  <c r="V489" i="5"/>
  <c r="T489" i="5"/>
  <c r="S489" i="5"/>
  <c r="R489" i="5"/>
  <c r="Q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S488" i="5"/>
  <c r="BR488" i="5"/>
  <c r="BQ488" i="5"/>
  <c r="BP488" i="5"/>
  <c r="BO488" i="5"/>
  <c r="BN488" i="5"/>
  <c r="BM488" i="5"/>
  <c r="BL488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X487" i="5"/>
  <c r="BS487" i="5"/>
  <c r="BR487" i="5"/>
  <c r="BQ487" i="5"/>
  <c r="BP487" i="5"/>
  <c r="BO487" i="5"/>
  <c r="BN487" i="5"/>
  <c r="BM487" i="5"/>
  <c r="BL487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X486" i="5"/>
  <c r="BS486" i="5"/>
  <c r="BR486" i="5"/>
  <c r="BQ486" i="5"/>
  <c r="BP486" i="5"/>
  <c r="BO486" i="5"/>
  <c r="BN486" i="5"/>
  <c r="BL486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V486" i="5"/>
  <c r="AU486" i="5"/>
  <c r="AT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P842" i="5" s="1"/>
  <c r="K486" i="5"/>
  <c r="J486" i="5"/>
  <c r="I486" i="5"/>
  <c r="H486" i="5"/>
  <c r="G486" i="5"/>
  <c r="F486" i="5"/>
  <c r="E486" i="5"/>
  <c r="D486" i="5"/>
  <c r="C486" i="5"/>
  <c r="A485" i="5"/>
  <c r="BX484" i="5"/>
  <c r="BX749" i="5" s="1"/>
  <c r="BS484" i="5"/>
  <c r="BS749" i="5" s="1"/>
  <c r="BR484" i="5"/>
  <c r="BR749" i="5" s="1"/>
  <c r="BQ484" i="5"/>
  <c r="BQ749" i="5" s="1"/>
  <c r="BP484" i="5"/>
  <c r="BP749" i="5" s="1"/>
  <c r="BO484" i="5"/>
  <c r="BO749" i="5" s="1"/>
  <c r="BN484" i="5"/>
  <c r="BN749" i="5" s="1"/>
  <c r="BM484" i="5"/>
  <c r="BM749" i="5" s="1"/>
  <c r="BL484" i="5"/>
  <c r="BL749" i="5" s="1"/>
  <c r="BK484" i="5"/>
  <c r="BK749" i="5" s="1"/>
  <c r="BJ484" i="5"/>
  <c r="BJ749" i="5" s="1"/>
  <c r="BI484" i="5"/>
  <c r="BI749" i="5" s="1"/>
  <c r="BG484" i="5"/>
  <c r="BG749" i="5" s="1"/>
  <c r="BF484" i="5"/>
  <c r="BF749" i="5" s="1"/>
  <c r="BE484" i="5"/>
  <c r="BE749" i="5" s="1"/>
  <c r="BD484" i="5"/>
  <c r="BD749" i="5" s="1"/>
  <c r="BB484" i="5"/>
  <c r="BB749" i="5" s="1"/>
  <c r="BA484" i="5"/>
  <c r="BA749" i="5" s="1"/>
  <c r="AZ484" i="5"/>
  <c r="AZ749" i="5" s="1"/>
  <c r="AY484" i="5"/>
  <c r="AY749" i="5" s="1"/>
  <c r="AX484" i="5"/>
  <c r="AX749" i="5" s="1"/>
  <c r="AW484" i="5"/>
  <c r="AW749" i="5" s="1"/>
  <c r="AV484" i="5"/>
  <c r="AV749" i="5" s="1"/>
  <c r="AU484" i="5"/>
  <c r="AU749" i="5" s="1"/>
  <c r="AT484" i="5"/>
  <c r="AT749" i="5" s="1"/>
  <c r="AS484" i="5"/>
  <c r="AS749" i="5" s="1"/>
  <c r="AR484" i="5"/>
  <c r="AR749" i="5" s="1"/>
  <c r="AQ484" i="5"/>
  <c r="AQ749" i="5" s="1"/>
  <c r="AP484" i="5"/>
  <c r="AP749" i="5" s="1"/>
  <c r="AO484" i="5"/>
  <c r="AO749" i="5" s="1"/>
  <c r="AN484" i="5"/>
  <c r="AN749" i="5" s="1"/>
  <c r="AM484" i="5"/>
  <c r="AM749" i="5" s="1"/>
  <c r="AL484" i="5"/>
  <c r="AL749" i="5" s="1"/>
  <c r="AK484" i="5"/>
  <c r="AK749" i="5" s="1"/>
  <c r="AK739" i="5" s="1"/>
  <c r="AJ484" i="5"/>
  <c r="AJ749" i="5" s="1"/>
  <c r="AH484" i="5"/>
  <c r="AH749" i="5" s="1"/>
  <c r="AG484" i="5"/>
  <c r="AG749" i="5" s="1"/>
  <c r="AF484" i="5"/>
  <c r="AF749" i="5" s="1"/>
  <c r="AE484" i="5"/>
  <c r="AE749" i="5" s="1"/>
  <c r="AC484" i="5"/>
  <c r="AC749" i="5" s="1"/>
  <c r="AB484" i="5"/>
  <c r="AB749" i="5" s="1"/>
  <c r="AA484" i="5"/>
  <c r="AA749" i="5" s="1"/>
  <c r="Z484" i="5"/>
  <c r="Z749" i="5" s="1"/>
  <c r="Y484" i="5"/>
  <c r="Y749" i="5" s="1"/>
  <c r="X484" i="5"/>
  <c r="X749" i="5" s="1"/>
  <c r="W484" i="5"/>
  <c r="W749" i="5" s="1"/>
  <c r="V484" i="5"/>
  <c r="V749" i="5" s="1"/>
  <c r="U484" i="5"/>
  <c r="U749" i="5" s="1"/>
  <c r="S484" i="5"/>
  <c r="S749" i="5" s="1"/>
  <c r="R484" i="5"/>
  <c r="R749" i="5" s="1"/>
  <c r="Q484" i="5"/>
  <c r="Q749" i="5" s="1"/>
  <c r="P484" i="5"/>
  <c r="P749" i="5" s="1"/>
  <c r="O484" i="5"/>
  <c r="O749" i="5" s="1"/>
  <c r="N484" i="5"/>
  <c r="N749" i="5" s="1"/>
  <c r="M484" i="5"/>
  <c r="M749" i="5" s="1"/>
  <c r="L484" i="5"/>
  <c r="L749" i="5" s="1"/>
  <c r="K484" i="5"/>
  <c r="K749" i="5" s="1"/>
  <c r="J484" i="5"/>
  <c r="J749" i="5" s="1"/>
  <c r="I484" i="5"/>
  <c r="I749" i="5" s="1"/>
  <c r="H484" i="5"/>
  <c r="H749" i="5" s="1"/>
  <c r="G484" i="5"/>
  <c r="G749" i="5" s="1"/>
  <c r="F484" i="5"/>
  <c r="F749" i="5" s="1"/>
  <c r="E484" i="5"/>
  <c r="D484" i="5"/>
  <c r="D749" i="5" s="1"/>
  <c r="C484" i="5"/>
  <c r="C749" i="5" s="1"/>
  <c r="AY481" i="5"/>
  <c r="W481" i="5"/>
  <c r="BA480" i="5"/>
  <c r="AY480" i="5"/>
  <c r="AY499" i="5" s="1"/>
  <c r="AB480" i="5"/>
  <c r="AA480" i="5"/>
  <c r="W480" i="5"/>
  <c r="D480" i="5"/>
  <c r="BA479" i="5"/>
  <c r="AY479" i="5"/>
  <c r="AB479" i="5"/>
  <c r="W479" i="5"/>
  <c r="BA478" i="5"/>
  <c r="AZ478" i="5"/>
  <c r="AZ495" i="5" s="1"/>
  <c r="AZ496" i="5" s="1"/>
  <c r="AZ497" i="5" s="1"/>
  <c r="AZ498" i="5" s="1"/>
  <c r="AY478" i="5"/>
  <c r="AB478" i="5"/>
  <c r="AA478" i="5"/>
  <c r="W478" i="5"/>
  <c r="G478" i="5"/>
  <c r="E478" i="5"/>
  <c r="D478" i="5"/>
  <c r="BR470" i="5"/>
  <c r="BM470" i="5"/>
  <c r="BH470" i="5"/>
  <c r="BC470" i="5"/>
  <c r="AX470" i="5"/>
  <c r="AS470" i="5"/>
  <c r="AN470" i="5"/>
  <c r="AI470" i="5"/>
  <c r="AD470" i="5"/>
  <c r="Y470" i="5"/>
  <c r="T470" i="5"/>
  <c r="O470" i="5"/>
  <c r="J470" i="5"/>
  <c r="BS469" i="5"/>
  <c r="BR469" i="5"/>
  <c r="BQ469" i="5"/>
  <c r="BP469" i="5"/>
  <c r="BN469" i="5"/>
  <c r="BK469" i="5"/>
  <c r="BJ469" i="5"/>
  <c r="BI469" i="5"/>
  <c r="BH469" i="5"/>
  <c r="BB469" i="5"/>
  <c r="BA469" i="5"/>
  <c r="AQ469" i="5"/>
  <c r="AM469" i="5"/>
  <c r="AL469" i="5"/>
  <c r="AJ469" i="5"/>
  <c r="AI469" i="5"/>
  <c r="AG469" i="5"/>
  <c r="AF469" i="5"/>
  <c r="X469" i="5"/>
  <c r="N469" i="5"/>
  <c r="L469" i="5"/>
  <c r="H469" i="5"/>
  <c r="F469" i="5"/>
  <c r="E469" i="5"/>
  <c r="D469" i="5"/>
  <c r="BR468" i="5"/>
  <c r="BO468" i="5"/>
  <c r="BN468" i="5"/>
  <c r="BM468" i="5" s="1"/>
  <c r="BL468" i="5"/>
  <c r="BK468" i="5"/>
  <c r="BJ468" i="5"/>
  <c r="BI468" i="5"/>
  <c r="BH468" i="5" s="1"/>
  <c r="BG468" i="5"/>
  <c r="BF468" i="5"/>
  <c r="BE468" i="5"/>
  <c r="BD468" i="5"/>
  <c r="BC468" i="5" s="1"/>
  <c r="BB468" i="5"/>
  <c r="BA468" i="5"/>
  <c r="AZ468" i="5"/>
  <c r="AZ469" i="5" s="1"/>
  <c r="AY468" i="5"/>
  <c r="AX468" i="5" s="1"/>
  <c r="AW468" i="5"/>
  <c r="AV468" i="5"/>
  <c r="AU468" i="5"/>
  <c r="AU469" i="5" s="1"/>
  <c r="AT468" i="5"/>
  <c r="AS468" i="5" s="1"/>
  <c r="AR468" i="5"/>
  <c r="AQ468" i="5"/>
  <c r="AP468" i="5"/>
  <c r="AO468" i="5"/>
  <c r="AN468" i="5" s="1"/>
  <c r="AM468" i="5"/>
  <c r="AL468" i="5"/>
  <c r="AK468" i="5"/>
  <c r="AJ468" i="5"/>
  <c r="AI468" i="5" s="1"/>
  <c r="AH468" i="5"/>
  <c r="AG468" i="5"/>
  <c r="AF468" i="5"/>
  <c r="AE468" i="5"/>
  <c r="AD468" i="5"/>
  <c r="AC468" i="5"/>
  <c r="AC469" i="5" s="1"/>
  <c r="AB468" i="5"/>
  <c r="AA468" i="5"/>
  <c r="Z468" i="5"/>
  <c r="Y468" i="5" s="1"/>
  <c r="Y469" i="5" s="1"/>
  <c r="X468" i="5"/>
  <c r="W468" i="5"/>
  <c r="V468" i="5"/>
  <c r="U468" i="5"/>
  <c r="T468" i="5"/>
  <c r="S468" i="5"/>
  <c r="R468" i="5"/>
  <c r="Q468" i="5"/>
  <c r="P468" i="5"/>
  <c r="O468" i="5" s="1"/>
  <c r="N468" i="5"/>
  <c r="M468" i="5"/>
  <c r="L468" i="5"/>
  <c r="K468" i="5"/>
  <c r="J468" i="5"/>
  <c r="I468" i="5"/>
  <c r="H468" i="5"/>
  <c r="G468" i="5"/>
  <c r="G469" i="5" s="1"/>
  <c r="F468" i="5"/>
  <c r="E468" i="5"/>
  <c r="D468" i="5"/>
  <c r="C468" i="5"/>
  <c r="BR467" i="5"/>
  <c r="BO467" i="5"/>
  <c r="BO469" i="5" s="1"/>
  <c r="BN467" i="5"/>
  <c r="BM467" i="5" s="1"/>
  <c r="BL467" i="5"/>
  <c r="BL469" i="5" s="1"/>
  <c r="BK467" i="5"/>
  <c r="BJ467" i="5"/>
  <c r="BI467" i="5"/>
  <c r="BH467" i="5" s="1"/>
  <c r="BG467" i="5"/>
  <c r="BG469" i="5" s="1"/>
  <c r="BF467" i="5"/>
  <c r="BF469" i="5" s="1"/>
  <c r="BE467" i="5"/>
  <c r="BE469" i="5" s="1"/>
  <c r="BD467" i="5"/>
  <c r="BC467" i="5"/>
  <c r="BC469" i="5" s="1"/>
  <c r="BB467" i="5"/>
  <c r="BA467" i="5"/>
  <c r="AZ467" i="5"/>
  <c r="AY467" i="5"/>
  <c r="AW467" i="5"/>
  <c r="AV467" i="5"/>
  <c r="AU467" i="5"/>
  <c r="AT467" i="5"/>
  <c r="AR467" i="5"/>
  <c r="AR469" i="5" s="1"/>
  <c r="AQ467" i="5"/>
  <c r="AP467" i="5"/>
  <c r="AP469" i="5" s="1"/>
  <c r="AO467" i="5"/>
  <c r="AM467" i="5"/>
  <c r="AL467" i="5"/>
  <c r="AK467" i="5"/>
  <c r="AK469" i="5" s="1"/>
  <c r="AJ467" i="5"/>
  <c r="AI467" i="5" s="1"/>
  <c r="AH467" i="5"/>
  <c r="AH469" i="5" s="1"/>
  <c r="AG467" i="5"/>
  <c r="AF467" i="5"/>
  <c r="AE467" i="5"/>
  <c r="AE469" i="5" s="1"/>
  <c r="AC467" i="5"/>
  <c r="AB467" i="5"/>
  <c r="AB469" i="5" s="1"/>
  <c r="AA467" i="5"/>
  <c r="AA469" i="5" s="1"/>
  <c r="Z467" i="5"/>
  <c r="Y467" i="5"/>
  <c r="X467" i="5"/>
  <c r="W467" i="5"/>
  <c r="V467" i="5"/>
  <c r="V469" i="5" s="1"/>
  <c r="U467" i="5"/>
  <c r="U469" i="5" s="1"/>
  <c r="T467" i="5"/>
  <c r="T469" i="5" s="1"/>
  <c r="S467" i="5"/>
  <c r="R467" i="5"/>
  <c r="R469" i="5" s="1"/>
  <c r="Q467" i="5"/>
  <c r="P467" i="5"/>
  <c r="N467" i="5"/>
  <c r="M467" i="5"/>
  <c r="M469" i="5" s="1"/>
  <c r="L467" i="5"/>
  <c r="K467" i="5"/>
  <c r="K469" i="5" s="1"/>
  <c r="I467" i="5"/>
  <c r="I469" i="5" s="1"/>
  <c r="H467" i="5"/>
  <c r="G467" i="5"/>
  <c r="F467" i="5"/>
  <c r="E467" i="5"/>
  <c r="D467" i="5"/>
  <c r="C467" i="5"/>
  <c r="BP465" i="5"/>
  <c r="AR465" i="5"/>
  <c r="BG459" i="5"/>
  <c r="AM459" i="5"/>
  <c r="Q459" i="5"/>
  <c r="BS458" i="5"/>
  <c r="BS459" i="5" s="1"/>
  <c r="BQ458" i="5"/>
  <c r="BP458" i="5"/>
  <c r="BP459" i="5" s="1"/>
  <c r="BN458" i="5"/>
  <c r="BK458" i="5"/>
  <c r="BH458" i="5"/>
  <c r="BF458" i="5"/>
  <c r="AY458" i="5"/>
  <c r="AW458" i="5"/>
  <c r="AP458" i="5"/>
  <c r="AM458" i="5"/>
  <c r="AL458" i="5"/>
  <c r="AK458" i="5"/>
  <c r="R458" i="5"/>
  <c r="L458" i="5"/>
  <c r="K458" i="5"/>
  <c r="I458" i="5"/>
  <c r="BR457" i="5"/>
  <c r="BO457" i="5"/>
  <c r="BN457" i="5"/>
  <c r="BM457" i="5"/>
  <c r="BL457" i="5"/>
  <c r="BK457" i="5"/>
  <c r="BJ457" i="5"/>
  <c r="BI457" i="5"/>
  <c r="BH457" i="5" s="1"/>
  <c r="BG457" i="5"/>
  <c r="BF457" i="5"/>
  <c r="BE457" i="5"/>
  <c r="BD457" i="5"/>
  <c r="BC457" i="5"/>
  <c r="BB457" i="5"/>
  <c r="BA457" i="5"/>
  <c r="BA458" i="5" s="1"/>
  <c r="AZ457" i="5"/>
  <c r="AZ458" i="5" s="1"/>
  <c r="AY457" i="5"/>
  <c r="AX457" i="5" s="1"/>
  <c r="AW457" i="5"/>
  <c r="AV457" i="5"/>
  <c r="AV458" i="5" s="1"/>
  <c r="AV459" i="5" s="1"/>
  <c r="AU457" i="5"/>
  <c r="AT457" i="5"/>
  <c r="AS457" i="5"/>
  <c r="AR457" i="5"/>
  <c r="AQ457" i="5"/>
  <c r="AP457" i="5"/>
  <c r="AO457" i="5"/>
  <c r="AN457" i="5" s="1"/>
  <c r="AM457" i="5"/>
  <c r="AL457" i="5"/>
  <c r="AK457" i="5"/>
  <c r="AJ457" i="5"/>
  <c r="AI457" i="5" s="1"/>
  <c r="AH457" i="5"/>
  <c r="AG457" i="5"/>
  <c r="AF457" i="5"/>
  <c r="AE457" i="5"/>
  <c r="AE458" i="5" s="1"/>
  <c r="AC457" i="5"/>
  <c r="AC458" i="5" s="1"/>
  <c r="AB457" i="5"/>
  <c r="AB458" i="5" s="1"/>
  <c r="AA457" i="5"/>
  <c r="Z457" i="5"/>
  <c r="Y457" i="5" s="1"/>
  <c r="Y458" i="5" s="1"/>
  <c r="X457" i="5"/>
  <c r="W457" i="5"/>
  <c r="W458" i="5" s="1"/>
  <c r="V457" i="5"/>
  <c r="U457" i="5"/>
  <c r="T457" i="5"/>
  <c r="S457" i="5"/>
  <c r="R457" i="5"/>
  <c r="Q457" i="5"/>
  <c r="P457" i="5"/>
  <c r="O457" i="5" s="1"/>
  <c r="N457" i="5"/>
  <c r="N458" i="5" s="1"/>
  <c r="M457" i="5"/>
  <c r="L457" i="5"/>
  <c r="K457" i="5"/>
  <c r="J457" i="5"/>
  <c r="I457" i="5"/>
  <c r="H457" i="5"/>
  <c r="G457" i="5"/>
  <c r="F457" i="5"/>
  <c r="E457" i="5"/>
  <c r="E458" i="5" s="1"/>
  <c r="D457" i="5"/>
  <c r="D458" i="5" s="1"/>
  <c r="C457" i="5"/>
  <c r="BR456" i="5"/>
  <c r="BR458" i="5" s="1"/>
  <c r="BO456" i="5"/>
  <c r="BO458" i="5" s="1"/>
  <c r="BN456" i="5"/>
  <c r="BM456" i="5"/>
  <c r="BL456" i="5"/>
  <c r="BL458" i="5" s="1"/>
  <c r="BK456" i="5"/>
  <c r="BJ456" i="5"/>
  <c r="BJ458" i="5" s="1"/>
  <c r="BI456" i="5"/>
  <c r="BI458" i="5" s="1"/>
  <c r="BH456" i="5"/>
  <c r="BG456" i="5"/>
  <c r="BG458" i="5" s="1"/>
  <c r="BF456" i="5"/>
  <c r="BE456" i="5"/>
  <c r="BE458" i="5" s="1"/>
  <c r="BD456" i="5"/>
  <c r="BB456" i="5"/>
  <c r="BB458" i="5" s="1"/>
  <c r="BA456" i="5"/>
  <c r="AZ456" i="5"/>
  <c r="AY456" i="5"/>
  <c r="AX456" i="5" s="1"/>
  <c r="AW456" i="5"/>
  <c r="AV456" i="5"/>
  <c r="AU456" i="5"/>
  <c r="AT456" i="5"/>
  <c r="AS456" i="5" s="1"/>
  <c r="AS458" i="5" s="1"/>
  <c r="AR456" i="5"/>
  <c r="AR458" i="5" s="1"/>
  <c r="AR459" i="5" s="1"/>
  <c r="AQ456" i="5"/>
  <c r="AQ458" i="5" s="1"/>
  <c r="AP456" i="5"/>
  <c r="AO456" i="5"/>
  <c r="AM456" i="5"/>
  <c r="AL456" i="5"/>
  <c r="AK456" i="5"/>
  <c r="AJ456" i="5"/>
  <c r="AI456" i="5" s="1"/>
  <c r="AI458" i="5" s="1"/>
  <c r="AH456" i="5"/>
  <c r="AH458" i="5" s="1"/>
  <c r="AG456" i="5"/>
  <c r="AF456" i="5"/>
  <c r="AF458" i="5" s="1"/>
  <c r="AE456" i="5"/>
  <c r="AD456" i="5"/>
  <c r="AC456" i="5"/>
  <c r="AB456" i="5"/>
  <c r="AA456" i="5"/>
  <c r="Z456" i="5"/>
  <c r="Y456" i="5"/>
  <c r="X456" i="5"/>
  <c r="X458" i="5" s="1"/>
  <c r="W456" i="5"/>
  <c r="V456" i="5"/>
  <c r="U456" i="5"/>
  <c r="T456" i="5" s="1"/>
  <c r="T458" i="5" s="1"/>
  <c r="S456" i="5"/>
  <c r="S458" i="5" s="1"/>
  <c r="R456" i="5"/>
  <c r="Q456" i="5"/>
  <c r="Q458" i="5" s="1"/>
  <c r="P456" i="5"/>
  <c r="N456" i="5"/>
  <c r="M456" i="5"/>
  <c r="M458" i="5" s="1"/>
  <c r="L456" i="5"/>
  <c r="K456" i="5"/>
  <c r="J456" i="5"/>
  <c r="J458" i="5" s="1"/>
  <c r="I456" i="5"/>
  <c r="H456" i="5"/>
  <c r="H458" i="5" s="1"/>
  <c r="H459" i="5" s="1"/>
  <c r="G456" i="5"/>
  <c r="F456" i="5"/>
  <c r="F458" i="5" s="1"/>
  <c r="E456" i="5"/>
  <c r="D456" i="5"/>
  <c r="C456" i="5"/>
  <c r="C458" i="5" s="1"/>
  <c r="C472" i="5" s="1"/>
  <c r="BS455" i="5"/>
  <c r="BR455" i="5"/>
  <c r="BR459" i="5" s="1"/>
  <c r="BQ455" i="5"/>
  <c r="BQ459" i="5" s="1"/>
  <c r="BP455" i="5"/>
  <c r="BO455" i="5"/>
  <c r="BI455" i="5"/>
  <c r="BI459" i="5" s="1"/>
  <c r="BF455" i="5"/>
  <c r="BB455" i="5"/>
  <c r="AU455" i="5"/>
  <c r="AH455" i="5"/>
  <c r="AH459" i="5" s="1"/>
  <c r="AF455" i="5"/>
  <c r="AF459" i="5" s="1"/>
  <c r="AE455" i="5"/>
  <c r="AE459" i="5" s="1"/>
  <c r="AA455" i="5"/>
  <c r="W455" i="5"/>
  <c r="W459" i="5" s="1"/>
  <c r="U455" i="5"/>
  <c r="T455" i="5"/>
  <c r="T459" i="5" s="1"/>
  <c r="S455" i="5"/>
  <c r="S459" i="5" s="1"/>
  <c r="P455" i="5"/>
  <c r="M455" i="5"/>
  <c r="M459" i="5" s="1"/>
  <c r="K455" i="5"/>
  <c r="K459" i="5" s="1"/>
  <c r="C455" i="5"/>
  <c r="BR454" i="5"/>
  <c r="BO454" i="5"/>
  <c r="BN454" i="5"/>
  <c r="BM454" i="5" s="1"/>
  <c r="BL454" i="5"/>
  <c r="BK454" i="5"/>
  <c r="BJ454" i="5"/>
  <c r="BI454" i="5"/>
  <c r="BH454" i="5"/>
  <c r="BG454" i="5"/>
  <c r="BG455" i="5" s="1"/>
  <c r="BF454" i="5"/>
  <c r="BE454" i="5"/>
  <c r="BD454" i="5"/>
  <c r="BC454" i="5"/>
  <c r="BB454" i="5"/>
  <c r="BA454" i="5"/>
  <c r="BA455" i="5" s="1"/>
  <c r="BA459" i="5" s="1"/>
  <c r="AZ454" i="5"/>
  <c r="AY454" i="5"/>
  <c r="AX454" i="5" s="1"/>
  <c r="AX455" i="5" s="1"/>
  <c r="AW454" i="5"/>
  <c r="AV454" i="5"/>
  <c r="AU454" i="5"/>
  <c r="AT454" i="5"/>
  <c r="AS454" i="5" s="1"/>
  <c r="AR454" i="5"/>
  <c r="AQ454" i="5"/>
  <c r="AQ455" i="5" s="1"/>
  <c r="AQ459" i="5" s="1"/>
  <c r="AP454" i="5"/>
  <c r="AP455" i="5" s="1"/>
  <c r="AP459" i="5" s="1"/>
  <c r="AO454" i="5"/>
  <c r="AM454" i="5"/>
  <c r="AL454" i="5"/>
  <c r="AK454" i="5"/>
  <c r="AJ454" i="5"/>
  <c r="AH454" i="5"/>
  <c r="AG454" i="5"/>
  <c r="AF454" i="5"/>
  <c r="AE454" i="5"/>
  <c r="AD454" i="5" s="1"/>
  <c r="AC454" i="5"/>
  <c r="AB454" i="5"/>
  <c r="AA454" i="5"/>
  <c r="Z454" i="5"/>
  <c r="X454" i="5"/>
  <c r="W454" i="5"/>
  <c r="V454" i="5"/>
  <c r="V455" i="5" s="1"/>
  <c r="U454" i="5"/>
  <c r="T454" i="5" s="1"/>
  <c r="S454" i="5"/>
  <c r="R454" i="5"/>
  <c r="Q454" i="5"/>
  <c r="P454" i="5"/>
  <c r="O454" i="5"/>
  <c r="N454" i="5"/>
  <c r="M454" i="5"/>
  <c r="L454" i="5"/>
  <c r="K454" i="5"/>
  <c r="J454" i="5" s="1"/>
  <c r="I454" i="5"/>
  <c r="H454" i="5"/>
  <c r="G454" i="5"/>
  <c r="F454" i="5"/>
  <c r="E454" i="5"/>
  <c r="D454" i="5"/>
  <c r="C454" i="5"/>
  <c r="BR453" i="5"/>
  <c r="BO453" i="5"/>
  <c r="BN453" i="5"/>
  <c r="BL453" i="5"/>
  <c r="BL455" i="5" s="1"/>
  <c r="BL459" i="5" s="1"/>
  <c r="BK453" i="5"/>
  <c r="BK455" i="5" s="1"/>
  <c r="BK459" i="5" s="1"/>
  <c r="BJ453" i="5"/>
  <c r="BI453" i="5"/>
  <c r="BH453" i="5" s="1"/>
  <c r="BH455" i="5" s="1"/>
  <c r="BH459" i="5" s="1"/>
  <c r="BG453" i="5"/>
  <c r="BF453" i="5"/>
  <c r="BE453" i="5"/>
  <c r="BE455" i="5" s="1"/>
  <c r="BD453" i="5"/>
  <c r="BC453" i="5" s="1"/>
  <c r="BC455" i="5" s="1"/>
  <c r="BB453" i="5"/>
  <c r="BA453" i="5"/>
  <c r="AZ453" i="5"/>
  <c r="AZ455" i="5" s="1"/>
  <c r="AZ459" i="5" s="1"/>
  <c r="AY453" i="5"/>
  <c r="AX453" i="5"/>
  <c r="AW453" i="5"/>
  <c r="AV453" i="5"/>
  <c r="AV455" i="5" s="1"/>
  <c r="AU453" i="5"/>
  <c r="AT453" i="5"/>
  <c r="AS453" i="5" s="1"/>
  <c r="AS455" i="5" s="1"/>
  <c r="AR453" i="5"/>
  <c r="AR455" i="5" s="1"/>
  <c r="AQ453" i="5"/>
  <c r="AP453" i="5"/>
  <c r="AO453" i="5"/>
  <c r="AN453" i="5"/>
  <c r="AM453" i="5"/>
  <c r="AM455" i="5" s="1"/>
  <c r="AL453" i="5"/>
  <c r="AK453" i="5"/>
  <c r="AK455" i="5" s="1"/>
  <c r="AK459" i="5" s="1"/>
  <c r="AJ453" i="5"/>
  <c r="AI453" i="5" s="1"/>
  <c r="AH453" i="5"/>
  <c r="AG453" i="5"/>
  <c r="AG455" i="5" s="1"/>
  <c r="AF453" i="5"/>
  <c r="AE453" i="5"/>
  <c r="AD453" i="5" s="1"/>
  <c r="AD455" i="5" s="1"/>
  <c r="AC453" i="5"/>
  <c r="AC455" i="5" s="1"/>
  <c r="AC459" i="5" s="1"/>
  <c r="AB453" i="5"/>
  <c r="AB455" i="5" s="1"/>
  <c r="AB459" i="5" s="1"/>
  <c r="AB465" i="5" s="1"/>
  <c r="AA453" i="5"/>
  <c r="Z453" i="5"/>
  <c r="Y453" i="5"/>
  <c r="X453" i="5"/>
  <c r="W453" i="5"/>
  <c r="V453" i="5"/>
  <c r="U453" i="5"/>
  <c r="T453" i="5"/>
  <c r="S453" i="5"/>
  <c r="R453" i="5"/>
  <c r="R455" i="5" s="1"/>
  <c r="Q453" i="5"/>
  <c r="Q455" i="5" s="1"/>
  <c r="P453" i="5"/>
  <c r="O453" i="5"/>
  <c r="O455" i="5" s="1"/>
  <c r="N453" i="5"/>
  <c r="M453" i="5"/>
  <c r="L453" i="5"/>
  <c r="K453" i="5"/>
  <c r="J453" i="5" s="1"/>
  <c r="I453" i="5"/>
  <c r="I455" i="5" s="1"/>
  <c r="I459" i="5" s="1"/>
  <c r="H453" i="5"/>
  <c r="H455" i="5" s="1"/>
  <c r="G453" i="5"/>
  <c r="G455" i="5" s="1"/>
  <c r="F453" i="5"/>
  <c r="F455" i="5" s="1"/>
  <c r="E453" i="5"/>
  <c r="E455" i="5" s="1"/>
  <c r="E459" i="5" s="1"/>
  <c r="D453" i="5"/>
  <c r="D455" i="5" s="1"/>
  <c r="D459" i="5" s="1"/>
  <c r="C453" i="5"/>
  <c r="BV451" i="5"/>
  <c r="BW451" i="5" s="1"/>
  <c r="BX451" i="5" s="1"/>
  <c r="BY451" i="5" s="1"/>
  <c r="BZ451" i="5" s="1"/>
  <c r="CA451" i="5" s="1"/>
  <c r="CB451" i="5" s="1"/>
  <c r="CC451" i="5" s="1"/>
  <c r="CD451" i="5" s="1"/>
  <c r="CE451" i="5" s="1"/>
  <c r="CF451" i="5" s="1"/>
  <c r="BT451" i="5"/>
  <c r="BU451" i="5" s="1"/>
  <c r="BR451" i="5"/>
  <c r="BM451" i="5"/>
  <c r="BH451" i="5"/>
  <c r="BC451" i="5"/>
  <c r="AX451" i="5"/>
  <c r="AS451" i="5"/>
  <c r="AN451" i="5"/>
  <c r="AI451" i="5"/>
  <c r="AD451" i="5"/>
  <c r="Y451" i="5"/>
  <c r="T451" i="5"/>
  <c r="O451" i="5"/>
  <c r="J451" i="5"/>
  <c r="BS448" i="5"/>
  <c r="BR448" i="5"/>
  <c r="BQ448" i="5"/>
  <c r="BP448" i="5"/>
  <c r="BO448" i="5"/>
  <c r="BM448" i="5"/>
  <c r="BL448" i="5"/>
  <c r="BH448" i="5"/>
  <c r="BE448" i="5"/>
  <c r="BD448" i="5"/>
  <c r="BB448" i="5"/>
  <c r="AY448" i="5"/>
  <c r="AU448" i="5"/>
  <c r="AS448" i="5"/>
  <c r="AR448" i="5"/>
  <c r="AP448" i="5"/>
  <c r="AN448" i="5"/>
  <c r="AK448" i="5"/>
  <c r="AI448" i="5"/>
  <c r="AH448" i="5"/>
  <c r="AG448" i="5"/>
  <c r="AC448" i="5"/>
  <c r="AA448" i="5"/>
  <c r="Y448" i="5"/>
  <c r="W448" i="5"/>
  <c r="U448" i="5"/>
  <c r="T448" i="5"/>
  <c r="S448" i="5"/>
  <c r="R448" i="5"/>
  <c r="J448" i="5"/>
  <c r="I448" i="5"/>
  <c r="H448" i="5"/>
  <c r="G448" i="5"/>
  <c r="C448" i="5"/>
  <c r="BO447" i="5"/>
  <c r="BN447" i="5"/>
  <c r="BN448" i="5" s="1"/>
  <c r="BM447" i="5"/>
  <c r="BL447" i="5"/>
  <c r="BK447" i="5"/>
  <c r="BK448" i="5" s="1"/>
  <c r="BJ447" i="5"/>
  <c r="BJ448" i="5" s="1"/>
  <c r="BI447" i="5"/>
  <c r="BI448" i="5" s="1"/>
  <c r="BH447" i="5"/>
  <c r="BG447" i="5"/>
  <c r="BG448" i="5" s="1"/>
  <c r="BF447" i="5"/>
  <c r="BF448" i="5" s="1"/>
  <c r="BE447" i="5"/>
  <c r="BD447" i="5"/>
  <c r="BC447" i="5"/>
  <c r="BC448" i="5" s="1"/>
  <c r="BB447" i="5"/>
  <c r="BA447" i="5"/>
  <c r="BA448" i="5" s="1"/>
  <c r="AZ447" i="5"/>
  <c r="AZ481" i="5" s="1"/>
  <c r="AY447" i="5"/>
  <c r="AX447" i="5"/>
  <c r="AX448" i="5" s="1"/>
  <c r="AW447" i="5"/>
  <c r="AW448" i="5" s="1"/>
  <c r="AV447" i="5"/>
  <c r="AV448" i="5" s="1"/>
  <c r="AU447" i="5"/>
  <c r="AT447" i="5"/>
  <c r="AT448" i="5" s="1"/>
  <c r="AS447" i="5"/>
  <c r="AR447" i="5"/>
  <c r="AQ447" i="5"/>
  <c r="AQ448" i="5" s="1"/>
  <c r="AP447" i="5"/>
  <c r="AO447" i="5"/>
  <c r="AO448" i="5" s="1"/>
  <c r="AN447" i="5"/>
  <c r="AM447" i="5"/>
  <c r="AM448" i="5" s="1"/>
  <c r="AL447" i="5"/>
  <c r="AL448" i="5" s="1"/>
  <c r="AK447" i="5"/>
  <c r="AJ447" i="5"/>
  <c r="AJ448" i="5" s="1"/>
  <c r="AI447" i="5"/>
  <c r="AH447" i="5"/>
  <c r="AG447" i="5"/>
  <c r="AF447" i="5"/>
  <c r="AF448" i="5" s="1"/>
  <c r="AE447" i="5"/>
  <c r="AE448" i="5" s="1"/>
  <c r="AD447" i="5"/>
  <c r="AD448" i="5" s="1"/>
  <c r="AC447" i="5"/>
  <c r="AB447" i="5"/>
  <c r="AA447" i="5"/>
  <c r="Z447" i="5"/>
  <c r="Z448" i="5" s="1"/>
  <c r="Y447" i="5"/>
  <c r="X447" i="5"/>
  <c r="X448" i="5" s="1"/>
  <c r="W447" i="5"/>
  <c r="V447" i="5"/>
  <c r="V448" i="5" s="1"/>
  <c r="U447" i="5"/>
  <c r="T447" i="5"/>
  <c r="S447" i="5"/>
  <c r="R447" i="5"/>
  <c r="Q447" i="5"/>
  <c r="Q448" i="5" s="1"/>
  <c r="P447" i="5"/>
  <c r="P448" i="5" s="1"/>
  <c r="O447" i="5"/>
  <c r="O448" i="5" s="1"/>
  <c r="N447" i="5"/>
  <c r="N448" i="5" s="1"/>
  <c r="M447" i="5"/>
  <c r="M448" i="5" s="1"/>
  <c r="L447" i="5"/>
  <c r="L448" i="5" s="1"/>
  <c r="K447" i="5"/>
  <c r="K481" i="5" s="1"/>
  <c r="J447" i="5"/>
  <c r="I447" i="5"/>
  <c r="H447" i="5"/>
  <c r="G447" i="5"/>
  <c r="F447" i="5"/>
  <c r="F448" i="5" s="1"/>
  <c r="E447" i="5"/>
  <c r="E448" i="5" s="1"/>
  <c r="D447" i="5"/>
  <c r="D448" i="5" s="1"/>
  <c r="C447" i="5"/>
  <c r="BO446" i="5"/>
  <c r="BN446" i="5"/>
  <c r="BM446" i="5"/>
  <c r="BL446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A444" i="5"/>
  <c r="CC433" i="5"/>
  <c r="BX433" i="5"/>
  <c r="BS433" i="5"/>
  <c r="BR433" i="5"/>
  <c r="BQ433" i="5"/>
  <c r="BP433" i="5"/>
  <c r="BO433" i="5"/>
  <c r="BN433" i="5"/>
  <c r="BM433" i="5"/>
  <c r="BL433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C433" i="5"/>
  <c r="BP431" i="5"/>
  <c r="BL431" i="5"/>
  <c r="BI431" i="5"/>
  <c r="BF431" i="5"/>
  <c r="BE431" i="5"/>
  <c r="BD431" i="5"/>
  <c r="AV431" i="5"/>
  <c r="AT431" i="5"/>
  <c r="AQ431" i="5"/>
  <c r="AO431" i="5"/>
  <c r="AL431" i="5"/>
  <c r="AH431" i="5"/>
  <c r="AF431" i="5"/>
  <c r="AE431" i="5"/>
  <c r="AC431" i="5"/>
  <c r="S431" i="5"/>
  <c r="R431" i="5"/>
  <c r="Q431" i="5"/>
  <c r="P431" i="5"/>
  <c r="G431" i="5"/>
  <c r="F431" i="5"/>
  <c r="E431" i="5"/>
  <c r="D431" i="5"/>
  <c r="C431" i="5"/>
  <c r="P430" i="5"/>
  <c r="BS429" i="5"/>
  <c r="BQ429" i="5"/>
  <c r="BQ431" i="5" s="1"/>
  <c r="BP429" i="5"/>
  <c r="BO429" i="5"/>
  <c r="BO431" i="5" s="1"/>
  <c r="BN429" i="5"/>
  <c r="BN431" i="5" s="1"/>
  <c r="BL429" i="5"/>
  <c r="BK429" i="5"/>
  <c r="BJ429" i="5"/>
  <c r="BI429" i="5"/>
  <c r="BG429" i="5"/>
  <c r="BF429" i="5"/>
  <c r="BE429" i="5"/>
  <c r="BD429" i="5"/>
  <c r="BB429" i="5"/>
  <c r="BA429" i="5"/>
  <c r="BA431" i="5" s="1"/>
  <c r="AZ429" i="5"/>
  <c r="AY429" i="5"/>
  <c r="AY431" i="5" s="1"/>
  <c r="AW429" i="5"/>
  <c r="AW431" i="5" s="1"/>
  <c r="AV429" i="5"/>
  <c r="AU429" i="5"/>
  <c r="AU431" i="5" s="1"/>
  <c r="AT429" i="5"/>
  <c r="AR429" i="5"/>
  <c r="AR431" i="5" s="1"/>
  <c r="AQ429" i="5"/>
  <c r="AP429" i="5"/>
  <c r="AO429" i="5"/>
  <c r="AM429" i="5"/>
  <c r="AM431" i="5" s="1"/>
  <c r="AL429" i="5"/>
  <c r="AK429" i="5"/>
  <c r="AJ429" i="5"/>
  <c r="AH429" i="5"/>
  <c r="AG429" i="5"/>
  <c r="AF429" i="5"/>
  <c r="AE429" i="5"/>
  <c r="AC429" i="5"/>
  <c r="AB429" i="5"/>
  <c r="AB431" i="5" s="1"/>
  <c r="AA429" i="5"/>
  <c r="Z429" i="5"/>
  <c r="X429" i="5"/>
  <c r="W429" i="5"/>
  <c r="V429" i="5"/>
  <c r="U429" i="5"/>
  <c r="S429" i="5"/>
  <c r="R429" i="5"/>
  <c r="Q429" i="5"/>
  <c r="P429" i="5"/>
  <c r="N429" i="5"/>
  <c r="N431" i="5" s="1"/>
  <c r="M429" i="5"/>
  <c r="M431" i="5" s="1"/>
  <c r="L429" i="5"/>
  <c r="K429" i="5"/>
  <c r="K431" i="5" s="1"/>
  <c r="I429" i="5"/>
  <c r="H429" i="5"/>
  <c r="G429" i="5"/>
  <c r="F429" i="5"/>
  <c r="E429" i="5"/>
  <c r="D429" i="5"/>
  <c r="C429" i="5"/>
  <c r="CC428" i="5"/>
  <c r="BX428" i="5"/>
  <c r="BS428" i="5"/>
  <c r="BQ428" i="5"/>
  <c r="BP428" i="5"/>
  <c r="BO428" i="5"/>
  <c r="BN428" i="5"/>
  <c r="BL428" i="5"/>
  <c r="BK428" i="5"/>
  <c r="BJ428" i="5"/>
  <c r="BI428" i="5"/>
  <c r="BG428" i="5"/>
  <c r="BF428" i="5"/>
  <c r="BE428" i="5"/>
  <c r="BD428" i="5"/>
  <c r="BB428" i="5"/>
  <c r="BA428" i="5"/>
  <c r="AZ428" i="5"/>
  <c r="AY428" i="5"/>
  <c r="AW428" i="5"/>
  <c r="AV428" i="5"/>
  <c r="AU428" i="5"/>
  <c r="AT428" i="5"/>
  <c r="AR428" i="5"/>
  <c r="AQ428" i="5"/>
  <c r="AP428" i="5"/>
  <c r="AO428" i="5"/>
  <c r="AM428" i="5"/>
  <c r="AL428" i="5"/>
  <c r="AK428" i="5"/>
  <c r="AJ428" i="5"/>
  <c r="AH428" i="5"/>
  <c r="AG428" i="5"/>
  <c r="AF428" i="5"/>
  <c r="AE428" i="5"/>
  <c r="AC428" i="5"/>
  <c r="AB428" i="5"/>
  <c r="AA428" i="5"/>
  <c r="Z428" i="5"/>
  <c r="X428" i="5"/>
  <c r="W428" i="5"/>
  <c r="V428" i="5"/>
  <c r="U428" i="5"/>
  <c r="S428" i="5"/>
  <c r="R428" i="5"/>
  <c r="Q428" i="5"/>
  <c r="P428" i="5"/>
  <c r="N428" i="5"/>
  <c r="M428" i="5"/>
  <c r="L428" i="5"/>
  <c r="K428" i="5"/>
  <c r="I428" i="5"/>
  <c r="H428" i="5"/>
  <c r="G428" i="5"/>
  <c r="F428" i="5"/>
  <c r="E428" i="5"/>
  <c r="D428" i="5"/>
  <c r="C428" i="5"/>
  <c r="CC427" i="5"/>
  <c r="BX427" i="5"/>
  <c r="BS425" i="5"/>
  <c r="BR425" i="5"/>
  <c r="BQ425" i="5"/>
  <c r="BP425" i="5"/>
  <c r="BO425" i="5"/>
  <c r="BN425" i="5"/>
  <c r="BM425" i="5"/>
  <c r="BL425" i="5"/>
  <c r="BK425" i="5"/>
  <c r="BJ425" i="5"/>
  <c r="BI425" i="5"/>
  <c r="BH425" i="5"/>
  <c r="BG425" i="5"/>
  <c r="BF425" i="5"/>
  <c r="BE425" i="5"/>
  <c r="BE424" i="5" s="1"/>
  <c r="BD425" i="5"/>
  <c r="BC425" i="5"/>
  <c r="BB425" i="5"/>
  <c r="BA425" i="5"/>
  <c r="AZ425" i="5"/>
  <c r="AY425" i="5"/>
  <c r="AX425" i="5"/>
  <c r="AW425" i="5"/>
  <c r="AW424" i="5" s="1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G424" i="5" s="1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S424" i="5" s="1"/>
  <c r="R425" i="5"/>
  <c r="R424" i="5" s="1"/>
  <c r="Q425" i="5"/>
  <c r="P425" i="5"/>
  <c r="O425" i="5"/>
  <c r="N425" i="5"/>
  <c r="M425" i="5"/>
  <c r="L425" i="5"/>
  <c r="K425" i="5"/>
  <c r="J425" i="5"/>
  <c r="I425" i="5"/>
  <c r="I424" i="5" s="1"/>
  <c r="H425" i="5"/>
  <c r="G425" i="5"/>
  <c r="F425" i="5"/>
  <c r="E425" i="5"/>
  <c r="D425" i="5"/>
  <c r="C425" i="5"/>
  <c r="BP424" i="5"/>
  <c r="BN424" i="5"/>
  <c r="BL424" i="5"/>
  <c r="BK424" i="5"/>
  <c r="BJ424" i="5"/>
  <c r="BI424" i="5"/>
  <c r="BG424" i="5"/>
  <c r="BD424" i="5"/>
  <c r="BB424" i="5"/>
  <c r="BA424" i="5"/>
  <c r="AZ424" i="5"/>
  <c r="AY424" i="5"/>
  <c r="AP424" i="5"/>
  <c r="AO424" i="5"/>
  <c r="AM424" i="5"/>
  <c r="AL424" i="5"/>
  <c r="AK424" i="5"/>
  <c r="AC424" i="5"/>
  <c r="AA424" i="5"/>
  <c r="Z424" i="5"/>
  <c r="V424" i="5"/>
  <c r="Q424" i="5"/>
  <c r="P424" i="5"/>
  <c r="N424" i="5"/>
  <c r="M424" i="5"/>
  <c r="L424" i="5"/>
  <c r="K424" i="5"/>
  <c r="H424" i="5"/>
  <c r="F424" i="5"/>
  <c r="E424" i="5"/>
  <c r="D424" i="5"/>
  <c r="C424" i="5"/>
  <c r="CC421" i="5"/>
  <c r="BX421" i="5"/>
  <c r="BS421" i="5"/>
  <c r="BQ421" i="5"/>
  <c r="BP421" i="5"/>
  <c r="BO421" i="5"/>
  <c r="BN421" i="5"/>
  <c r="BL421" i="5"/>
  <c r="BK421" i="5"/>
  <c r="BJ421" i="5"/>
  <c r="BI421" i="5"/>
  <c r="BG421" i="5"/>
  <c r="BF421" i="5"/>
  <c r="BE421" i="5"/>
  <c r="BD421" i="5"/>
  <c r="BC421" i="5"/>
  <c r="BB421" i="5"/>
  <c r="BA421" i="5"/>
  <c r="AZ421" i="5"/>
  <c r="AY421" i="5"/>
  <c r="AX421" i="5"/>
  <c r="AW421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H421" i="5"/>
  <c r="AG421" i="5"/>
  <c r="AF421" i="5"/>
  <c r="AE421" i="5"/>
  <c r="AC421" i="5"/>
  <c r="AB421" i="5"/>
  <c r="AA421" i="5"/>
  <c r="Z421" i="5"/>
  <c r="X421" i="5"/>
  <c r="W421" i="5"/>
  <c r="V421" i="5"/>
  <c r="U421" i="5"/>
  <c r="S421" i="5"/>
  <c r="R421" i="5"/>
  <c r="Q421" i="5"/>
  <c r="P421" i="5"/>
  <c r="N421" i="5"/>
  <c r="M421" i="5"/>
  <c r="L421" i="5"/>
  <c r="K421" i="5"/>
  <c r="I421" i="5"/>
  <c r="H421" i="5"/>
  <c r="G421" i="5"/>
  <c r="F421" i="5"/>
  <c r="E421" i="5"/>
  <c r="D421" i="5"/>
  <c r="C421" i="5"/>
  <c r="CC420" i="5"/>
  <c r="BX420" i="5"/>
  <c r="BG420" i="5"/>
  <c r="BF420" i="5"/>
  <c r="BE420" i="5"/>
  <c r="BD420" i="5"/>
  <c r="BB420" i="5"/>
  <c r="BA420" i="5"/>
  <c r="AZ420" i="5"/>
  <c r="AY420" i="5"/>
  <c r="AW420" i="5"/>
  <c r="AV420" i="5"/>
  <c r="AU420" i="5"/>
  <c r="AT420" i="5"/>
  <c r="AR420" i="5"/>
  <c r="AQ420" i="5"/>
  <c r="AP420" i="5"/>
  <c r="AO420" i="5"/>
  <c r="AM420" i="5"/>
  <c r="AL420" i="5"/>
  <c r="AK420" i="5"/>
  <c r="AJ420" i="5"/>
  <c r="AH420" i="5"/>
  <c r="AG420" i="5"/>
  <c r="AF420" i="5"/>
  <c r="AE420" i="5"/>
  <c r="AC420" i="5"/>
  <c r="AB420" i="5"/>
  <c r="AA420" i="5"/>
  <c r="Z420" i="5"/>
  <c r="X420" i="5"/>
  <c r="W420" i="5"/>
  <c r="V420" i="5"/>
  <c r="U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S419" i="5"/>
  <c r="BS516" i="5" s="1"/>
  <c r="BS517" i="5" s="1"/>
  <c r="BQ419" i="5"/>
  <c r="BQ516" i="5" s="1"/>
  <c r="BP419" i="5"/>
  <c r="BP516" i="5" s="1"/>
  <c r="BO419" i="5"/>
  <c r="BO516" i="5" s="1"/>
  <c r="BN419" i="5"/>
  <c r="BN516" i="5" s="1"/>
  <c r="BN517" i="5" s="1"/>
  <c r="BL419" i="5"/>
  <c r="BL516" i="5" s="1"/>
  <c r="BK419" i="5"/>
  <c r="BK516" i="5" s="1"/>
  <c r="BK517" i="5" s="1"/>
  <c r="BJ419" i="5"/>
  <c r="BJ516" i="5" s="1"/>
  <c r="BJ517" i="5" s="1"/>
  <c r="BI419" i="5"/>
  <c r="BI516" i="5" s="1"/>
  <c r="BI517" i="5" s="1"/>
  <c r="BH419" i="5"/>
  <c r="BH516" i="5" s="1"/>
  <c r="BH517" i="5" s="1"/>
  <c r="BG419" i="5"/>
  <c r="BG516" i="5" s="1"/>
  <c r="BG517" i="5" s="1"/>
  <c r="BF419" i="5"/>
  <c r="BF516" i="5" s="1"/>
  <c r="BE419" i="5"/>
  <c r="BE516" i="5" s="1"/>
  <c r="BD419" i="5"/>
  <c r="BD516" i="5" s="1"/>
  <c r="BD517" i="5" s="1"/>
  <c r="BB419" i="5"/>
  <c r="BB516" i="5" s="1"/>
  <c r="BA419" i="5"/>
  <c r="BA516" i="5" s="1"/>
  <c r="AZ419" i="5"/>
  <c r="AZ516" i="5" s="1"/>
  <c r="AY419" i="5"/>
  <c r="AY516" i="5" s="1"/>
  <c r="AY517" i="5" s="1"/>
  <c r="AW419" i="5"/>
  <c r="AW516" i="5" s="1"/>
  <c r="AV419" i="5"/>
  <c r="AV516" i="5" s="1"/>
  <c r="AU419" i="5"/>
  <c r="AU516" i="5" s="1"/>
  <c r="AT419" i="5"/>
  <c r="AT516" i="5" s="1"/>
  <c r="AT517" i="5" s="1"/>
  <c r="AS419" i="5"/>
  <c r="AS516" i="5" s="1"/>
  <c r="AR419" i="5"/>
  <c r="AR516" i="5" s="1"/>
  <c r="AQ419" i="5"/>
  <c r="AQ516" i="5" s="1"/>
  <c r="AP419" i="5"/>
  <c r="AP516" i="5" s="1"/>
  <c r="AO419" i="5"/>
  <c r="AO516" i="5" s="1"/>
  <c r="AO517" i="5" s="1"/>
  <c r="AN419" i="5"/>
  <c r="AN516" i="5" s="1"/>
  <c r="AM419" i="5"/>
  <c r="AM516" i="5" s="1"/>
  <c r="AL419" i="5"/>
  <c r="AL516" i="5" s="1"/>
  <c r="AK419" i="5"/>
  <c r="AK516" i="5" s="1"/>
  <c r="AJ419" i="5"/>
  <c r="AJ516" i="5" s="1"/>
  <c r="AJ517" i="5" s="1"/>
  <c r="AI419" i="5"/>
  <c r="AI516" i="5" s="1"/>
  <c r="AH419" i="5"/>
  <c r="AH516" i="5" s="1"/>
  <c r="AG419" i="5"/>
  <c r="AG516" i="5" s="1"/>
  <c r="AF419" i="5"/>
  <c r="AF516" i="5" s="1"/>
  <c r="AE419" i="5"/>
  <c r="AE516" i="5" s="1"/>
  <c r="AE517" i="5" s="1"/>
  <c r="AD419" i="5"/>
  <c r="AD516" i="5" s="1"/>
  <c r="AC419" i="5"/>
  <c r="AC516" i="5" s="1"/>
  <c r="AB419" i="5"/>
  <c r="AB516" i="5" s="1"/>
  <c r="AA419" i="5"/>
  <c r="AA516" i="5" s="1"/>
  <c r="Z419" i="5"/>
  <c r="X419" i="5"/>
  <c r="X516" i="5" s="1"/>
  <c r="W419" i="5"/>
  <c r="W516" i="5" s="1"/>
  <c r="V419" i="5"/>
  <c r="V516" i="5" s="1"/>
  <c r="U419" i="5"/>
  <c r="U516" i="5" s="1"/>
  <c r="U517" i="5" s="1"/>
  <c r="S419" i="5"/>
  <c r="S516" i="5" s="1"/>
  <c r="R419" i="5"/>
  <c r="R516" i="5" s="1"/>
  <c r="Q419" i="5"/>
  <c r="Q516" i="5" s="1"/>
  <c r="P419" i="5"/>
  <c r="P516" i="5" s="1"/>
  <c r="P517" i="5" s="1"/>
  <c r="N419" i="5"/>
  <c r="N516" i="5" s="1"/>
  <c r="M419" i="5"/>
  <c r="M516" i="5" s="1"/>
  <c r="L419" i="5"/>
  <c r="L516" i="5" s="1"/>
  <c r="K419" i="5"/>
  <c r="K516" i="5" s="1"/>
  <c r="K517" i="5" s="1"/>
  <c r="I419" i="5"/>
  <c r="I516" i="5" s="1"/>
  <c r="H419" i="5"/>
  <c r="H516" i="5" s="1"/>
  <c r="G419" i="5"/>
  <c r="G516" i="5" s="1"/>
  <c r="F419" i="5"/>
  <c r="F516" i="5" s="1"/>
  <c r="F517" i="5" s="1"/>
  <c r="E419" i="5"/>
  <c r="E516" i="5" s="1"/>
  <c r="E517" i="5" s="1"/>
  <c r="D419" i="5"/>
  <c r="D516" i="5" s="1"/>
  <c r="D517" i="5" s="1"/>
  <c r="C419" i="5"/>
  <c r="C516" i="5" s="1"/>
  <c r="P415" i="5"/>
  <c r="P269" i="5" s="1"/>
  <c r="CC414" i="5"/>
  <c r="BX414" i="5"/>
  <c r="BS414" i="5"/>
  <c r="BR414" i="5"/>
  <c r="BQ414" i="5"/>
  <c r="BQ268" i="5" s="1"/>
  <c r="BP414" i="5"/>
  <c r="BO414" i="5"/>
  <c r="BN414" i="5"/>
  <c r="BM414" i="5"/>
  <c r="BL414" i="5"/>
  <c r="BK414" i="5"/>
  <c r="BK268" i="5" s="1"/>
  <c r="BJ414" i="5"/>
  <c r="BI414" i="5"/>
  <c r="BH414" i="5"/>
  <c r="BG414" i="5"/>
  <c r="BF414" i="5"/>
  <c r="BF268" i="5" s="1"/>
  <c r="BE414" i="5"/>
  <c r="BE268" i="5" s="1"/>
  <c r="BD414" i="5"/>
  <c r="BC414" i="5"/>
  <c r="BB414" i="5"/>
  <c r="BA414" i="5"/>
  <c r="AZ414" i="5"/>
  <c r="AY414" i="5"/>
  <c r="AX414" i="5"/>
  <c r="AW414" i="5"/>
  <c r="AV414" i="5"/>
  <c r="AV268" i="5" s="1"/>
  <c r="AU414" i="5"/>
  <c r="AT414" i="5"/>
  <c r="AS414" i="5"/>
  <c r="AR414" i="5"/>
  <c r="AQ414" i="5"/>
  <c r="AP414" i="5"/>
  <c r="AO414" i="5"/>
  <c r="AN414" i="5"/>
  <c r="AM414" i="5"/>
  <c r="AM268" i="5" s="1"/>
  <c r="AL414" i="5"/>
  <c r="AL268" i="5" s="1"/>
  <c r="AK414" i="5"/>
  <c r="AJ414" i="5"/>
  <c r="AI414" i="5"/>
  <c r="AH414" i="5"/>
  <c r="AH268" i="5" s="1"/>
  <c r="AG414" i="5"/>
  <c r="AF414" i="5"/>
  <c r="AF268" i="5" s="1"/>
  <c r="AE414" i="5"/>
  <c r="AD414" i="5"/>
  <c r="AC414" i="5"/>
  <c r="AB414" i="5"/>
  <c r="AA414" i="5"/>
  <c r="Z414" i="5"/>
  <c r="Z268" i="5" s="1"/>
  <c r="Y414" i="5"/>
  <c r="X414" i="5"/>
  <c r="X268" i="5" s="1"/>
  <c r="W414" i="5"/>
  <c r="V414" i="5"/>
  <c r="U414" i="5"/>
  <c r="T414" i="5"/>
  <c r="S414" i="5"/>
  <c r="R414" i="5"/>
  <c r="R268" i="5" s="1"/>
  <c r="Q414" i="5"/>
  <c r="P414" i="5"/>
  <c r="P268" i="5" s="1"/>
  <c r="O414" i="5"/>
  <c r="N414" i="5"/>
  <c r="N268" i="5" s="1"/>
  <c r="M414" i="5"/>
  <c r="L414" i="5"/>
  <c r="K414" i="5"/>
  <c r="J414" i="5"/>
  <c r="I414" i="5"/>
  <c r="I268" i="5" s="1"/>
  <c r="H414" i="5"/>
  <c r="H268" i="5" s="1"/>
  <c r="G414" i="5"/>
  <c r="F414" i="5"/>
  <c r="E414" i="5"/>
  <c r="D414" i="5"/>
  <c r="C414" i="5"/>
  <c r="BS413" i="5"/>
  <c r="BR413" i="5"/>
  <c r="BQ413" i="5"/>
  <c r="BQ738" i="5" s="1"/>
  <c r="BP413" i="5"/>
  <c r="BP738" i="5" s="1"/>
  <c r="BO413" i="5"/>
  <c r="BO738" i="5" s="1"/>
  <c r="BN413" i="5"/>
  <c r="BN738" i="5" s="1"/>
  <c r="BM413" i="5"/>
  <c r="BM738" i="5" s="1"/>
  <c r="BL413" i="5"/>
  <c r="BL738" i="5" s="1"/>
  <c r="BK413" i="5"/>
  <c r="BK738" i="5" s="1"/>
  <c r="BJ413" i="5"/>
  <c r="BJ738" i="5" s="1"/>
  <c r="BI413" i="5"/>
  <c r="BI738" i="5" s="1"/>
  <c r="BH413" i="5"/>
  <c r="BG413" i="5"/>
  <c r="BG738" i="5" s="1"/>
  <c r="BF413" i="5"/>
  <c r="BE413" i="5"/>
  <c r="BE738" i="5" s="1"/>
  <c r="BD413" i="5"/>
  <c r="BD738" i="5" s="1"/>
  <c r="BC413" i="5"/>
  <c r="BC738" i="5" s="1"/>
  <c r="BB413" i="5"/>
  <c r="BB738" i="5" s="1"/>
  <c r="BA413" i="5"/>
  <c r="BA738" i="5" s="1"/>
  <c r="AZ413" i="5"/>
  <c r="AZ738" i="5" s="1"/>
  <c r="AY413" i="5"/>
  <c r="AY738" i="5" s="1"/>
  <c r="AX413" i="5"/>
  <c r="AX738" i="5" s="1"/>
  <c r="AW413" i="5"/>
  <c r="AW738" i="5" s="1"/>
  <c r="AV413" i="5"/>
  <c r="AV738" i="5" s="1"/>
  <c r="AU413" i="5"/>
  <c r="AT413" i="5"/>
  <c r="AS413" i="5"/>
  <c r="AS738" i="5" s="1"/>
  <c r="AR413" i="5"/>
  <c r="AQ413" i="5"/>
  <c r="AQ738" i="5" s="1"/>
  <c r="AP413" i="5"/>
  <c r="AP738" i="5" s="1"/>
  <c r="AO413" i="5"/>
  <c r="AO738" i="5" s="1"/>
  <c r="AN413" i="5"/>
  <c r="AN738" i="5" s="1"/>
  <c r="AM413" i="5"/>
  <c r="AM738" i="5" s="1"/>
  <c r="AL413" i="5"/>
  <c r="AL738" i="5" s="1"/>
  <c r="AK413" i="5"/>
  <c r="AK738" i="5" s="1"/>
  <c r="AJ413" i="5"/>
  <c r="AJ738" i="5" s="1"/>
  <c r="AJ744" i="5" s="1"/>
  <c r="AI413" i="5"/>
  <c r="AI738" i="5" s="1"/>
  <c r="AH413" i="5"/>
  <c r="AG413" i="5"/>
  <c r="AG738" i="5" s="1"/>
  <c r="AF413" i="5"/>
  <c r="AF738" i="5" s="1"/>
  <c r="AE413" i="5"/>
  <c r="AE738" i="5" s="1"/>
  <c r="AD413" i="5"/>
  <c r="AD738" i="5" s="1"/>
  <c r="AC413" i="5"/>
  <c r="AC738" i="5" s="1"/>
  <c r="AB413" i="5"/>
  <c r="AB738" i="5" s="1"/>
  <c r="AA413" i="5"/>
  <c r="AA738" i="5" s="1"/>
  <c r="Z413" i="5"/>
  <c r="Z738" i="5" s="1"/>
  <c r="Z744" i="5" s="1"/>
  <c r="Y413" i="5"/>
  <c r="Y738" i="5" s="1"/>
  <c r="X413" i="5"/>
  <c r="X738" i="5" s="1"/>
  <c r="W413" i="5"/>
  <c r="V413" i="5"/>
  <c r="U413" i="5"/>
  <c r="T413" i="5"/>
  <c r="T738" i="5" s="1"/>
  <c r="S413" i="5"/>
  <c r="S738" i="5" s="1"/>
  <c r="R413" i="5"/>
  <c r="R738" i="5" s="1"/>
  <c r="Q413" i="5"/>
  <c r="Q738" i="5" s="1"/>
  <c r="P413" i="5"/>
  <c r="P738" i="5" s="1"/>
  <c r="O413" i="5"/>
  <c r="O738" i="5" s="1"/>
  <c r="N413" i="5"/>
  <c r="N738" i="5" s="1"/>
  <c r="M413" i="5"/>
  <c r="M738" i="5" s="1"/>
  <c r="L413" i="5"/>
  <c r="L738" i="5" s="1"/>
  <c r="K413" i="5"/>
  <c r="K738" i="5" s="1"/>
  <c r="J413" i="5"/>
  <c r="I413" i="5"/>
  <c r="I738" i="5" s="1"/>
  <c r="H413" i="5"/>
  <c r="H738" i="5" s="1"/>
  <c r="G413" i="5"/>
  <c r="G738" i="5" s="1"/>
  <c r="F413" i="5"/>
  <c r="F738" i="5" s="1"/>
  <c r="E413" i="5"/>
  <c r="E738" i="5" s="1"/>
  <c r="E744" i="5" s="1"/>
  <c r="D413" i="5"/>
  <c r="D738" i="5" s="1"/>
  <c r="D744" i="5" s="1"/>
  <c r="C413" i="5"/>
  <c r="BS412" i="5"/>
  <c r="BR412" i="5"/>
  <c r="BQ412" i="5"/>
  <c r="BP412" i="5"/>
  <c r="BO412" i="5"/>
  <c r="BN412" i="5"/>
  <c r="BL412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L409" i="5"/>
  <c r="BS408" i="5"/>
  <c r="BJ408" i="5"/>
  <c r="BJ415" i="5" s="1"/>
  <c r="K408" i="5"/>
  <c r="K422" i="5" s="1"/>
  <c r="K426" i="5" s="1"/>
  <c r="BS407" i="5"/>
  <c r="BQ407" i="5"/>
  <c r="BP407" i="5"/>
  <c r="BO407" i="5"/>
  <c r="BN407" i="5"/>
  <c r="BL407" i="5"/>
  <c r="BL408" i="5" s="1"/>
  <c r="BK407" i="5"/>
  <c r="BJ407" i="5"/>
  <c r="BI407" i="5"/>
  <c r="BG407" i="5"/>
  <c r="BF407" i="5"/>
  <c r="BE407" i="5"/>
  <c r="BE261" i="5" s="1"/>
  <c r="BE833" i="5" s="1"/>
  <c r="BD407" i="5"/>
  <c r="BB407" i="5"/>
  <c r="BA407" i="5"/>
  <c r="AZ407" i="5"/>
  <c r="AY407" i="5"/>
  <c r="AY261" i="5" s="1"/>
  <c r="AY833" i="5" s="1"/>
  <c r="AX407" i="5"/>
  <c r="AW407" i="5"/>
  <c r="AV407" i="5"/>
  <c r="AU407" i="5"/>
  <c r="AU261" i="5" s="1"/>
  <c r="AU833" i="5" s="1"/>
  <c r="AT407" i="5"/>
  <c r="AS407" i="5"/>
  <c r="AR407" i="5"/>
  <c r="AQ407" i="5"/>
  <c r="AP407" i="5"/>
  <c r="AO407" i="5"/>
  <c r="AM407" i="5"/>
  <c r="AL407" i="5"/>
  <c r="AK407" i="5"/>
  <c r="AJ407" i="5"/>
  <c r="AH407" i="5"/>
  <c r="AG407" i="5"/>
  <c r="AG261" i="5" s="1"/>
  <c r="AG833" i="5" s="1"/>
  <c r="AF407" i="5"/>
  <c r="AE407" i="5"/>
  <c r="AE261" i="5" s="1"/>
  <c r="AE833" i="5" s="1"/>
  <c r="AD407" i="5"/>
  <c r="AD261" i="5" s="1"/>
  <c r="AD833" i="5" s="1"/>
  <c r="AC407" i="5"/>
  <c r="AB407" i="5"/>
  <c r="AA407" i="5"/>
  <c r="Z407" i="5"/>
  <c r="X407" i="5"/>
  <c r="X261" i="5" s="1"/>
  <c r="X833" i="5" s="1"/>
  <c r="W407" i="5"/>
  <c r="V407" i="5"/>
  <c r="V408" i="5" s="1"/>
  <c r="U407" i="5"/>
  <c r="S407" i="5"/>
  <c r="R407" i="5"/>
  <c r="Q407" i="5"/>
  <c r="P407" i="5"/>
  <c r="P408" i="5" s="1"/>
  <c r="P422" i="5" s="1"/>
  <c r="P426" i="5" s="1"/>
  <c r="N407" i="5"/>
  <c r="M407" i="5"/>
  <c r="L407" i="5"/>
  <c r="K407" i="5"/>
  <c r="I407" i="5"/>
  <c r="H407" i="5"/>
  <c r="G407" i="5"/>
  <c r="F407" i="5"/>
  <c r="F261" i="5" s="1"/>
  <c r="F833" i="5" s="1"/>
  <c r="E407" i="5"/>
  <c r="E261" i="5" s="1"/>
  <c r="E833" i="5" s="1"/>
  <c r="D407" i="5"/>
  <c r="D261" i="5" s="1"/>
  <c r="D833" i="5" s="1"/>
  <c r="C407" i="5"/>
  <c r="C261" i="5" s="1"/>
  <c r="C833" i="5" s="1"/>
  <c r="BS405" i="5"/>
  <c r="BL405" i="5"/>
  <c r="BJ405" i="5"/>
  <c r="BD405" i="5"/>
  <c r="BD408" i="5" s="1"/>
  <c r="BD422" i="5" s="1"/>
  <c r="BD426" i="5" s="1"/>
  <c r="AY405" i="5"/>
  <c r="AW405" i="5"/>
  <c r="AW408" i="5" s="1"/>
  <c r="AW422" i="5" s="1"/>
  <c r="AW426" i="5" s="1"/>
  <c r="AV405" i="5"/>
  <c r="AV408" i="5" s="1"/>
  <c r="AV422" i="5" s="1"/>
  <c r="AU405" i="5"/>
  <c r="AU408" i="5" s="1"/>
  <c r="AT405" i="5"/>
  <c r="AT408" i="5" s="1"/>
  <c r="AG405" i="5"/>
  <c r="AG408" i="5" s="1"/>
  <c r="Z405" i="5"/>
  <c r="X405" i="5"/>
  <c r="W405" i="5"/>
  <c r="W408" i="5" s="1"/>
  <c r="W422" i="5" s="1"/>
  <c r="V405" i="5"/>
  <c r="P405" i="5"/>
  <c r="L405" i="5"/>
  <c r="L408" i="5" s="1"/>
  <c r="L422" i="5" s="1"/>
  <c r="L426" i="5" s="1"/>
  <c r="K405" i="5"/>
  <c r="I405" i="5"/>
  <c r="I408" i="5" s="1"/>
  <c r="BS404" i="5"/>
  <c r="BR404" i="5"/>
  <c r="BR254" i="5" s="1"/>
  <c r="BR255" i="5" s="1"/>
  <c r="BQ404" i="5"/>
  <c r="BQ254" i="5" s="1"/>
  <c r="BQ255" i="5" s="1"/>
  <c r="BP404" i="5"/>
  <c r="BP254" i="5" s="1"/>
  <c r="BP255" i="5" s="1"/>
  <c r="BO404" i="5"/>
  <c r="BO254" i="5" s="1"/>
  <c r="BO255" i="5" s="1"/>
  <c r="BN404" i="5"/>
  <c r="BN257" i="5" s="1"/>
  <c r="BN258" i="5" s="1"/>
  <c r="BL404" i="5"/>
  <c r="BK404" i="5"/>
  <c r="BJ404" i="5"/>
  <c r="BI404" i="5"/>
  <c r="BI254" i="5" s="1"/>
  <c r="BI255" i="5" s="1"/>
  <c r="BG404" i="5"/>
  <c r="BF404" i="5"/>
  <c r="BE404" i="5"/>
  <c r="BD404" i="5"/>
  <c r="BB404" i="5"/>
  <c r="BA404" i="5"/>
  <c r="AZ404" i="5"/>
  <c r="AY404" i="5"/>
  <c r="AW404" i="5"/>
  <c r="AV404" i="5"/>
  <c r="AV254" i="5" s="1"/>
  <c r="AU404" i="5"/>
  <c r="AT404" i="5"/>
  <c r="AS404" i="5"/>
  <c r="AR404" i="5"/>
  <c r="AQ404" i="5"/>
  <c r="AQ257" i="5" s="1"/>
  <c r="AQ258" i="5" s="1"/>
  <c r="AP404" i="5"/>
  <c r="AO404" i="5"/>
  <c r="AO254" i="5" s="1"/>
  <c r="AO255" i="5" s="1"/>
  <c r="AM404" i="5"/>
  <c r="AM254" i="5" s="1"/>
  <c r="AM255" i="5" s="1"/>
  <c r="AL404" i="5"/>
  <c r="AK404" i="5"/>
  <c r="AJ404" i="5"/>
  <c r="AI404" i="5"/>
  <c r="AH404" i="5"/>
  <c r="AG404" i="5"/>
  <c r="AF404" i="5"/>
  <c r="AE404" i="5"/>
  <c r="AC404" i="5"/>
  <c r="AB404" i="5"/>
  <c r="AA404" i="5"/>
  <c r="Z404" i="5"/>
  <c r="X404" i="5"/>
  <c r="W404" i="5"/>
  <c r="W254" i="5" s="1"/>
  <c r="W255" i="5" s="1"/>
  <c r="V404" i="5"/>
  <c r="U404" i="5"/>
  <c r="T404" i="5"/>
  <c r="S404" i="5"/>
  <c r="R404" i="5"/>
  <c r="Q404" i="5"/>
  <c r="P404" i="5"/>
  <c r="O404" i="5"/>
  <c r="N404" i="5"/>
  <c r="N257" i="5" s="1"/>
  <c r="N258" i="5" s="1"/>
  <c r="M404" i="5"/>
  <c r="M254" i="5" s="1"/>
  <c r="M255" i="5" s="1"/>
  <c r="L404" i="5"/>
  <c r="K404" i="5"/>
  <c r="I404" i="5"/>
  <c r="H404" i="5"/>
  <c r="G404" i="5"/>
  <c r="F404" i="5"/>
  <c r="E404" i="5"/>
  <c r="D404" i="5"/>
  <c r="C404" i="5"/>
  <c r="A402" i="5"/>
  <c r="BS401" i="5"/>
  <c r="BQ401" i="5"/>
  <c r="BP401" i="5"/>
  <c r="BO401" i="5"/>
  <c r="BN401" i="5"/>
  <c r="BM401" i="5"/>
  <c r="BL401" i="5"/>
  <c r="BK401" i="5"/>
  <c r="BJ401" i="5"/>
  <c r="BI401" i="5"/>
  <c r="BG401" i="5"/>
  <c r="BF401" i="5"/>
  <c r="BE401" i="5"/>
  <c r="BD401" i="5"/>
  <c r="BC401" i="5"/>
  <c r="BB401" i="5"/>
  <c r="BA401" i="5"/>
  <c r="AZ401" i="5"/>
  <c r="AY401" i="5"/>
  <c r="AW401" i="5"/>
  <c r="AV401" i="5"/>
  <c r="AU401" i="5"/>
  <c r="AT401" i="5"/>
  <c r="AR401" i="5"/>
  <c r="AQ401" i="5"/>
  <c r="AP401" i="5"/>
  <c r="AO401" i="5"/>
  <c r="AM401" i="5"/>
  <c r="AL401" i="5"/>
  <c r="AK401" i="5"/>
  <c r="AJ401" i="5"/>
  <c r="AH401" i="5"/>
  <c r="AG401" i="5"/>
  <c r="AF401" i="5"/>
  <c r="AE401" i="5"/>
  <c r="AD401" i="5"/>
  <c r="AC401" i="5"/>
  <c r="AB401" i="5"/>
  <c r="AA401" i="5"/>
  <c r="Z401" i="5"/>
  <c r="X401" i="5"/>
  <c r="W401" i="5"/>
  <c r="V401" i="5"/>
  <c r="U401" i="5"/>
  <c r="S401" i="5"/>
  <c r="R401" i="5"/>
  <c r="Q401" i="5"/>
  <c r="P401" i="5"/>
  <c r="P723" i="5" s="1"/>
  <c r="N401" i="5"/>
  <c r="M401" i="5"/>
  <c r="L401" i="5"/>
  <c r="K401" i="5"/>
  <c r="I401" i="5"/>
  <c r="I261" i="5" s="1"/>
  <c r="I833" i="5" s="1"/>
  <c r="H401" i="5"/>
  <c r="G401" i="5"/>
  <c r="F401" i="5"/>
  <c r="E401" i="5"/>
  <c r="D401" i="5"/>
  <c r="C401" i="5"/>
  <c r="BR397" i="5"/>
  <c r="BR429" i="5" s="1"/>
  <c r="BM397" i="5"/>
  <c r="BH397" i="5"/>
  <c r="BH429" i="5" s="1"/>
  <c r="BC397" i="5"/>
  <c r="AX397" i="5"/>
  <c r="AX429" i="5" s="1"/>
  <c r="AS397" i="5"/>
  <c r="AN397" i="5"/>
  <c r="AI397" i="5"/>
  <c r="AD397" i="5"/>
  <c r="Y397" i="5"/>
  <c r="T397" i="5"/>
  <c r="O397" i="5"/>
  <c r="J397" i="5"/>
  <c r="BR396" i="5"/>
  <c r="BM396" i="5"/>
  <c r="BM429" i="5" s="1"/>
  <c r="BM431" i="5" s="1"/>
  <c r="BH396" i="5"/>
  <c r="BC396" i="5"/>
  <c r="AX396" i="5"/>
  <c r="AS396" i="5"/>
  <c r="AN396" i="5"/>
  <c r="AN429" i="5" s="1"/>
  <c r="AI396" i="5"/>
  <c r="AI429" i="5" s="1"/>
  <c r="AD396" i="5"/>
  <c r="AD429" i="5" s="1"/>
  <c r="Y396" i="5"/>
  <c r="Y429" i="5" s="1"/>
  <c r="T396" i="5"/>
  <c r="T429" i="5" s="1"/>
  <c r="O396" i="5"/>
  <c r="O429" i="5" s="1"/>
  <c r="O431" i="5" s="1"/>
  <c r="J396" i="5"/>
  <c r="J429" i="5" s="1"/>
  <c r="J431" i="5" s="1"/>
  <c r="AI392" i="5"/>
  <c r="D392" i="5"/>
  <c r="D433" i="5" s="1"/>
  <c r="AI391" i="5"/>
  <c r="AI389" i="5"/>
  <c r="AI388" i="5"/>
  <c r="AI386" i="5"/>
  <c r="AI385" i="5"/>
  <c r="AI384" i="5"/>
  <c r="AI383" i="5"/>
  <c r="AI382" i="5"/>
  <c r="AI381" i="5"/>
  <c r="AI380" i="5"/>
  <c r="AI379" i="5"/>
  <c r="AI378" i="5"/>
  <c r="AI377" i="5"/>
  <c r="AI376" i="5"/>
  <c r="AI375" i="5"/>
  <c r="AI374" i="5"/>
  <c r="AI373" i="5"/>
  <c r="AI372" i="5"/>
  <c r="AI371" i="5"/>
  <c r="AI370" i="5"/>
  <c r="AI369" i="5"/>
  <c r="AI368" i="5"/>
  <c r="AI367" i="5"/>
  <c r="AI366" i="5"/>
  <c r="AI365" i="5"/>
  <c r="AI364" i="5"/>
  <c r="AI363" i="5"/>
  <c r="AI362" i="5"/>
  <c r="AI361" i="5"/>
  <c r="AI360" i="5"/>
  <c r="U357" i="5"/>
  <c r="AR333" i="5"/>
  <c r="AR357" i="5" s="1"/>
  <c r="AQ333" i="5"/>
  <c r="AQ357" i="5" s="1"/>
  <c r="U333" i="5"/>
  <c r="AQ331" i="5"/>
  <c r="AQ409" i="5" s="1"/>
  <c r="AQ263" i="5" s="1"/>
  <c r="BQ317" i="5"/>
  <c r="BQ331" i="5" s="1"/>
  <c r="BQ409" i="5" s="1"/>
  <c r="BP317" i="5"/>
  <c r="BP331" i="5" s="1"/>
  <c r="BP409" i="5" s="1"/>
  <c r="U317" i="5"/>
  <c r="U331" i="5" s="1"/>
  <c r="U409" i="5" s="1"/>
  <c r="S317" i="5"/>
  <c r="S331" i="5" s="1"/>
  <c r="S409" i="5" s="1"/>
  <c r="S263" i="5" s="1"/>
  <c r="R317" i="5"/>
  <c r="R331" i="5" s="1"/>
  <c r="R409" i="5" s="1"/>
  <c r="BS315" i="5"/>
  <c r="BO315" i="5"/>
  <c r="BA315" i="5"/>
  <c r="AZ315" i="5"/>
  <c r="AY315" i="5"/>
  <c r="AX315" i="5"/>
  <c r="AW315" i="5"/>
  <c r="AV315" i="5"/>
  <c r="AU315" i="5"/>
  <c r="AT315" i="5"/>
  <c r="AR315" i="5"/>
  <c r="AQ315" i="5"/>
  <c r="AF315" i="5"/>
  <c r="BS308" i="5"/>
  <c r="BQ308" i="5"/>
  <c r="BQ315" i="5" s="1"/>
  <c r="BP308" i="5"/>
  <c r="BP315" i="5" s="1"/>
  <c r="BO308" i="5"/>
  <c r="BN308" i="5"/>
  <c r="BN315" i="5" s="1"/>
  <c r="BM308" i="5"/>
  <c r="BM315" i="5" s="1"/>
  <c r="BL308" i="5"/>
  <c r="BL315" i="5" s="1"/>
  <c r="BK308" i="5"/>
  <c r="BK315" i="5" s="1"/>
  <c r="BJ308" i="5"/>
  <c r="BJ315" i="5" s="1"/>
  <c r="BI308" i="5"/>
  <c r="BI315" i="5" s="1"/>
  <c r="BG308" i="5"/>
  <c r="BG315" i="5" s="1"/>
  <c r="BF308" i="5"/>
  <c r="BF315" i="5" s="1"/>
  <c r="BE308" i="5"/>
  <c r="BE315" i="5" s="1"/>
  <c r="BD308" i="5"/>
  <c r="BD315" i="5" s="1"/>
  <c r="BB308" i="5"/>
  <c r="BB315" i="5" s="1"/>
  <c r="BA308" i="5"/>
  <c r="AZ308" i="5"/>
  <c r="AY308" i="5"/>
  <c r="AW308" i="5"/>
  <c r="AV308" i="5"/>
  <c r="AU308" i="5"/>
  <c r="AT308" i="5"/>
  <c r="AS308" i="5"/>
  <c r="AS315" i="5" s="1"/>
  <c r="AR308" i="5"/>
  <c r="AQ308" i="5"/>
  <c r="AP308" i="5"/>
  <c r="AP315" i="5" s="1"/>
  <c r="AO308" i="5"/>
  <c r="AO315" i="5" s="1"/>
  <c r="AN308" i="5"/>
  <c r="AN315" i="5" s="1"/>
  <c r="AM308" i="5"/>
  <c r="AM315" i="5" s="1"/>
  <c r="AL308" i="5"/>
  <c r="AL315" i="5" s="1"/>
  <c r="AK308" i="5"/>
  <c r="AK315" i="5" s="1"/>
  <c r="AJ308" i="5"/>
  <c r="AJ315" i="5" s="1"/>
  <c r="AI308" i="5"/>
  <c r="AI315" i="5" s="1"/>
  <c r="AH308" i="5"/>
  <c r="AH315" i="5" s="1"/>
  <c r="AG308" i="5"/>
  <c r="AG315" i="5" s="1"/>
  <c r="AF308" i="5"/>
  <c r="AW306" i="5"/>
  <c r="AV306" i="5"/>
  <c r="AL306" i="5"/>
  <c r="AJ306" i="5"/>
  <c r="AG306" i="5"/>
  <c r="BO301" i="5"/>
  <c r="BO306" i="5" s="1"/>
  <c r="BK301" i="5"/>
  <c r="BK306" i="5" s="1"/>
  <c r="BB301" i="5"/>
  <c r="BB306" i="5" s="1"/>
  <c r="BA301" i="5"/>
  <c r="BA306" i="5" s="1"/>
  <c r="AZ301" i="5"/>
  <c r="AZ306" i="5" s="1"/>
  <c r="AY301" i="5"/>
  <c r="AY306" i="5" s="1"/>
  <c r="AW301" i="5"/>
  <c r="AV301" i="5"/>
  <c r="AU301" i="5"/>
  <c r="AU306" i="5" s="1"/>
  <c r="AR301" i="5"/>
  <c r="AR306" i="5" s="1"/>
  <c r="AQ301" i="5"/>
  <c r="AQ306" i="5" s="1"/>
  <c r="AC299" i="5"/>
  <c r="AA299" i="5"/>
  <c r="Z299" i="5"/>
  <c r="X299" i="5"/>
  <c r="W299" i="5"/>
  <c r="V299" i="5"/>
  <c r="U299" i="5"/>
  <c r="S299" i="5"/>
  <c r="R299" i="5"/>
  <c r="AE295" i="5"/>
  <c r="AE299" i="5" s="1"/>
  <c r="AD295" i="5"/>
  <c r="AD299" i="5" s="1"/>
  <c r="AC295" i="5"/>
  <c r="AB295" i="5"/>
  <c r="AB299" i="5" s="1"/>
  <c r="AA295" i="5"/>
  <c r="Z295" i="5"/>
  <c r="X295" i="5"/>
  <c r="W295" i="5"/>
  <c r="V295" i="5"/>
  <c r="U295" i="5"/>
  <c r="T295" i="5"/>
  <c r="T299" i="5" s="1"/>
  <c r="S295" i="5"/>
  <c r="R295" i="5"/>
  <c r="Q295" i="5"/>
  <c r="E292" i="5"/>
  <c r="BR289" i="5"/>
  <c r="BR428" i="5" s="1"/>
  <c r="BM289" i="5"/>
  <c r="BM428" i="5" s="1"/>
  <c r="BH289" i="5"/>
  <c r="BH428" i="5" s="1"/>
  <c r="BC289" i="5"/>
  <c r="BC428" i="5" s="1"/>
  <c r="AX289" i="5"/>
  <c r="AX428" i="5" s="1"/>
  <c r="AS289" i="5"/>
  <c r="AS428" i="5" s="1"/>
  <c r="AN289" i="5"/>
  <c r="AN428" i="5" s="1"/>
  <c r="AI289" i="5"/>
  <c r="AI428" i="5" s="1"/>
  <c r="AD289" i="5"/>
  <c r="AD428" i="5" s="1"/>
  <c r="Y289" i="5"/>
  <c r="Y428" i="5" s="1"/>
  <c r="T289" i="5"/>
  <c r="T428" i="5" s="1"/>
  <c r="O289" i="5"/>
  <c r="O428" i="5" s="1"/>
  <c r="J289" i="5"/>
  <c r="J428" i="5" s="1"/>
  <c r="BU288" i="5"/>
  <c r="U288" i="5"/>
  <c r="BR287" i="5"/>
  <c r="BR424" i="5" s="1"/>
  <c r="BM287" i="5"/>
  <c r="BM424" i="5" s="1"/>
  <c r="BH287" i="5"/>
  <c r="BH424" i="5" s="1"/>
  <c r="BC287" i="5"/>
  <c r="BC424" i="5" s="1"/>
  <c r="AX287" i="5"/>
  <c r="AX424" i="5" s="1"/>
  <c r="AS287" i="5"/>
  <c r="AS424" i="5" s="1"/>
  <c r="AN287" i="5"/>
  <c r="AN424" i="5" s="1"/>
  <c r="AI287" i="5"/>
  <c r="AI424" i="5" s="1"/>
  <c r="AD287" i="5"/>
  <c r="AD424" i="5" s="1"/>
  <c r="Y287" i="5"/>
  <c r="Y424" i="5" s="1"/>
  <c r="T287" i="5"/>
  <c r="T424" i="5" s="1"/>
  <c r="O287" i="5"/>
  <c r="O424" i="5" s="1"/>
  <c r="J287" i="5"/>
  <c r="J424" i="5" s="1"/>
  <c r="BQ286" i="5"/>
  <c r="BP286" i="5"/>
  <c r="BP333" i="5" s="1"/>
  <c r="BP357" i="5" s="1"/>
  <c r="AR286" i="5"/>
  <c r="AR288" i="5" s="1"/>
  <c r="AQ286" i="5"/>
  <c r="AQ288" i="5" s="1"/>
  <c r="AL286" i="5"/>
  <c r="AL333" i="5" s="1"/>
  <c r="AL357" i="5" s="1"/>
  <c r="M286" i="5"/>
  <c r="M288" i="5" s="1"/>
  <c r="Y285" i="5"/>
  <c r="T285" i="5"/>
  <c r="O285" i="5"/>
  <c r="J285" i="5"/>
  <c r="Y284" i="5"/>
  <c r="Y421" i="5" s="1"/>
  <c r="T284" i="5"/>
  <c r="O284" i="5"/>
  <c r="J284" i="5"/>
  <c r="AI283" i="5"/>
  <c r="AI421" i="5" s="1"/>
  <c r="AD283" i="5"/>
  <c r="AD421" i="5" s="1"/>
  <c r="Y283" i="5"/>
  <c r="T283" i="5"/>
  <c r="O283" i="5"/>
  <c r="J283" i="5"/>
  <c r="BR282" i="5"/>
  <c r="BR421" i="5" s="1"/>
  <c r="BM282" i="5"/>
  <c r="BM421" i="5" s="1"/>
  <c r="BH282" i="5"/>
  <c r="BH421" i="5" s="1"/>
  <c r="BS281" i="5"/>
  <c r="BS420" i="5" s="1"/>
  <c r="BR281" i="5"/>
  <c r="BR420" i="5" s="1"/>
  <c r="BQ281" i="5"/>
  <c r="BQ420" i="5" s="1"/>
  <c r="BP281" i="5"/>
  <c r="BP420" i="5" s="1"/>
  <c r="BO281" i="5"/>
  <c r="BO420" i="5" s="1"/>
  <c r="BN281" i="5"/>
  <c r="BN420" i="5" s="1"/>
  <c r="BL281" i="5"/>
  <c r="BL420" i="5" s="1"/>
  <c r="BK281" i="5"/>
  <c r="BK420" i="5" s="1"/>
  <c r="BJ281" i="5"/>
  <c r="BI281" i="5"/>
  <c r="BC281" i="5"/>
  <c r="BC420" i="5" s="1"/>
  <c r="AX281" i="5"/>
  <c r="AX420" i="5" s="1"/>
  <c r="AS281" i="5"/>
  <c r="AS420" i="5" s="1"/>
  <c r="AN281" i="5"/>
  <c r="AN420" i="5" s="1"/>
  <c r="AI281" i="5"/>
  <c r="AI420" i="5" s="1"/>
  <c r="AD281" i="5"/>
  <c r="AD420" i="5" s="1"/>
  <c r="Y281" i="5"/>
  <c r="Y420" i="5" s="1"/>
  <c r="T281" i="5"/>
  <c r="T420" i="5" s="1"/>
  <c r="O281" i="5"/>
  <c r="J281" i="5"/>
  <c r="BR280" i="5"/>
  <c r="BR419" i="5" s="1"/>
  <c r="BR516" i="5" s="1"/>
  <c r="BM280" i="5"/>
  <c r="BM419" i="5" s="1"/>
  <c r="BM516" i="5" s="1"/>
  <c r="BH280" i="5"/>
  <c r="BC280" i="5"/>
  <c r="BC419" i="5" s="1"/>
  <c r="BC516" i="5" s="1"/>
  <c r="AX280" i="5"/>
  <c r="AX419" i="5" s="1"/>
  <c r="AX516" i="5" s="1"/>
  <c r="AS280" i="5"/>
  <c r="AN280" i="5"/>
  <c r="AI280" i="5"/>
  <c r="AD280" i="5"/>
  <c r="Y280" i="5"/>
  <c r="Y419" i="5" s="1"/>
  <c r="Y516" i="5" s="1"/>
  <c r="T280" i="5"/>
  <c r="T419" i="5" s="1"/>
  <c r="T516" i="5" s="1"/>
  <c r="O280" i="5"/>
  <c r="O419" i="5" s="1"/>
  <c r="O516" i="5" s="1"/>
  <c r="J280" i="5"/>
  <c r="J419" i="5" s="1"/>
  <c r="J516" i="5" s="1"/>
  <c r="CF279" i="5"/>
  <c r="CF286" i="5" s="1"/>
  <c r="CF288" i="5" s="1"/>
  <c r="CE279" i="5"/>
  <c r="CE286" i="5" s="1"/>
  <c r="CE288" i="5" s="1"/>
  <c r="CD279" i="5"/>
  <c r="CD286" i="5" s="1"/>
  <c r="CD288" i="5" s="1"/>
  <c r="BZ279" i="5"/>
  <c r="BZ286" i="5" s="1"/>
  <c r="BZ288" i="5" s="1"/>
  <c r="BY279" i="5"/>
  <c r="BY286" i="5" s="1"/>
  <c r="BY288" i="5" s="1"/>
  <c r="BX279" i="5"/>
  <c r="BX286" i="5" s="1"/>
  <c r="BX288" i="5" s="1"/>
  <c r="BX290" i="5" s="1"/>
  <c r="BW279" i="5"/>
  <c r="BW286" i="5" s="1"/>
  <c r="BW288" i="5" s="1"/>
  <c r="BB279" i="5"/>
  <c r="BA279" i="5"/>
  <c r="AZ279" i="5"/>
  <c r="AY279" i="5"/>
  <c r="AW279" i="5"/>
  <c r="AW286" i="5" s="1"/>
  <c r="AW288" i="5" s="1"/>
  <c r="AL279" i="5"/>
  <c r="AL317" i="5" s="1"/>
  <c r="AL331" i="5" s="1"/>
  <c r="AL409" i="5" s="1"/>
  <c r="AL263" i="5" s="1"/>
  <c r="AF279" i="5"/>
  <c r="AF286" i="5" s="1"/>
  <c r="AE279" i="5"/>
  <c r="AE286" i="5" s="1"/>
  <c r="AD279" i="5"/>
  <c r="AC279" i="5"/>
  <c r="AB279" i="5"/>
  <c r="AA279" i="5"/>
  <c r="W279" i="5"/>
  <c r="W286" i="5" s="1"/>
  <c r="V279" i="5"/>
  <c r="V286" i="5" s="1"/>
  <c r="P279" i="5"/>
  <c r="P286" i="5" s="1"/>
  <c r="P288" i="5" s="1"/>
  <c r="G279" i="5"/>
  <c r="G286" i="5" s="1"/>
  <c r="G288" i="5" s="1"/>
  <c r="F279" i="5"/>
  <c r="F286" i="5" s="1"/>
  <c r="F288" i="5" s="1"/>
  <c r="E279" i="5"/>
  <c r="E286" i="5" s="1"/>
  <c r="E288" i="5" s="1"/>
  <c r="D279" i="5"/>
  <c r="D286" i="5" s="1"/>
  <c r="D288" i="5" s="1"/>
  <c r="C279" i="5"/>
  <c r="C286" i="5" s="1"/>
  <c r="C288" i="5" s="1"/>
  <c r="CF278" i="5"/>
  <c r="CE278" i="5"/>
  <c r="CD278" i="5"/>
  <c r="CC278" i="5"/>
  <c r="CB278" i="5"/>
  <c r="CA278" i="5"/>
  <c r="BZ278" i="5"/>
  <c r="BY278" i="5"/>
  <c r="BX278" i="5"/>
  <c r="BW278" i="5"/>
  <c r="BV278" i="5"/>
  <c r="BV279" i="5" s="1"/>
  <c r="BV286" i="5" s="1"/>
  <c r="BV288" i="5" s="1"/>
  <c r="BU278" i="5"/>
  <c r="BT278" i="5"/>
  <c r="BS278" i="5"/>
  <c r="BQ278" i="5"/>
  <c r="BP278" i="5"/>
  <c r="BO278" i="5"/>
  <c r="BN278" i="5"/>
  <c r="BL278" i="5"/>
  <c r="BK278" i="5"/>
  <c r="BK279" i="5" s="1"/>
  <c r="BK286" i="5" s="1"/>
  <c r="BJ278" i="5"/>
  <c r="BI278" i="5"/>
  <c r="BH278" i="5"/>
  <c r="BG278" i="5"/>
  <c r="BG279" i="5" s="1"/>
  <c r="BF278" i="5"/>
  <c r="BE278" i="5"/>
  <c r="BD278" i="5"/>
  <c r="BB278" i="5"/>
  <c r="BA278" i="5"/>
  <c r="AZ278" i="5"/>
  <c r="AY278" i="5"/>
  <c r="AX278" i="5"/>
  <c r="AW278" i="5"/>
  <c r="AV278" i="5"/>
  <c r="AU278" i="5"/>
  <c r="AT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C278" i="5"/>
  <c r="AB278" i="5"/>
  <c r="AA278" i="5"/>
  <c r="Z278" i="5"/>
  <c r="Z279" i="5" s="1"/>
  <c r="X278" i="5"/>
  <c r="W278" i="5"/>
  <c r="V278" i="5"/>
  <c r="U278" i="5"/>
  <c r="S278" i="5"/>
  <c r="R278" i="5"/>
  <c r="Q278" i="5"/>
  <c r="P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R277" i="5"/>
  <c r="BR278" i="5" s="1"/>
  <c r="BR279" i="5" s="1"/>
  <c r="BM277" i="5"/>
  <c r="BM407" i="5" s="1"/>
  <c r="BH277" i="5"/>
  <c r="BH407" i="5" s="1"/>
  <c r="BC277" i="5"/>
  <c r="BC278" i="5" s="1"/>
  <c r="AX277" i="5"/>
  <c r="AX308" i="5" s="1"/>
  <c r="AS277" i="5"/>
  <c r="AS278" i="5" s="1"/>
  <c r="AN277" i="5"/>
  <c r="AN407" i="5" s="1"/>
  <c r="AI277" i="5"/>
  <c r="AI407" i="5" s="1"/>
  <c r="AD277" i="5"/>
  <c r="AD278" i="5" s="1"/>
  <c r="Y277" i="5"/>
  <c r="Y164" i="5" s="1"/>
  <c r="AD130" i="5" s="1"/>
  <c r="T277" i="5"/>
  <c r="T407" i="5" s="1"/>
  <c r="O277" i="5"/>
  <c r="O407" i="5" s="1"/>
  <c r="J277" i="5"/>
  <c r="J407" i="5" s="1"/>
  <c r="CF276" i="5"/>
  <c r="CE276" i="5"/>
  <c r="CD276" i="5"/>
  <c r="CC276" i="5"/>
  <c r="CC279" i="5" s="1"/>
  <c r="CC286" i="5" s="1"/>
  <c r="CC288" i="5" s="1"/>
  <c r="CB276" i="5"/>
  <c r="CB279" i="5" s="1"/>
  <c r="CB286" i="5" s="1"/>
  <c r="CB288" i="5" s="1"/>
  <c r="CA276" i="5"/>
  <c r="CA279" i="5" s="1"/>
  <c r="CA286" i="5" s="1"/>
  <c r="CA288" i="5" s="1"/>
  <c r="BZ276" i="5"/>
  <c r="BY276" i="5"/>
  <c r="BX276" i="5"/>
  <c r="BW276" i="5"/>
  <c r="BV276" i="5"/>
  <c r="BU276" i="5"/>
  <c r="BU279" i="5" s="1"/>
  <c r="BU286" i="5" s="1"/>
  <c r="BT276" i="5"/>
  <c r="BT279" i="5" s="1"/>
  <c r="BT286" i="5" s="1"/>
  <c r="BT288" i="5" s="1"/>
  <c r="BS276" i="5"/>
  <c r="BR276" i="5"/>
  <c r="BR301" i="5" s="1"/>
  <c r="BR306" i="5" s="1"/>
  <c r="BQ276" i="5"/>
  <c r="BQ279" i="5" s="1"/>
  <c r="BP276" i="5"/>
  <c r="BP279" i="5" s="1"/>
  <c r="BO276" i="5"/>
  <c r="BN276" i="5"/>
  <c r="BN301" i="5" s="1"/>
  <c r="BN306" i="5" s="1"/>
  <c r="BL276" i="5"/>
  <c r="BL301" i="5" s="1"/>
  <c r="BL306" i="5" s="1"/>
  <c r="BK276" i="5"/>
  <c r="BJ276" i="5"/>
  <c r="BJ301" i="5" s="1"/>
  <c r="BJ306" i="5" s="1"/>
  <c r="BI276" i="5"/>
  <c r="BI301" i="5" s="1"/>
  <c r="BI306" i="5" s="1"/>
  <c r="BG276" i="5"/>
  <c r="BG301" i="5" s="1"/>
  <c r="BG306" i="5" s="1"/>
  <c r="BF276" i="5"/>
  <c r="BF301" i="5" s="1"/>
  <c r="BF306" i="5" s="1"/>
  <c r="BE276" i="5"/>
  <c r="BE301" i="5" s="1"/>
  <c r="BE306" i="5" s="1"/>
  <c r="BD276" i="5"/>
  <c r="BD301" i="5" s="1"/>
  <c r="BD306" i="5" s="1"/>
  <c r="BC276" i="5"/>
  <c r="BB276" i="5"/>
  <c r="BA276" i="5"/>
  <c r="AZ276" i="5"/>
  <c r="AY276" i="5"/>
  <c r="AW276" i="5"/>
  <c r="AV276" i="5"/>
  <c r="AU276" i="5"/>
  <c r="AU279" i="5" s="1"/>
  <c r="AT276" i="5"/>
  <c r="AT279" i="5" s="1"/>
  <c r="AR276" i="5"/>
  <c r="AR279" i="5" s="1"/>
  <c r="AR317" i="5" s="1"/>
  <c r="AR331" i="5" s="1"/>
  <c r="AR409" i="5" s="1"/>
  <c r="AQ276" i="5"/>
  <c r="AQ279" i="5" s="1"/>
  <c r="AQ317" i="5" s="1"/>
  <c r="AP276" i="5"/>
  <c r="AO276" i="5"/>
  <c r="AM276" i="5"/>
  <c r="AL276" i="5"/>
  <c r="AL301" i="5" s="1"/>
  <c r="AK276" i="5"/>
  <c r="AJ276" i="5"/>
  <c r="AJ301" i="5" s="1"/>
  <c r="AH276" i="5"/>
  <c r="AG276" i="5"/>
  <c r="AG301" i="5" s="1"/>
  <c r="AF276" i="5"/>
  <c r="AF301" i="5" s="1"/>
  <c r="AF306" i="5" s="1"/>
  <c r="AE276" i="5"/>
  <c r="AC276" i="5"/>
  <c r="AB276" i="5"/>
  <c r="AA276" i="5"/>
  <c r="Z276" i="5"/>
  <c r="Y276" i="5"/>
  <c r="X276" i="5"/>
  <c r="X279" i="5" s="1"/>
  <c r="W276" i="5"/>
  <c r="V276" i="5"/>
  <c r="U276" i="5"/>
  <c r="U279" i="5" s="1"/>
  <c r="U286" i="5" s="1"/>
  <c r="T276" i="5"/>
  <c r="S276" i="5"/>
  <c r="S279" i="5" s="1"/>
  <c r="S286" i="5" s="1"/>
  <c r="S288" i="5" s="1"/>
  <c r="R276" i="5"/>
  <c r="R279" i="5" s="1"/>
  <c r="R286" i="5" s="1"/>
  <c r="R288" i="5" s="1"/>
  <c r="Q276" i="5"/>
  <c r="P276" i="5"/>
  <c r="N276" i="5"/>
  <c r="N279" i="5" s="1"/>
  <c r="N286" i="5" s="1"/>
  <c r="N288" i="5" s="1"/>
  <c r="M276" i="5"/>
  <c r="M279" i="5" s="1"/>
  <c r="L276" i="5"/>
  <c r="K276" i="5"/>
  <c r="I276" i="5"/>
  <c r="H276" i="5"/>
  <c r="G276" i="5"/>
  <c r="F276" i="5"/>
  <c r="E276" i="5"/>
  <c r="D276" i="5"/>
  <c r="C276" i="5"/>
  <c r="BR275" i="5"/>
  <c r="BM275" i="5"/>
  <c r="BH275" i="5"/>
  <c r="BC275" i="5"/>
  <c r="BC404" i="5" s="1"/>
  <c r="AX275" i="5"/>
  <c r="AX404" i="5" s="1"/>
  <c r="AS275" i="5"/>
  <c r="AN275" i="5"/>
  <c r="AN404" i="5" s="1"/>
  <c r="AI275" i="5"/>
  <c r="AD275" i="5"/>
  <c r="AD276" i="5" s="1"/>
  <c r="Y275" i="5"/>
  <c r="Y404" i="5" s="1"/>
  <c r="T275" i="5"/>
  <c r="O275" i="5"/>
  <c r="J275" i="5"/>
  <c r="J404" i="5" s="1"/>
  <c r="BR274" i="5"/>
  <c r="BR401" i="5" s="1"/>
  <c r="BM274" i="5"/>
  <c r="BH274" i="5"/>
  <c r="BC274" i="5"/>
  <c r="AX274" i="5"/>
  <c r="AS274" i="5"/>
  <c r="AS401" i="5" s="1"/>
  <c r="AS257" i="5" s="1"/>
  <c r="AS258" i="5" s="1"/>
  <c r="AN274" i="5"/>
  <c r="AI274" i="5"/>
  <c r="AD274" i="5"/>
  <c r="Y274" i="5"/>
  <c r="T274" i="5"/>
  <c r="T401" i="5" s="1"/>
  <c r="O274" i="5"/>
  <c r="J274" i="5"/>
  <c r="BS268" i="5"/>
  <c r="BP268" i="5"/>
  <c r="BO268" i="5"/>
  <c r="BN268" i="5"/>
  <c r="BM268" i="5"/>
  <c r="BL268" i="5"/>
  <c r="BJ268" i="5"/>
  <c r="BI268" i="5"/>
  <c r="BG268" i="5"/>
  <c r="BD268" i="5"/>
  <c r="BC268" i="5"/>
  <c r="BB268" i="5"/>
  <c r="BA268" i="5"/>
  <c r="AZ268" i="5"/>
  <c r="AY268" i="5"/>
  <c r="AW268" i="5"/>
  <c r="AU268" i="5"/>
  <c r="AT268" i="5"/>
  <c r="AR268" i="5"/>
  <c r="AQ268" i="5"/>
  <c r="AP268" i="5"/>
  <c r="AO268" i="5"/>
  <c r="AK268" i="5"/>
  <c r="AJ268" i="5"/>
  <c r="AG268" i="5"/>
  <c r="AE268" i="5"/>
  <c r="AC268" i="5"/>
  <c r="AB268" i="5"/>
  <c r="AA268" i="5"/>
  <c r="W268" i="5"/>
  <c r="V268" i="5"/>
  <c r="S268" i="5"/>
  <c r="Q268" i="5"/>
  <c r="M268" i="5"/>
  <c r="L268" i="5"/>
  <c r="K268" i="5"/>
  <c r="G268" i="5"/>
  <c r="F268" i="5"/>
  <c r="E268" i="5"/>
  <c r="D268" i="5"/>
  <c r="C268" i="5"/>
  <c r="BS267" i="5"/>
  <c r="BQ267" i="5"/>
  <c r="BP267" i="5"/>
  <c r="BO267" i="5"/>
  <c r="BN267" i="5"/>
  <c r="BM267" i="5"/>
  <c r="BL267" i="5"/>
  <c r="BK267" i="5"/>
  <c r="BJ267" i="5"/>
  <c r="BC267" i="5"/>
  <c r="BB267" i="5"/>
  <c r="AZ267" i="5"/>
  <c r="AY267" i="5"/>
  <c r="AW267" i="5"/>
  <c r="AQ267" i="5"/>
  <c r="AP267" i="5"/>
  <c r="AO267" i="5"/>
  <c r="AM267" i="5"/>
  <c r="AL267" i="5"/>
  <c r="AK267" i="5"/>
  <c r="AJ267" i="5"/>
  <c r="AG267" i="5"/>
  <c r="AF267" i="5"/>
  <c r="AE267" i="5"/>
  <c r="AD267" i="5"/>
  <c r="Z267" i="5"/>
  <c r="T267" i="5"/>
  <c r="R267" i="5"/>
  <c r="Q267" i="5"/>
  <c r="P267" i="5"/>
  <c r="N267" i="5"/>
  <c r="M267" i="5"/>
  <c r="L267" i="5"/>
  <c r="K267" i="5"/>
  <c r="I267" i="5"/>
  <c r="H267" i="5"/>
  <c r="G267" i="5"/>
  <c r="F267" i="5"/>
  <c r="E267" i="5"/>
  <c r="D267" i="5"/>
  <c r="C267" i="5"/>
  <c r="BS266" i="5"/>
  <c r="BR266" i="5"/>
  <c r="BQ266" i="5"/>
  <c r="BN266" i="5"/>
  <c r="BL266" i="5"/>
  <c r="BK266" i="5"/>
  <c r="BJ266" i="5"/>
  <c r="BI266" i="5"/>
  <c r="BG266" i="5"/>
  <c r="BF266" i="5"/>
  <c r="AZ266" i="5"/>
  <c r="AW266" i="5"/>
  <c r="AV266" i="5"/>
  <c r="AU266" i="5"/>
  <c r="AT266" i="5"/>
  <c r="AS266" i="5"/>
  <c r="AQ266" i="5"/>
  <c r="AM266" i="5"/>
  <c r="AL266" i="5"/>
  <c r="AK266" i="5"/>
  <c r="AJ266" i="5"/>
  <c r="AH266" i="5"/>
  <c r="AA266" i="5"/>
  <c r="Z266" i="5"/>
  <c r="X266" i="5"/>
  <c r="W266" i="5"/>
  <c r="V266" i="5"/>
  <c r="S266" i="5"/>
  <c r="R266" i="5"/>
  <c r="Q266" i="5"/>
  <c r="P266" i="5"/>
  <c r="N266" i="5"/>
  <c r="M266" i="5"/>
  <c r="L266" i="5"/>
  <c r="H266" i="5"/>
  <c r="BQ263" i="5"/>
  <c r="BP263" i="5"/>
  <c r="AR263" i="5"/>
  <c r="R263" i="5"/>
  <c r="L263" i="5"/>
  <c r="BJ262" i="5"/>
  <c r="W262" i="5"/>
  <c r="V262" i="5"/>
  <c r="P262" i="5"/>
  <c r="L262" i="5"/>
  <c r="BS261" i="5"/>
  <c r="BS833" i="5" s="1"/>
  <c r="BQ261" i="5"/>
  <c r="BQ833" i="5" s="1"/>
  <c r="BP261" i="5"/>
  <c r="BP833" i="5" s="1"/>
  <c r="BO261" i="5"/>
  <c r="BO833" i="5" s="1"/>
  <c r="BN261" i="5"/>
  <c r="BN833" i="5" s="1"/>
  <c r="BM261" i="5"/>
  <c r="BM833" i="5" s="1"/>
  <c r="BL261" i="5"/>
  <c r="BL833" i="5" s="1"/>
  <c r="BK261" i="5"/>
  <c r="BK833" i="5" s="1"/>
  <c r="BJ261" i="5"/>
  <c r="BJ833" i="5" s="1"/>
  <c r="BF261" i="5"/>
  <c r="BF833" i="5" s="1"/>
  <c r="AZ261" i="5"/>
  <c r="AZ833" i="5" s="1"/>
  <c r="AW261" i="5"/>
  <c r="AW833" i="5" s="1"/>
  <c r="AV261" i="5"/>
  <c r="AV833" i="5" s="1"/>
  <c r="AT261" i="5"/>
  <c r="AT833" i="5" s="1"/>
  <c r="AR261" i="5"/>
  <c r="AR833" i="5" s="1"/>
  <c r="AQ261" i="5"/>
  <c r="AQ833" i="5" s="1"/>
  <c r="AP261" i="5"/>
  <c r="AP833" i="5" s="1"/>
  <c r="AO261" i="5"/>
  <c r="AO833" i="5" s="1"/>
  <c r="AM261" i="5"/>
  <c r="AM833" i="5" s="1"/>
  <c r="AL261" i="5"/>
  <c r="AL833" i="5" s="1"/>
  <c r="AK261" i="5"/>
  <c r="AK833" i="5" s="1"/>
  <c r="AJ261" i="5"/>
  <c r="AJ833" i="5" s="1"/>
  <c r="AH261" i="5"/>
  <c r="AH833" i="5" s="1"/>
  <c r="AB261" i="5"/>
  <c r="AB833" i="5" s="1"/>
  <c r="Z261" i="5"/>
  <c r="Z833" i="5" s="1"/>
  <c r="W261" i="5"/>
  <c r="W833" i="5" s="1"/>
  <c r="V261" i="5"/>
  <c r="V833" i="5" s="1"/>
  <c r="S261" i="5"/>
  <c r="S833" i="5" s="1"/>
  <c r="R261" i="5"/>
  <c r="R833" i="5" s="1"/>
  <c r="Q261" i="5"/>
  <c r="Q833" i="5" s="1"/>
  <c r="P261" i="5"/>
  <c r="P833" i="5" s="1"/>
  <c r="N261" i="5"/>
  <c r="N833" i="5" s="1"/>
  <c r="M261" i="5"/>
  <c r="M833" i="5" s="1"/>
  <c r="L261" i="5"/>
  <c r="L833" i="5" s="1"/>
  <c r="K261" i="5"/>
  <c r="K833" i="5" s="1"/>
  <c r="BL258" i="5"/>
  <c r="BI258" i="5"/>
  <c r="BD258" i="5"/>
  <c r="AY258" i="5"/>
  <c r="AW258" i="5"/>
  <c r="AT258" i="5"/>
  <c r="AK258" i="5"/>
  <c r="AJ258" i="5"/>
  <c r="AF258" i="5"/>
  <c r="X258" i="5"/>
  <c r="W258" i="5"/>
  <c r="V258" i="5"/>
  <c r="P258" i="5"/>
  <c r="H258" i="5"/>
  <c r="BS257" i="5"/>
  <c r="BS258" i="5" s="1"/>
  <c r="BR257" i="5"/>
  <c r="BR258" i="5" s="1"/>
  <c r="BQ257" i="5"/>
  <c r="BQ258" i="5" s="1"/>
  <c r="BP257" i="5"/>
  <c r="BP258" i="5" s="1"/>
  <c r="BO257" i="5"/>
  <c r="BO258" i="5" s="1"/>
  <c r="BL257" i="5"/>
  <c r="BK257" i="5"/>
  <c r="BK258" i="5" s="1"/>
  <c r="BJ257" i="5"/>
  <c r="BJ258" i="5" s="1"/>
  <c r="BI257" i="5"/>
  <c r="BG257" i="5"/>
  <c r="BG258" i="5" s="1"/>
  <c r="BF257" i="5"/>
  <c r="BF258" i="5" s="1"/>
  <c r="BD257" i="5"/>
  <c r="AY257" i="5"/>
  <c r="AW257" i="5"/>
  <c r="AV257" i="5"/>
  <c r="AV258" i="5" s="1"/>
  <c r="AU257" i="5"/>
  <c r="AU258" i="5" s="1"/>
  <c r="AT257" i="5"/>
  <c r="AR257" i="5"/>
  <c r="AR258" i="5" s="1"/>
  <c r="AP257" i="5"/>
  <c r="AP258" i="5" s="1"/>
  <c r="AO257" i="5"/>
  <c r="AO258" i="5" s="1"/>
  <c r="AM257" i="5"/>
  <c r="AM258" i="5" s="1"/>
  <c r="AK257" i="5"/>
  <c r="AJ257" i="5"/>
  <c r="AH257" i="5"/>
  <c r="AH258" i="5" s="1"/>
  <c r="AG257" i="5"/>
  <c r="AG258" i="5" s="1"/>
  <c r="AF257" i="5"/>
  <c r="Z257" i="5"/>
  <c r="Z258" i="5" s="1"/>
  <c r="X257" i="5"/>
  <c r="W257" i="5"/>
  <c r="V257" i="5"/>
  <c r="T257" i="5"/>
  <c r="T258" i="5" s="1"/>
  <c r="S257" i="5"/>
  <c r="S258" i="5" s="1"/>
  <c r="R257" i="5"/>
  <c r="R258" i="5" s="1"/>
  <c r="Q257" i="5"/>
  <c r="Q258" i="5" s="1"/>
  <c r="P257" i="5"/>
  <c r="L257" i="5"/>
  <c r="L258" i="5" s="1"/>
  <c r="K257" i="5"/>
  <c r="K258" i="5" s="1"/>
  <c r="I257" i="5"/>
  <c r="I258" i="5" s="1"/>
  <c r="H257" i="5"/>
  <c r="BF255" i="5"/>
  <c r="BE255" i="5"/>
  <c r="BD255" i="5"/>
  <c r="AW255" i="5"/>
  <c r="AV255" i="5"/>
  <c r="AQ255" i="5"/>
  <c r="AJ255" i="5"/>
  <c r="AF255" i="5"/>
  <c r="AE255" i="5"/>
  <c r="AB255" i="5"/>
  <c r="Z255" i="5"/>
  <c r="X255" i="5"/>
  <c r="T255" i="5"/>
  <c r="S255" i="5"/>
  <c r="E255" i="5"/>
  <c r="D255" i="5"/>
  <c r="BN254" i="5"/>
  <c r="BN255" i="5" s="1"/>
  <c r="BL254" i="5"/>
  <c r="BL255" i="5" s="1"/>
  <c r="BK254" i="5"/>
  <c r="BK255" i="5" s="1"/>
  <c r="BJ254" i="5"/>
  <c r="BJ255" i="5" s="1"/>
  <c r="BG254" i="5"/>
  <c r="BG255" i="5" s="1"/>
  <c r="BF254" i="5"/>
  <c r="BE254" i="5"/>
  <c r="BD254" i="5"/>
  <c r="BB254" i="5"/>
  <c r="BB255" i="5" s="1"/>
  <c r="BA254" i="5"/>
  <c r="BA255" i="5" s="1"/>
  <c r="AZ254" i="5"/>
  <c r="AZ255" i="5" s="1"/>
  <c r="AW254" i="5"/>
  <c r="AT254" i="5"/>
  <c r="AT255" i="5" s="1"/>
  <c r="AR254" i="5"/>
  <c r="AR255" i="5" s="1"/>
  <c r="AQ254" i="5"/>
  <c r="AP254" i="5"/>
  <c r="AP255" i="5" s="1"/>
  <c r="AK254" i="5"/>
  <c r="AK255" i="5" s="1"/>
  <c r="AJ254" i="5"/>
  <c r="AH254" i="5"/>
  <c r="AH255" i="5" s="1"/>
  <c r="AG254" i="5"/>
  <c r="AG255" i="5" s="1"/>
  <c r="AF254" i="5"/>
  <c r="AE254" i="5"/>
  <c r="AC254" i="5"/>
  <c r="AC255" i="5" s="1"/>
  <c r="AB254" i="5"/>
  <c r="Z254" i="5"/>
  <c r="X254" i="5"/>
  <c r="V254" i="5"/>
  <c r="V255" i="5" s="1"/>
  <c r="T254" i="5"/>
  <c r="S254" i="5"/>
  <c r="R254" i="5"/>
  <c r="R255" i="5" s="1"/>
  <c r="Q254" i="5"/>
  <c r="Q255" i="5" s="1"/>
  <c r="P254" i="5"/>
  <c r="P255" i="5" s="1"/>
  <c r="N254" i="5"/>
  <c r="N255" i="5" s="1"/>
  <c r="I254" i="5"/>
  <c r="I255" i="5" s="1"/>
  <c r="H254" i="5"/>
  <c r="H255" i="5" s="1"/>
  <c r="F254" i="5"/>
  <c r="F255" i="5" s="1"/>
  <c r="E254" i="5"/>
  <c r="D254" i="5"/>
  <c r="AI248" i="5"/>
  <c r="AJ247" i="5"/>
  <c r="AJ249" i="5" s="1"/>
  <c r="AI247" i="5"/>
  <c r="AH247" i="5"/>
  <c r="AH249" i="5" s="1"/>
  <c r="AG247" i="5"/>
  <c r="AG249" i="5" s="1"/>
  <c r="AF247" i="5"/>
  <c r="AF249" i="5" s="1"/>
  <c r="AE247" i="5"/>
  <c r="AE249" i="5" s="1"/>
  <c r="AI246" i="5"/>
  <c r="AI245" i="5"/>
  <c r="BS243" i="5"/>
  <c r="BQ243" i="5"/>
  <c r="BP243" i="5"/>
  <c r="BF243" i="5"/>
  <c r="BD243" i="5"/>
  <c r="BB243" i="5"/>
  <c r="AW243" i="5"/>
  <c r="AV243" i="5"/>
  <c r="AO243" i="5"/>
  <c r="BS242" i="5"/>
  <c r="BQ242" i="5"/>
  <c r="BP242" i="5"/>
  <c r="BO242" i="5"/>
  <c r="BN242" i="5"/>
  <c r="BL242" i="5"/>
  <c r="BK242" i="5"/>
  <c r="BJ242" i="5"/>
  <c r="BI242" i="5"/>
  <c r="BH242" i="5"/>
  <c r="BG242" i="5"/>
  <c r="BF242" i="5"/>
  <c r="BE242" i="5"/>
  <c r="BE243" i="5" s="1"/>
  <c r="BD242" i="5"/>
  <c r="BC242" i="5"/>
  <c r="BB242" i="5"/>
  <c r="BA242" i="5"/>
  <c r="AZ242" i="5"/>
  <c r="AY242" i="5"/>
  <c r="AY243" i="5" s="1"/>
  <c r="AW242" i="5"/>
  <c r="AV242" i="5"/>
  <c r="AU242" i="5"/>
  <c r="AT242" i="5"/>
  <c r="AR242" i="5"/>
  <c r="AQ242" i="5"/>
  <c r="AO242" i="5"/>
  <c r="AM242" i="5"/>
  <c r="AL242" i="5"/>
  <c r="AK242" i="5"/>
  <c r="BR241" i="5"/>
  <c r="BM241" i="5"/>
  <c r="BH241" i="5"/>
  <c r="BC241" i="5"/>
  <c r="AX241" i="5"/>
  <c r="AS241" i="5"/>
  <c r="AN241" i="5"/>
  <c r="BR240" i="5"/>
  <c r="BM240" i="5"/>
  <c r="BM242" i="5" s="1"/>
  <c r="BH240" i="5"/>
  <c r="BC240" i="5"/>
  <c r="AX240" i="5"/>
  <c r="AR240" i="5"/>
  <c r="AQ240" i="5"/>
  <c r="AP240" i="5"/>
  <c r="AO240" i="5"/>
  <c r="AN240" i="5"/>
  <c r="AN242" i="5" s="1"/>
  <c r="AM240" i="5"/>
  <c r="AL240" i="5"/>
  <c r="AK240" i="5"/>
  <c r="AN239" i="5"/>
  <c r="AN238" i="5"/>
  <c r="BS237" i="5"/>
  <c r="BQ237" i="5"/>
  <c r="BP237" i="5"/>
  <c r="BO237" i="5"/>
  <c r="BO243" i="5" s="1"/>
  <c r="BN237" i="5"/>
  <c r="BN243" i="5" s="1"/>
  <c r="BM237" i="5"/>
  <c r="BL237" i="5"/>
  <c r="BL243" i="5" s="1"/>
  <c r="BK237" i="5"/>
  <c r="BK243" i="5" s="1"/>
  <c r="BJ237" i="5"/>
  <c r="BJ243" i="5" s="1"/>
  <c r="BI237" i="5"/>
  <c r="BG237" i="5"/>
  <c r="BG243" i="5" s="1"/>
  <c r="BF237" i="5"/>
  <c r="BE237" i="5"/>
  <c r="BD237" i="5"/>
  <c r="BC237" i="5"/>
  <c r="BC243" i="5" s="1"/>
  <c r="BB237" i="5"/>
  <c r="BA237" i="5"/>
  <c r="BA243" i="5" s="1"/>
  <c r="AZ237" i="5"/>
  <c r="AZ243" i="5" s="1"/>
  <c r="AY237" i="5"/>
  <c r="AW237" i="5"/>
  <c r="AV237" i="5"/>
  <c r="AU237" i="5"/>
  <c r="AU243" i="5" s="1"/>
  <c r="AT237" i="5"/>
  <c r="AT243" i="5" s="1"/>
  <c r="AO237" i="5"/>
  <c r="AM237" i="5"/>
  <c r="AL237" i="5"/>
  <c r="AL243" i="5" s="1"/>
  <c r="BR236" i="5"/>
  <c r="BM236" i="5"/>
  <c r="BH236" i="5"/>
  <c r="BC236" i="5"/>
  <c r="AX236" i="5"/>
  <c r="AR236" i="5"/>
  <c r="AS236" i="5" s="1"/>
  <c r="AQ236" i="5"/>
  <c r="AQ237" i="5" s="1"/>
  <c r="AQ243" i="5" s="1"/>
  <c r="AP236" i="5"/>
  <c r="AP237" i="5" s="1"/>
  <c r="AO236" i="5"/>
  <c r="AM236" i="5"/>
  <c r="AL236" i="5"/>
  <c r="AK236" i="5"/>
  <c r="AN235" i="5"/>
  <c r="AN234" i="5"/>
  <c r="AN236" i="5" s="1"/>
  <c r="BR233" i="5"/>
  <c r="BR237" i="5" s="1"/>
  <c r="BM233" i="5"/>
  <c r="BH233" i="5"/>
  <c r="BH237" i="5" s="1"/>
  <c r="BC233" i="5"/>
  <c r="AX233" i="5"/>
  <c r="AX237" i="5" s="1"/>
  <c r="AR233" i="5"/>
  <c r="AR237" i="5" s="1"/>
  <c r="AR243" i="5" s="1"/>
  <c r="AQ233" i="5"/>
  <c r="AP233" i="5"/>
  <c r="AO233" i="5"/>
  <c r="AM233" i="5"/>
  <c r="AL233" i="5"/>
  <c r="AK233" i="5"/>
  <c r="AK237" i="5" s="1"/>
  <c r="AK243" i="5" s="1"/>
  <c r="AN232" i="5"/>
  <c r="AN231" i="5"/>
  <c r="BS228" i="5"/>
  <c r="BN228" i="5"/>
  <c r="BI228" i="5"/>
  <c r="BD228" i="5"/>
  <c r="AY228" i="5"/>
  <c r="AT228" i="5"/>
  <c r="AO228" i="5"/>
  <c r="AJ228" i="5"/>
  <c r="AE228" i="5"/>
  <c r="Z228" i="5"/>
  <c r="BS223" i="5"/>
  <c r="BN223" i="5"/>
  <c r="BI223" i="5"/>
  <c r="BD223" i="5"/>
  <c r="AY223" i="5"/>
  <c r="AT223" i="5"/>
  <c r="AO223" i="5"/>
  <c r="AJ223" i="5"/>
  <c r="AE223" i="5"/>
  <c r="BS211" i="5"/>
  <c r="BQ211" i="5"/>
  <c r="BP211" i="5"/>
  <c r="BO211" i="5"/>
  <c r="BN211" i="5"/>
  <c r="BM211" i="5"/>
  <c r="BL211" i="5"/>
  <c r="BK211" i="5"/>
  <c r="BJ211" i="5"/>
  <c r="BI211" i="5"/>
  <c r="BG211" i="5"/>
  <c r="BF211" i="5"/>
  <c r="BE211" i="5"/>
  <c r="BD211" i="5"/>
  <c r="BC211" i="5"/>
  <c r="BB211" i="5"/>
  <c r="BA211" i="5"/>
  <c r="AZ211" i="5"/>
  <c r="AY211" i="5"/>
  <c r="AW211" i="5"/>
  <c r="AV211" i="5"/>
  <c r="AU211" i="5"/>
  <c r="AT211" i="5"/>
  <c r="AR211" i="5"/>
  <c r="AQ211" i="5"/>
  <c r="AP211" i="5"/>
  <c r="AO211" i="5"/>
  <c r="AN211" i="5"/>
  <c r="AM211" i="5"/>
  <c r="AL211" i="5"/>
  <c r="AK211" i="5"/>
  <c r="AJ211" i="5"/>
  <c r="AH211" i="5"/>
  <c r="AG211" i="5"/>
  <c r="AF211" i="5"/>
  <c r="AE211" i="5"/>
  <c r="AC211" i="5"/>
  <c r="AB211" i="5"/>
  <c r="AA211" i="5"/>
  <c r="Z211" i="5"/>
  <c r="X211" i="5"/>
  <c r="W211" i="5"/>
  <c r="V211" i="5"/>
  <c r="U211" i="5"/>
  <c r="S211" i="5"/>
  <c r="R211" i="5"/>
  <c r="AD210" i="5"/>
  <c r="AD211" i="5" s="1"/>
  <c r="Y210" i="5"/>
  <c r="T210" i="5"/>
  <c r="BR209" i="5"/>
  <c r="BM209" i="5"/>
  <c r="BH209" i="5"/>
  <c r="BC209" i="5"/>
  <c r="AX209" i="5"/>
  <c r="AX211" i="5" s="1"/>
  <c r="AS209" i="5"/>
  <c r="AS211" i="5" s="1"/>
  <c r="AN209" i="5"/>
  <c r="AI209" i="5"/>
  <c r="AD209" i="5"/>
  <c r="Y209" i="5"/>
  <c r="T209" i="5"/>
  <c r="BR208" i="5"/>
  <c r="BM208" i="5"/>
  <c r="BH208" i="5"/>
  <c r="BH211" i="5" s="1"/>
  <c r="BC208" i="5"/>
  <c r="AX208" i="5"/>
  <c r="AS208" i="5"/>
  <c r="AN208" i="5"/>
  <c r="AI208" i="5"/>
  <c r="AI211" i="5" s="1"/>
  <c r="AD208" i="5"/>
  <c r="Y208" i="5"/>
  <c r="T208" i="5"/>
  <c r="T211" i="5" s="1"/>
  <c r="BS206" i="5"/>
  <c r="BR206" i="5"/>
  <c r="BQ206" i="5"/>
  <c r="BP206" i="5"/>
  <c r="BO206" i="5"/>
  <c r="BN206" i="5"/>
  <c r="BL206" i="5"/>
  <c r="BK206" i="5"/>
  <c r="BJ206" i="5"/>
  <c r="BI206" i="5"/>
  <c r="BH206" i="5"/>
  <c r="BG206" i="5"/>
  <c r="BF206" i="5"/>
  <c r="BE206" i="5"/>
  <c r="BD206" i="5"/>
  <c r="BB206" i="5"/>
  <c r="BA206" i="5"/>
  <c r="AZ206" i="5"/>
  <c r="AY206" i="5"/>
  <c r="AW206" i="5"/>
  <c r="AV206" i="5"/>
  <c r="AU206" i="5"/>
  <c r="AT206" i="5"/>
  <c r="AS206" i="5"/>
  <c r="AR206" i="5"/>
  <c r="AQ206" i="5"/>
  <c r="AP206" i="5"/>
  <c r="AO206" i="5"/>
  <c r="AM206" i="5"/>
  <c r="AL206" i="5"/>
  <c r="AK206" i="5"/>
  <c r="AJ206" i="5"/>
  <c r="AH206" i="5"/>
  <c r="AG206" i="5"/>
  <c r="AF206" i="5"/>
  <c r="AE206" i="5"/>
  <c r="AC206" i="5"/>
  <c r="AB206" i="5"/>
  <c r="AA206" i="5"/>
  <c r="Z206" i="5"/>
  <c r="X206" i="5"/>
  <c r="W206" i="5"/>
  <c r="V206" i="5"/>
  <c r="U206" i="5"/>
  <c r="T206" i="5"/>
  <c r="S206" i="5"/>
  <c r="R206" i="5"/>
  <c r="AD205" i="5"/>
  <c r="Y205" i="5"/>
  <c r="T205" i="5"/>
  <c r="BR204" i="5"/>
  <c r="BM204" i="5"/>
  <c r="BH204" i="5"/>
  <c r="BC204" i="5"/>
  <c r="AX204" i="5"/>
  <c r="AS204" i="5"/>
  <c r="AN204" i="5"/>
  <c r="AI204" i="5"/>
  <c r="AD204" i="5"/>
  <c r="Y204" i="5"/>
  <c r="Y206" i="5" s="1"/>
  <c r="T204" i="5"/>
  <c r="BR203" i="5"/>
  <c r="BM203" i="5"/>
  <c r="BM206" i="5" s="1"/>
  <c r="BH203" i="5"/>
  <c r="BC203" i="5"/>
  <c r="AX203" i="5"/>
  <c r="AX206" i="5" s="1"/>
  <c r="AS203" i="5"/>
  <c r="AN203" i="5"/>
  <c r="AN206" i="5" s="1"/>
  <c r="AI203" i="5"/>
  <c r="AI206" i="5" s="1"/>
  <c r="AD203" i="5"/>
  <c r="AD206" i="5" s="1"/>
  <c r="Y203" i="5"/>
  <c r="T203" i="5"/>
  <c r="BS200" i="5"/>
  <c r="BQ200" i="5"/>
  <c r="BP200" i="5"/>
  <c r="BO200" i="5"/>
  <c r="BN200" i="5"/>
  <c r="BM200" i="5"/>
  <c r="BL200" i="5"/>
  <c r="BK200" i="5"/>
  <c r="BJ200" i="5"/>
  <c r="BI200" i="5"/>
  <c r="BG200" i="5"/>
  <c r="BF200" i="5"/>
  <c r="BE200" i="5"/>
  <c r="BD200" i="5"/>
  <c r="BB200" i="5"/>
  <c r="BA200" i="5"/>
  <c r="AZ200" i="5"/>
  <c r="AY200" i="5"/>
  <c r="AW200" i="5"/>
  <c r="AV200" i="5"/>
  <c r="AU200" i="5"/>
  <c r="AT200" i="5"/>
  <c r="AR200" i="5"/>
  <c r="AQ200" i="5"/>
  <c r="AP200" i="5"/>
  <c r="AO200" i="5"/>
  <c r="AM200" i="5"/>
  <c r="AL200" i="5"/>
  <c r="AK200" i="5"/>
  <c r="AJ200" i="5"/>
  <c r="AI200" i="5"/>
  <c r="AH200" i="5"/>
  <c r="AG200" i="5"/>
  <c r="AF200" i="5"/>
  <c r="BR199" i="5"/>
  <c r="BR200" i="5" s="1"/>
  <c r="BM199" i="5"/>
  <c r="BH199" i="5"/>
  <c r="BH200" i="5" s="1"/>
  <c r="BC199" i="5"/>
  <c r="AX199" i="5"/>
  <c r="AX200" i="5" s="1"/>
  <c r="AS199" i="5"/>
  <c r="AS200" i="5" s="1"/>
  <c r="AN199" i="5"/>
  <c r="AI199" i="5"/>
  <c r="BR198" i="5"/>
  <c r="BM198" i="5"/>
  <c r="BH198" i="5"/>
  <c r="BC198" i="5"/>
  <c r="BC200" i="5" s="1"/>
  <c r="AX198" i="5"/>
  <c r="AS198" i="5"/>
  <c r="AN198" i="5"/>
  <c r="AN200" i="5" s="1"/>
  <c r="AI198" i="5"/>
  <c r="BQ195" i="5"/>
  <c r="BP195" i="5"/>
  <c r="BG195" i="5"/>
  <c r="BF195" i="5"/>
  <c r="BA195" i="5"/>
  <c r="AR195" i="5"/>
  <c r="AI195" i="5"/>
  <c r="AH195" i="5"/>
  <c r="AC195" i="5"/>
  <c r="V195" i="5"/>
  <c r="U195" i="5"/>
  <c r="BS193" i="5"/>
  <c r="BS195" i="5" s="1"/>
  <c r="BQ193" i="5"/>
  <c r="BP193" i="5"/>
  <c r="BO193" i="5"/>
  <c r="BO195" i="5" s="1"/>
  <c r="BM193" i="5"/>
  <c r="BL193" i="5"/>
  <c r="BL195" i="5" s="1"/>
  <c r="BK193" i="5"/>
  <c r="BK195" i="5" s="1"/>
  <c r="BJ193" i="5"/>
  <c r="BG193" i="5"/>
  <c r="BF193" i="5"/>
  <c r="BE193" i="5"/>
  <c r="BE195" i="5" s="1"/>
  <c r="BD193" i="5"/>
  <c r="BD195" i="5" s="1"/>
  <c r="BC193" i="5"/>
  <c r="BB193" i="5"/>
  <c r="BB195" i="5" s="1"/>
  <c r="BA193" i="5"/>
  <c r="AZ193" i="5"/>
  <c r="AZ195" i="5" s="1"/>
  <c r="AW193" i="5"/>
  <c r="AW195" i="5" s="1"/>
  <c r="AV193" i="5"/>
  <c r="AV195" i="5" s="1"/>
  <c r="AU193" i="5"/>
  <c r="AR193" i="5"/>
  <c r="AQ193" i="5"/>
  <c r="AQ195" i="5" s="1"/>
  <c r="AP193" i="5"/>
  <c r="AN193" i="5"/>
  <c r="AM193" i="5"/>
  <c r="AM195" i="5" s="1"/>
  <c r="AL193" i="5"/>
  <c r="AL195" i="5" s="1"/>
  <c r="AK193" i="5"/>
  <c r="AH193" i="5"/>
  <c r="AG193" i="5"/>
  <c r="AG195" i="5" s="1"/>
  <c r="AF193" i="5"/>
  <c r="AD193" i="5"/>
  <c r="AC193" i="5"/>
  <c r="AB193" i="5"/>
  <c r="AB195" i="5" s="1"/>
  <c r="AA193" i="5"/>
  <c r="AA195" i="5" s="1"/>
  <c r="Y193" i="5"/>
  <c r="Y195" i="5" s="1"/>
  <c r="X193" i="5"/>
  <c r="X195" i="5" s="1"/>
  <c r="W193" i="5"/>
  <c r="W195" i="5" s="1"/>
  <c r="V193" i="5"/>
  <c r="U193" i="5"/>
  <c r="BR192" i="5"/>
  <c r="BR193" i="5" s="1"/>
  <c r="BR195" i="5" s="1"/>
  <c r="BM192" i="5"/>
  <c r="BH192" i="5"/>
  <c r="BH193" i="5" s="1"/>
  <c r="BI193" i="5" s="1"/>
  <c r="BI195" i="5" s="1"/>
  <c r="BC192" i="5"/>
  <c r="AX192" i="5"/>
  <c r="AX193" i="5" s="1"/>
  <c r="AS192" i="5"/>
  <c r="AS193" i="5" s="1"/>
  <c r="AN192" i="5"/>
  <c r="AI192" i="5"/>
  <c r="AI193" i="5" s="1"/>
  <c r="AD192" i="5"/>
  <c r="Y192" i="5"/>
  <c r="BS190" i="5"/>
  <c r="BQ190" i="5"/>
  <c r="BP190" i="5"/>
  <c r="BO190" i="5"/>
  <c r="BN190" i="5"/>
  <c r="BL190" i="5"/>
  <c r="BK190" i="5"/>
  <c r="BJ190" i="5"/>
  <c r="BI190" i="5"/>
  <c r="BG190" i="5"/>
  <c r="BF190" i="5"/>
  <c r="BE190" i="5"/>
  <c r="BD190" i="5"/>
  <c r="BB190" i="5"/>
  <c r="BA190" i="5"/>
  <c r="AZ190" i="5"/>
  <c r="AY190" i="5"/>
  <c r="AX190" i="5"/>
  <c r="AW190" i="5"/>
  <c r="AV190" i="5"/>
  <c r="AU190" i="5"/>
  <c r="AT190" i="5"/>
  <c r="AR190" i="5"/>
  <c r="AQ190" i="5"/>
  <c r="AP190" i="5"/>
  <c r="AO190" i="5"/>
  <c r="AM190" i="5"/>
  <c r="AL190" i="5"/>
  <c r="AK190" i="5"/>
  <c r="AJ190" i="5"/>
  <c r="AH190" i="5"/>
  <c r="AG190" i="5"/>
  <c r="AF190" i="5"/>
  <c r="AE190" i="5"/>
  <c r="AC190" i="5"/>
  <c r="AB190" i="5"/>
  <c r="AA190" i="5"/>
  <c r="Z190" i="5"/>
  <c r="X190" i="5"/>
  <c r="W190" i="5"/>
  <c r="V190" i="5"/>
  <c r="U190" i="5"/>
  <c r="S190" i="5"/>
  <c r="BR189" i="5"/>
  <c r="BM189" i="5"/>
  <c r="BM190" i="5" s="1"/>
  <c r="BH189" i="5"/>
  <c r="BC189" i="5"/>
  <c r="BC195" i="5" s="1"/>
  <c r="AX189" i="5"/>
  <c r="AS189" i="5"/>
  <c r="AS195" i="5" s="1"/>
  <c r="AN189" i="5"/>
  <c r="AI189" i="5"/>
  <c r="AI190" i="5" s="1"/>
  <c r="AD189" i="5"/>
  <c r="Y189" i="5"/>
  <c r="T189" i="5"/>
  <c r="BR188" i="5"/>
  <c r="BR190" i="5" s="1"/>
  <c r="BM188" i="5"/>
  <c r="BH188" i="5"/>
  <c r="BH190" i="5" s="1"/>
  <c r="BC188" i="5"/>
  <c r="BC190" i="5" s="1"/>
  <c r="AX188" i="5"/>
  <c r="AS188" i="5"/>
  <c r="AS190" i="5" s="1"/>
  <c r="AN188" i="5"/>
  <c r="AI188" i="5"/>
  <c r="AD188" i="5"/>
  <c r="Y188" i="5"/>
  <c r="Y190" i="5" s="1"/>
  <c r="T188" i="5"/>
  <c r="T190" i="5" s="1"/>
  <c r="BQ186" i="5"/>
  <c r="BP186" i="5"/>
  <c r="BO186" i="5"/>
  <c r="BM186" i="5"/>
  <c r="BL186" i="5"/>
  <c r="BK186" i="5"/>
  <c r="BJ186" i="5"/>
  <c r="BN186" i="5" s="1"/>
  <c r="BI186" i="5"/>
  <c r="BG186" i="5"/>
  <c r="BF186" i="5"/>
  <c r="BE186" i="5"/>
  <c r="BC186" i="5"/>
  <c r="BB186" i="5"/>
  <c r="BA186" i="5"/>
  <c r="AZ186" i="5"/>
  <c r="AW186" i="5"/>
  <c r="AV186" i="5"/>
  <c r="AU186" i="5"/>
  <c r="AS186" i="5"/>
  <c r="AR186" i="5"/>
  <c r="AQ186" i="5"/>
  <c r="AP186" i="5"/>
  <c r="AT186" i="5" s="1"/>
  <c r="AM186" i="5"/>
  <c r="AO186" i="5" s="1"/>
  <c r="AL186" i="5"/>
  <c r="AK186" i="5"/>
  <c r="AH186" i="5"/>
  <c r="AG186" i="5"/>
  <c r="AF186" i="5"/>
  <c r="AJ186" i="5" s="1"/>
  <c r="AD186" i="5"/>
  <c r="AC186" i="5"/>
  <c r="AE186" i="5" s="1"/>
  <c r="AB186" i="5"/>
  <c r="AA186" i="5"/>
  <c r="X186" i="5"/>
  <c r="W186" i="5"/>
  <c r="V186" i="5"/>
  <c r="Z186" i="5" s="1"/>
  <c r="U186" i="5"/>
  <c r="T186" i="5"/>
  <c r="BR185" i="5"/>
  <c r="BR186" i="5" s="1"/>
  <c r="BM185" i="5"/>
  <c r="BH185" i="5"/>
  <c r="BH186" i="5" s="1"/>
  <c r="BC185" i="5"/>
  <c r="AX185" i="5"/>
  <c r="AX186" i="5" s="1"/>
  <c r="AS185" i="5"/>
  <c r="AN185" i="5"/>
  <c r="AN186" i="5" s="1"/>
  <c r="AI185" i="5"/>
  <c r="AI186" i="5" s="1"/>
  <c r="AD185" i="5"/>
  <c r="Y185" i="5"/>
  <c r="Y186" i="5" s="1"/>
  <c r="T185" i="5"/>
  <c r="BR183" i="5"/>
  <c r="BM183" i="5"/>
  <c r="BH183" i="5"/>
  <c r="BC183" i="5"/>
  <c r="AU183" i="5"/>
  <c r="AX183" i="5" s="1"/>
  <c r="AT183" i="5"/>
  <c r="AR183" i="5"/>
  <c r="AQ183" i="5"/>
  <c r="AP183" i="5"/>
  <c r="AO183" i="5"/>
  <c r="AM183" i="5"/>
  <c r="AL183" i="5"/>
  <c r="AK183" i="5"/>
  <c r="AJ183" i="5"/>
  <c r="AH183" i="5"/>
  <c r="AG183" i="5"/>
  <c r="AF183" i="5"/>
  <c r="AE183" i="5"/>
  <c r="AC183" i="5"/>
  <c r="AB183" i="5"/>
  <c r="AA183" i="5"/>
  <c r="Z183" i="5"/>
  <c r="X183" i="5"/>
  <c r="W183" i="5"/>
  <c r="V183" i="5"/>
  <c r="U183" i="5"/>
  <c r="S183" i="5"/>
  <c r="AS182" i="5"/>
  <c r="AN182" i="5"/>
  <c r="AI182" i="5"/>
  <c r="AD182" i="5"/>
  <c r="Y182" i="5"/>
  <c r="AD181" i="5"/>
  <c r="Y181" i="5"/>
  <c r="AS180" i="5"/>
  <c r="AN180" i="5"/>
  <c r="AI180" i="5"/>
  <c r="AD180" i="5"/>
  <c r="Y180" i="5"/>
  <c r="AS179" i="5"/>
  <c r="AN179" i="5"/>
  <c r="AI179" i="5"/>
  <c r="AI183" i="5" s="1"/>
  <c r="AD179" i="5"/>
  <c r="Y179" i="5"/>
  <c r="Y183" i="5" s="1"/>
  <c r="T179" i="5"/>
  <c r="AS178" i="5"/>
  <c r="AN178" i="5"/>
  <c r="AI178" i="5"/>
  <c r="AD178" i="5"/>
  <c r="Y178" i="5"/>
  <c r="T178" i="5"/>
  <c r="AS177" i="5"/>
  <c r="AN177" i="5"/>
  <c r="AI177" i="5"/>
  <c r="AD177" i="5"/>
  <c r="Y177" i="5"/>
  <c r="T177" i="5"/>
  <c r="T183" i="5" s="1"/>
  <c r="AS176" i="5"/>
  <c r="AN176" i="5"/>
  <c r="AN183" i="5" s="1"/>
  <c r="AI176" i="5"/>
  <c r="AD176" i="5"/>
  <c r="Y176" i="5"/>
  <c r="T176" i="5"/>
  <c r="AD175" i="5"/>
  <c r="Y175" i="5"/>
  <c r="BR173" i="5"/>
  <c r="BM173" i="5"/>
  <c r="BH173" i="5"/>
  <c r="BC173" i="5"/>
  <c r="AU173" i="5"/>
  <c r="AX173" i="5" s="1"/>
  <c r="AT173" i="5"/>
  <c r="AR173" i="5"/>
  <c r="AQ173" i="5"/>
  <c r="AP173" i="5"/>
  <c r="AO173" i="5"/>
  <c r="AM173" i="5"/>
  <c r="AL173" i="5"/>
  <c r="AK173" i="5"/>
  <c r="AJ173" i="5"/>
  <c r="AH173" i="5"/>
  <c r="AG173" i="5"/>
  <c r="AF173" i="5"/>
  <c r="AE173" i="5"/>
  <c r="AC173" i="5"/>
  <c r="AB173" i="5"/>
  <c r="AA173" i="5"/>
  <c r="Z173" i="5"/>
  <c r="Y173" i="5"/>
  <c r="X173" i="5"/>
  <c r="W173" i="5"/>
  <c r="V173" i="5"/>
  <c r="U173" i="5"/>
  <c r="S173" i="5"/>
  <c r="AS172" i="5"/>
  <c r="AN172" i="5"/>
  <c r="AI172" i="5"/>
  <c r="AI173" i="5" s="1"/>
  <c r="AD171" i="5"/>
  <c r="AS170" i="5"/>
  <c r="AN170" i="5"/>
  <c r="AI170" i="5"/>
  <c r="AD170" i="5"/>
  <c r="AD173" i="5" s="1"/>
  <c r="Y170" i="5"/>
  <c r="T170" i="5"/>
  <c r="T173" i="5" s="1"/>
  <c r="AS168" i="5"/>
  <c r="AN168" i="5"/>
  <c r="AI168" i="5"/>
  <c r="AD168" i="5"/>
  <c r="Y168" i="5"/>
  <c r="T168" i="5"/>
  <c r="AS167" i="5"/>
  <c r="AS173" i="5" s="1"/>
  <c r="AN167" i="5"/>
  <c r="AN173" i="5" s="1"/>
  <c r="AI167" i="5"/>
  <c r="AD167" i="5"/>
  <c r="Y167" i="5"/>
  <c r="T167" i="5"/>
  <c r="BS164" i="5"/>
  <c r="BS163" i="5" s="1"/>
  <c r="BR164" i="5"/>
  <c r="BQ164" i="5"/>
  <c r="BQ163" i="5" s="1"/>
  <c r="BP164" i="5"/>
  <c r="BO164" i="5"/>
  <c r="BN164" i="5"/>
  <c r="BN163" i="5" s="1"/>
  <c r="BM164" i="5"/>
  <c r="BL164" i="5"/>
  <c r="BQ130" i="5" s="1"/>
  <c r="BK164" i="5"/>
  <c r="BJ164" i="5"/>
  <c r="BI164" i="5"/>
  <c r="BH164" i="5"/>
  <c r="BG164" i="5"/>
  <c r="BF164" i="5"/>
  <c r="BF163" i="5" s="1"/>
  <c r="BE164" i="5"/>
  <c r="BD164" i="5"/>
  <c r="BI130" i="5" s="1"/>
  <c r="BC164" i="5"/>
  <c r="BB164" i="5"/>
  <c r="BG130" i="5" s="1"/>
  <c r="BA164" i="5"/>
  <c r="BF130" i="5" s="1"/>
  <c r="AZ164" i="5"/>
  <c r="AY164" i="5"/>
  <c r="AX164" i="5"/>
  <c r="AW164" i="5"/>
  <c r="AV164" i="5"/>
  <c r="AU164" i="5"/>
  <c r="AZ130" i="5" s="1"/>
  <c r="AT164" i="5"/>
  <c r="AY130" i="5" s="1"/>
  <c r="AS164" i="5"/>
  <c r="AR164" i="5"/>
  <c r="AW130" i="5" s="1"/>
  <c r="AQ164" i="5"/>
  <c r="AV130" i="5" s="1"/>
  <c r="AP164" i="5"/>
  <c r="AO164" i="5"/>
  <c r="AN164" i="5"/>
  <c r="AS130" i="5" s="1"/>
  <c r="AM164" i="5"/>
  <c r="AR130" i="5" s="1"/>
  <c r="AL164" i="5"/>
  <c r="AQ130" i="5" s="1"/>
  <c r="AK164" i="5"/>
  <c r="AJ164" i="5"/>
  <c r="AO130" i="5" s="1"/>
  <c r="AI164" i="5"/>
  <c r="AH164" i="5"/>
  <c r="AG164" i="5"/>
  <c r="AF164" i="5"/>
  <c r="AK130" i="5" s="1"/>
  <c r="AE164" i="5"/>
  <c r="AJ130" i="5" s="1"/>
  <c r="AD164" i="5"/>
  <c r="AI130" i="5" s="1"/>
  <c r="AC164" i="5"/>
  <c r="AH130" i="5" s="1"/>
  <c r="AB164" i="5"/>
  <c r="AG130" i="5" s="1"/>
  <c r="AA164" i="5"/>
  <c r="Z164" i="5"/>
  <c r="X164" i="5"/>
  <c r="W164" i="5"/>
  <c r="AB130" i="5" s="1"/>
  <c r="V164" i="5"/>
  <c r="AA130" i="5" s="1"/>
  <c r="U164" i="5"/>
  <c r="T164" i="5"/>
  <c r="Y130" i="5" s="1"/>
  <c r="S164" i="5"/>
  <c r="X130" i="5" s="1"/>
  <c r="R164" i="5"/>
  <c r="Q164" i="5"/>
  <c r="P164" i="5"/>
  <c r="U130" i="5" s="1"/>
  <c r="O164" i="5"/>
  <c r="T130" i="5" s="1"/>
  <c r="N164" i="5"/>
  <c r="S130" i="5" s="1"/>
  <c r="M164" i="5"/>
  <c r="L164" i="5"/>
  <c r="K164" i="5"/>
  <c r="J164" i="5"/>
  <c r="I164" i="5"/>
  <c r="H164" i="5"/>
  <c r="M130" i="5" s="1"/>
  <c r="G164" i="5"/>
  <c r="L130" i="5" s="1"/>
  <c r="F164" i="5"/>
  <c r="K130" i="5" s="1"/>
  <c r="E164" i="5"/>
  <c r="F130" i="5" s="1"/>
  <c r="D164" i="5"/>
  <c r="E130" i="5" s="1"/>
  <c r="C164" i="5"/>
  <c r="BL163" i="5"/>
  <c r="BI163" i="5"/>
  <c r="BG163" i="5"/>
  <c r="AX163" i="5"/>
  <c r="AS163" i="5"/>
  <c r="AN163" i="5"/>
  <c r="AD163" i="5"/>
  <c r="Y163" i="5"/>
  <c r="T163" i="5"/>
  <c r="O163" i="5"/>
  <c r="BR162" i="5"/>
  <c r="BM162" i="5"/>
  <c r="BH162" i="5"/>
  <c r="BC162" i="5"/>
  <c r="AX162" i="5"/>
  <c r="AD161" i="5"/>
  <c r="Y161" i="5"/>
  <c r="T161" i="5"/>
  <c r="O161" i="5"/>
  <c r="AD160" i="5"/>
  <c r="Y160" i="5"/>
  <c r="T160" i="5"/>
  <c r="O160" i="5"/>
  <c r="AD159" i="5"/>
  <c r="Y159" i="5"/>
  <c r="T159" i="5"/>
  <c r="O159" i="5"/>
  <c r="AD158" i="5"/>
  <c r="Y158" i="5"/>
  <c r="T158" i="5"/>
  <c r="O158" i="5"/>
  <c r="AD157" i="5"/>
  <c r="Y157" i="5"/>
  <c r="T157" i="5"/>
  <c r="O157" i="5"/>
  <c r="AD156" i="5"/>
  <c r="Y156" i="5"/>
  <c r="T156" i="5"/>
  <c r="O156" i="5"/>
  <c r="AS155" i="5"/>
  <c r="AN155" i="5"/>
  <c r="AD155" i="5"/>
  <c r="Y155" i="5"/>
  <c r="T155" i="5"/>
  <c r="O155" i="5"/>
  <c r="AS154" i="5"/>
  <c r="AN154" i="5"/>
  <c r="AD154" i="5"/>
  <c r="Y154" i="5"/>
  <c r="T154" i="5"/>
  <c r="O154" i="5"/>
  <c r="AD153" i="5"/>
  <c r="Y153" i="5"/>
  <c r="T153" i="5"/>
  <c r="O153" i="5"/>
  <c r="AD152" i="5"/>
  <c r="Y152" i="5"/>
  <c r="T152" i="5"/>
  <c r="O152" i="5"/>
  <c r="AD151" i="5"/>
  <c r="Y151" i="5"/>
  <c r="T151" i="5"/>
  <c r="O151" i="5"/>
  <c r="AD150" i="5"/>
  <c r="Y150" i="5"/>
  <c r="T150" i="5"/>
  <c r="O150" i="5"/>
  <c r="AD149" i="5"/>
  <c r="Y149" i="5"/>
  <c r="T149" i="5"/>
  <c r="O149" i="5"/>
  <c r="AD148" i="5"/>
  <c r="Y148" i="5"/>
  <c r="T148" i="5"/>
  <c r="O148" i="5"/>
  <c r="AD147" i="5"/>
  <c r="Y147" i="5"/>
  <c r="T147" i="5"/>
  <c r="O147" i="5"/>
  <c r="AD146" i="5"/>
  <c r="Y146" i="5"/>
  <c r="O146" i="5"/>
  <c r="AD145" i="5"/>
  <c r="Y145" i="5"/>
  <c r="T145" i="5"/>
  <c r="O145" i="5"/>
  <c r="AD144" i="5"/>
  <c r="Y144" i="5"/>
  <c r="T144" i="5"/>
  <c r="O144" i="5"/>
  <c r="AD143" i="5"/>
  <c r="Y143" i="5"/>
  <c r="T143" i="5"/>
  <c r="O143" i="5"/>
  <c r="AD142" i="5"/>
  <c r="Y142" i="5"/>
  <c r="T142" i="5"/>
  <c r="O142" i="5"/>
  <c r="AD141" i="5"/>
  <c r="Y141" i="5"/>
  <c r="O141" i="5"/>
  <c r="AD140" i="5"/>
  <c r="Y140" i="5"/>
  <c r="O140" i="5"/>
  <c r="BH139" i="5"/>
  <c r="AX139" i="5"/>
  <c r="AD139" i="5"/>
  <c r="Y139" i="5"/>
  <c r="T139" i="5"/>
  <c r="O139" i="5"/>
  <c r="AD138" i="5"/>
  <c r="Y138" i="5"/>
  <c r="T138" i="5"/>
  <c r="O138" i="5"/>
  <c r="AD137" i="5"/>
  <c r="Y137" i="5"/>
  <c r="O137" i="5"/>
  <c r="AD136" i="5"/>
  <c r="Y136" i="5"/>
  <c r="O136" i="5"/>
  <c r="AD135" i="5"/>
  <c r="Y135" i="5"/>
  <c r="O135" i="5"/>
  <c r="AD134" i="5"/>
  <c r="Y134" i="5"/>
  <c r="O134" i="5"/>
  <c r="AD133" i="5"/>
  <c r="Y133" i="5"/>
  <c r="T133" i="5"/>
  <c r="O133" i="5"/>
  <c r="AD132" i="5"/>
  <c r="Y132" i="5"/>
  <c r="T132" i="5"/>
  <c r="O132" i="5"/>
  <c r="BH131" i="5"/>
  <c r="BC131" i="5"/>
  <c r="AX131" i="5"/>
  <c r="AS131" i="5"/>
  <c r="AN131" i="5"/>
  <c r="AD131" i="5"/>
  <c r="Y131" i="5"/>
  <c r="T131" i="5"/>
  <c r="O131" i="5"/>
  <c r="BS130" i="5"/>
  <c r="BR130" i="5"/>
  <c r="BN130" i="5"/>
  <c r="BL130" i="5"/>
  <c r="BK130" i="5"/>
  <c r="BJ130" i="5"/>
  <c r="BE130" i="5"/>
  <c r="BE163" i="5" s="1"/>
  <c r="BD130" i="5"/>
  <c r="BC130" i="5"/>
  <c r="BB130" i="5"/>
  <c r="BA130" i="5"/>
  <c r="AX130" i="5"/>
  <c r="AU130" i="5"/>
  <c r="AT130" i="5"/>
  <c r="AP130" i="5"/>
  <c r="AN130" i="5"/>
  <c r="AM130" i="5"/>
  <c r="AL130" i="5"/>
  <c r="AF130" i="5"/>
  <c r="AE130" i="5"/>
  <c r="AC130" i="5"/>
  <c r="Z130" i="5"/>
  <c r="W130" i="5"/>
  <c r="V130" i="5"/>
  <c r="R130" i="5"/>
  <c r="Q130" i="5"/>
  <c r="P130" i="5"/>
  <c r="O130" i="5"/>
  <c r="N130" i="5"/>
  <c r="D130" i="5"/>
  <c r="BS127" i="5"/>
  <c r="BR127" i="5"/>
  <c r="BQ127" i="5"/>
  <c r="BP127" i="5"/>
  <c r="BP126" i="5" s="1"/>
  <c r="BO127" i="5"/>
  <c r="BN127" i="5"/>
  <c r="BS109" i="5" s="1"/>
  <c r="BL127" i="5"/>
  <c r="BK127" i="5"/>
  <c r="BJ127" i="5"/>
  <c r="BI127" i="5"/>
  <c r="BG127" i="5"/>
  <c r="BF127" i="5"/>
  <c r="BF126" i="5" s="1"/>
  <c r="BE127" i="5"/>
  <c r="BE126" i="5" s="1"/>
  <c r="BD127" i="5"/>
  <c r="BC127" i="5"/>
  <c r="BH109" i="5" s="1"/>
  <c r="BB127" i="5"/>
  <c r="BA127" i="5"/>
  <c r="AZ127" i="5"/>
  <c r="AY127" i="5"/>
  <c r="AW127" i="5"/>
  <c r="AV127" i="5"/>
  <c r="BA109" i="5" s="1"/>
  <c r="AU127" i="5"/>
  <c r="AT127" i="5"/>
  <c r="AS127" i="5"/>
  <c r="AR127" i="5"/>
  <c r="AQ127" i="5"/>
  <c r="AP127" i="5"/>
  <c r="AU109" i="5" s="1"/>
  <c r="AO127" i="5"/>
  <c r="AN127" i="5"/>
  <c r="AS109" i="5" s="1"/>
  <c r="AM127" i="5"/>
  <c r="AL127" i="5"/>
  <c r="AQ109" i="5" s="1"/>
  <c r="AK127" i="5"/>
  <c r="AJ127" i="5"/>
  <c r="AI127" i="5"/>
  <c r="AH127" i="5"/>
  <c r="AG127" i="5"/>
  <c r="AL109" i="5" s="1"/>
  <c r="AF127" i="5"/>
  <c r="AK109" i="5" s="1"/>
  <c r="AE127" i="5"/>
  <c r="AJ109" i="5" s="1"/>
  <c r="AD127" i="5"/>
  <c r="AI109" i="5" s="1"/>
  <c r="AC127" i="5"/>
  <c r="AB127" i="5"/>
  <c r="AA127" i="5"/>
  <c r="Z127" i="5"/>
  <c r="Y127" i="5"/>
  <c r="X127" i="5"/>
  <c r="AC109" i="5" s="1"/>
  <c r="W127" i="5"/>
  <c r="V127" i="5"/>
  <c r="U127" i="5"/>
  <c r="T127" i="5"/>
  <c r="S127" i="5"/>
  <c r="R127" i="5"/>
  <c r="W109" i="5" s="1"/>
  <c r="Q127" i="5"/>
  <c r="P127" i="5"/>
  <c r="U109" i="5" s="1"/>
  <c r="O127" i="5"/>
  <c r="N127" i="5"/>
  <c r="S109" i="5" s="1"/>
  <c r="M127" i="5"/>
  <c r="L127" i="5"/>
  <c r="K127" i="5"/>
  <c r="J127" i="5"/>
  <c r="I127" i="5"/>
  <c r="N109" i="5" s="1"/>
  <c r="H127" i="5"/>
  <c r="M109" i="5" s="1"/>
  <c r="G127" i="5"/>
  <c r="L109" i="5" s="1"/>
  <c r="F127" i="5"/>
  <c r="K109" i="5" s="1"/>
  <c r="E127" i="5"/>
  <c r="D127" i="5"/>
  <c r="C127" i="5"/>
  <c r="BO126" i="5"/>
  <c r="BK126" i="5"/>
  <c r="AX126" i="5"/>
  <c r="AS126" i="5"/>
  <c r="AN126" i="5"/>
  <c r="AD126" i="5"/>
  <c r="Y126" i="5"/>
  <c r="T126" i="5"/>
  <c r="O126" i="5"/>
  <c r="BC124" i="5"/>
  <c r="AX124" i="5"/>
  <c r="AS124" i="5"/>
  <c r="AN124" i="5"/>
  <c r="AD124" i="5"/>
  <c r="Y124" i="5"/>
  <c r="T124" i="5"/>
  <c r="O124" i="5"/>
  <c r="AD123" i="5"/>
  <c r="AD122" i="5"/>
  <c r="O122" i="5"/>
  <c r="BC121" i="5"/>
  <c r="AX121" i="5"/>
  <c r="AS121" i="5"/>
  <c r="AN121" i="5"/>
  <c r="AD121" i="5"/>
  <c r="Y121" i="5"/>
  <c r="T121" i="5"/>
  <c r="O121" i="5"/>
  <c r="BH120" i="5"/>
  <c r="BC120" i="5"/>
  <c r="AX120" i="5"/>
  <c r="AS120" i="5"/>
  <c r="AN120" i="5"/>
  <c r="AD120" i="5"/>
  <c r="Y120" i="5"/>
  <c r="T120" i="5"/>
  <c r="O120" i="5"/>
  <c r="BH119" i="5"/>
  <c r="BC119" i="5"/>
  <c r="AX119" i="5"/>
  <c r="AS119" i="5"/>
  <c r="AN119" i="5"/>
  <c r="AD119" i="5"/>
  <c r="Y119" i="5"/>
  <c r="T119" i="5"/>
  <c r="O119" i="5"/>
  <c r="AD118" i="5"/>
  <c r="O118" i="5"/>
  <c r="BC117" i="5"/>
  <c r="AX117" i="5"/>
  <c r="AS117" i="5"/>
  <c r="AN117" i="5"/>
  <c r="AD117" i="5"/>
  <c r="Y117" i="5"/>
  <c r="T117" i="5"/>
  <c r="O117" i="5"/>
  <c r="AX116" i="5"/>
  <c r="AS116" i="5"/>
  <c r="AN116" i="5"/>
  <c r="AD116" i="5"/>
  <c r="Y116" i="5"/>
  <c r="T116" i="5"/>
  <c r="O116" i="5"/>
  <c r="AD115" i="5"/>
  <c r="Y115" i="5"/>
  <c r="T115" i="5"/>
  <c r="O115" i="5"/>
  <c r="BR114" i="5"/>
  <c r="BM114" i="5"/>
  <c r="BH114" i="5"/>
  <c r="AD114" i="5"/>
  <c r="T114" i="5"/>
  <c r="O114" i="5"/>
  <c r="AD113" i="5"/>
  <c r="Y113" i="5"/>
  <c r="T113" i="5"/>
  <c r="O113" i="5"/>
  <c r="AD112" i="5"/>
  <c r="Y112" i="5"/>
  <c r="T112" i="5"/>
  <c r="O112" i="5"/>
  <c r="AD111" i="5"/>
  <c r="Y111" i="5"/>
  <c r="T111" i="5"/>
  <c r="O111" i="5"/>
  <c r="AD110" i="5"/>
  <c r="Y110" i="5"/>
  <c r="T110" i="5"/>
  <c r="O110" i="5"/>
  <c r="BP109" i="5"/>
  <c r="BO109" i="5"/>
  <c r="BN109" i="5"/>
  <c r="BL109" i="5"/>
  <c r="BK109" i="5"/>
  <c r="BG109" i="5"/>
  <c r="BG126" i="5" s="1"/>
  <c r="BF109" i="5"/>
  <c r="BE109" i="5"/>
  <c r="BD109" i="5"/>
  <c r="BB109" i="5"/>
  <c r="AZ109" i="5"/>
  <c r="AY109" i="5"/>
  <c r="AX109" i="5"/>
  <c r="AW109" i="5"/>
  <c r="AV109" i="5"/>
  <c r="AT109" i="5"/>
  <c r="AR109" i="5"/>
  <c r="AP109" i="5"/>
  <c r="AO109" i="5"/>
  <c r="AN109" i="5"/>
  <c r="AM109" i="5"/>
  <c r="AH109" i="5"/>
  <c r="AG109" i="5"/>
  <c r="AF109" i="5"/>
  <c r="AE109" i="5"/>
  <c r="AD109" i="5"/>
  <c r="AB109" i="5"/>
  <c r="AA109" i="5"/>
  <c r="Z109" i="5"/>
  <c r="Y109" i="5"/>
  <c r="X109" i="5"/>
  <c r="V109" i="5"/>
  <c r="T109" i="5"/>
  <c r="R109" i="5"/>
  <c r="Q109" i="5"/>
  <c r="P109" i="5"/>
  <c r="O109" i="5"/>
  <c r="F109" i="5"/>
  <c r="E109" i="5"/>
  <c r="D109" i="5"/>
  <c r="BS106" i="5"/>
  <c r="BR106" i="5"/>
  <c r="BR105" i="5" s="1"/>
  <c r="BQ106" i="5"/>
  <c r="BP106" i="5"/>
  <c r="BO106" i="5"/>
  <c r="BO105" i="5" s="1"/>
  <c r="BN106" i="5"/>
  <c r="BM106" i="5"/>
  <c r="BL106" i="5"/>
  <c r="BK106" i="5"/>
  <c r="BP87" i="5" s="1"/>
  <c r="BJ106" i="5"/>
  <c r="BI106" i="5"/>
  <c r="BH106" i="5"/>
  <c r="BG106" i="5"/>
  <c r="BF106" i="5"/>
  <c r="BK87" i="5" s="1"/>
  <c r="BE106" i="5"/>
  <c r="BJ87" i="5" s="1"/>
  <c r="BD106" i="5"/>
  <c r="BI87" i="5" s="1"/>
  <c r="BC106" i="5"/>
  <c r="BH87" i="5" s="1"/>
  <c r="BB106" i="5"/>
  <c r="BA106" i="5"/>
  <c r="AZ106" i="5"/>
  <c r="BE87" i="5" s="1"/>
  <c r="AY106" i="5"/>
  <c r="AW106" i="5"/>
  <c r="AV106" i="5"/>
  <c r="AU106" i="5"/>
  <c r="AT106" i="5"/>
  <c r="AY87" i="5" s="1"/>
  <c r="AS106" i="5"/>
  <c r="AX87" i="5" s="1"/>
  <c r="AR106" i="5"/>
  <c r="AQ106" i="5"/>
  <c r="AP106" i="5"/>
  <c r="AU87" i="5" s="1"/>
  <c r="AO106" i="5"/>
  <c r="AN106" i="5"/>
  <c r="AM106" i="5"/>
  <c r="AR87" i="5" s="1"/>
  <c r="AL106" i="5"/>
  <c r="AK106" i="5"/>
  <c r="AP87" i="5" s="1"/>
  <c r="AJ106" i="5"/>
  <c r="AI106" i="5"/>
  <c r="AH106" i="5"/>
  <c r="AM87" i="5" s="1"/>
  <c r="AG106" i="5"/>
  <c r="AL87" i="5" s="1"/>
  <c r="AF106" i="5"/>
  <c r="AK87" i="5" s="1"/>
  <c r="AE106" i="5"/>
  <c r="AJ87" i="5" s="1"/>
  <c r="AD106" i="5"/>
  <c r="AC106" i="5"/>
  <c r="AB106" i="5"/>
  <c r="AG87" i="5" s="1"/>
  <c r="AA106" i="5"/>
  <c r="Z106" i="5"/>
  <c r="X106" i="5"/>
  <c r="W106" i="5"/>
  <c r="V106" i="5"/>
  <c r="AA87" i="5" s="1"/>
  <c r="U106" i="5"/>
  <c r="Z87" i="5" s="1"/>
  <c r="T106" i="5"/>
  <c r="S106" i="5"/>
  <c r="R106" i="5"/>
  <c r="W87" i="5" s="1"/>
  <c r="Q106" i="5"/>
  <c r="P106" i="5"/>
  <c r="O106" i="5"/>
  <c r="T87" i="5" s="1"/>
  <c r="N106" i="5"/>
  <c r="M106" i="5"/>
  <c r="R87" i="5" s="1"/>
  <c r="L106" i="5"/>
  <c r="K106" i="5"/>
  <c r="I106" i="5"/>
  <c r="N87" i="5" s="1"/>
  <c r="H106" i="5"/>
  <c r="M87" i="5" s="1"/>
  <c r="G106" i="5"/>
  <c r="L87" i="5" s="1"/>
  <c r="F106" i="5"/>
  <c r="K87" i="5" s="1"/>
  <c r="E106" i="5"/>
  <c r="F87" i="5" s="1"/>
  <c r="D106" i="5"/>
  <c r="E87" i="5" s="1"/>
  <c r="C106" i="5"/>
  <c r="BK105" i="5"/>
  <c r="BF105" i="5"/>
  <c r="BD105" i="5"/>
  <c r="BC105" i="5" s="1"/>
  <c r="AX105" i="5"/>
  <c r="AS105" i="5"/>
  <c r="AN105" i="5"/>
  <c r="AD105" i="5"/>
  <c r="Y105" i="5"/>
  <c r="T105" i="5"/>
  <c r="O105" i="5"/>
  <c r="AD104" i="5"/>
  <c r="Y104" i="5"/>
  <c r="T104" i="5"/>
  <c r="O104" i="5"/>
  <c r="AD103" i="5"/>
  <c r="Y103" i="5"/>
  <c r="T103" i="5"/>
  <c r="AD102" i="5"/>
  <c r="Y102" i="5"/>
  <c r="T102" i="5"/>
  <c r="O102" i="5"/>
  <c r="AD101" i="5"/>
  <c r="Y101" i="5"/>
  <c r="T101" i="5"/>
  <c r="AD100" i="5"/>
  <c r="Y100" i="5"/>
  <c r="T100" i="5"/>
  <c r="BC99" i="5"/>
  <c r="AX99" i="5"/>
  <c r="AS99" i="5"/>
  <c r="AN99" i="5"/>
  <c r="AD99" i="5"/>
  <c r="Y99" i="5"/>
  <c r="T99" i="5"/>
  <c r="O99" i="5"/>
  <c r="BC98" i="5"/>
  <c r="AX98" i="5"/>
  <c r="AS98" i="5"/>
  <c r="AN98" i="5"/>
  <c r="AD98" i="5"/>
  <c r="Y98" i="5"/>
  <c r="T98" i="5"/>
  <c r="O98" i="5"/>
  <c r="BC97" i="5"/>
  <c r="AX97" i="5"/>
  <c r="AS97" i="5"/>
  <c r="AN97" i="5"/>
  <c r="AD97" i="5"/>
  <c r="Y97" i="5"/>
  <c r="T97" i="5"/>
  <c r="O97" i="5"/>
  <c r="AD96" i="5"/>
  <c r="Y96" i="5"/>
  <c r="T96" i="5"/>
  <c r="O96" i="5"/>
  <c r="AD95" i="5"/>
  <c r="Y95" i="5"/>
  <c r="O95" i="5"/>
  <c r="AD94" i="5"/>
  <c r="Y94" i="5"/>
  <c r="T94" i="5"/>
  <c r="O94" i="5"/>
  <c r="BR93" i="5"/>
  <c r="BM93" i="5"/>
  <c r="BH93" i="5"/>
  <c r="BC93" i="5"/>
  <c r="AX93" i="5"/>
  <c r="AS93" i="5"/>
  <c r="AN93" i="5"/>
  <c r="AD93" i="5"/>
  <c r="Y93" i="5"/>
  <c r="T93" i="5"/>
  <c r="O93" i="5"/>
  <c r="AD92" i="5"/>
  <c r="Y92" i="5"/>
  <c r="T92" i="5"/>
  <c r="O92" i="5"/>
  <c r="BH91" i="5"/>
  <c r="BC91" i="5"/>
  <c r="AX91" i="5"/>
  <c r="AS91" i="5"/>
  <c r="AN91" i="5"/>
  <c r="AD91" i="5"/>
  <c r="Y91" i="5"/>
  <c r="T91" i="5"/>
  <c r="O91" i="5"/>
  <c r="AD90" i="5"/>
  <c r="Y90" i="5"/>
  <c r="T90" i="5"/>
  <c r="O90" i="5"/>
  <c r="AD89" i="5"/>
  <c r="Y89" i="5"/>
  <c r="T89" i="5"/>
  <c r="O89" i="5"/>
  <c r="AD88" i="5"/>
  <c r="Y88" i="5"/>
  <c r="T88" i="5"/>
  <c r="O88" i="5"/>
  <c r="BR87" i="5"/>
  <c r="BQ87" i="5"/>
  <c r="BO87" i="5"/>
  <c r="BM87" i="5"/>
  <c r="BL87" i="5"/>
  <c r="BL105" i="5" s="1"/>
  <c r="BG87" i="5"/>
  <c r="BF87" i="5"/>
  <c r="BD87" i="5"/>
  <c r="BB87" i="5"/>
  <c r="BA87" i="5"/>
  <c r="AZ87" i="5"/>
  <c r="AW87" i="5"/>
  <c r="AV87" i="5"/>
  <c r="AT87" i="5"/>
  <c r="AS87" i="5"/>
  <c r="AQ87" i="5"/>
  <c r="AO87" i="5"/>
  <c r="AN87" i="5"/>
  <c r="AI87" i="5"/>
  <c r="AH87" i="5"/>
  <c r="AF87" i="5"/>
  <c r="AE87" i="5"/>
  <c r="AC87" i="5"/>
  <c r="AB87" i="5"/>
  <c r="Y87" i="5"/>
  <c r="X87" i="5"/>
  <c r="V87" i="5"/>
  <c r="U87" i="5"/>
  <c r="S87" i="5"/>
  <c r="Q87" i="5"/>
  <c r="P87" i="5"/>
  <c r="D87" i="5"/>
  <c r="BG84" i="5"/>
  <c r="BF84" i="5"/>
  <c r="BE84" i="5"/>
  <c r="AU84" i="5"/>
  <c r="AR84" i="5"/>
  <c r="AF84" i="5"/>
  <c r="BS83" i="5"/>
  <c r="BQ83" i="5"/>
  <c r="BP83" i="5"/>
  <c r="BO83" i="5"/>
  <c r="BN83" i="5"/>
  <c r="BL83" i="5"/>
  <c r="BK83" i="5"/>
  <c r="BJ83" i="5"/>
  <c r="BI83" i="5"/>
  <c r="BG83" i="5"/>
  <c r="BF83" i="5"/>
  <c r="BE83" i="5"/>
  <c r="BD83" i="5"/>
  <c r="BB83" i="5"/>
  <c r="BA83" i="5"/>
  <c r="AZ83" i="5"/>
  <c r="AY83" i="5"/>
  <c r="AX83" i="5"/>
  <c r="AW83" i="5"/>
  <c r="AV83" i="5"/>
  <c r="AU83" i="5"/>
  <c r="AT83" i="5"/>
  <c r="AR83" i="5"/>
  <c r="AQ83" i="5"/>
  <c r="AP83" i="5"/>
  <c r="AO83" i="5"/>
  <c r="AN83" i="5"/>
  <c r="AM83" i="5"/>
  <c r="AL83" i="5"/>
  <c r="AK83" i="5"/>
  <c r="AJ83" i="5"/>
  <c r="AH83" i="5"/>
  <c r="AG83" i="5"/>
  <c r="AF83" i="5"/>
  <c r="BS82" i="5"/>
  <c r="BR82" i="5"/>
  <c r="BQ82" i="5"/>
  <c r="BP82" i="5"/>
  <c r="BO82" i="5"/>
  <c r="BN82" i="5"/>
  <c r="BM82" i="5"/>
  <c r="BL82" i="5"/>
  <c r="BK82" i="5"/>
  <c r="BJ82" i="5"/>
  <c r="BI82" i="5"/>
  <c r="BG82" i="5"/>
  <c r="BF82" i="5"/>
  <c r="BE82" i="5"/>
  <c r="BD82" i="5"/>
  <c r="BC82" i="5"/>
  <c r="BB82" i="5"/>
  <c r="BA82" i="5"/>
  <c r="AZ82" i="5"/>
  <c r="AY82" i="5"/>
  <c r="AW82" i="5"/>
  <c r="AV82" i="5"/>
  <c r="AU82" i="5"/>
  <c r="AT82" i="5"/>
  <c r="AR82" i="5"/>
  <c r="AQ82" i="5"/>
  <c r="AP82" i="5"/>
  <c r="AO82" i="5"/>
  <c r="AM82" i="5"/>
  <c r="AL82" i="5"/>
  <c r="AK82" i="5"/>
  <c r="AJ82" i="5"/>
  <c r="AH82" i="5"/>
  <c r="AG82" i="5"/>
  <c r="AF82" i="5"/>
  <c r="BS80" i="5"/>
  <c r="BS84" i="5" s="1"/>
  <c r="BQ80" i="5"/>
  <c r="BQ84" i="5" s="1"/>
  <c r="BP80" i="5"/>
  <c r="BP84" i="5" s="1"/>
  <c r="BO80" i="5"/>
  <c r="BN80" i="5"/>
  <c r="BL80" i="5"/>
  <c r="BK80" i="5"/>
  <c r="BJ80" i="5"/>
  <c r="BJ84" i="5" s="1"/>
  <c r="BI80" i="5"/>
  <c r="BI84" i="5" s="1"/>
  <c r="BG80" i="5"/>
  <c r="BF80" i="5"/>
  <c r="BE80" i="5"/>
  <c r="BD80" i="5"/>
  <c r="BB80" i="5"/>
  <c r="BB84" i="5" s="1"/>
  <c r="BA80" i="5"/>
  <c r="AZ80" i="5"/>
  <c r="AY80" i="5"/>
  <c r="AY84" i="5" s="1"/>
  <c r="AX80" i="5"/>
  <c r="AW80" i="5"/>
  <c r="AW84" i="5" s="1"/>
  <c r="AV80" i="5"/>
  <c r="AV84" i="5" s="1"/>
  <c r="AU80" i="5"/>
  <c r="AT80" i="5"/>
  <c r="AT84" i="5" s="1"/>
  <c r="AR80" i="5"/>
  <c r="AQ80" i="5"/>
  <c r="AQ84" i="5" s="1"/>
  <c r="AP80" i="5"/>
  <c r="AP84" i="5" s="1"/>
  <c r="AO80" i="5"/>
  <c r="AO84" i="5" s="1"/>
  <c r="AM80" i="5"/>
  <c r="AL80" i="5"/>
  <c r="AL84" i="5" s="1"/>
  <c r="AK80" i="5"/>
  <c r="AK84" i="5" s="1"/>
  <c r="AJ80" i="5"/>
  <c r="AJ84" i="5" s="1"/>
  <c r="AH80" i="5"/>
  <c r="AH84" i="5" s="1"/>
  <c r="AG80" i="5"/>
  <c r="AG84" i="5" s="1"/>
  <c r="AF80" i="5"/>
  <c r="AE80" i="5"/>
  <c r="AC80" i="5"/>
  <c r="AB80" i="5"/>
  <c r="AA80" i="5"/>
  <c r="Z80" i="5"/>
  <c r="X80" i="5"/>
  <c r="W80" i="5"/>
  <c r="V80" i="5"/>
  <c r="U80" i="5"/>
  <c r="T80" i="5"/>
  <c r="S80" i="5"/>
  <c r="R80" i="5"/>
  <c r="Q80" i="5"/>
  <c r="P80" i="5"/>
  <c r="N80" i="5"/>
  <c r="M80" i="5"/>
  <c r="L80" i="5"/>
  <c r="K80" i="5"/>
  <c r="F80" i="5"/>
  <c r="BR79" i="5"/>
  <c r="BR83" i="5" s="1"/>
  <c r="BM79" i="5"/>
  <c r="BM83" i="5" s="1"/>
  <c r="BH79" i="5"/>
  <c r="BC79" i="5"/>
  <c r="AX79" i="5"/>
  <c r="AS79" i="5"/>
  <c r="AN79" i="5"/>
  <c r="AN80" i="5" s="1"/>
  <c r="AI79" i="5"/>
  <c r="AI80" i="5" s="1"/>
  <c r="AD79" i="5"/>
  <c r="Y79" i="5"/>
  <c r="T79" i="5"/>
  <c r="O79" i="5"/>
  <c r="BR78" i="5"/>
  <c r="BM78" i="5"/>
  <c r="BH78" i="5"/>
  <c r="BC78" i="5"/>
  <c r="BC80" i="5" s="1"/>
  <c r="AX78" i="5"/>
  <c r="AS78" i="5"/>
  <c r="AN78" i="5"/>
  <c r="AI78" i="5"/>
  <c r="AD78" i="5"/>
  <c r="AD80" i="5" s="1"/>
  <c r="Y78" i="5"/>
  <c r="T78" i="5"/>
  <c r="O78" i="5"/>
  <c r="O80" i="5" s="1"/>
  <c r="X76" i="5"/>
  <c r="S76" i="5"/>
  <c r="BS71" i="5"/>
  <c r="BQ71" i="5"/>
  <c r="BP71" i="5"/>
  <c r="BO71" i="5"/>
  <c r="BN71" i="5"/>
  <c r="BN84" i="5" s="1"/>
  <c r="BL71" i="5"/>
  <c r="BK71" i="5"/>
  <c r="BJ71" i="5"/>
  <c r="BI71" i="5"/>
  <c r="BG71" i="5"/>
  <c r="BF71" i="5"/>
  <c r="BE71" i="5"/>
  <c r="BD71" i="5"/>
  <c r="BD84" i="5" s="1"/>
  <c r="BB71" i="5"/>
  <c r="BA71" i="5"/>
  <c r="AZ71" i="5"/>
  <c r="AY71" i="5"/>
  <c r="AW71" i="5"/>
  <c r="AV71" i="5"/>
  <c r="AU71" i="5"/>
  <c r="AT71" i="5"/>
  <c r="AR71" i="5"/>
  <c r="AQ71" i="5"/>
  <c r="AP71" i="5"/>
  <c r="AO71" i="5"/>
  <c r="AM71" i="5"/>
  <c r="AL71" i="5"/>
  <c r="AK71" i="5"/>
  <c r="AJ71" i="5"/>
  <c r="AH71" i="5"/>
  <c r="AG71" i="5"/>
  <c r="AF71" i="5"/>
  <c r="AE71" i="5"/>
  <c r="AC71" i="5"/>
  <c r="AB71" i="5"/>
  <c r="AA71" i="5"/>
  <c r="Z71" i="5"/>
  <c r="X71" i="5"/>
  <c r="W71" i="5"/>
  <c r="V71" i="5"/>
  <c r="U71" i="5"/>
  <c r="S71" i="5"/>
  <c r="R71" i="5"/>
  <c r="Q71" i="5"/>
  <c r="P71" i="5"/>
  <c r="O71" i="5"/>
  <c r="N71" i="5"/>
  <c r="M71" i="5"/>
  <c r="L71" i="5"/>
  <c r="K71" i="5"/>
  <c r="F71" i="5"/>
  <c r="BR70" i="5"/>
  <c r="BM70" i="5"/>
  <c r="BH70" i="5"/>
  <c r="BC70" i="5"/>
  <c r="AX70" i="5"/>
  <c r="AS70" i="5"/>
  <c r="AN70" i="5"/>
  <c r="AI70" i="5"/>
  <c r="AD70" i="5"/>
  <c r="Y70" i="5"/>
  <c r="T70" i="5"/>
  <c r="O70" i="5"/>
  <c r="BR69" i="5"/>
  <c r="BM69" i="5"/>
  <c r="BH69" i="5"/>
  <c r="BC69" i="5"/>
  <c r="BC83" i="5" s="1"/>
  <c r="AX69" i="5"/>
  <c r="AS69" i="5"/>
  <c r="AN69" i="5"/>
  <c r="AI69" i="5"/>
  <c r="AD69" i="5"/>
  <c r="Y69" i="5"/>
  <c r="T69" i="5"/>
  <c r="O69" i="5"/>
  <c r="BR68" i="5"/>
  <c r="BR71" i="5" s="1"/>
  <c r="BM68" i="5"/>
  <c r="BM71" i="5" s="1"/>
  <c r="BH68" i="5"/>
  <c r="BC68" i="5"/>
  <c r="AX68" i="5"/>
  <c r="AX71" i="5" s="1"/>
  <c r="AX84" i="5" s="1"/>
  <c r="AS68" i="5"/>
  <c r="AN68" i="5"/>
  <c r="AI68" i="5"/>
  <c r="AD68" i="5"/>
  <c r="AD71" i="5" s="1"/>
  <c r="Y68" i="5"/>
  <c r="Y71" i="5" s="1"/>
  <c r="T68" i="5"/>
  <c r="O68" i="5"/>
  <c r="BP66" i="5"/>
  <c r="BM66" i="5"/>
  <c r="BL66" i="5"/>
  <c r="BK66" i="5"/>
  <c r="BJ66" i="5"/>
  <c r="BG66" i="5"/>
  <c r="BD66" i="5"/>
  <c r="AZ66" i="5"/>
  <c r="AY66" i="5"/>
  <c r="AP66" i="5"/>
  <c r="AO66" i="5"/>
  <c r="AM66" i="5"/>
  <c r="AL66" i="5"/>
  <c r="AH66" i="5"/>
  <c r="AF66" i="5"/>
  <c r="BS65" i="5"/>
  <c r="BS66" i="5" s="1"/>
  <c r="BR65" i="5"/>
  <c r="BQ65" i="5"/>
  <c r="BQ66" i="5" s="1"/>
  <c r="BP65" i="5"/>
  <c r="BO65" i="5"/>
  <c r="BO66" i="5" s="1"/>
  <c r="BN65" i="5"/>
  <c r="BN66" i="5" s="1"/>
  <c r="BL65" i="5"/>
  <c r="BK65" i="5"/>
  <c r="BJ65" i="5"/>
  <c r="BI65" i="5"/>
  <c r="BI66" i="5" s="1"/>
  <c r="BG65" i="5"/>
  <c r="BF65" i="5"/>
  <c r="BF66" i="5" s="1"/>
  <c r="BE65" i="5"/>
  <c r="BE66" i="5" s="1"/>
  <c r="BD65" i="5"/>
  <c r="BB65" i="5"/>
  <c r="BB66" i="5" s="1"/>
  <c r="BA65" i="5"/>
  <c r="BA66" i="5" s="1"/>
  <c r="AZ65" i="5"/>
  <c r="AY65" i="5"/>
  <c r="AW65" i="5"/>
  <c r="AW66" i="5" s="1"/>
  <c r="AV65" i="5"/>
  <c r="AV66" i="5" s="1"/>
  <c r="AU65" i="5"/>
  <c r="AU66" i="5" s="1"/>
  <c r="AT65" i="5"/>
  <c r="AT66" i="5" s="1"/>
  <c r="AR65" i="5"/>
  <c r="AR66" i="5" s="1"/>
  <c r="AQ65" i="5"/>
  <c r="AQ66" i="5" s="1"/>
  <c r="AP65" i="5"/>
  <c r="AO65" i="5"/>
  <c r="AM65" i="5"/>
  <c r="AL65" i="5"/>
  <c r="AK65" i="5"/>
  <c r="AK66" i="5" s="1"/>
  <c r="AJ65" i="5"/>
  <c r="AJ66" i="5" s="1"/>
  <c r="AH65" i="5"/>
  <c r="AG65" i="5"/>
  <c r="AG66" i="5" s="1"/>
  <c r="AF65" i="5"/>
  <c r="BR64" i="5"/>
  <c r="BM64" i="5"/>
  <c r="BH64" i="5"/>
  <c r="BC64" i="5"/>
  <c r="AX64" i="5"/>
  <c r="AS64" i="5"/>
  <c r="AN64" i="5"/>
  <c r="AI64" i="5"/>
  <c r="AI65" i="5" s="1"/>
  <c r="AI66" i="5" s="1"/>
  <c r="BR63" i="5"/>
  <c r="BM63" i="5"/>
  <c r="BM65" i="5" s="1"/>
  <c r="BH63" i="5"/>
  <c r="BH65" i="5" s="1"/>
  <c r="BC63" i="5"/>
  <c r="BC65" i="5" s="1"/>
  <c r="BC66" i="5" s="1"/>
  <c r="AX63" i="5"/>
  <c r="AX65" i="5" s="1"/>
  <c r="AX66" i="5" s="1"/>
  <c r="AS63" i="5"/>
  <c r="AS65" i="5" s="1"/>
  <c r="AS66" i="5" s="1"/>
  <c r="AN63" i="5"/>
  <c r="AN65" i="5" s="1"/>
  <c r="AI63" i="5"/>
  <c r="BR62" i="5"/>
  <c r="BM62" i="5"/>
  <c r="BH62" i="5"/>
  <c r="BH66" i="5" s="1"/>
  <c r="BC62" i="5"/>
  <c r="AX62" i="5"/>
  <c r="AS62" i="5"/>
  <c r="AN62" i="5"/>
  <c r="AI62" i="5"/>
  <c r="BS59" i="5"/>
  <c r="BS55" i="5" s="1"/>
  <c r="BN59" i="5"/>
  <c r="BF59" i="5"/>
  <c r="BF55" i="5" s="1"/>
  <c r="BE59" i="5"/>
  <c r="BB59" i="5"/>
  <c r="BA59" i="5"/>
  <c r="AW59" i="5"/>
  <c r="AU59" i="5"/>
  <c r="AO59" i="5"/>
  <c r="AG59" i="5"/>
  <c r="AG55" i="5" s="1"/>
  <c r="AE59" i="5"/>
  <c r="AC59" i="5"/>
  <c r="AB59" i="5"/>
  <c r="AA59" i="5"/>
  <c r="BS58" i="5"/>
  <c r="BS54" i="5" s="1"/>
  <c r="BR58" i="5"/>
  <c r="BR54" i="5" s="1"/>
  <c r="BQ58" i="5"/>
  <c r="BP58" i="5"/>
  <c r="BO58" i="5"/>
  <c r="BN58" i="5"/>
  <c r="BM58" i="5"/>
  <c r="BL58" i="5"/>
  <c r="BK58" i="5"/>
  <c r="BJ58" i="5"/>
  <c r="BJ54" i="5" s="1"/>
  <c r="BI58" i="5"/>
  <c r="BG58" i="5"/>
  <c r="BG54" i="5" s="1"/>
  <c r="BF58" i="5"/>
  <c r="BE58" i="5"/>
  <c r="BD58" i="5"/>
  <c r="BB58" i="5"/>
  <c r="BA58" i="5"/>
  <c r="AZ58" i="5"/>
  <c r="AY58" i="5"/>
  <c r="AW58" i="5"/>
  <c r="AV58" i="5"/>
  <c r="AB58" i="5"/>
  <c r="AA58" i="5"/>
  <c r="BS57" i="5"/>
  <c r="BQ57" i="5"/>
  <c r="BV53" i="5" s="1"/>
  <c r="BP57" i="5"/>
  <c r="BO57" i="5"/>
  <c r="BN57" i="5"/>
  <c r="BL57" i="5"/>
  <c r="BK57" i="5"/>
  <c r="BK53" i="5" s="1"/>
  <c r="BJ57" i="5"/>
  <c r="BI57" i="5"/>
  <c r="BH57" i="5"/>
  <c r="BG57" i="5"/>
  <c r="BF57" i="5"/>
  <c r="BF53" i="5" s="1"/>
  <c r="BE57" i="5"/>
  <c r="BJ53" i="5" s="1"/>
  <c r="BD57" i="5"/>
  <c r="BB57" i="5"/>
  <c r="BA57" i="5"/>
  <c r="AZ57" i="5"/>
  <c r="AY57" i="5"/>
  <c r="AW57" i="5"/>
  <c r="AV57" i="5"/>
  <c r="AU57" i="5"/>
  <c r="AT57" i="5"/>
  <c r="AM57" i="5"/>
  <c r="AK57" i="5"/>
  <c r="AJ57" i="5"/>
  <c r="AJ53" i="5" s="1"/>
  <c r="AG57" i="5"/>
  <c r="AF57" i="5"/>
  <c r="AE57" i="5"/>
  <c r="BD55" i="5"/>
  <c r="BC55" i="5"/>
  <c r="BB55" i="5"/>
  <c r="BA55" i="5"/>
  <c r="AZ55" i="5"/>
  <c r="AW55" i="5"/>
  <c r="CF54" i="5"/>
  <c r="CE54" i="5"/>
  <c r="CB54" i="5"/>
  <c r="CA54" i="5"/>
  <c r="BZ54" i="5"/>
  <c r="BY54" i="5"/>
  <c r="BV54" i="5"/>
  <c r="BU54" i="5"/>
  <c r="BT54" i="5"/>
  <c r="BP54" i="5"/>
  <c r="BO54" i="5"/>
  <c r="BK54" i="5"/>
  <c r="BD54" i="5"/>
  <c r="BC54" i="5"/>
  <c r="BB54" i="5"/>
  <c r="BA54" i="5"/>
  <c r="AZ54" i="5"/>
  <c r="CF53" i="5"/>
  <c r="CE53" i="5"/>
  <c r="CB53" i="5"/>
  <c r="CA53" i="5"/>
  <c r="BZ53" i="5"/>
  <c r="BY53" i="5"/>
  <c r="BU53" i="5"/>
  <c r="BT53" i="5"/>
  <c r="BS53" i="5"/>
  <c r="BP53" i="5"/>
  <c r="BO53" i="5"/>
  <c r="BN53" i="5"/>
  <c r="BG53" i="5"/>
  <c r="BD53" i="5"/>
  <c r="BC53" i="5"/>
  <c r="BB53" i="5"/>
  <c r="BA53" i="5"/>
  <c r="AZ53" i="5"/>
  <c r="AY53" i="5"/>
  <c r="BV51" i="5"/>
  <c r="BU51" i="5"/>
  <c r="BE51" i="5"/>
  <c r="AW51" i="5"/>
  <c r="AV51" i="5"/>
  <c r="AU51" i="5"/>
  <c r="AO51" i="5"/>
  <c r="AH51" i="5"/>
  <c r="AA51" i="5"/>
  <c r="Z51" i="5"/>
  <c r="X51" i="5"/>
  <c r="W51" i="5"/>
  <c r="V51" i="5"/>
  <c r="N51" i="5"/>
  <c r="K51" i="5"/>
  <c r="I51" i="5"/>
  <c r="F51" i="5"/>
  <c r="E51" i="5"/>
  <c r="BP50" i="5"/>
  <c r="BF50" i="5"/>
  <c r="BF51" i="5" s="1"/>
  <c r="BD50" i="5"/>
  <c r="BD51" i="5" s="1"/>
  <c r="AW50" i="5"/>
  <c r="AV50" i="5"/>
  <c r="AU50" i="5"/>
  <c r="AU43" i="5" s="1"/>
  <c r="AT50" i="5"/>
  <c r="AR50" i="5"/>
  <c r="AR51" i="5" s="1"/>
  <c r="AQ50" i="5"/>
  <c r="AQ51" i="5" s="1"/>
  <c r="AP50" i="5"/>
  <c r="AP51" i="5" s="1"/>
  <c r="AO50" i="5"/>
  <c r="AM50" i="5"/>
  <c r="AL50" i="5"/>
  <c r="AL43" i="5" s="1"/>
  <c r="AL58" i="5" s="1"/>
  <c r="AK50" i="5"/>
  <c r="AK43" i="5" s="1"/>
  <c r="AJ50" i="5"/>
  <c r="AH50" i="5"/>
  <c r="AG50" i="5"/>
  <c r="AF50" i="5"/>
  <c r="AE50" i="5"/>
  <c r="AC50" i="5"/>
  <c r="AB50" i="5"/>
  <c r="AB51" i="5" s="1"/>
  <c r="AA50" i="5"/>
  <c r="Z50" i="5"/>
  <c r="X50" i="5"/>
  <c r="W50" i="5"/>
  <c r="V50" i="5"/>
  <c r="U50" i="5"/>
  <c r="U51" i="5" s="1"/>
  <c r="S50" i="5"/>
  <c r="S51" i="5" s="1"/>
  <c r="R50" i="5"/>
  <c r="R51" i="5" s="1"/>
  <c r="Q50" i="5"/>
  <c r="Q51" i="5" s="1"/>
  <c r="P50" i="5"/>
  <c r="P51" i="5" s="1"/>
  <c r="N50" i="5"/>
  <c r="M50" i="5"/>
  <c r="M51" i="5" s="1"/>
  <c r="L50" i="5"/>
  <c r="L51" i="5" s="1"/>
  <c r="K50" i="5"/>
  <c r="I50" i="5"/>
  <c r="H50" i="5"/>
  <c r="H51" i="5" s="1"/>
  <c r="G50" i="5"/>
  <c r="G51" i="5" s="1"/>
  <c r="F50" i="5"/>
  <c r="E50" i="5"/>
  <c r="D50" i="5"/>
  <c r="D51" i="5" s="1"/>
  <c r="C50" i="5"/>
  <c r="C51" i="5" s="1"/>
  <c r="BV49" i="5"/>
  <c r="BV50" i="5" s="1"/>
  <c r="BU49" i="5"/>
  <c r="BU50" i="5" s="1"/>
  <c r="BQ49" i="5"/>
  <c r="BP49" i="5"/>
  <c r="BJ49" i="5"/>
  <c r="BI49" i="5"/>
  <c r="BG49" i="5"/>
  <c r="BF49" i="5"/>
  <c r="BA49" i="5"/>
  <c r="BA50" i="5" s="1"/>
  <c r="BA51" i="5" s="1"/>
  <c r="AZ49" i="5"/>
  <c r="BI47" i="5"/>
  <c r="BG47" i="5"/>
  <c r="BF47" i="5"/>
  <c r="BE47" i="5"/>
  <c r="BD47" i="5"/>
  <c r="BB47" i="5"/>
  <c r="BA47" i="5"/>
  <c r="AW47" i="5"/>
  <c r="AV47" i="5"/>
  <c r="AU47" i="5"/>
  <c r="AT47" i="5"/>
  <c r="AR47" i="5"/>
  <c r="AQ47" i="5"/>
  <c r="AP47" i="5"/>
  <c r="AO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AF45" i="5"/>
  <c r="BS44" i="5"/>
  <c r="BS50" i="5" s="1"/>
  <c r="BQ44" i="5"/>
  <c r="BQ47" i="5" s="1"/>
  <c r="BP44" i="5"/>
  <c r="BP47" i="5" s="1"/>
  <c r="BO44" i="5"/>
  <c r="BN44" i="5"/>
  <c r="BL44" i="5"/>
  <c r="BL49" i="5" s="1"/>
  <c r="BK44" i="5"/>
  <c r="BJ44" i="5"/>
  <c r="BJ47" i="5" s="1"/>
  <c r="BI44" i="5"/>
  <c r="BI50" i="5" s="1"/>
  <c r="BI51" i="5" s="1"/>
  <c r="BH44" i="5"/>
  <c r="BG44" i="5"/>
  <c r="BF44" i="5"/>
  <c r="BE44" i="5"/>
  <c r="BE49" i="5" s="1"/>
  <c r="BE50" i="5" s="1"/>
  <c r="BD44" i="5"/>
  <c r="BD49" i="5" s="1"/>
  <c r="BB44" i="5"/>
  <c r="BA44" i="5"/>
  <c r="AZ44" i="5"/>
  <c r="AY44" i="5"/>
  <c r="AS44" i="5"/>
  <c r="AS47" i="5" s="1"/>
  <c r="AN44" i="5"/>
  <c r="AI44" i="5"/>
  <c r="AI40" i="5" s="1"/>
  <c r="CB43" i="5"/>
  <c r="CB20" i="5" s="1"/>
  <c r="CA43" i="5"/>
  <c r="CA20" i="5" s="1"/>
  <c r="CA8" i="5" s="1"/>
  <c r="BZ43" i="5"/>
  <c r="BZ20" i="5" s="1"/>
  <c r="BY43" i="5"/>
  <c r="BX43" i="5"/>
  <c r="BX39" i="5" s="1"/>
  <c r="BW43" i="5"/>
  <c r="BV43" i="5"/>
  <c r="BU43" i="5"/>
  <c r="BT43" i="5"/>
  <c r="BR43" i="5"/>
  <c r="BM43" i="5"/>
  <c r="BH43" i="5"/>
  <c r="BC43" i="5"/>
  <c r="BC58" i="5" s="1"/>
  <c r="AW43" i="5"/>
  <c r="AV43" i="5"/>
  <c r="AR43" i="5"/>
  <c r="AQ43" i="5"/>
  <c r="AP43" i="5"/>
  <c r="AP58" i="5" s="1"/>
  <c r="AO43" i="5"/>
  <c r="AH43" i="5"/>
  <c r="AB43" i="5"/>
  <c r="AA43" i="5"/>
  <c r="CA42" i="5"/>
  <c r="BZ42" i="5"/>
  <c r="BV42" i="5"/>
  <c r="BV44" i="5" s="1"/>
  <c r="BV40" i="5" s="1"/>
  <c r="BU42" i="5"/>
  <c r="BU44" i="5" s="1"/>
  <c r="BU40" i="5" s="1"/>
  <c r="BT42" i="5"/>
  <c r="BR42" i="5"/>
  <c r="BM42" i="5"/>
  <c r="BH42" i="5"/>
  <c r="BC42" i="5"/>
  <c r="AX42" i="5"/>
  <c r="AW42" i="5"/>
  <c r="AV42" i="5"/>
  <c r="AU42" i="5"/>
  <c r="AT42" i="5"/>
  <c r="AR42" i="5"/>
  <c r="AQ42" i="5"/>
  <c r="AQ57" i="5" s="1"/>
  <c r="AP42" i="5"/>
  <c r="AP38" i="5" s="1"/>
  <c r="AO42" i="5"/>
  <c r="AM42" i="5"/>
  <c r="AL42" i="5"/>
  <c r="AK42" i="5"/>
  <c r="AK38" i="5" s="1"/>
  <c r="AJ42" i="5"/>
  <c r="AH42" i="5"/>
  <c r="AG42" i="5"/>
  <c r="AF42" i="5"/>
  <c r="AE42" i="5"/>
  <c r="AC42" i="5"/>
  <c r="AC57" i="5" s="1"/>
  <c r="AB42" i="5"/>
  <c r="AB57" i="5" s="1"/>
  <c r="AG53" i="5" s="1"/>
  <c r="AA42" i="5"/>
  <c r="BL40" i="5"/>
  <c r="BI40" i="5"/>
  <c r="BF40" i="5"/>
  <c r="BD40" i="5"/>
  <c r="BC40" i="5"/>
  <c r="BB40" i="5"/>
  <c r="BA40" i="5"/>
  <c r="AZ40" i="5"/>
  <c r="AY40" i="5"/>
  <c r="AW40" i="5"/>
  <c r="AV40" i="5"/>
  <c r="AU40" i="5"/>
  <c r="AT40" i="5"/>
  <c r="AS40" i="5"/>
  <c r="AR40" i="5"/>
  <c r="AQ40" i="5"/>
  <c r="AP40" i="5"/>
  <c r="AO40" i="5"/>
  <c r="AM40" i="5"/>
  <c r="AL40" i="5"/>
  <c r="AK40" i="5"/>
  <c r="AJ40" i="5"/>
  <c r="AH40" i="5"/>
  <c r="AG40" i="5"/>
  <c r="AF40" i="5"/>
  <c r="BS39" i="5"/>
  <c r="BR39" i="5"/>
  <c r="BQ39" i="5"/>
  <c r="BP39" i="5"/>
  <c r="BO39" i="5"/>
  <c r="BN39" i="5"/>
  <c r="BL39" i="5"/>
  <c r="BK39" i="5"/>
  <c r="BJ39" i="5"/>
  <c r="BI39" i="5"/>
  <c r="BG39" i="5"/>
  <c r="BF39" i="5"/>
  <c r="BE39" i="5"/>
  <c r="BD39" i="5"/>
  <c r="BC39" i="5"/>
  <c r="BB39" i="5"/>
  <c r="BA39" i="5"/>
  <c r="AZ39" i="5"/>
  <c r="BS38" i="5"/>
  <c r="BQ38" i="5"/>
  <c r="BP38" i="5"/>
  <c r="BO38" i="5"/>
  <c r="BN38" i="5"/>
  <c r="BL38" i="5"/>
  <c r="BK38" i="5"/>
  <c r="BJ38" i="5"/>
  <c r="BI38" i="5"/>
  <c r="BG38" i="5"/>
  <c r="BF38" i="5"/>
  <c r="BE38" i="5"/>
  <c r="BD38" i="5"/>
  <c r="BC38" i="5"/>
  <c r="BB38" i="5"/>
  <c r="BA38" i="5"/>
  <c r="AZ38" i="5"/>
  <c r="AY38" i="5"/>
  <c r="AW38" i="5"/>
  <c r="AV38" i="5"/>
  <c r="AQ38" i="5"/>
  <c r="AG38" i="5"/>
  <c r="BN34" i="5"/>
  <c r="AM34" i="5"/>
  <c r="F34" i="5"/>
  <c r="BF33" i="5"/>
  <c r="BD33" i="5"/>
  <c r="AZ33" i="5"/>
  <c r="AK33" i="5"/>
  <c r="M33" i="5"/>
  <c r="L33" i="5"/>
  <c r="E33" i="5"/>
  <c r="BS32" i="5"/>
  <c r="AM32" i="5"/>
  <c r="AK32" i="5"/>
  <c r="AC32" i="5"/>
  <c r="R32" i="5"/>
  <c r="E32" i="5"/>
  <c r="BS30" i="5"/>
  <c r="BF30" i="5"/>
  <c r="BD30" i="5"/>
  <c r="AM30" i="5"/>
  <c r="V30" i="5"/>
  <c r="R30" i="5"/>
  <c r="L30" i="5"/>
  <c r="BS29" i="5"/>
  <c r="BS31" i="5" s="1"/>
  <c r="BD29" i="5"/>
  <c r="BD31" i="5" s="1"/>
  <c r="BD35" i="5" s="1"/>
  <c r="AV29" i="5"/>
  <c r="AC29" i="5"/>
  <c r="F29" i="5"/>
  <c r="E29" i="5"/>
  <c r="AP27" i="5"/>
  <c r="AK27" i="5"/>
  <c r="BS25" i="5"/>
  <c r="BN25" i="5"/>
  <c r="BJ25" i="5"/>
  <c r="BF25" i="5"/>
  <c r="BD25" i="5"/>
  <c r="BA25" i="5"/>
  <c r="AU25" i="5"/>
  <c r="AM25" i="5"/>
  <c r="AL25" i="5"/>
  <c r="AK25" i="5"/>
  <c r="AJ25" i="5"/>
  <c r="AF25" i="5"/>
  <c r="AE25" i="5"/>
  <c r="AC25" i="5"/>
  <c r="N25" i="5"/>
  <c r="M25" i="5"/>
  <c r="L25" i="5"/>
  <c r="L826" i="5" s="1"/>
  <c r="F25" i="5"/>
  <c r="F33" i="5" s="1"/>
  <c r="E25" i="5"/>
  <c r="BT24" i="5"/>
  <c r="BS24" i="5"/>
  <c r="BR24" i="5"/>
  <c r="BQ24" i="5"/>
  <c r="BP24" i="5"/>
  <c r="BO24" i="5"/>
  <c r="BN24" i="5"/>
  <c r="BN12" i="5" s="1"/>
  <c r="BL24" i="5"/>
  <c r="BK24" i="5"/>
  <c r="BJ24" i="5"/>
  <c r="BI24" i="5"/>
  <c r="BG24" i="5"/>
  <c r="BF24" i="5"/>
  <c r="BE24" i="5"/>
  <c r="BD24" i="5"/>
  <c r="BD34" i="5" s="1"/>
  <c r="BB24" i="5"/>
  <c r="BA24" i="5"/>
  <c r="BA34" i="5" s="1"/>
  <c r="AZ24" i="5"/>
  <c r="AY24" i="5"/>
  <c r="BD12" i="5" s="1"/>
  <c r="AX24" i="5"/>
  <c r="AW24" i="5"/>
  <c r="AV24" i="5"/>
  <c r="AU24" i="5"/>
  <c r="AT24" i="5"/>
  <c r="AR24" i="5"/>
  <c r="AQ24" i="5"/>
  <c r="AP24" i="5"/>
  <c r="AO24" i="5"/>
  <c r="AN24" i="5"/>
  <c r="AM24" i="5"/>
  <c r="AL24" i="5"/>
  <c r="AK24" i="5"/>
  <c r="AK34" i="5" s="1"/>
  <c r="AJ24" i="5"/>
  <c r="AH24" i="5"/>
  <c r="AH12" i="5" s="1"/>
  <c r="AG24" i="5"/>
  <c r="AF24" i="5"/>
  <c r="AE24" i="5"/>
  <c r="AJ12" i="5" s="1"/>
  <c r="AC24" i="5"/>
  <c r="AB24" i="5"/>
  <c r="AA24" i="5"/>
  <c r="Z24" i="5"/>
  <c r="Y24" i="5"/>
  <c r="X24" i="5"/>
  <c r="X12" i="5" s="1"/>
  <c r="W24" i="5"/>
  <c r="V24" i="5"/>
  <c r="U24" i="5"/>
  <c r="S24" i="5"/>
  <c r="R24" i="5"/>
  <c r="Q24" i="5"/>
  <c r="P24" i="5"/>
  <c r="O24" i="5"/>
  <c r="N24" i="5"/>
  <c r="N34" i="5" s="1"/>
  <c r="M24" i="5"/>
  <c r="L24" i="5"/>
  <c r="L34" i="5" s="1"/>
  <c r="K24" i="5"/>
  <c r="I24" i="5"/>
  <c r="N12" i="5" s="1"/>
  <c r="H24" i="5"/>
  <c r="G24" i="5"/>
  <c r="L12" i="5" s="1"/>
  <c r="F24" i="5"/>
  <c r="E24" i="5"/>
  <c r="D24" i="5"/>
  <c r="D12" i="5" s="1"/>
  <c r="C24" i="5"/>
  <c r="BY23" i="5"/>
  <c r="BW23" i="5"/>
  <c r="CB23" i="5" s="1"/>
  <c r="BV23" i="5"/>
  <c r="BU23" i="5"/>
  <c r="BT23" i="5"/>
  <c r="BR23" i="5"/>
  <c r="BM23" i="5"/>
  <c r="BH23" i="5"/>
  <c r="BC23" i="5"/>
  <c r="AX23" i="5"/>
  <c r="AS23" i="5"/>
  <c r="AN23" i="5"/>
  <c r="AS11" i="5" s="1"/>
  <c r="AI23" i="5"/>
  <c r="AD23" i="5"/>
  <c r="Y23" i="5"/>
  <c r="T23" i="5"/>
  <c r="Y11" i="5" s="1"/>
  <c r="O23" i="5"/>
  <c r="O11" i="5" s="1"/>
  <c r="J23" i="5"/>
  <c r="J24" i="5" s="1"/>
  <c r="CA22" i="5"/>
  <c r="BZ22" i="5"/>
  <c r="BY22" i="5"/>
  <c r="BW22" i="5"/>
  <c r="BV22" i="5"/>
  <c r="BU22" i="5"/>
  <c r="BT22" i="5"/>
  <c r="BR22" i="5"/>
  <c r="BM22" i="5"/>
  <c r="BM24" i="5" s="1"/>
  <c r="BH22" i="5"/>
  <c r="BH24" i="5" s="1"/>
  <c r="BC22" i="5"/>
  <c r="AX22" i="5"/>
  <c r="AS22" i="5"/>
  <c r="AS10" i="5" s="1"/>
  <c r="AN22" i="5"/>
  <c r="AI22" i="5"/>
  <c r="AD22" i="5"/>
  <c r="AD24" i="5" s="1"/>
  <c r="Y22" i="5"/>
  <c r="T22" i="5"/>
  <c r="O22" i="5"/>
  <c r="J22" i="5"/>
  <c r="BS21" i="5"/>
  <c r="BQ21" i="5"/>
  <c r="BP21" i="5"/>
  <c r="BO21" i="5"/>
  <c r="BN21" i="5"/>
  <c r="BN9" i="5" s="1"/>
  <c r="BM21" i="5"/>
  <c r="BL21" i="5"/>
  <c r="BL25" i="5" s="1"/>
  <c r="BK21" i="5"/>
  <c r="BK25" i="5" s="1"/>
  <c r="BJ21" i="5"/>
  <c r="BI21" i="5"/>
  <c r="BH21" i="5" s="1"/>
  <c r="BG21" i="5"/>
  <c r="BF21" i="5"/>
  <c r="BF9" i="5" s="1"/>
  <c r="BE21" i="5"/>
  <c r="BD21" i="5"/>
  <c r="BB21" i="5"/>
  <c r="BB9" i="5" s="1"/>
  <c r="BA21" i="5"/>
  <c r="AZ21" i="5"/>
  <c r="AZ25" i="5" s="1"/>
  <c r="AZ29" i="5" s="1"/>
  <c r="AY21" i="5"/>
  <c r="AW21" i="5"/>
  <c r="AV21" i="5"/>
  <c r="AV25" i="5" s="1"/>
  <c r="AU21" i="5"/>
  <c r="AZ9" i="5" s="1"/>
  <c r="AT21" i="5"/>
  <c r="AT59" i="5" s="1"/>
  <c r="AR21" i="5"/>
  <c r="AR59" i="5" s="1"/>
  <c r="AQ21" i="5"/>
  <c r="AQ59" i="5" s="1"/>
  <c r="AQ55" i="5" s="1"/>
  <c r="AP21" i="5"/>
  <c r="AO21" i="5"/>
  <c r="AM21" i="5"/>
  <c r="AM59" i="5" s="1"/>
  <c r="AL21" i="5"/>
  <c r="AL59" i="5" s="1"/>
  <c r="AL55" i="5" s="1"/>
  <c r="AK21" i="5"/>
  <c r="AK59" i="5" s="1"/>
  <c r="AJ21" i="5"/>
  <c r="AI21" i="5"/>
  <c r="AH21" i="5"/>
  <c r="AG21" i="5"/>
  <c r="AF21" i="5"/>
  <c r="AE21" i="5"/>
  <c r="AE9" i="5" s="1"/>
  <c r="AC21" i="5"/>
  <c r="AB21" i="5"/>
  <c r="AA21" i="5"/>
  <c r="Z21" i="5"/>
  <c r="X21" i="5"/>
  <c r="X9" i="5" s="1"/>
  <c r="W21" i="5"/>
  <c r="AB9" i="5" s="1"/>
  <c r="V21" i="5"/>
  <c r="V25" i="5" s="1"/>
  <c r="V29" i="5" s="1"/>
  <c r="U21" i="5"/>
  <c r="S21" i="5"/>
  <c r="R21" i="5"/>
  <c r="R25" i="5" s="1"/>
  <c r="R29" i="5" s="1"/>
  <c r="R31" i="5" s="1"/>
  <c r="Q21" i="5"/>
  <c r="V9" i="5" s="1"/>
  <c r="P21" i="5"/>
  <c r="O21" i="5"/>
  <c r="N21" i="5"/>
  <c r="N9" i="5" s="1"/>
  <c r="M21" i="5"/>
  <c r="L21" i="5"/>
  <c r="K21" i="5"/>
  <c r="K25" i="5" s="1"/>
  <c r="J21" i="5"/>
  <c r="I21" i="5"/>
  <c r="I25" i="5" s="1"/>
  <c r="H21" i="5"/>
  <c r="G21" i="5"/>
  <c r="F21" i="5"/>
  <c r="E21" i="5"/>
  <c r="D21" i="5"/>
  <c r="C21" i="5"/>
  <c r="BW20" i="5"/>
  <c r="BV20" i="5"/>
  <c r="BU20" i="5"/>
  <c r="BU8" i="5" s="1"/>
  <c r="BT20" i="5"/>
  <c r="AX20" i="5"/>
  <c r="BC8" i="5" s="1"/>
  <c r="AS20" i="5"/>
  <c r="AN20" i="5"/>
  <c r="AN8" i="5" s="1"/>
  <c r="AI20" i="5"/>
  <c r="AD20" i="5"/>
  <c r="AD8" i="5" s="1"/>
  <c r="Y20" i="5"/>
  <c r="T20" i="5"/>
  <c r="O20" i="5"/>
  <c r="J20" i="5"/>
  <c r="CA19" i="5"/>
  <c r="BT19" i="5"/>
  <c r="AX19" i="5"/>
  <c r="AS19" i="5"/>
  <c r="AN19" i="5"/>
  <c r="AI19" i="5"/>
  <c r="AD19" i="5"/>
  <c r="Y19" i="5"/>
  <c r="Y21" i="5" s="1"/>
  <c r="T19" i="5"/>
  <c r="T21" i="5" s="1"/>
  <c r="O19" i="5"/>
  <c r="J19" i="5"/>
  <c r="BS13" i="5"/>
  <c r="BR13" i="5"/>
  <c r="BQ13" i="5"/>
  <c r="BP13" i="5"/>
  <c r="BO13" i="5"/>
  <c r="BN13" i="5"/>
  <c r="BL13" i="5"/>
  <c r="BK13" i="5"/>
  <c r="BJ13" i="5"/>
  <c r="BI13" i="5"/>
  <c r="BG13" i="5"/>
  <c r="BF13" i="5"/>
  <c r="BE13" i="5"/>
  <c r="BD13" i="5"/>
  <c r="BB13" i="5"/>
  <c r="BA13" i="5"/>
  <c r="AZ13" i="5"/>
  <c r="AY13" i="5"/>
  <c r="AW13" i="5"/>
  <c r="AV13" i="5"/>
  <c r="AU13" i="5"/>
  <c r="AT13" i="5"/>
  <c r="AR13" i="5"/>
  <c r="AQ13" i="5"/>
  <c r="AP13" i="5"/>
  <c r="AO13" i="5"/>
  <c r="AM13" i="5"/>
  <c r="AL13" i="5"/>
  <c r="AK13" i="5"/>
  <c r="AJ13" i="5"/>
  <c r="AH13" i="5"/>
  <c r="AG13" i="5"/>
  <c r="AF13" i="5"/>
  <c r="AE13" i="5"/>
  <c r="AC13" i="5"/>
  <c r="AB13" i="5"/>
  <c r="AA13" i="5"/>
  <c r="X13" i="5"/>
  <c r="W13" i="5"/>
  <c r="V13" i="5"/>
  <c r="S13" i="5"/>
  <c r="R13" i="5"/>
  <c r="Q13" i="5"/>
  <c r="P13" i="5"/>
  <c r="N13" i="5"/>
  <c r="M13" i="5"/>
  <c r="L13" i="5"/>
  <c r="K13" i="5"/>
  <c r="F13" i="5"/>
  <c r="E13" i="5"/>
  <c r="D13" i="5"/>
  <c r="BS12" i="5"/>
  <c r="BL12" i="5"/>
  <c r="BI12" i="5"/>
  <c r="BG12" i="5"/>
  <c r="BF12" i="5"/>
  <c r="BA12" i="5"/>
  <c r="AZ12" i="5"/>
  <c r="AY12" i="5"/>
  <c r="AR12" i="5"/>
  <c r="AK12" i="5"/>
  <c r="AE12" i="5"/>
  <c r="V12" i="5"/>
  <c r="S12" i="5"/>
  <c r="M12" i="5"/>
  <c r="K12" i="5"/>
  <c r="F12" i="5"/>
  <c r="BS11" i="5"/>
  <c r="BR11" i="5"/>
  <c r="BQ11" i="5"/>
  <c r="BP11" i="5"/>
  <c r="BO11" i="5"/>
  <c r="BN11" i="5"/>
  <c r="BM11" i="5"/>
  <c r="BL11" i="5"/>
  <c r="BK11" i="5"/>
  <c r="BJ11" i="5"/>
  <c r="BI11" i="5"/>
  <c r="BG11" i="5"/>
  <c r="BF11" i="5"/>
  <c r="BE11" i="5"/>
  <c r="BD11" i="5"/>
  <c r="BB11" i="5"/>
  <c r="BA11" i="5"/>
  <c r="AZ11" i="5"/>
  <c r="AY11" i="5"/>
  <c r="AX11" i="5"/>
  <c r="AW11" i="5"/>
  <c r="AV11" i="5"/>
  <c r="AU11" i="5"/>
  <c r="AT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C11" i="5"/>
  <c r="AB11" i="5"/>
  <c r="AA11" i="5"/>
  <c r="Z11" i="5"/>
  <c r="X11" i="5"/>
  <c r="W11" i="5"/>
  <c r="V11" i="5"/>
  <c r="U11" i="5"/>
  <c r="S11" i="5"/>
  <c r="R11" i="5"/>
  <c r="Q11" i="5"/>
  <c r="P11" i="5"/>
  <c r="N11" i="5"/>
  <c r="M11" i="5"/>
  <c r="L11" i="5"/>
  <c r="K11" i="5"/>
  <c r="F11" i="5"/>
  <c r="E11" i="5"/>
  <c r="D11" i="5"/>
  <c r="BS10" i="5"/>
  <c r="BQ10" i="5"/>
  <c r="BP10" i="5"/>
  <c r="BO10" i="5"/>
  <c r="BN10" i="5"/>
  <c r="BM10" i="5"/>
  <c r="BL10" i="5"/>
  <c r="BK10" i="5"/>
  <c r="BJ10" i="5"/>
  <c r="BI10" i="5"/>
  <c r="BG10" i="5"/>
  <c r="BF10" i="5"/>
  <c r="BE10" i="5"/>
  <c r="BD10" i="5"/>
  <c r="BC10" i="5"/>
  <c r="BB10" i="5"/>
  <c r="BA10" i="5"/>
  <c r="AZ10" i="5"/>
  <c r="AY10" i="5"/>
  <c r="AW10" i="5"/>
  <c r="AV10" i="5"/>
  <c r="AU10" i="5"/>
  <c r="AT10" i="5"/>
  <c r="AR10" i="5"/>
  <c r="AQ10" i="5"/>
  <c r="AP10" i="5"/>
  <c r="AO10" i="5"/>
  <c r="AN10" i="5"/>
  <c r="AM10" i="5"/>
  <c r="AL10" i="5"/>
  <c r="AK10" i="5"/>
  <c r="AJ10" i="5"/>
  <c r="AH10" i="5"/>
  <c r="AG10" i="5"/>
  <c r="AF10" i="5"/>
  <c r="AE10" i="5"/>
  <c r="AD10" i="5"/>
  <c r="AC10" i="5"/>
  <c r="AB10" i="5"/>
  <c r="AA10" i="5"/>
  <c r="Z10" i="5"/>
  <c r="X10" i="5"/>
  <c r="W10" i="5"/>
  <c r="V10" i="5"/>
  <c r="U10" i="5"/>
  <c r="S10" i="5"/>
  <c r="R10" i="5"/>
  <c r="Q10" i="5"/>
  <c r="P10" i="5"/>
  <c r="O10" i="5"/>
  <c r="N10" i="5"/>
  <c r="M10" i="5"/>
  <c r="L10" i="5"/>
  <c r="K10" i="5"/>
  <c r="F10" i="5"/>
  <c r="E10" i="5"/>
  <c r="D10" i="5"/>
  <c r="BS9" i="5"/>
  <c r="BO9" i="5"/>
  <c r="BK9" i="5"/>
  <c r="BJ9" i="5"/>
  <c r="AY9" i="5"/>
  <c r="AW9" i="5"/>
  <c r="AV9" i="5"/>
  <c r="AT9" i="5"/>
  <c r="AR9" i="5"/>
  <c r="AO9" i="5"/>
  <c r="AL9" i="5"/>
  <c r="AA9" i="5"/>
  <c r="Y9" i="5"/>
  <c r="T9" i="5"/>
  <c r="S9" i="5"/>
  <c r="K9" i="5"/>
  <c r="F9" i="5"/>
  <c r="E9" i="5"/>
  <c r="D9" i="5"/>
  <c r="BW8" i="5"/>
  <c r="BV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B8" i="5"/>
  <c r="BA8" i="5"/>
  <c r="AZ8" i="5"/>
  <c r="AY8" i="5"/>
  <c r="AX8" i="5"/>
  <c r="AW8" i="5"/>
  <c r="AV8" i="5"/>
  <c r="AU8" i="5"/>
  <c r="AT8" i="5"/>
  <c r="AR8" i="5"/>
  <c r="AQ8" i="5"/>
  <c r="AP8" i="5"/>
  <c r="AO8" i="5"/>
  <c r="AM8" i="5"/>
  <c r="AL8" i="5"/>
  <c r="AK8" i="5"/>
  <c r="AJ8" i="5"/>
  <c r="AI8" i="5"/>
  <c r="AH8" i="5"/>
  <c r="AG8" i="5"/>
  <c r="AF8" i="5"/>
  <c r="AE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F8" i="5"/>
  <c r="E8" i="5"/>
  <c r="D8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B7" i="5"/>
  <c r="BA7" i="5"/>
  <c r="AZ7" i="5"/>
  <c r="AY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S7" i="5"/>
  <c r="R7" i="5"/>
  <c r="Q7" i="5"/>
  <c r="P7" i="5"/>
  <c r="N7" i="5"/>
  <c r="M7" i="5"/>
  <c r="L7" i="5"/>
  <c r="K7" i="5"/>
  <c r="F7" i="5"/>
  <c r="E7" i="5"/>
  <c r="D7" i="5"/>
  <c r="L5" i="5"/>
  <c r="M5" i="5" s="1"/>
  <c r="N5" i="5" s="1"/>
  <c r="O5" i="5" s="1"/>
  <c r="K5" i="5"/>
  <c r="P5" i="5" s="1"/>
  <c r="E5" i="5"/>
  <c r="F5" i="5" s="1"/>
  <c r="G5" i="5" s="1"/>
  <c r="H5" i="5" s="1"/>
  <c r="I5" i="5" s="1"/>
  <c r="J5" i="5" s="1"/>
  <c r="D5" i="5"/>
  <c r="A5" i="5"/>
  <c r="BT4" i="5"/>
  <c r="BU4" i="5" s="1"/>
  <c r="BV4" i="5" s="1"/>
  <c r="BW4" i="5" s="1"/>
  <c r="BX4" i="5" s="1"/>
  <c r="BS4" i="5"/>
  <c r="BN4" i="5"/>
  <c r="BN3" i="5" s="1"/>
  <c r="BI4" i="5"/>
  <c r="BJ3" i="5" s="1"/>
  <c r="BD4" i="5"/>
  <c r="AY4" i="5"/>
  <c r="AT4" i="5"/>
  <c r="AT3" i="5" s="1"/>
  <c r="AO4" i="5"/>
  <c r="AJ4" i="5"/>
  <c r="AE4" i="5"/>
  <c r="AE3" i="5" s="1"/>
  <c r="Z4" i="5"/>
  <c r="U4" i="5"/>
  <c r="Z3" i="5" s="1"/>
  <c r="P4" i="5"/>
  <c r="K4" i="5"/>
  <c r="K3" i="5" s="1"/>
  <c r="B4" i="5"/>
  <c r="A4" i="5"/>
  <c r="BR3" i="5"/>
  <c r="BQ3" i="5"/>
  <c r="BP3" i="5"/>
  <c r="BO3" i="5"/>
  <c r="BM3" i="5"/>
  <c r="BL3" i="5"/>
  <c r="BK3" i="5"/>
  <c r="BH3" i="5"/>
  <c r="BG3" i="5"/>
  <c r="BF3" i="5"/>
  <c r="BC3" i="5"/>
  <c r="BB3" i="5"/>
  <c r="BA3" i="5"/>
  <c r="AX3" i="5"/>
  <c r="AW3" i="5"/>
  <c r="AV3" i="5"/>
  <c r="AU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D3" i="5"/>
  <c r="AC3" i="5"/>
  <c r="AB3" i="5"/>
  <c r="AA3" i="5"/>
  <c r="Y3" i="5"/>
  <c r="X3" i="5"/>
  <c r="W3" i="5"/>
  <c r="V3" i="5"/>
  <c r="U3" i="5"/>
  <c r="T3" i="5"/>
  <c r="S3" i="5"/>
  <c r="R3" i="5"/>
  <c r="O3" i="5"/>
  <c r="N3" i="5"/>
  <c r="M3" i="5"/>
  <c r="L3" i="5"/>
  <c r="J3" i="5"/>
  <c r="I3" i="5"/>
  <c r="H3" i="5"/>
  <c r="G3" i="5"/>
  <c r="F3" i="5"/>
  <c r="E3" i="5"/>
  <c r="D3" i="5"/>
  <c r="B3" i="5"/>
  <c r="A3" i="5"/>
  <c r="A2" i="5"/>
  <c r="AS42" i="3"/>
  <c r="AR42" i="3"/>
  <c r="AQ42" i="3"/>
  <c r="AP42" i="3"/>
  <c r="AO42" i="3"/>
  <c r="AN42" i="3"/>
  <c r="AM42" i="3"/>
  <c r="AL42" i="3"/>
  <c r="AK42" i="3"/>
  <c r="AJ42" i="3"/>
  <c r="AN43" i="3" s="1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K39" i="3" s="1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5" i="3"/>
  <c r="AS31" i="3" s="1"/>
  <c r="AR25" i="3"/>
  <c r="AR31" i="3" s="1"/>
  <c r="AQ25" i="3"/>
  <c r="AP25" i="3"/>
  <c r="AO25" i="3"/>
  <c r="AN25" i="3"/>
  <c r="AM25" i="3"/>
  <c r="AQ26" i="3" s="1"/>
  <c r="AL25" i="3"/>
  <c r="AL31" i="3" s="1"/>
  <c r="AK25" i="3"/>
  <c r="AJ25" i="3"/>
  <c r="AI25" i="3"/>
  <c r="AH25" i="3"/>
  <c r="AK26" i="3"/>
  <c r="AC25" i="3"/>
  <c r="AB25" i="3"/>
  <c r="AA25" i="3"/>
  <c r="Z25" i="3"/>
  <c r="AD26" i="3" s="1"/>
  <c r="Y25" i="3"/>
  <c r="X25" i="3"/>
  <c r="X31" i="3" s="1"/>
  <c r="W25" i="3"/>
  <c r="V25" i="3"/>
  <c r="U25" i="3"/>
  <c r="T25" i="3"/>
  <c r="S25" i="3"/>
  <c r="R25" i="3"/>
  <c r="Q25" i="3"/>
  <c r="P25" i="3"/>
  <c r="O25" i="3"/>
  <c r="N25" i="3"/>
  <c r="N31" i="3" s="1"/>
  <c r="M25" i="3"/>
  <c r="L25" i="3"/>
  <c r="L31" i="3" s="1"/>
  <c r="K25" i="3"/>
  <c r="J25" i="3"/>
  <c r="I25" i="3"/>
  <c r="H25" i="3"/>
  <c r="G25" i="3"/>
  <c r="F25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2" i="3"/>
  <c r="AR12" i="3"/>
  <c r="AQ12" i="3"/>
  <c r="AP12" i="3"/>
  <c r="AO12" i="3"/>
  <c r="AO18" i="3" s="1"/>
  <c r="AN12" i="3"/>
  <c r="AM12" i="3"/>
  <c r="AM18" i="3" s="1"/>
  <c r="AL12" i="3"/>
  <c r="AL18" i="3" s="1"/>
  <c r="AK12" i="3"/>
  <c r="AK18" i="3" s="1"/>
  <c r="AO19" i="3" s="1"/>
  <c r="AJ12" i="3"/>
  <c r="AN13" i="3" s="1"/>
  <c r="AI12" i="3"/>
  <c r="AH12" i="3"/>
  <c r="AJ13" i="3"/>
  <c r="AI13" i="3"/>
  <c r="AC12" i="3"/>
  <c r="AB12" i="3"/>
  <c r="AA12" i="3"/>
  <c r="AA18" i="3" s="1"/>
  <c r="Z12" i="3"/>
  <c r="Y12" i="3"/>
  <c r="X12" i="3"/>
  <c r="W12" i="3"/>
  <c r="V12" i="3"/>
  <c r="U12" i="3"/>
  <c r="T12" i="3"/>
  <c r="S12" i="3"/>
  <c r="R12" i="3"/>
  <c r="Q12" i="3"/>
  <c r="U13" i="3" s="1"/>
  <c r="P12" i="3"/>
  <c r="O12" i="3"/>
  <c r="N12" i="3"/>
  <c r="M12" i="3"/>
  <c r="M18" i="3" s="1"/>
  <c r="L12" i="3"/>
  <c r="L18" i="3" s="1"/>
  <c r="K12" i="3"/>
  <c r="K18" i="3" s="1"/>
  <c r="J12" i="3"/>
  <c r="N13" i="3" s="1"/>
  <c r="I12" i="3"/>
  <c r="M13" i="3" s="1"/>
  <c r="H12" i="3"/>
  <c r="G12" i="3"/>
  <c r="F12" i="3"/>
  <c r="AL8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M2" i="3"/>
  <c r="Q2" i="3" s="1"/>
  <c r="U2" i="3" s="1"/>
  <c r="Y2" i="3" s="1"/>
  <c r="L2" i="3"/>
  <c r="K2" i="3"/>
  <c r="J2" i="3"/>
  <c r="N2" i="3" s="1"/>
  <c r="G1" i="3"/>
  <c r="G5" i="3" s="1"/>
  <c r="AR90" i="2"/>
  <c r="AQ90" i="2"/>
  <c r="AP90" i="2"/>
  <c r="AN90" i="2"/>
  <c r="AM90" i="2"/>
  <c r="AE90" i="2"/>
  <c r="AA90" i="2"/>
  <c r="T90" i="2"/>
  <c r="S90" i="2"/>
  <c r="AS90" i="2"/>
  <c r="AO90" i="2"/>
  <c r="AL90" i="2"/>
  <c r="AK90" i="2"/>
  <c r="AJ90" i="2"/>
  <c r="AI90" i="2"/>
  <c r="AH90" i="2"/>
  <c r="AG90" i="2"/>
  <c r="AF90" i="2"/>
  <c r="AD90" i="2"/>
  <c r="AC90" i="2"/>
  <c r="AB90" i="2"/>
  <c r="Z90" i="2"/>
  <c r="Y90" i="2"/>
  <c r="X90" i="2"/>
  <c r="W90" i="2"/>
  <c r="V90" i="2"/>
  <c r="U90" i="2"/>
  <c r="R90" i="2"/>
  <c r="Q90" i="2"/>
  <c r="P90" i="2"/>
  <c r="O90" i="2"/>
  <c r="M90" i="2"/>
  <c r="K90" i="2"/>
  <c r="J90" i="2"/>
  <c r="I90" i="2"/>
  <c r="H90" i="2"/>
  <c r="G90" i="2"/>
  <c r="F90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AS65" i="2"/>
  <c r="AR65" i="2"/>
  <c r="AR79" i="2" s="1"/>
  <c r="AQ65" i="2"/>
  <c r="AP65" i="2"/>
  <c r="AP79" i="2" s="1"/>
  <c r="AO65" i="2"/>
  <c r="AN65" i="2"/>
  <c r="AM65" i="2"/>
  <c r="AL65" i="2"/>
  <c r="AK65" i="2"/>
  <c r="AK79" i="2" s="1"/>
  <c r="AJ65" i="2"/>
  <c r="AI65" i="2"/>
  <c r="AI79" i="2" s="1"/>
  <c r="AH65" i="2"/>
  <c r="AG65" i="2"/>
  <c r="AG79" i="2" s="1"/>
  <c r="AF65" i="2"/>
  <c r="AE65" i="2"/>
  <c r="AE79" i="2" s="1"/>
  <c r="AD65" i="2"/>
  <c r="AD79" i="2" s="1"/>
  <c r="AC65" i="2"/>
  <c r="AC79" i="2" s="1"/>
  <c r="AB65" i="2"/>
  <c r="AA65" i="2"/>
  <c r="Z65" i="2"/>
  <c r="Y65" i="2"/>
  <c r="X65" i="2"/>
  <c r="W65" i="2"/>
  <c r="W79" i="2" s="1"/>
  <c r="V65" i="2"/>
  <c r="V79" i="2" s="1"/>
  <c r="U65" i="2"/>
  <c r="T65" i="2"/>
  <c r="T79" i="2" s="1"/>
  <c r="S65" i="2"/>
  <c r="R65" i="2"/>
  <c r="Q65" i="2"/>
  <c r="P65" i="2"/>
  <c r="O65" i="2"/>
  <c r="N65" i="2"/>
  <c r="M65" i="2"/>
  <c r="M79" i="2" s="1"/>
  <c r="L65" i="2"/>
  <c r="K65" i="2"/>
  <c r="J65" i="2"/>
  <c r="I65" i="2"/>
  <c r="H65" i="2"/>
  <c r="G65" i="2"/>
  <c r="F65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AS56" i="2"/>
  <c r="AT56" i="2" s="1"/>
  <c r="AU56" i="2" s="1"/>
  <c r="AV56" i="2" s="1"/>
  <c r="AW56" i="2" s="1"/>
  <c r="AX56" i="2" s="1"/>
  <c r="AY56" i="2" s="1"/>
  <c r="AZ56" i="2" s="1"/>
  <c r="BA56" i="2" s="1"/>
  <c r="BB56" i="2" s="1"/>
  <c r="BC56" i="2" s="1"/>
  <c r="BD56" i="2" s="1"/>
  <c r="BE56" i="2" s="1"/>
  <c r="BF56" i="2" s="1"/>
  <c r="BG56" i="2" s="1"/>
  <c r="BH56" i="2" s="1"/>
  <c r="BI56" i="2" s="1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AS55" i="2"/>
  <c r="AT22" i="2" s="1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AS54" i="2"/>
  <c r="D11" i="1" s="1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AS33" i="2"/>
  <c r="AS61" i="2" s="1"/>
  <c r="AR33" i="2"/>
  <c r="AR61" i="2" s="1"/>
  <c r="AQ33" i="2"/>
  <c r="AQ61" i="2" s="1"/>
  <c r="AP33" i="2"/>
  <c r="AP61" i="2" s="1"/>
  <c r="AO33" i="2"/>
  <c r="AO61" i="2" s="1"/>
  <c r="AN33" i="2"/>
  <c r="AN61" i="2" s="1"/>
  <c r="AM33" i="2"/>
  <c r="AM61" i="2" s="1"/>
  <c r="AL33" i="2"/>
  <c r="AL61" i="2" s="1"/>
  <c r="AK33" i="2"/>
  <c r="AK61" i="2" s="1"/>
  <c r="AJ33" i="2"/>
  <c r="AJ61" i="2" s="1"/>
  <c r="AI33" i="2"/>
  <c r="AI61" i="2" s="1"/>
  <c r="AH33" i="2"/>
  <c r="AG33" i="2"/>
  <c r="AF33" i="2"/>
  <c r="AE33" i="2"/>
  <c r="AE61" i="2" s="1"/>
  <c r="AD33" i="2"/>
  <c r="AD61" i="2" s="1"/>
  <c r="AC33" i="2"/>
  <c r="AB33" i="2"/>
  <c r="AB61" i="2" s="1"/>
  <c r="AA33" i="2"/>
  <c r="Z33" i="2"/>
  <c r="Z61" i="2" s="1"/>
  <c r="Y33" i="2"/>
  <c r="Y61" i="2" s="1"/>
  <c r="X33" i="2"/>
  <c r="X61" i="2" s="1"/>
  <c r="W33" i="2"/>
  <c r="W61" i="2" s="1"/>
  <c r="V33" i="2"/>
  <c r="V61" i="2" s="1"/>
  <c r="U33" i="2"/>
  <c r="U61" i="2" s="1"/>
  <c r="T33" i="2"/>
  <c r="T61" i="2" s="1"/>
  <c r="S33" i="2"/>
  <c r="R33" i="2"/>
  <c r="R61" i="2" s="1"/>
  <c r="Q33" i="2"/>
  <c r="Q61" i="2" s="1"/>
  <c r="P33" i="2"/>
  <c r="P61" i="2" s="1"/>
  <c r="O33" i="2"/>
  <c r="O61" i="2" s="1"/>
  <c r="N33" i="2"/>
  <c r="N61" i="2" s="1"/>
  <c r="M33" i="2"/>
  <c r="M61" i="2" s="1"/>
  <c r="L33" i="2"/>
  <c r="L61" i="2" s="1"/>
  <c r="K33" i="2"/>
  <c r="K61" i="2" s="1"/>
  <c r="J33" i="2"/>
  <c r="I33" i="2"/>
  <c r="H33" i="2"/>
  <c r="G33" i="2"/>
  <c r="G61" i="2" s="1"/>
  <c r="F33" i="2"/>
  <c r="F61" i="2" s="1"/>
  <c r="AS32" i="2"/>
  <c r="AR32" i="2"/>
  <c r="AQ32" i="2"/>
  <c r="AQ62" i="2" s="1"/>
  <c r="AP32" i="2"/>
  <c r="AO32" i="2"/>
  <c r="AN32" i="2"/>
  <c r="AN62" i="2" s="1"/>
  <c r="AM32" i="2"/>
  <c r="AL32" i="2"/>
  <c r="AK32" i="2"/>
  <c r="AJ32" i="2"/>
  <c r="AJ93" i="2" s="1"/>
  <c r="AI32" i="2"/>
  <c r="AI62" i="2" s="1"/>
  <c r="AH32" i="2"/>
  <c r="AH93" i="2" s="1"/>
  <c r="AG32" i="2"/>
  <c r="AG93" i="2" s="1"/>
  <c r="AF32" i="2"/>
  <c r="AF93" i="2" s="1"/>
  <c r="AE32" i="2"/>
  <c r="AE93" i="2" s="1"/>
  <c r="AD32" i="2"/>
  <c r="AD93" i="2" s="1"/>
  <c r="AC32" i="2"/>
  <c r="AC93" i="2" s="1"/>
  <c r="AB32" i="2"/>
  <c r="AB62" i="2" s="1"/>
  <c r="AA32" i="2"/>
  <c r="AA62" i="2" s="1"/>
  <c r="Z32" i="2"/>
  <c r="Z93" i="2" s="1"/>
  <c r="Y32" i="2"/>
  <c r="Y93" i="2" s="1"/>
  <c r="X32" i="2"/>
  <c r="W32" i="2"/>
  <c r="V32" i="2"/>
  <c r="V93" i="2" s="1"/>
  <c r="U32" i="2"/>
  <c r="T32" i="2"/>
  <c r="S32" i="2"/>
  <c r="S62" i="2" s="1"/>
  <c r="R32" i="2"/>
  <c r="Q32" i="2"/>
  <c r="P32" i="2"/>
  <c r="P62" i="2" s="1"/>
  <c r="O32" i="2"/>
  <c r="N32" i="2"/>
  <c r="M32" i="2"/>
  <c r="L32" i="2"/>
  <c r="L93" i="2" s="1"/>
  <c r="K32" i="2"/>
  <c r="K93" i="2" s="1"/>
  <c r="J32" i="2"/>
  <c r="I32" i="2"/>
  <c r="I93" i="2" s="1"/>
  <c r="H32" i="2"/>
  <c r="H93" i="2" s="1"/>
  <c r="G32" i="2"/>
  <c r="G93" i="2" s="1"/>
  <c r="F32" i="2"/>
  <c r="F93" i="2" s="1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AS26" i="2"/>
  <c r="AR26" i="2"/>
  <c r="AR60" i="2" s="1"/>
  <c r="AQ26" i="2"/>
  <c r="AQ60" i="2" s="1"/>
  <c r="AP26" i="2"/>
  <c r="AP60" i="2" s="1"/>
  <c r="AO26" i="2"/>
  <c r="AO60" i="2" s="1"/>
  <c r="AN26" i="2"/>
  <c r="AN60" i="2" s="1"/>
  <c r="AM26" i="2"/>
  <c r="AM60" i="2" s="1"/>
  <c r="AL26" i="2"/>
  <c r="AL60" i="2" s="1"/>
  <c r="AK26" i="2"/>
  <c r="AJ26" i="2"/>
  <c r="AJ60" i="2" s="1"/>
  <c r="AI26" i="2"/>
  <c r="AI60" i="2" s="1"/>
  <c r="AH26" i="2"/>
  <c r="AH60" i="2" s="1"/>
  <c r="AG26" i="2"/>
  <c r="AF26" i="2"/>
  <c r="AF60" i="2" s="1"/>
  <c r="AE26" i="2"/>
  <c r="AE60" i="2" s="1"/>
  <c r="AD26" i="2"/>
  <c r="AD60" i="2" s="1"/>
  <c r="AC26" i="2"/>
  <c r="AC60" i="2" s="1"/>
  <c r="AB26" i="2"/>
  <c r="AB60" i="2" s="1"/>
  <c r="AA26" i="2"/>
  <c r="AA60" i="2" s="1"/>
  <c r="Z26" i="2"/>
  <c r="Z60" i="2" s="1"/>
  <c r="Y26" i="2"/>
  <c r="Y60" i="2" s="1"/>
  <c r="X26" i="2"/>
  <c r="W26" i="2"/>
  <c r="V26" i="2"/>
  <c r="V60" i="2" s="1"/>
  <c r="U26" i="2"/>
  <c r="U60" i="2" s="1"/>
  <c r="T26" i="2"/>
  <c r="T60" i="2" s="1"/>
  <c r="S26" i="2"/>
  <c r="R26" i="2"/>
  <c r="R60" i="2" s="1"/>
  <c r="Q26" i="2"/>
  <c r="Q60" i="2" s="1"/>
  <c r="P26" i="2"/>
  <c r="P60" i="2" s="1"/>
  <c r="O26" i="2"/>
  <c r="O60" i="2" s="1"/>
  <c r="N26" i="2"/>
  <c r="N60" i="2" s="1"/>
  <c r="M26" i="2"/>
  <c r="M60" i="2" s="1"/>
  <c r="L26" i="2"/>
  <c r="L60" i="2" s="1"/>
  <c r="K26" i="2"/>
  <c r="K60" i="2" s="1"/>
  <c r="J26" i="2"/>
  <c r="I26" i="2"/>
  <c r="H26" i="2"/>
  <c r="H60" i="2" s="1"/>
  <c r="G26" i="2"/>
  <c r="G60" i="2" s="1"/>
  <c r="F26" i="2"/>
  <c r="F60" i="2" s="1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AS18" i="2"/>
  <c r="AS40" i="2" s="1"/>
  <c r="AS7" i="7" s="1"/>
  <c r="AR18" i="2"/>
  <c r="AR40" i="2" s="1"/>
  <c r="AR7" i="7" s="1"/>
  <c r="AQ18" i="2"/>
  <c r="AQ40" i="2" s="1"/>
  <c r="AQ7" i="7" s="1"/>
  <c r="AP18" i="2"/>
  <c r="AP40" i="2" s="1"/>
  <c r="AP7" i="7" s="1"/>
  <c r="AO18" i="2"/>
  <c r="AO40" i="2" s="1"/>
  <c r="AO7" i="7" s="1"/>
  <c r="AN18" i="2"/>
  <c r="AM18" i="2"/>
  <c r="AM40" i="2" s="1"/>
  <c r="AM7" i="7" s="1"/>
  <c r="AL18" i="2"/>
  <c r="AL40" i="2" s="1"/>
  <c r="AL7" i="7" s="1"/>
  <c r="AK18" i="2"/>
  <c r="AK40" i="2" s="1"/>
  <c r="AK7" i="7" s="1"/>
  <c r="AJ18" i="2"/>
  <c r="AJ40" i="2" s="1"/>
  <c r="AJ7" i="7" s="1"/>
  <c r="AI18" i="2"/>
  <c r="AI40" i="2" s="1"/>
  <c r="AI7" i="7" s="1"/>
  <c r="AH18" i="2"/>
  <c r="AG18" i="2"/>
  <c r="AG40" i="2" s="1"/>
  <c r="AG7" i="7" s="1"/>
  <c r="AF18" i="2"/>
  <c r="AF40" i="2" s="1"/>
  <c r="AF7" i="7" s="1"/>
  <c r="AE18" i="2"/>
  <c r="AE40" i="2" s="1"/>
  <c r="AE7" i="7" s="1"/>
  <c r="AD18" i="2"/>
  <c r="AD40" i="2" s="1"/>
  <c r="AD7" i="7" s="1"/>
  <c r="AC18" i="2"/>
  <c r="AC40" i="2" s="1"/>
  <c r="AC7" i="7" s="1"/>
  <c r="AB18" i="2"/>
  <c r="AB40" i="2" s="1"/>
  <c r="AB7" i="7" s="1"/>
  <c r="AA18" i="2"/>
  <c r="AA40" i="2" s="1"/>
  <c r="AA7" i="7" s="1"/>
  <c r="Z18" i="2"/>
  <c r="Z40" i="2" s="1"/>
  <c r="Z7" i="7" s="1"/>
  <c r="Y18" i="2"/>
  <c r="Y40" i="2" s="1"/>
  <c r="Y7" i="7" s="1"/>
  <c r="X18" i="2"/>
  <c r="X40" i="2" s="1"/>
  <c r="X7" i="7" s="1"/>
  <c r="W18" i="2"/>
  <c r="W40" i="2" s="1"/>
  <c r="W7" i="7" s="1"/>
  <c r="V18" i="2"/>
  <c r="V40" i="2" s="1"/>
  <c r="V7" i="7" s="1"/>
  <c r="U18" i="2"/>
  <c r="U40" i="2" s="1"/>
  <c r="U7" i="7" s="1"/>
  <c r="T18" i="2"/>
  <c r="T40" i="2" s="1"/>
  <c r="T7" i="7" s="1"/>
  <c r="S18" i="2"/>
  <c r="S40" i="2" s="1"/>
  <c r="S7" i="7" s="1"/>
  <c r="R18" i="2"/>
  <c r="R40" i="2" s="1"/>
  <c r="R7" i="7" s="1"/>
  <c r="Q18" i="2"/>
  <c r="Q40" i="2" s="1"/>
  <c r="Q7" i="7" s="1"/>
  <c r="P18" i="2"/>
  <c r="P40" i="2" s="1"/>
  <c r="P7" i="7" s="1"/>
  <c r="O18" i="2"/>
  <c r="O40" i="2" s="1"/>
  <c r="O7" i="7" s="1"/>
  <c r="N18" i="2"/>
  <c r="N40" i="2" s="1"/>
  <c r="N7" i="7" s="1"/>
  <c r="M18" i="2"/>
  <c r="M40" i="2" s="1"/>
  <c r="M7" i="7" s="1"/>
  <c r="L18" i="2"/>
  <c r="L40" i="2" s="1"/>
  <c r="L7" i="7" s="1"/>
  <c r="K18" i="2"/>
  <c r="K40" i="2" s="1"/>
  <c r="K7" i="7" s="1"/>
  <c r="J18" i="2"/>
  <c r="I18" i="2"/>
  <c r="I40" i="2" s="1"/>
  <c r="I7" i="7" s="1"/>
  <c r="H18" i="2"/>
  <c r="G18" i="2"/>
  <c r="F18" i="2"/>
  <c r="F40" i="2" s="1"/>
  <c r="F7" i="7" s="1"/>
  <c r="AS17" i="2"/>
  <c r="AR17" i="2"/>
  <c r="AQ17" i="2"/>
  <c r="AP17" i="2"/>
  <c r="AP39" i="2" s="1"/>
  <c r="AO17" i="2"/>
  <c r="AN17" i="2"/>
  <c r="AN39" i="2" s="1"/>
  <c r="AM17" i="2"/>
  <c r="AM39" i="2" s="1"/>
  <c r="AL17" i="2"/>
  <c r="AK17" i="2"/>
  <c r="AK39" i="2" s="1"/>
  <c r="AJ17" i="2"/>
  <c r="AI17" i="2"/>
  <c r="AH17" i="2"/>
  <c r="AH39" i="2" s="1"/>
  <c r="AG17" i="2"/>
  <c r="AG39" i="2" s="1"/>
  <c r="AF17" i="2"/>
  <c r="AE17" i="2"/>
  <c r="AE39" i="2" s="1"/>
  <c r="AD17" i="2"/>
  <c r="AC17" i="2"/>
  <c r="AB17" i="2"/>
  <c r="AA17" i="2"/>
  <c r="Z17" i="2"/>
  <c r="Y17" i="2"/>
  <c r="Y39" i="2" s="1"/>
  <c r="X17" i="2"/>
  <c r="W17" i="2"/>
  <c r="W39" i="2" s="1"/>
  <c r="V17" i="2"/>
  <c r="U17" i="2"/>
  <c r="T17" i="2"/>
  <c r="S17" i="2"/>
  <c r="R17" i="2"/>
  <c r="Q17" i="2"/>
  <c r="P17" i="2"/>
  <c r="O17" i="2"/>
  <c r="N17" i="2"/>
  <c r="N39" i="2" s="1"/>
  <c r="M17" i="2"/>
  <c r="L17" i="2"/>
  <c r="K17" i="2"/>
  <c r="J17" i="2"/>
  <c r="J39" i="2" s="1"/>
  <c r="I17" i="2"/>
  <c r="I39" i="2" s="1"/>
  <c r="H17" i="2"/>
  <c r="H39" i="2" s="1"/>
  <c r="G17" i="2"/>
  <c r="G39" i="2" s="1"/>
  <c r="F17" i="2"/>
  <c r="G4" i="2"/>
  <c r="M2" i="2"/>
  <c r="Q2" i="2" s="1"/>
  <c r="U2" i="2" s="1"/>
  <c r="Y2" i="2" s="1"/>
  <c r="L2" i="2"/>
  <c r="P2" i="2" s="1"/>
  <c r="K2" i="2"/>
  <c r="J2" i="2"/>
  <c r="G1" i="2"/>
  <c r="S18" i="1"/>
  <c r="C7" i="1"/>
  <c r="D5" i="1"/>
  <c r="H3" i="1"/>
  <c r="I3" i="1" s="1"/>
  <c r="J3" i="1" s="1"/>
  <c r="K3" i="1" s="1"/>
  <c r="CB919" i="5"/>
  <c r="BD919" i="5"/>
  <c r="AF919" i="5"/>
  <c r="H919" i="5"/>
  <c r="CE912" i="5"/>
  <c r="BG912" i="5"/>
  <c r="AI912" i="5"/>
  <c r="K912" i="5"/>
  <c r="BJ905" i="5"/>
  <c r="AL905" i="5"/>
  <c r="N905" i="5"/>
  <c r="CA919" i="5"/>
  <c r="BC919" i="5"/>
  <c r="AE919" i="5"/>
  <c r="G919" i="5"/>
  <c r="CD912" i="5"/>
  <c r="BZ919" i="5"/>
  <c r="BB919" i="5"/>
  <c r="AD919" i="5"/>
  <c r="F919" i="5"/>
  <c r="CC912" i="5"/>
  <c r="BE912" i="5"/>
  <c r="AG912" i="5"/>
  <c r="I912" i="5"/>
  <c r="CF905" i="5"/>
  <c r="BH905" i="5"/>
  <c r="AJ905" i="5"/>
  <c r="L905" i="5"/>
  <c r="BY919" i="5"/>
  <c r="BA919" i="5"/>
  <c r="AC919" i="5"/>
  <c r="E919" i="5"/>
  <c r="CB912" i="5"/>
  <c r="BD912" i="5"/>
  <c r="AF912" i="5"/>
  <c r="H912" i="5"/>
  <c r="BX919" i="5"/>
  <c r="AZ919" i="5"/>
  <c r="AB919" i="5"/>
  <c r="D919" i="5"/>
  <c r="CA912" i="5"/>
  <c r="BC912" i="5"/>
  <c r="AE912" i="5"/>
  <c r="G912" i="5"/>
  <c r="CD905" i="5"/>
  <c r="BF905" i="5"/>
  <c r="AH905" i="5"/>
  <c r="J905" i="5"/>
  <c r="BK919" i="5"/>
  <c r="AM919" i="5"/>
  <c r="O919" i="5"/>
  <c r="BN912" i="5"/>
  <c r="AP912" i="5"/>
  <c r="R912" i="5"/>
  <c r="BJ919" i="5"/>
  <c r="AL919" i="5"/>
  <c r="N919" i="5"/>
  <c r="BI919" i="5"/>
  <c r="CE919" i="5"/>
  <c r="CD919" i="5"/>
  <c r="BF919" i="5"/>
  <c r="AH919" i="5"/>
  <c r="J919" i="5"/>
  <c r="BI912" i="5"/>
  <c r="AK912" i="5"/>
  <c r="M912" i="5"/>
  <c r="BL905" i="5"/>
  <c r="BU919" i="5"/>
  <c r="AN919" i="5"/>
  <c r="BR912" i="5"/>
  <c r="AM912" i="5"/>
  <c r="D912" i="5"/>
  <c r="BY905" i="5"/>
  <c r="AW905" i="5"/>
  <c r="V905" i="5"/>
  <c r="BT919" i="5"/>
  <c r="AK919" i="5"/>
  <c r="BQ912" i="5"/>
  <c r="BS919" i="5"/>
  <c r="AJ919" i="5"/>
  <c r="BP912" i="5"/>
  <c r="AJ912" i="5"/>
  <c r="BW905" i="5"/>
  <c r="BR919" i="5"/>
  <c r="AI919" i="5"/>
  <c r="BO912" i="5"/>
  <c r="AH912" i="5"/>
  <c r="BV905" i="5"/>
  <c r="AT905" i="5"/>
  <c r="S905" i="5"/>
  <c r="BQ919" i="5"/>
  <c r="AG919" i="5"/>
  <c r="BM912" i="5"/>
  <c r="BL919" i="5"/>
  <c r="BH919" i="5"/>
  <c r="V919" i="5"/>
  <c r="BG919" i="5"/>
  <c r="AU919" i="5"/>
  <c r="M919" i="5"/>
  <c r="BY912" i="5"/>
  <c r="AU912" i="5"/>
  <c r="P912" i="5"/>
  <c r="BD905" i="5"/>
  <c r="AC905" i="5"/>
  <c r="AT919" i="5"/>
  <c r="L919" i="5"/>
  <c r="BX912" i="5"/>
  <c r="AT912" i="5"/>
  <c r="O912" i="5"/>
  <c r="AS919" i="5"/>
  <c r="K919" i="5"/>
  <c r="BW912" i="5"/>
  <c r="AS912" i="5"/>
  <c r="CF919" i="5"/>
  <c r="AR919" i="5"/>
  <c r="I919" i="5"/>
  <c r="BV912" i="5"/>
  <c r="AR912" i="5"/>
  <c r="L912" i="5"/>
  <c r="BO919" i="5"/>
  <c r="BH912" i="5"/>
  <c r="S912" i="5"/>
  <c r="CE905" i="5"/>
  <c r="AX905" i="5"/>
  <c r="R905" i="5"/>
  <c r="BN919" i="5"/>
  <c r="BF912" i="5"/>
  <c r="Q912" i="5"/>
  <c r="CC905" i="5"/>
  <c r="AV905" i="5"/>
  <c r="Q905" i="5"/>
  <c r="BM919" i="5"/>
  <c r="BB912" i="5"/>
  <c r="N912" i="5"/>
  <c r="CB905" i="5"/>
  <c r="AU905" i="5"/>
  <c r="P905" i="5"/>
  <c r="BE919" i="5"/>
  <c r="BA912" i="5"/>
  <c r="J912" i="5"/>
  <c r="CA905" i="5"/>
  <c r="AY919" i="5"/>
  <c r="AZ912" i="5"/>
  <c r="F912" i="5"/>
  <c r="AX919" i="5"/>
  <c r="AY912" i="5"/>
  <c r="E912" i="5"/>
  <c r="BX905" i="5"/>
  <c r="AW919" i="5"/>
  <c r="AQ919" i="5"/>
  <c r="AP919" i="5"/>
  <c r="AO919" i="5"/>
  <c r="AO912" i="5"/>
  <c r="AA919" i="5"/>
  <c r="X919" i="5"/>
  <c r="W919" i="5"/>
  <c r="AB912" i="5"/>
  <c r="U919" i="5"/>
  <c r="T919" i="5"/>
  <c r="S919" i="5"/>
  <c r="BU912" i="5"/>
  <c r="Y912" i="5"/>
  <c r="R919" i="5"/>
  <c r="AV919" i="5"/>
  <c r="BZ912" i="5"/>
  <c r="BM905" i="5"/>
  <c r="AA905" i="5"/>
  <c r="Z919" i="5"/>
  <c r="BT912" i="5"/>
  <c r="BK905" i="5"/>
  <c r="Z905" i="5"/>
  <c r="Y919" i="5"/>
  <c r="BS912" i="5"/>
  <c r="BI905" i="5"/>
  <c r="Y905" i="5"/>
  <c r="Q919" i="5"/>
  <c r="BL912" i="5"/>
  <c r="BG905" i="5"/>
  <c r="X905" i="5"/>
  <c r="P919" i="5"/>
  <c r="BK912" i="5"/>
  <c r="BE905" i="5"/>
  <c r="C919" i="5"/>
  <c r="BJ912" i="5"/>
  <c r="AX912" i="5"/>
  <c r="BB905" i="5"/>
  <c r="AW912" i="5"/>
  <c r="BA905" i="5"/>
  <c r="O905" i="5"/>
  <c r="AV912" i="5"/>
  <c r="AZ905" i="5"/>
  <c r="M905" i="5"/>
  <c r="AQ912" i="5"/>
  <c r="AY905" i="5"/>
  <c r="K905" i="5"/>
  <c r="AN912" i="5"/>
  <c r="AS905" i="5"/>
  <c r="I905" i="5"/>
  <c r="AL912" i="5"/>
  <c r="AR905" i="5"/>
  <c r="H905" i="5"/>
  <c r="AA912" i="5"/>
  <c r="X912" i="5"/>
  <c r="BU905" i="5"/>
  <c r="AM905" i="5"/>
  <c r="C905" i="5"/>
  <c r="W912" i="5"/>
  <c r="V912" i="5"/>
  <c r="BS905" i="5"/>
  <c r="AI905" i="5"/>
  <c r="U912" i="5"/>
  <c r="BR905" i="5"/>
  <c r="AG905" i="5"/>
  <c r="CC919" i="5"/>
  <c r="AO905" i="5"/>
  <c r="AN905" i="5"/>
  <c r="AK905" i="5"/>
  <c r="AF905" i="5"/>
  <c r="AE905" i="5"/>
  <c r="AD905" i="5"/>
  <c r="AB905" i="5"/>
  <c r="W905" i="5"/>
  <c r="U905" i="5"/>
  <c r="T905" i="5"/>
  <c r="G905" i="5"/>
  <c r="F905" i="5"/>
  <c r="BZ905" i="5"/>
  <c r="CF912" i="5"/>
  <c r="BT905" i="5"/>
  <c r="AD912" i="5"/>
  <c r="BQ905" i="5"/>
  <c r="AC912" i="5"/>
  <c r="BP905" i="5"/>
  <c r="BO905" i="5"/>
  <c r="AQ905" i="5"/>
  <c r="Z912" i="5"/>
  <c r="AP905" i="5"/>
  <c r="T912" i="5"/>
  <c r="E905" i="5"/>
  <c r="C912" i="5"/>
  <c r="BN905" i="5"/>
  <c r="BC905" i="5"/>
  <c r="D905" i="5"/>
  <c r="BP919" i="5"/>
  <c r="BW919" i="5"/>
  <c r="BV919" i="5"/>
  <c r="G87" i="2"/>
  <c r="AL39" i="3" l="1"/>
  <c r="AE43" i="3"/>
  <c r="N8" i="3"/>
  <c r="AJ43" i="3"/>
  <c r="AE39" i="3"/>
  <c r="O31" i="3"/>
  <c r="H8" i="3"/>
  <c r="G8" i="3"/>
  <c r="O13" i="3"/>
  <c r="AK8" i="3"/>
  <c r="K39" i="3"/>
  <c r="AT25" i="3"/>
  <c r="AS26" i="3"/>
  <c r="AG18" i="3"/>
  <c r="AK19" i="3" s="1"/>
  <c r="AW42" i="3"/>
  <c r="BA42" i="3" s="1"/>
  <c r="AV42" i="3"/>
  <c r="AU42" i="3"/>
  <c r="AT42" i="3"/>
  <c r="AR43" i="3"/>
  <c r="AC43" i="3"/>
  <c r="W43" i="3"/>
  <c r="V43" i="3"/>
  <c r="AN39" i="3"/>
  <c r="V39" i="3"/>
  <c r="AF31" i="3"/>
  <c r="AJ26" i="3"/>
  <c r="AH26" i="3"/>
  <c r="AD31" i="3"/>
  <c r="I31" i="3"/>
  <c r="M32" i="3" s="1"/>
  <c r="M26" i="3"/>
  <c r="H31" i="3"/>
  <c r="L32" i="3" s="1"/>
  <c r="L26" i="3"/>
  <c r="G31" i="3"/>
  <c r="K32" i="3" s="1"/>
  <c r="K26" i="3"/>
  <c r="F31" i="3"/>
  <c r="J32" i="3" s="1"/>
  <c r="J26" i="3"/>
  <c r="Z8" i="3"/>
  <c r="P8" i="3"/>
  <c r="AM13" i="3"/>
  <c r="AI18" i="3"/>
  <c r="AM19" i="3" s="1"/>
  <c r="AL13" i="3"/>
  <c r="AH18" i="3"/>
  <c r="AL19" i="3" s="1"/>
  <c r="AB18" i="3"/>
  <c r="AF13" i="3"/>
  <c r="H18" i="3"/>
  <c r="L19" i="3" s="1"/>
  <c r="L13" i="3"/>
  <c r="F18" i="3"/>
  <c r="J19" i="3" s="1"/>
  <c r="J13" i="3"/>
  <c r="AS44" i="2"/>
  <c r="AS14" i="2"/>
  <c r="AR44" i="2"/>
  <c r="AR14" i="2"/>
  <c r="AQ44" i="2"/>
  <c r="AQ14" i="2"/>
  <c r="AP44" i="2"/>
  <c r="AP14" i="2"/>
  <c r="AO44" i="2"/>
  <c r="AO14" i="2"/>
  <c r="AN44" i="2"/>
  <c r="AN14" i="2"/>
  <c r="AM44" i="2"/>
  <c r="AM14" i="2"/>
  <c r="AL44" i="2"/>
  <c r="AL14" i="2"/>
  <c r="AK44" i="2"/>
  <c r="AK14" i="2"/>
  <c r="AJ44" i="2"/>
  <c r="AJ14" i="2"/>
  <c r="AI44" i="2"/>
  <c r="AI14" i="2"/>
  <c r="AH44" i="2"/>
  <c r="AH14" i="2"/>
  <c r="AG44" i="2"/>
  <c r="AG14" i="2"/>
  <c r="AF44" i="2"/>
  <c r="AF14" i="2"/>
  <c r="AE44" i="2"/>
  <c r="AE14" i="2"/>
  <c r="AD44" i="2"/>
  <c r="AD14" i="2"/>
  <c r="AC44" i="2"/>
  <c r="AC14" i="2"/>
  <c r="AB44" i="2"/>
  <c r="AB14" i="2"/>
  <c r="AA44" i="2"/>
  <c r="AA14" i="2"/>
  <c r="Z44" i="2"/>
  <c r="Z14" i="2"/>
  <c r="Y44" i="2"/>
  <c r="Y14" i="2"/>
  <c r="X44" i="2"/>
  <c r="X14" i="2"/>
  <c r="W44" i="2"/>
  <c r="W14" i="2"/>
  <c r="V44" i="2"/>
  <c r="V14" i="2"/>
  <c r="U44" i="2"/>
  <c r="U14" i="2"/>
  <c r="T44" i="2"/>
  <c r="T14" i="2"/>
  <c r="S44" i="2"/>
  <c r="S14" i="2"/>
  <c r="R44" i="2"/>
  <c r="R14" i="2"/>
  <c r="Q44" i="2"/>
  <c r="Q14" i="2"/>
  <c r="P44" i="2"/>
  <c r="P14" i="2"/>
  <c r="O44" i="2"/>
  <c r="O14" i="2"/>
  <c r="N44" i="2"/>
  <c r="N14" i="2"/>
  <c r="M44" i="2"/>
  <c r="M14" i="2"/>
  <c r="L44" i="2"/>
  <c r="L14" i="2"/>
  <c r="K44" i="2"/>
  <c r="K14" i="2"/>
  <c r="J44" i="2"/>
  <c r="J14" i="2"/>
  <c r="I44" i="2"/>
  <c r="I14" i="2"/>
  <c r="H44" i="2"/>
  <c r="H14" i="2"/>
  <c r="G44" i="2"/>
  <c r="G14" i="2"/>
  <c r="F44" i="2"/>
  <c r="F14" i="2"/>
  <c r="AK29" i="2"/>
  <c r="V58" i="2"/>
  <c r="O11" i="2"/>
  <c r="G19" i="2"/>
  <c r="I68" i="2"/>
  <c r="K10" i="2"/>
  <c r="AI9" i="2"/>
  <c r="AB68" i="2"/>
  <c r="AN9" i="2"/>
  <c r="AI81" i="2"/>
  <c r="K68" i="2"/>
  <c r="AI68" i="2"/>
  <c r="AC68" i="2"/>
  <c r="AD62" i="2"/>
  <c r="AD63" i="2" s="1"/>
  <c r="L68" i="2"/>
  <c r="P19" i="2"/>
  <c r="S19" i="2"/>
  <c r="AQ19" i="2"/>
  <c r="P58" i="2"/>
  <c r="X57" i="2"/>
  <c r="Y58" i="2"/>
  <c r="AL9" i="2"/>
  <c r="AD19" i="2"/>
  <c r="AA58" i="2"/>
  <c r="I11" i="2"/>
  <c r="N9" i="2"/>
  <c r="P9" i="2"/>
  <c r="X9" i="2"/>
  <c r="AC81" i="2"/>
  <c r="AG11" i="2"/>
  <c r="AK68" i="2"/>
  <c r="Z58" i="2"/>
  <c r="AE11" i="2"/>
  <c r="AM11" i="2"/>
  <c r="AC58" i="2"/>
  <c r="N29" i="2"/>
  <c r="AL29" i="2"/>
  <c r="AB58" i="2"/>
  <c r="Q29" i="2"/>
  <c r="AO29" i="2"/>
  <c r="G57" i="2"/>
  <c r="S68" i="2"/>
  <c r="AF10" i="2"/>
  <c r="P10" i="2"/>
  <c r="AN10" i="2"/>
  <c r="AG19" i="2"/>
  <c r="AM19" i="2"/>
  <c r="AM21" i="2" s="1"/>
  <c r="K58" i="2"/>
  <c r="AI58" i="2"/>
  <c r="X58" i="2"/>
  <c r="Z68" i="2"/>
  <c r="G4" i="7"/>
  <c r="G14" i="7" s="1"/>
  <c r="G8" i="2"/>
  <c r="AF8" i="2"/>
  <c r="V11" i="2"/>
  <c r="G9" i="2"/>
  <c r="J10" i="2"/>
  <c r="AN19" i="2"/>
  <c r="AN21" i="2" s="1"/>
  <c r="K9" i="2"/>
  <c r="U58" i="2"/>
  <c r="AS57" i="2"/>
  <c r="O29" i="2"/>
  <c r="AM29" i="2"/>
  <c r="W57" i="2"/>
  <c r="P29" i="2"/>
  <c r="AN29" i="2"/>
  <c r="V10" i="2"/>
  <c r="AD81" i="2"/>
  <c r="AF68" i="2"/>
  <c r="AK9" i="2"/>
  <c r="AF19" i="2"/>
  <c r="AF21" i="2" s="1"/>
  <c r="AP80" i="2"/>
  <c r="H62" i="2"/>
  <c r="AF79" i="2"/>
  <c r="AF81" i="2" s="1"/>
  <c r="M9" i="2"/>
  <c r="AI63" i="2"/>
  <c r="AA57" i="2"/>
  <c r="K62" i="2"/>
  <c r="K63" i="2" s="1"/>
  <c r="AG81" i="2"/>
  <c r="AO79" i="2"/>
  <c r="AO80" i="2" s="1"/>
  <c r="AM9" i="2"/>
  <c r="O19" i="2"/>
  <c r="O21" i="2" s="1"/>
  <c r="AK19" i="2"/>
  <c r="AK21" i="2" s="1"/>
  <c r="R19" i="2"/>
  <c r="R21" i="2" s="1"/>
  <c r="M39" i="2"/>
  <c r="M41" i="2" s="1"/>
  <c r="Y62" i="2"/>
  <c r="Y63" i="2" s="1"/>
  <c r="V62" i="2"/>
  <c r="V63" i="2" s="1"/>
  <c r="AR19" i="2"/>
  <c r="AR21" i="2" s="1"/>
  <c r="AF39" i="2"/>
  <c r="AF41" i="2" s="1"/>
  <c r="H58" i="2"/>
  <c r="AF57" i="2"/>
  <c r="M81" i="2"/>
  <c r="J11" i="2"/>
  <c r="U19" i="2"/>
  <c r="U21" i="2" s="1"/>
  <c r="AS10" i="2"/>
  <c r="AG58" i="2"/>
  <c r="M10" i="2"/>
  <c r="AK81" i="2"/>
  <c r="H4" i="2"/>
  <c r="M11" i="2"/>
  <c r="Z57" i="2"/>
  <c r="AH57" i="2"/>
  <c r="R57" i="2"/>
  <c r="AN79" i="2"/>
  <c r="AN81" i="2" s="1"/>
  <c r="AP68" i="2"/>
  <c r="AB29" i="2"/>
  <c r="G40" i="2"/>
  <c r="G7" i="7" s="1"/>
  <c r="M8" i="2"/>
  <c r="AK8" i="2"/>
  <c r="M57" i="2"/>
  <c r="AI10" i="2"/>
  <c r="AQ63" i="2"/>
  <c r="K8" i="2"/>
  <c r="AF11" i="2"/>
  <c r="AC8" i="2"/>
  <c r="Z9" i="2"/>
  <c r="J19" i="2"/>
  <c r="J21" i="2" s="1"/>
  <c r="AH19" i="2"/>
  <c r="AH21" i="2" s="1"/>
  <c r="AI93" i="2"/>
  <c r="J8" i="2"/>
  <c r="H19" i="2"/>
  <c r="H21" i="2" s="1"/>
  <c r="Y41" i="2"/>
  <c r="AA19" i="2"/>
  <c r="W29" i="2"/>
  <c r="AD8" i="2"/>
  <c r="AH11" i="2"/>
  <c r="AE8" i="2"/>
  <c r="AK11" i="2"/>
  <c r="AB19" i="2"/>
  <c r="AB21" i="2" s="1"/>
  <c r="AF58" i="2"/>
  <c r="N10" i="2"/>
  <c r="AL10" i="2"/>
  <c r="F79" i="2"/>
  <c r="F81" i="2" s="1"/>
  <c r="X68" i="2"/>
  <c r="Y9" i="2"/>
  <c r="O10" i="2"/>
  <c r="AM10" i="2"/>
  <c r="W81" i="2"/>
  <c r="G79" i="2"/>
  <c r="G80" i="2" s="1"/>
  <c r="AH8" i="2"/>
  <c r="AI8" i="2"/>
  <c r="K11" i="2"/>
  <c r="AT12" i="3"/>
  <c r="I41" i="2"/>
  <c r="Y19" i="2"/>
  <c r="Y21" i="2" s="1"/>
  <c r="AH40" i="2"/>
  <c r="AH7" i="7" s="1"/>
  <c r="W26" i="3"/>
  <c r="AA8" i="2"/>
  <c r="Z19" i="2"/>
  <c r="Z21" i="2" s="1"/>
  <c r="K29" i="2"/>
  <c r="AI29" i="2"/>
  <c r="O39" i="2"/>
  <c r="O41" i="2" s="1"/>
  <c r="F62" i="2"/>
  <c r="F63" i="2" s="1"/>
  <c r="L10" i="2"/>
  <c r="AJ10" i="2"/>
  <c r="AR81" i="2"/>
  <c r="AJ68" i="2"/>
  <c r="X26" i="3"/>
  <c r="AO39" i="3"/>
  <c r="K43" i="3"/>
  <c r="AB8" i="2"/>
  <c r="X11" i="2"/>
  <c r="W41" i="2"/>
  <c r="AE41" i="2"/>
  <c r="L29" i="2"/>
  <c r="AJ29" i="2"/>
  <c r="S9" i="2"/>
  <c r="P39" i="2"/>
  <c r="P41" i="2" s="1"/>
  <c r="I57" i="2"/>
  <c r="AG57" i="2"/>
  <c r="AH58" i="2"/>
  <c r="G62" i="2"/>
  <c r="G63" i="2" s="1"/>
  <c r="AW12" i="3"/>
  <c r="Y26" i="3"/>
  <c r="S31" i="3"/>
  <c r="X39" i="2"/>
  <c r="X41" i="2" s="1"/>
  <c r="AG8" i="2"/>
  <c r="AM41" i="2"/>
  <c r="AS18" i="3"/>
  <c r="AA31" i="3"/>
  <c r="H57" i="2"/>
  <c r="Z62" i="2"/>
  <c r="Z63" i="2" s="1"/>
  <c r="AA68" i="2"/>
  <c r="I8" i="3"/>
  <c r="I18" i="3"/>
  <c r="M19" i="3" s="1"/>
  <c r="AB31" i="3"/>
  <c r="AF26" i="3"/>
  <c r="AK43" i="3"/>
  <c r="X10" i="2"/>
  <c r="F11" i="2"/>
  <c r="AJ8" i="2"/>
  <c r="Y10" i="2"/>
  <c r="AA9" i="2"/>
  <c r="Y57" i="2"/>
  <c r="W60" i="2"/>
  <c r="AC62" i="2"/>
  <c r="M68" i="2"/>
  <c r="J8" i="3"/>
  <c r="W18" i="3"/>
  <c r="AA19" i="3" s="1"/>
  <c r="J18" i="3"/>
  <c r="AC31" i="3"/>
  <c r="AQ43" i="3"/>
  <c r="F8" i="3"/>
  <c r="Z10" i="2"/>
  <c r="AL68" i="2"/>
  <c r="V68" i="2"/>
  <c r="K8" i="3"/>
  <c r="H29" i="2"/>
  <c r="AC9" i="2"/>
  <c r="L11" i="2"/>
  <c r="H40" i="2"/>
  <c r="AE62" i="2"/>
  <c r="AE63" i="2" s="1"/>
  <c r="O68" i="2"/>
  <c r="W68" i="2"/>
  <c r="AE31" i="3"/>
  <c r="Z39" i="2"/>
  <c r="Z41" i="2" s="1"/>
  <c r="AH43" i="3"/>
  <c r="AI80" i="2"/>
  <c r="R29" i="2"/>
  <c r="M80" i="2"/>
  <c r="L58" i="2"/>
  <c r="AJ58" i="2"/>
  <c r="T58" i="2"/>
  <c r="AR58" i="2"/>
  <c r="AB57" i="2"/>
  <c r="AC57" i="2"/>
  <c r="AF62" i="2"/>
  <c r="P68" i="2"/>
  <c r="AN68" i="2"/>
  <c r="G68" i="2"/>
  <c r="AE68" i="2"/>
  <c r="R39" i="3"/>
  <c r="T29" i="2"/>
  <c r="J40" i="2"/>
  <c r="AG62" i="2"/>
  <c r="I79" i="2"/>
  <c r="I81" i="2" s="1"/>
  <c r="H68" i="2"/>
  <c r="AG31" i="3"/>
  <c r="M8" i="3"/>
  <c r="F9" i="2"/>
  <c r="AH10" i="2"/>
  <c r="AK10" i="2"/>
  <c r="U29" i="2"/>
  <c r="G58" i="2"/>
  <c r="AK60" i="2"/>
  <c r="AH62" i="2"/>
  <c r="J79" i="2"/>
  <c r="J81" i="2" s="1"/>
  <c r="AP81" i="2"/>
  <c r="AA8" i="3"/>
  <c r="AE18" i="3"/>
  <c r="M19" i="2"/>
  <c r="M21" i="2" s="1"/>
  <c r="V29" i="2"/>
  <c r="AG9" i="2"/>
  <c r="W58" i="2"/>
  <c r="K79" i="2"/>
  <c r="K81" i="2" s="1"/>
  <c r="AQ68" i="2"/>
  <c r="J68" i="2"/>
  <c r="AH68" i="2"/>
  <c r="AB8" i="3"/>
  <c r="AA13" i="3"/>
  <c r="AF18" i="3"/>
  <c r="M29" i="2"/>
  <c r="AG41" i="2"/>
  <c r="AG10" i="2"/>
  <c r="AK41" i="2"/>
  <c r="O9" i="2"/>
  <c r="N41" i="2"/>
  <c r="AL19" i="2"/>
  <c r="AL21" i="2" s="1"/>
  <c r="I19" i="2"/>
  <c r="I21" i="2" s="1"/>
  <c r="AA29" i="2"/>
  <c r="I58" i="2"/>
  <c r="AJ62" i="2"/>
  <c r="AJ63" i="2" s="1"/>
  <c r="T68" i="2"/>
  <c r="AR68" i="2"/>
  <c r="AD18" i="3"/>
  <c r="AE13" i="3"/>
  <c r="AF8" i="3"/>
  <c r="J39" i="3"/>
  <c r="AD29" i="2"/>
  <c r="U68" i="2"/>
  <c r="AI43" i="3"/>
  <c r="F10" i="2"/>
  <c r="AQ93" i="2"/>
  <c r="AN8" i="3"/>
  <c r="AK13" i="3"/>
  <c r="H8" i="2"/>
  <c r="V9" i="2"/>
  <c r="I8" i="2"/>
  <c r="G11" i="2"/>
  <c r="AO10" i="2"/>
  <c r="AQ29" i="2"/>
  <c r="K57" i="2"/>
  <c r="AI57" i="2"/>
  <c r="G10" i="2"/>
  <c r="AE10" i="2"/>
  <c r="AJ18" i="3"/>
  <c r="O26" i="3"/>
  <c r="AM26" i="3"/>
  <c r="AI39" i="3"/>
  <c r="H11" i="2"/>
  <c r="V19" i="2"/>
  <c r="V21" i="2" s="1"/>
  <c r="H10" i="2"/>
  <c r="AM68" i="2"/>
  <c r="AN31" i="3"/>
  <c r="AD39" i="3"/>
  <c r="AJ39" i="3"/>
  <c r="S26" i="3"/>
  <c r="W19" i="2"/>
  <c r="W21" i="2" s="1"/>
  <c r="AF29" i="2"/>
  <c r="S61" i="2"/>
  <c r="I10" i="2"/>
  <c r="Y68" i="2"/>
  <c r="U26" i="3"/>
  <c r="AO31" i="3"/>
  <c r="AS32" i="3" s="1"/>
  <c r="L62" i="2"/>
  <c r="L63" i="2" s="1"/>
  <c r="L8" i="2"/>
  <c r="X19" i="2"/>
  <c r="X21" i="2" s="1"/>
  <c r="Q68" i="2"/>
  <c r="AP31" i="3"/>
  <c r="AP32" i="3" s="1"/>
  <c r="Y43" i="3"/>
  <c r="AW25" i="3"/>
  <c r="BA25" i="3" s="1"/>
  <c r="BE25" i="3" s="1"/>
  <c r="BI25" i="3" s="1"/>
  <c r="AV31" i="3"/>
  <c r="AZ31" i="3" s="1"/>
  <c r="AV25" i="3"/>
  <c r="AZ25" i="3" s="1"/>
  <c r="BD25" i="3" s="1"/>
  <c r="BH25" i="3" s="1"/>
  <c r="AU25" i="3"/>
  <c r="AY25" i="3" s="1"/>
  <c r="BC25" i="3" s="1"/>
  <c r="BG25" i="3" s="1"/>
  <c r="AW31" i="3"/>
  <c r="BA31" i="3" s="1"/>
  <c r="F94" i="2"/>
  <c r="F91" i="2"/>
  <c r="F85" i="2"/>
  <c r="G94" i="2"/>
  <c r="G85" i="2"/>
  <c r="G91" i="2"/>
  <c r="L3" i="1"/>
  <c r="AC2" i="2"/>
  <c r="AP41" i="2"/>
  <c r="T2" i="2"/>
  <c r="Q93" i="2"/>
  <c r="Q62" i="2"/>
  <c r="Q63" i="2" s="1"/>
  <c r="Q8" i="2"/>
  <c r="O58" i="2"/>
  <c r="Q19" i="2"/>
  <c r="Q21" i="2" s="1"/>
  <c r="Q39" i="2"/>
  <c r="Q41" i="2" s="1"/>
  <c r="T18" i="3"/>
  <c r="X13" i="3"/>
  <c r="AR39" i="2"/>
  <c r="AR41" i="2" s="1"/>
  <c r="BH59" i="5"/>
  <c r="BH25" i="5"/>
  <c r="AS19" i="2"/>
  <c r="AS21" i="2" s="1"/>
  <c r="AS39" i="2"/>
  <c r="AS41" i="2" s="1"/>
  <c r="Q58" i="2"/>
  <c r="Q57" i="2"/>
  <c r="AO58" i="2"/>
  <c r="AO57" i="2"/>
  <c r="AA61" i="2"/>
  <c r="AA63" i="2" s="1"/>
  <c r="AO9" i="2"/>
  <c r="R10" i="2"/>
  <c r="AI11" i="2"/>
  <c r="S60" i="2"/>
  <c r="S29" i="2"/>
  <c r="AC29" i="2"/>
  <c r="T62" i="2"/>
  <c r="T63" i="2" s="1"/>
  <c r="T93" i="2"/>
  <c r="AR62" i="2"/>
  <c r="AR63" i="2" s="1"/>
  <c r="AR93" i="2"/>
  <c r="H9" i="2"/>
  <c r="H61" i="2"/>
  <c r="AF9" i="2"/>
  <c r="AF61" i="2"/>
  <c r="F39" i="2"/>
  <c r="AR57" i="2"/>
  <c r="AC61" i="2"/>
  <c r="BH47" i="5"/>
  <c r="AL57" i="2"/>
  <c r="AL58" i="2"/>
  <c r="T19" i="2"/>
  <c r="T21" i="2" s="1"/>
  <c r="T11" i="2"/>
  <c r="AS62" i="2"/>
  <c r="AS93" i="2"/>
  <c r="S58" i="2"/>
  <c r="S57" i="2"/>
  <c r="AQ9" i="2"/>
  <c r="AU9" i="2" s="1"/>
  <c r="AY9" i="2" s="1"/>
  <c r="BC9" i="2" s="1"/>
  <c r="BG9" i="2" s="1"/>
  <c r="T10" i="2"/>
  <c r="AS60" i="2"/>
  <c r="AS29" i="2"/>
  <c r="AE29" i="2"/>
  <c r="J61" i="2"/>
  <c r="J9" i="2"/>
  <c r="AH9" i="2"/>
  <c r="AH61" i="2"/>
  <c r="U43" i="3"/>
  <c r="AS43" i="3"/>
  <c r="BH58" i="5"/>
  <c r="BM39" i="5"/>
  <c r="BH39" i="5"/>
  <c r="AF43" i="5"/>
  <c r="AF51" i="5"/>
  <c r="U62" i="2"/>
  <c r="U63" i="2" s="1"/>
  <c r="U93" i="2"/>
  <c r="AQ58" i="2"/>
  <c r="AQ57" i="2"/>
  <c r="AD68" i="2"/>
  <c r="F8" i="2"/>
  <c r="AR9" i="2"/>
  <c r="AV9" i="2" s="1"/>
  <c r="AZ9" i="2" s="1"/>
  <c r="BD9" i="2" s="1"/>
  <c r="BH9" i="2" s="1"/>
  <c r="U10" i="2"/>
  <c r="AL11" i="2"/>
  <c r="Y11" i="2"/>
  <c r="W62" i="2"/>
  <c r="W93" i="2"/>
  <c r="AS58" i="2"/>
  <c r="D10" i="1"/>
  <c r="D12" i="1" s="1"/>
  <c r="AT55" i="2"/>
  <c r="AU22" i="2" s="1"/>
  <c r="Z79" i="2"/>
  <c r="L90" i="2"/>
  <c r="AO8" i="2"/>
  <c r="AO62" i="2"/>
  <c r="AO63" i="2" s="1"/>
  <c r="AO93" i="2"/>
  <c r="AO39" i="2"/>
  <c r="AO41" i="2" s="1"/>
  <c r="S10" i="2"/>
  <c r="I61" i="2"/>
  <c r="I9" i="2"/>
  <c r="AP57" i="2"/>
  <c r="AG61" i="2"/>
  <c r="AS9" i="2"/>
  <c r="AW9" i="2" s="1"/>
  <c r="BA9" i="2" s="1"/>
  <c r="BE9" i="2" s="1"/>
  <c r="BI9" i="2" s="1"/>
  <c r="W10" i="2"/>
  <c r="Z11" i="2"/>
  <c r="AC19" i="2"/>
  <c r="AC21" i="2" s="1"/>
  <c r="X62" i="2"/>
  <c r="X93" i="2"/>
  <c r="AC8" i="3"/>
  <c r="Q10" i="2"/>
  <c r="Q9" i="2"/>
  <c r="AN11" i="2"/>
  <c r="AA10" i="2"/>
  <c r="AA11" i="2"/>
  <c r="X29" i="2"/>
  <c r="X60" i="2"/>
  <c r="AC10" i="2"/>
  <c r="N90" i="2"/>
  <c r="O2" i="3"/>
  <c r="AO11" i="2"/>
  <c r="AE19" i="2"/>
  <c r="AE21" i="2" s="1"/>
  <c r="R39" i="2"/>
  <c r="R41" i="2" s="1"/>
  <c r="AD10" i="2"/>
  <c r="P2" i="3"/>
  <c r="AT66" i="2"/>
  <c r="AS79" i="2"/>
  <c r="AS68" i="2"/>
  <c r="AF826" i="5"/>
  <c r="AF32" i="5"/>
  <c r="AF33" i="5"/>
  <c r="AF29" i="5"/>
  <c r="AF31" i="5" s="1"/>
  <c r="AF30" i="5"/>
  <c r="S79" i="2"/>
  <c r="S81" i="2" s="1"/>
  <c r="AP8" i="2"/>
  <c r="AP62" i="2"/>
  <c r="AP63" i="2" s="1"/>
  <c r="AP93" i="2"/>
  <c r="AJ11" i="2"/>
  <c r="Y29" i="2"/>
  <c r="AR8" i="2"/>
  <c r="AP11" i="2"/>
  <c r="AC11" i="2"/>
  <c r="AC39" i="2"/>
  <c r="AC41" i="2" s="1"/>
  <c r="Z29" i="2"/>
  <c r="S39" i="2"/>
  <c r="S41" i="2" s="1"/>
  <c r="BC57" i="5"/>
  <c r="AQ8" i="2"/>
  <c r="R9" i="2"/>
  <c r="AB10" i="2"/>
  <c r="AB11" i="2"/>
  <c r="AB39" i="2"/>
  <c r="AB41" i="2" s="1"/>
  <c r="AS8" i="2"/>
  <c r="T9" i="2"/>
  <c r="AQ11" i="2"/>
  <c r="AD11" i="2"/>
  <c r="AD39" i="2"/>
  <c r="AD41" i="2" s="1"/>
  <c r="W80" i="2"/>
  <c r="T39" i="2"/>
  <c r="T41" i="2" s="1"/>
  <c r="R2" i="3"/>
  <c r="U5" i="5"/>
  <c r="Q5" i="5"/>
  <c r="R5" i="5" s="1"/>
  <c r="S5" i="5" s="1"/>
  <c r="T5" i="5" s="1"/>
  <c r="U9" i="2"/>
  <c r="AR11" i="2"/>
  <c r="AB63" i="2"/>
  <c r="F29" i="2"/>
  <c r="U39" i="2"/>
  <c r="U41" i="2" s="1"/>
  <c r="H79" i="2"/>
  <c r="H81" i="2" s="1"/>
  <c r="AQ79" i="2"/>
  <c r="N11" i="2"/>
  <c r="AS11" i="2"/>
  <c r="G29" i="2"/>
  <c r="AP29" i="2"/>
  <c r="V39" i="2"/>
  <c r="V41" i="2" s="1"/>
  <c r="AC2" i="3"/>
  <c r="N2" i="2"/>
  <c r="AR29" i="2"/>
  <c r="F58" i="2"/>
  <c r="AD57" i="2"/>
  <c r="AD58" i="2"/>
  <c r="AR80" i="2"/>
  <c r="AE57" i="2"/>
  <c r="AE58" i="2"/>
  <c r="L79" i="2"/>
  <c r="L81" i="2" s="1"/>
  <c r="AJ79" i="2"/>
  <c r="AJ81" i="2" s="1"/>
  <c r="G5" i="2"/>
  <c r="G5" i="7" s="1"/>
  <c r="AN40" i="2"/>
  <c r="R11" i="2"/>
  <c r="L39" i="2"/>
  <c r="L41" i="2" s="1"/>
  <c r="L19" i="2"/>
  <c r="L21" i="2" s="1"/>
  <c r="L9" i="2"/>
  <c r="AJ39" i="2"/>
  <c r="AJ41" i="2" s="1"/>
  <c r="AJ19" i="2"/>
  <c r="AJ21" i="2" s="1"/>
  <c r="AJ9" i="2"/>
  <c r="AP19" i="2"/>
  <c r="AP21" i="2" s="1"/>
  <c r="I29" i="2"/>
  <c r="I60" i="2"/>
  <c r="AG29" i="2"/>
  <c r="AG60" i="2"/>
  <c r="AC80" i="2"/>
  <c r="AA39" i="2"/>
  <c r="AA41" i="2" s="1"/>
  <c r="N58" i="2"/>
  <c r="N57" i="2"/>
  <c r="AN63" i="2"/>
  <c r="W9" i="2"/>
  <c r="T8" i="2"/>
  <c r="F19" i="2"/>
  <c r="J29" i="2"/>
  <c r="J60" i="2"/>
  <c r="AH29" i="2"/>
  <c r="AD80" i="2"/>
  <c r="M58" i="2"/>
  <c r="O93" i="2"/>
  <c r="O8" i="2"/>
  <c r="P93" i="2"/>
  <c r="P8" i="2"/>
  <c r="AP9" i="2"/>
  <c r="AT9" i="2" s="1"/>
  <c r="AX9" i="2" s="1"/>
  <c r="BB9" i="2" s="1"/>
  <c r="BF9" i="2" s="1"/>
  <c r="S8" i="2"/>
  <c r="AO19" i="2"/>
  <c r="AO21" i="2" s="1"/>
  <c r="F57" i="2"/>
  <c r="V8" i="2"/>
  <c r="W8" i="2"/>
  <c r="T81" i="2"/>
  <c r="T80" i="2"/>
  <c r="AA93" i="2"/>
  <c r="AM93" i="2"/>
  <c r="AM8" i="2"/>
  <c r="AM62" i="2"/>
  <c r="AM63" i="2" s="1"/>
  <c r="AR18" i="3"/>
  <c r="AV18" i="3" s="1"/>
  <c r="AV12" i="3"/>
  <c r="R93" i="2"/>
  <c r="R62" i="2"/>
  <c r="R63" i="2" s="1"/>
  <c r="R8" i="2"/>
  <c r="AQ39" i="2"/>
  <c r="AQ41" i="2" s="1"/>
  <c r="P11" i="2"/>
  <c r="U8" i="2"/>
  <c r="Q11" i="2"/>
  <c r="H1" i="2"/>
  <c r="AB9" i="2"/>
  <c r="S11" i="2"/>
  <c r="X8" i="2"/>
  <c r="AP10" i="2"/>
  <c r="U11" i="2"/>
  <c r="Y8" i="2"/>
  <c r="AD9" i="2"/>
  <c r="AQ10" i="2"/>
  <c r="M93" i="2"/>
  <c r="M62" i="2"/>
  <c r="M63" i="2" s="1"/>
  <c r="AK93" i="2"/>
  <c r="AK62" i="2"/>
  <c r="T57" i="2"/>
  <c r="P63" i="2"/>
  <c r="U79" i="2"/>
  <c r="AB93" i="2"/>
  <c r="AK57" i="2"/>
  <c r="AK58" i="2"/>
  <c r="AN93" i="2"/>
  <c r="AN8" i="2"/>
  <c r="BM130" i="5"/>
  <c r="BM163" i="5" s="1"/>
  <c r="O2" i="2"/>
  <c r="Z8" i="2"/>
  <c r="AE9" i="2"/>
  <c r="AR10" i="2"/>
  <c r="W11" i="2"/>
  <c r="N19" i="2"/>
  <c r="N21" i="2" s="1"/>
  <c r="N93" i="2"/>
  <c r="N62" i="2"/>
  <c r="N63" i="2" s="1"/>
  <c r="N8" i="2"/>
  <c r="AL93" i="2"/>
  <c r="AL62" i="2"/>
  <c r="AL63" i="2" s="1"/>
  <c r="AL8" i="2"/>
  <c r="AL39" i="2"/>
  <c r="AL41" i="2" s="1"/>
  <c r="U57" i="2"/>
  <c r="O62" i="2"/>
  <c r="O63" i="2" s="1"/>
  <c r="V80" i="2"/>
  <c r="V81" i="2"/>
  <c r="AI8" i="3"/>
  <c r="AE826" i="5"/>
  <c r="AE32" i="5"/>
  <c r="AE29" i="5"/>
  <c r="AE33" i="5"/>
  <c r="AE34" i="5"/>
  <c r="AE30" i="5"/>
  <c r="X79" i="2"/>
  <c r="X81" i="2" s="1"/>
  <c r="AJ826" i="5"/>
  <c r="AJ32" i="5"/>
  <c r="AJ29" i="5"/>
  <c r="AJ31" i="5" s="1"/>
  <c r="AJ33" i="5"/>
  <c r="AJ30" i="5"/>
  <c r="J57" i="2"/>
  <c r="J58" i="2"/>
  <c r="Y79" i="2"/>
  <c r="Y81" i="2" s="1"/>
  <c r="N68" i="2"/>
  <c r="R68" i="2"/>
  <c r="AE81" i="2"/>
  <c r="AQ31" i="3"/>
  <c r="AU31" i="3" s="1"/>
  <c r="BL126" i="5"/>
  <c r="BQ109" i="5"/>
  <c r="BH53" i="5"/>
  <c r="R18" i="3"/>
  <c r="V13" i="3"/>
  <c r="AP18" i="3"/>
  <c r="AT18" i="3" s="1"/>
  <c r="BX3" i="5"/>
  <c r="BY4" i="5"/>
  <c r="BZ4" i="5" s="1"/>
  <c r="CA4" i="5" s="1"/>
  <c r="CB4" i="5" s="1"/>
  <c r="CC4" i="5" s="1"/>
  <c r="BQ54" i="5"/>
  <c r="BL54" i="5"/>
  <c r="BH82" i="5"/>
  <c r="BH80" i="5"/>
  <c r="AH79" i="2"/>
  <c r="S18" i="3"/>
  <c r="W13" i="3"/>
  <c r="AQ18" i="3"/>
  <c r="AU18" i="3" s="1"/>
  <c r="AU12" i="3"/>
  <c r="G25" i="5"/>
  <c r="L9" i="5"/>
  <c r="AH59" i="5"/>
  <c r="AH55" i="5" s="1"/>
  <c r="AH25" i="5"/>
  <c r="AM9" i="5"/>
  <c r="AH9" i="5"/>
  <c r="CB22" i="5"/>
  <c r="BX22" i="5"/>
  <c r="BW24" i="5"/>
  <c r="M9" i="5"/>
  <c r="H25" i="5"/>
  <c r="AI59" i="5"/>
  <c r="BR38" i="5"/>
  <c r="BR57" i="5"/>
  <c r="BW42" i="5"/>
  <c r="BR49" i="5"/>
  <c r="O57" i="2"/>
  <c r="AM57" i="2"/>
  <c r="V57" i="2"/>
  <c r="AL79" i="2"/>
  <c r="AL81" i="2" s="1"/>
  <c r="X8" i="3"/>
  <c r="AR26" i="3"/>
  <c r="L8" i="3"/>
  <c r="AJ8" i="3"/>
  <c r="I826" i="5"/>
  <c r="I32" i="5"/>
  <c r="I33" i="5"/>
  <c r="I30" i="5"/>
  <c r="I34" i="5"/>
  <c r="P57" i="2"/>
  <c r="AN57" i="2"/>
  <c r="V18" i="3"/>
  <c r="Z13" i="3"/>
  <c r="M31" i="3"/>
  <c r="S39" i="3"/>
  <c r="AQ39" i="3"/>
  <c r="AU38" i="3"/>
  <c r="T26" i="3"/>
  <c r="P31" i="3"/>
  <c r="P32" i="3" s="1"/>
  <c r="AR32" i="3"/>
  <c r="X39" i="3"/>
  <c r="AV38" i="3"/>
  <c r="AR39" i="3"/>
  <c r="AK80" i="2"/>
  <c r="AG68" i="2"/>
  <c r="X18" i="3"/>
  <c r="AB13" i="3"/>
  <c r="O8" i="3"/>
  <c r="AM8" i="3"/>
  <c r="AW38" i="3"/>
  <c r="AS39" i="3"/>
  <c r="BT21" i="5"/>
  <c r="BT7" i="5"/>
  <c r="AM55" i="5"/>
  <c r="Y18" i="3"/>
  <c r="AC13" i="3"/>
  <c r="AT31" i="3"/>
  <c r="BQ59" i="5"/>
  <c r="BQ25" i="5"/>
  <c r="BQ9" i="5"/>
  <c r="S93" i="2"/>
  <c r="Z18" i="3"/>
  <c r="AD13" i="3"/>
  <c r="AA39" i="3"/>
  <c r="AB43" i="3"/>
  <c r="J30" i="5"/>
  <c r="AP25" i="5"/>
  <c r="AU9" i="5"/>
  <c r="AP9" i="5"/>
  <c r="AP59" i="5"/>
  <c r="AP55" i="5" s="1"/>
  <c r="AO68" i="2"/>
  <c r="R8" i="3"/>
  <c r="AP8" i="3"/>
  <c r="S8" i="3"/>
  <c r="AQ8" i="3"/>
  <c r="I62" i="2"/>
  <c r="AE80" i="2"/>
  <c r="AC18" i="3"/>
  <c r="Z26" i="3"/>
  <c r="V31" i="3"/>
  <c r="T39" i="3"/>
  <c r="O79" i="2"/>
  <c r="O81" i="2" s="1"/>
  <c r="AM79" i="2"/>
  <c r="AM81" i="2" s="1"/>
  <c r="AG80" i="2"/>
  <c r="L57" i="2"/>
  <c r="AJ57" i="2"/>
  <c r="AM58" i="2"/>
  <c r="P79" i="2"/>
  <c r="P81" i="2" s="1"/>
  <c r="F68" i="2"/>
  <c r="K13" i="3"/>
  <c r="G18" i="3"/>
  <c r="K19" i="3" s="1"/>
  <c r="V8" i="3"/>
  <c r="W39" i="3"/>
  <c r="I29" i="5"/>
  <c r="AN58" i="2"/>
  <c r="Q79" i="2"/>
  <c r="Q81" i="2" s="1"/>
  <c r="H1" i="3"/>
  <c r="Y39" i="3"/>
  <c r="K39" i="2"/>
  <c r="K41" i="2" s="1"/>
  <c r="K19" i="2"/>
  <c r="K21" i="2" s="1"/>
  <c r="AI39" i="2"/>
  <c r="AI41" i="2" s="1"/>
  <c r="AI19" i="2"/>
  <c r="AI21" i="2" s="1"/>
  <c r="J93" i="2"/>
  <c r="J62" i="2"/>
  <c r="R79" i="2"/>
  <c r="N79" i="2"/>
  <c r="N81" i="2" s="1"/>
  <c r="U18" i="3"/>
  <c r="X43" i="3"/>
  <c r="AX21" i="5"/>
  <c r="AX7" i="5"/>
  <c r="BC7" i="5"/>
  <c r="AX57" i="5"/>
  <c r="J25" i="5"/>
  <c r="BK47" i="5"/>
  <c r="BP40" i="5"/>
  <c r="BK49" i="5"/>
  <c r="BK40" i="5"/>
  <c r="BK59" i="5"/>
  <c r="BK55" i="5" s="1"/>
  <c r="BM44" i="5"/>
  <c r="CA21" i="5"/>
  <c r="BH38" i="5"/>
  <c r="BH49" i="5"/>
  <c r="R31" i="3"/>
  <c r="Q8" i="3"/>
  <c r="AO8" i="3"/>
  <c r="AA43" i="3"/>
  <c r="AO25" i="5"/>
  <c r="BP59" i="5"/>
  <c r="BP55" i="5" s="1"/>
  <c r="BP25" i="5"/>
  <c r="BM57" i="5"/>
  <c r="BM53" i="5" s="1"/>
  <c r="BM38" i="5"/>
  <c r="BM49" i="5"/>
  <c r="BO49" i="5"/>
  <c r="BR44" i="5"/>
  <c r="BO40" i="5"/>
  <c r="AI71" i="5"/>
  <c r="AI84" i="5" s="1"/>
  <c r="AI82" i="5"/>
  <c r="U723" i="5"/>
  <c r="U727" i="5" s="1"/>
  <c r="U722" i="5"/>
  <c r="U724" i="5"/>
  <c r="U261" i="5"/>
  <c r="U833" i="5" s="1"/>
  <c r="U405" i="5"/>
  <c r="U408" i="5" s="1"/>
  <c r="U257" i="5"/>
  <c r="U258" i="5" s="1"/>
  <c r="U266" i="5"/>
  <c r="U268" i="5"/>
  <c r="Z13" i="5"/>
  <c r="U13" i="5"/>
  <c r="T8" i="3"/>
  <c r="AR8" i="3"/>
  <c r="O9" i="5"/>
  <c r="O25" i="5"/>
  <c r="BO12" i="5"/>
  <c r="BT12" i="5"/>
  <c r="AU826" i="5"/>
  <c r="AU33" i="5"/>
  <c r="AU30" i="5"/>
  <c r="AU29" i="5"/>
  <c r="AU32" i="5"/>
  <c r="AF38" i="5"/>
  <c r="AD42" i="5"/>
  <c r="AD49" i="5" s="1"/>
  <c r="AA57" i="5"/>
  <c r="AG51" i="5"/>
  <c r="AG43" i="5"/>
  <c r="AF53" i="5"/>
  <c r="BQ126" i="5"/>
  <c r="U8" i="3"/>
  <c r="AS8" i="3"/>
  <c r="R26" i="3"/>
  <c r="Q31" i="3"/>
  <c r="AF39" i="3"/>
  <c r="AB39" i="3"/>
  <c r="AD43" i="3"/>
  <c r="BP12" i="5"/>
  <c r="BY20" i="5"/>
  <c r="CC43" i="5"/>
  <c r="AG39" i="3"/>
  <c r="AC39" i="3"/>
  <c r="AO34" i="5"/>
  <c r="AT12" i="5"/>
  <c r="AO12" i="5"/>
  <c r="BQ12" i="5"/>
  <c r="BQ34" i="5"/>
  <c r="BZ8" i="5"/>
  <c r="AJ51" i="5"/>
  <c r="AJ43" i="5"/>
  <c r="Y13" i="3"/>
  <c r="AA26" i="3"/>
  <c r="T31" i="3"/>
  <c r="X32" i="3" s="1"/>
  <c r="AH39" i="3"/>
  <c r="O12" i="5"/>
  <c r="O34" i="5"/>
  <c r="AU12" i="5"/>
  <c r="AP34" i="5"/>
  <c r="AP12" i="5"/>
  <c r="AK53" i="5"/>
  <c r="R58" i="2"/>
  <c r="AP58" i="2"/>
  <c r="W8" i="3"/>
  <c r="AB26" i="3"/>
  <c r="V26" i="3"/>
  <c r="U31" i="3"/>
  <c r="AZ3" i="5"/>
  <c r="AY3" i="5"/>
  <c r="AV826" i="5"/>
  <c r="AV33" i="5"/>
  <c r="AV30" i="5"/>
  <c r="AV31" i="5" s="1"/>
  <c r="AV35" i="5" s="1"/>
  <c r="AV32" i="5"/>
  <c r="AV34" i="5"/>
  <c r="P12" i="5"/>
  <c r="P25" i="5"/>
  <c r="U12" i="5"/>
  <c r="AV12" i="5"/>
  <c r="AQ12" i="5"/>
  <c r="AC26" i="3"/>
  <c r="L39" i="3"/>
  <c r="BE3" i="5"/>
  <c r="BE517" i="5" s="1"/>
  <c r="BD3" i="5"/>
  <c r="BI3" i="5"/>
  <c r="AN21" i="5"/>
  <c r="CA49" i="5"/>
  <c r="CA44" i="5"/>
  <c r="Y8" i="3"/>
  <c r="Z31" i="3"/>
  <c r="W31" i="3"/>
  <c r="BP9" i="5"/>
  <c r="V31" i="5"/>
  <c r="V35" i="5" s="1"/>
  <c r="BC11" i="5"/>
  <c r="BC24" i="5"/>
  <c r="BH11" i="5"/>
  <c r="AH57" i="5"/>
  <c r="AH53" i="5" s="1"/>
  <c r="AM38" i="5"/>
  <c r="AH38" i="5"/>
  <c r="AB32" i="3"/>
  <c r="AF43" i="3"/>
  <c r="AJ38" i="5"/>
  <c r="AI42" i="5"/>
  <c r="AE26" i="3"/>
  <c r="Y31" i="3"/>
  <c r="AC32" i="3" s="1"/>
  <c r="BO47" i="5"/>
  <c r="AL43" i="3"/>
  <c r="J43" i="3"/>
  <c r="BH404" i="5"/>
  <c r="BH127" i="5"/>
  <c r="BM109" i="5" s="1"/>
  <c r="BC301" i="5"/>
  <c r="BC306" i="5" s="1"/>
  <c r="BC279" i="5"/>
  <c r="CC290" i="5"/>
  <c r="P823" i="5"/>
  <c r="P290" i="5"/>
  <c r="P292" i="5"/>
  <c r="AG26" i="3"/>
  <c r="AA79" i="2"/>
  <c r="AD8" i="3"/>
  <c r="AG13" i="3"/>
  <c r="M39" i="3"/>
  <c r="L43" i="3"/>
  <c r="AQ292" i="5"/>
  <c r="AQ290" i="5"/>
  <c r="AB79" i="2"/>
  <c r="AE8" i="3"/>
  <c r="R13" i="3"/>
  <c r="N18" i="3"/>
  <c r="AP13" i="3"/>
  <c r="AH13" i="3"/>
  <c r="AI26" i="3"/>
  <c r="N39" i="3"/>
  <c r="Q43" i="3"/>
  <c r="AO43" i="3"/>
  <c r="M43" i="3"/>
  <c r="BM12" i="5"/>
  <c r="BM34" i="5"/>
  <c r="BR12" i="5"/>
  <c r="CA23" i="5"/>
  <c r="BV24" i="5"/>
  <c r="S13" i="3"/>
  <c r="O18" i="3"/>
  <c r="O19" i="3" s="1"/>
  <c r="AQ13" i="3"/>
  <c r="P39" i="3"/>
  <c r="N43" i="3"/>
  <c r="AC12" i="5"/>
  <c r="BG59" i="5"/>
  <c r="BG55" i="5" s="1"/>
  <c r="BG9" i="5"/>
  <c r="BG25" i="5"/>
  <c r="AQ53" i="5"/>
  <c r="AZ50" i="5"/>
  <c r="AZ51" i="5" s="1"/>
  <c r="BE55" i="5"/>
  <c r="AG8" i="3"/>
  <c r="P18" i="3"/>
  <c r="T13" i="3"/>
  <c r="P13" i="3"/>
  <c r="AN18" i="3"/>
  <c r="AR13" i="3"/>
  <c r="J31" i="3"/>
  <c r="N32" i="3" s="1"/>
  <c r="AH31" i="3"/>
  <c r="AL32" i="3" s="1"/>
  <c r="U39" i="3"/>
  <c r="Q39" i="3"/>
  <c r="S43" i="3"/>
  <c r="AM43" i="3"/>
  <c r="O43" i="3"/>
  <c r="AF9" i="5"/>
  <c r="AF59" i="5"/>
  <c r="AK9" i="5"/>
  <c r="BX23" i="5"/>
  <c r="AY34" i="5"/>
  <c r="AH8" i="3"/>
  <c r="Q18" i="3"/>
  <c r="Q13" i="3"/>
  <c r="AS13" i="3"/>
  <c r="AO13" i="3"/>
  <c r="AP26" i="3"/>
  <c r="AP39" i="3"/>
  <c r="AT38" i="3"/>
  <c r="AG25" i="5"/>
  <c r="AG9" i="5"/>
  <c r="BI59" i="5"/>
  <c r="BN55" i="5" s="1"/>
  <c r="BI9" i="5"/>
  <c r="BI25" i="5"/>
  <c r="BI54" i="5"/>
  <c r="BN54" i="5"/>
  <c r="BH71" i="5"/>
  <c r="BH83" i="5"/>
  <c r="AN190" i="5"/>
  <c r="AN195" i="5"/>
  <c r="AO193" i="5"/>
  <c r="AO195" i="5" s="1"/>
  <c r="AK195" i="5"/>
  <c r="AJ59" i="5"/>
  <c r="AJ9" i="5"/>
  <c r="BK826" i="5"/>
  <c r="BK29" i="5"/>
  <c r="BK33" i="5"/>
  <c r="BK30" i="5"/>
  <c r="Q12" i="5"/>
  <c r="BT49" i="5"/>
  <c r="BY42" i="5"/>
  <c r="AK39" i="5"/>
  <c r="AV59" i="5"/>
  <c r="AV55" i="5" s="1"/>
  <c r="BR66" i="5"/>
  <c r="AX195" i="5"/>
  <c r="BV816" i="5"/>
  <c r="BU543" i="5"/>
  <c r="O30" i="5"/>
  <c r="BL826" i="5"/>
  <c r="BL29" i="5"/>
  <c r="BL33" i="5"/>
  <c r="R34" i="5"/>
  <c r="R35" i="5" s="1"/>
  <c r="R12" i="5"/>
  <c r="AL826" i="5"/>
  <c r="AL29" i="5"/>
  <c r="AL31" i="5" s="1"/>
  <c r="AL35" i="5" s="1"/>
  <c r="AL33" i="5"/>
  <c r="AL30" i="5"/>
  <c r="BL53" i="5"/>
  <c r="BQ53" i="5"/>
  <c r="K826" i="5"/>
  <c r="K33" i="5"/>
  <c r="K29" i="5"/>
  <c r="BM25" i="5"/>
  <c r="BM9" i="5"/>
  <c r="BU24" i="5"/>
  <c r="BZ23" i="5"/>
  <c r="S34" i="5"/>
  <c r="AU34" i="5"/>
  <c r="AM826" i="5"/>
  <c r="AM29" i="5"/>
  <c r="AM31" i="5" s="1"/>
  <c r="AM35" i="5" s="1"/>
  <c r="AM33" i="5"/>
  <c r="BN47" i="5"/>
  <c r="BN50" i="5"/>
  <c r="BN49" i="5"/>
  <c r="BN40" i="5"/>
  <c r="AM51" i="5"/>
  <c r="AM43" i="5"/>
  <c r="AS80" i="5"/>
  <c r="AS84" i="5" s="1"/>
  <c r="AS82" i="5"/>
  <c r="BO59" i="5"/>
  <c r="AW12" i="5"/>
  <c r="AR25" i="5"/>
  <c r="AL32" i="5"/>
  <c r="BZ49" i="5"/>
  <c r="BZ19" i="5"/>
  <c r="BC84" i="5"/>
  <c r="AY193" i="5"/>
  <c r="AY195" i="5" s="1"/>
  <c r="AU195" i="5"/>
  <c r="T7" i="5"/>
  <c r="AZ34" i="5"/>
  <c r="BT44" i="5"/>
  <c r="AM53" i="5"/>
  <c r="AN71" i="5"/>
  <c r="AN84" i="5" s="1"/>
  <c r="AN82" i="5"/>
  <c r="AR55" i="5"/>
  <c r="BY24" i="5"/>
  <c r="CC22" i="5"/>
  <c r="F826" i="5"/>
  <c r="F30" i="5"/>
  <c r="F31" i="5" s="1"/>
  <c r="F35" i="5" s="1"/>
  <c r="BA826" i="5"/>
  <c r="BA30" i="5"/>
  <c r="BA33" i="5"/>
  <c r="BA29" i="5"/>
  <c r="BA31" i="5" s="1"/>
  <c r="BA35" i="5" s="1"/>
  <c r="AL57" i="5"/>
  <c r="AL53" i="5" s="1"/>
  <c r="AL38" i="5"/>
  <c r="CB8" i="5"/>
  <c r="AT43" i="5"/>
  <c r="AT51" i="5"/>
  <c r="BM59" i="5"/>
  <c r="BM55" i="5" s="1"/>
  <c r="AS71" i="5"/>
  <c r="BN126" i="5"/>
  <c r="AZ317" i="5"/>
  <c r="AZ331" i="5" s="1"/>
  <c r="AZ409" i="5" s="1"/>
  <c r="AZ263" i="5" s="1"/>
  <c r="AZ286" i="5"/>
  <c r="BT8" i="5"/>
  <c r="R826" i="5"/>
  <c r="R33" i="5"/>
  <c r="AT55" i="5"/>
  <c r="AF12" i="5"/>
  <c r="BG51" i="5"/>
  <c r="AX43" i="5"/>
  <c r="AU39" i="5"/>
  <c r="AU58" i="5"/>
  <c r="AU54" i="5" s="1"/>
  <c r="N290" i="5"/>
  <c r="N292" i="5"/>
  <c r="Z317" i="5"/>
  <c r="Z331" i="5" s="1"/>
  <c r="Z409" i="5" s="1"/>
  <c r="Z263" i="5" s="1"/>
  <c r="Z286" i="5"/>
  <c r="Z43" i="3"/>
  <c r="AP43" i="3"/>
  <c r="BS3" i="5"/>
  <c r="S25" i="5"/>
  <c r="BF826" i="5"/>
  <c r="BF32" i="5"/>
  <c r="BF29" i="5"/>
  <c r="BF31" i="5" s="1"/>
  <c r="BF34" i="5"/>
  <c r="AH58" i="5"/>
  <c r="AN47" i="5"/>
  <c r="AN40" i="5"/>
  <c r="BZ44" i="5"/>
  <c r="AV53" i="5"/>
  <c r="BA84" i="5"/>
  <c r="Z9" i="5"/>
  <c r="U25" i="5"/>
  <c r="U9" i="5"/>
  <c r="E12" i="5"/>
  <c r="BJ12" i="5"/>
  <c r="BE12" i="5"/>
  <c r="AU38" i="5"/>
  <c r="AP57" i="5"/>
  <c r="AW53" i="5"/>
  <c r="V826" i="5"/>
  <c r="V33" i="5"/>
  <c r="V32" i="5"/>
  <c r="AW25" i="5"/>
  <c r="BA32" i="5"/>
  <c r="AL39" i="5"/>
  <c r="AY50" i="5"/>
  <c r="AY49" i="5"/>
  <c r="AX44" i="5"/>
  <c r="AY59" i="5"/>
  <c r="AY55" i="5" s="1"/>
  <c r="AY47" i="5"/>
  <c r="BJ50" i="5"/>
  <c r="BJ51" i="5" s="1"/>
  <c r="AK58" i="5"/>
  <c r="O29" i="5"/>
  <c r="O7" i="5"/>
  <c r="BX20" i="5"/>
  <c r="W25" i="5"/>
  <c r="W9" i="5"/>
  <c r="AY25" i="5"/>
  <c r="O33" i="5"/>
  <c r="AF34" i="5"/>
  <c r="M826" i="5"/>
  <c r="M29" i="5"/>
  <c r="M32" i="5"/>
  <c r="AR57" i="5"/>
  <c r="AR53" i="5" s="1"/>
  <c r="AR38" i="5"/>
  <c r="AN43" i="5"/>
  <c r="BE40" i="5"/>
  <c r="AZ59" i="5"/>
  <c r="AZ47" i="5"/>
  <c r="BC44" i="5"/>
  <c r="BC47" i="5" s="1"/>
  <c r="AD183" i="5"/>
  <c r="BH195" i="5"/>
  <c r="AN233" i="5"/>
  <c r="AN237" i="5" s="1"/>
  <c r="AN243" i="5" s="1"/>
  <c r="T25" i="5"/>
  <c r="AZ826" i="5"/>
  <c r="AZ30" i="5"/>
  <c r="AZ31" i="5" s="1"/>
  <c r="AZ35" i="5" s="1"/>
  <c r="AZ32" i="5"/>
  <c r="T11" i="5"/>
  <c r="BI34" i="5"/>
  <c r="N826" i="5"/>
  <c r="N29" i="5"/>
  <c r="N31" i="5" s="1"/>
  <c r="N35" i="5" s="1"/>
  <c r="N33" i="5"/>
  <c r="N32" i="5"/>
  <c r="N30" i="5"/>
  <c r="BJ826" i="5"/>
  <c r="BJ29" i="5"/>
  <c r="BJ33" i="5"/>
  <c r="BJ32" i="5"/>
  <c r="BK32" i="5"/>
  <c r="AS42" i="5"/>
  <c r="BP51" i="5"/>
  <c r="AO58" i="5"/>
  <c r="K31" i="3"/>
  <c r="AI31" i="3"/>
  <c r="O39" i="3"/>
  <c r="AM39" i="3"/>
  <c r="Z39" i="3"/>
  <c r="P43" i="3"/>
  <c r="Q3" i="5"/>
  <c r="P3" i="5"/>
  <c r="L517" i="5" s="1"/>
  <c r="W12" i="5"/>
  <c r="Z25" i="5"/>
  <c r="O32" i="5"/>
  <c r="H34" i="5"/>
  <c r="BJ34" i="5"/>
  <c r="BN826" i="5"/>
  <c r="BN33" i="5"/>
  <c r="BN29" i="5"/>
  <c r="BN31" i="5" s="1"/>
  <c r="BN35" i="5" s="1"/>
  <c r="BN32" i="5"/>
  <c r="BJ30" i="5"/>
  <c r="BL32" i="5"/>
  <c r="AO39" i="5"/>
  <c r="AQ58" i="5"/>
  <c r="AQ39" i="5"/>
  <c r="AV39" i="5"/>
  <c r="BQ51" i="5"/>
  <c r="BQ50" i="5"/>
  <c r="BG50" i="5"/>
  <c r="BM105" i="5"/>
  <c r="BJ269" i="5"/>
  <c r="BJ416" i="5"/>
  <c r="P26" i="3"/>
  <c r="AN26" i="3"/>
  <c r="AJ31" i="3"/>
  <c r="R43" i="3"/>
  <c r="BR10" i="5"/>
  <c r="AD21" i="5"/>
  <c r="AA25" i="5"/>
  <c r="T24" i="5"/>
  <c r="AJ34" i="5"/>
  <c r="BK34" i="5"/>
  <c r="BL30" i="5"/>
  <c r="F32" i="5"/>
  <c r="AP39" i="5"/>
  <c r="AR58" i="5"/>
  <c r="BW54" i="5"/>
  <c r="BS87" i="5"/>
  <c r="BS105" i="5" s="1"/>
  <c r="BD126" i="5"/>
  <c r="BC126" i="5" s="1"/>
  <c r="BI109" i="5"/>
  <c r="BI126" i="5" s="1"/>
  <c r="BH126" i="5" s="1"/>
  <c r="D290" i="5"/>
  <c r="D292" i="5"/>
  <c r="Q26" i="3"/>
  <c r="AO26" i="3"/>
  <c r="AK31" i="3"/>
  <c r="AG43" i="3"/>
  <c r="P9" i="5"/>
  <c r="Z12" i="5"/>
  <c r="AI57" i="5"/>
  <c r="AI7" i="5"/>
  <c r="Y10" i="5"/>
  <c r="BL34" i="5"/>
  <c r="Q25" i="5"/>
  <c r="BS826" i="5"/>
  <c r="BS33" i="5"/>
  <c r="BS34" i="5"/>
  <c r="BS35" i="5" s="1"/>
  <c r="K30" i="5"/>
  <c r="K32" i="5"/>
  <c r="AW39" i="5"/>
  <c r="BQ40" i="5"/>
  <c r="AK51" i="5"/>
  <c r="AX82" i="5"/>
  <c r="AI83" i="5"/>
  <c r="BD186" i="5"/>
  <c r="BI420" i="5"/>
  <c r="BH281" i="5"/>
  <c r="BH420" i="5" s="1"/>
  <c r="AG422" i="5"/>
  <c r="AG415" i="5"/>
  <c r="AG262" i="5"/>
  <c r="T43" i="3"/>
  <c r="Q9" i="5"/>
  <c r="AA12" i="5"/>
  <c r="AN57" i="5"/>
  <c r="BE25" i="5"/>
  <c r="BE9" i="5"/>
  <c r="AD12" i="5"/>
  <c r="K34" i="5"/>
  <c r="X25" i="5"/>
  <c r="BN30" i="5"/>
  <c r="V34" i="5"/>
  <c r="AC43" i="5"/>
  <c r="AC51" i="5"/>
  <c r="BL50" i="5"/>
  <c r="BL51" i="5" s="1"/>
  <c r="AL51" i="5"/>
  <c r="AX58" i="5"/>
  <c r="BK84" i="5"/>
  <c r="X317" i="5"/>
  <c r="X331" i="5" s="1"/>
  <c r="X409" i="5" s="1"/>
  <c r="X263" i="5" s="1"/>
  <c r="X286" i="5"/>
  <c r="CA290" i="5"/>
  <c r="J517" i="5"/>
  <c r="AM31" i="3"/>
  <c r="R9" i="5"/>
  <c r="T10" i="5"/>
  <c r="AB12" i="5"/>
  <c r="AS21" i="5"/>
  <c r="AI24" i="5"/>
  <c r="AI10" i="5"/>
  <c r="AM12" i="5"/>
  <c r="AC826" i="5"/>
  <c r="AC30" i="5"/>
  <c r="AC31" i="5" s="1"/>
  <c r="AC35" i="5" s="1"/>
  <c r="AC33" i="5"/>
  <c r="M30" i="5"/>
  <c r="BS40" i="5"/>
  <c r="AX38" i="5"/>
  <c r="BL47" i="5"/>
  <c r="AE43" i="5"/>
  <c r="AE51" i="5"/>
  <c r="BL84" i="5"/>
  <c r="AS183" i="5"/>
  <c r="BC257" i="5"/>
  <c r="BC258" i="5" s="1"/>
  <c r="BC254" i="5"/>
  <c r="BC255" i="5" s="1"/>
  <c r="CB290" i="5"/>
  <c r="BK333" i="5"/>
  <c r="BK357" i="5" s="1"/>
  <c r="BK288" i="5"/>
  <c r="AU422" i="5"/>
  <c r="AU262" i="5"/>
  <c r="AU415" i="5"/>
  <c r="V422" i="5"/>
  <c r="V415" i="5"/>
  <c r="BT290" i="5"/>
  <c r="BG105" i="5"/>
  <c r="BR286" i="5"/>
  <c r="BR317" i="5"/>
  <c r="BR331" i="5" s="1"/>
  <c r="BR409" i="5" s="1"/>
  <c r="BR263" i="5" s="1"/>
  <c r="BL9" i="5"/>
  <c r="AD11" i="5"/>
  <c r="E34" i="5"/>
  <c r="AC34" i="5"/>
  <c r="BB12" i="5"/>
  <c r="BC71" i="5"/>
  <c r="BM80" i="5"/>
  <c r="BM84" i="5" s="1"/>
  <c r="BR163" i="5"/>
  <c r="AT193" i="5"/>
  <c r="AT195" i="5" s="1"/>
  <c r="S292" i="5"/>
  <c r="S290" i="5"/>
  <c r="L29" i="5"/>
  <c r="L31" i="5" s="1"/>
  <c r="L35" i="5" s="1"/>
  <c r="BG40" i="5"/>
  <c r="BB49" i="5"/>
  <c r="BE53" i="5"/>
  <c r="AN66" i="5"/>
  <c r="BR80" i="5"/>
  <c r="BR84" i="5" s="1"/>
  <c r="BI105" i="5"/>
  <c r="BH105" i="5" s="1"/>
  <c r="AV465" i="5"/>
  <c r="BL59" i="5"/>
  <c r="BL55" i="5" s="1"/>
  <c r="AX10" i="5"/>
  <c r="E826" i="5"/>
  <c r="E30" i="5"/>
  <c r="E31" i="5" s="1"/>
  <c r="E35" i="5" s="1"/>
  <c r="BH32" i="5"/>
  <c r="BJ105" i="5"/>
  <c r="BS186" i="5"/>
  <c r="BG286" i="5"/>
  <c r="BG317" i="5"/>
  <c r="BG331" i="5" s="1"/>
  <c r="BG409" i="5" s="1"/>
  <c r="BG263" i="5" s="1"/>
  <c r="C290" i="5"/>
  <c r="C292" i="5"/>
  <c r="BH34" i="5"/>
  <c r="BH12" i="5"/>
  <c r="AL12" i="5"/>
  <c r="AG12" i="5"/>
  <c r="AK826" i="5"/>
  <c r="AK29" i="5"/>
  <c r="AK31" i="5" s="1"/>
  <c r="AK35" i="5" s="1"/>
  <c r="BJ40" i="5"/>
  <c r="AZ84" i="5"/>
  <c r="AS240" i="5"/>
  <c r="AS242" i="5" s="1"/>
  <c r="AP242" i="5"/>
  <c r="CF290" i="5"/>
  <c r="AT415" i="5"/>
  <c r="AT422" i="5"/>
  <c r="AT426" i="5" s="1"/>
  <c r="AT262" i="5"/>
  <c r="BS422" i="5"/>
  <c r="BS415" i="5"/>
  <c r="BS262" i="5"/>
  <c r="AQ9" i="5"/>
  <c r="Y25" i="5"/>
  <c r="Y32" i="5" s="1"/>
  <c r="BR21" i="5"/>
  <c r="M34" i="5"/>
  <c r="AL34" i="5"/>
  <c r="BK12" i="5"/>
  <c r="AK30" i="5"/>
  <c r="BI53" i="5"/>
  <c r="AS83" i="5"/>
  <c r="BN87" i="5"/>
  <c r="BN105" i="5" s="1"/>
  <c r="BP105" i="5"/>
  <c r="J401" i="5"/>
  <c r="M724" i="5" s="1"/>
  <c r="J276" i="5"/>
  <c r="J279" i="5" s="1"/>
  <c r="J286" i="5" s="1"/>
  <c r="J288" i="5" s="1"/>
  <c r="J106" i="5"/>
  <c r="O87" i="5" s="1"/>
  <c r="BM404" i="5"/>
  <c r="BM127" i="5"/>
  <c r="V288" i="5"/>
  <c r="V333" i="5"/>
  <c r="V357" i="5" s="1"/>
  <c r="M290" i="5"/>
  <c r="M292" i="5"/>
  <c r="BU290" i="5"/>
  <c r="AT38" i="5"/>
  <c r="AO57" i="5"/>
  <c r="AO53" i="5" s="1"/>
  <c r="AO38" i="5"/>
  <c r="AN42" i="5"/>
  <c r="BJ59" i="5"/>
  <c r="BJ55" i="5" s="1"/>
  <c r="BQ105" i="5"/>
  <c r="BH130" i="5"/>
  <c r="BH163" i="5" s="1"/>
  <c r="BC163" i="5"/>
  <c r="AY186" i="5"/>
  <c r="Z193" i="5"/>
  <c r="Z195" i="5" s="1"/>
  <c r="AP243" i="5"/>
  <c r="W288" i="5"/>
  <c r="W333" i="5"/>
  <c r="W357" i="5" s="1"/>
  <c r="AX431" i="5"/>
  <c r="BD430" i="5"/>
  <c r="BH431" i="5"/>
  <c r="BC517" i="5"/>
  <c r="N26" i="3"/>
  <c r="AL26" i="3"/>
  <c r="AS8" i="5"/>
  <c r="BU19" i="5"/>
  <c r="C25" i="5"/>
  <c r="AB25" i="5"/>
  <c r="AB34" i="5" s="1"/>
  <c r="BA9" i="5"/>
  <c r="AS24" i="5"/>
  <c r="BB25" i="5"/>
  <c r="L32" i="5"/>
  <c r="BN193" i="5"/>
  <c r="BN195" i="5" s="1"/>
  <c r="BJ195" i="5"/>
  <c r="BM243" i="5"/>
  <c r="BV290" i="5"/>
  <c r="AF288" i="5"/>
  <c r="AF333" i="5"/>
  <c r="AF357" i="5" s="1"/>
  <c r="Y431" i="5"/>
  <c r="BV19" i="5"/>
  <c r="D25" i="5"/>
  <c r="AC9" i="5"/>
  <c r="BU47" i="5"/>
  <c r="Y80" i="5"/>
  <c r="AM84" i="5"/>
  <c r="BO84" i="5"/>
  <c r="BS126" i="5"/>
  <c r="BJ163" i="5"/>
  <c r="BO130" i="5"/>
  <c r="BO163" i="5" s="1"/>
  <c r="I279" i="5"/>
  <c r="I286" i="5" s="1"/>
  <c r="I288" i="5" s="1"/>
  <c r="P441" i="5"/>
  <c r="P432" i="5"/>
  <c r="BH10" i="5"/>
  <c r="BC21" i="5"/>
  <c r="BD826" i="5"/>
  <c r="BD32" i="5"/>
  <c r="BV47" i="5"/>
  <c r="BE54" i="5"/>
  <c r="T71" i="5"/>
  <c r="BJ109" i="5"/>
  <c r="BJ126" i="5" s="1"/>
  <c r="BK163" i="5"/>
  <c r="AD195" i="5"/>
  <c r="AD190" i="5"/>
  <c r="AJ193" i="5"/>
  <c r="AJ195" i="5" s="1"/>
  <c r="AW823" i="5"/>
  <c r="AW290" i="5"/>
  <c r="AW292" i="5"/>
  <c r="O257" i="5"/>
  <c r="O258" i="5" s="1"/>
  <c r="K748" i="5"/>
  <c r="K732" i="5"/>
  <c r="K266" i="5"/>
  <c r="K254" i="5"/>
  <c r="K255" i="5" s="1"/>
  <c r="BD9" i="5"/>
  <c r="BD59" i="5"/>
  <c r="J32" i="5"/>
  <c r="BS47" i="5"/>
  <c r="BS49" i="5"/>
  <c r="BS51" i="5" s="1"/>
  <c r="BF54" i="5"/>
  <c r="AY317" i="5"/>
  <c r="AY331" i="5" s="1"/>
  <c r="AY409" i="5" s="1"/>
  <c r="AY263" i="5" s="1"/>
  <c r="AY286" i="5"/>
  <c r="BL415" i="5"/>
  <c r="BL422" i="5"/>
  <c r="BL262" i="5"/>
  <c r="CD290" i="5"/>
  <c r="K430" i="5"/>
  <c r="CE290" i="5"/>
  <c r="I748" i="5"/>
  <c r="I732" i="5"/>
  <c r="I743" i="5" s="1"/>
  <c r="AG732" i="5"/>
  <c r="AG748" i="5"/>
  <c r="BE732" i="5"/>
  <c r="BE748" i="5"/>
  <c r="BE266" i="5"/>
  <c r="AK465" i="5"/>
  <c r="BL464" i="5"/>
  <c r="BL465" i="5"/>
  <c r="Y211" i="5"/>
  <c r="M257" i="5"/>
  <c r="M258" i="5" s="1"/>
  <c r="O401" i="5"/>
  <c r="O276" i="5"/>
  <c r="O279" i="5" s="1"/>
  <c r="O286" i="5" s="1"/>
  <c r="O288" i="5" s="1"/>
  <c r="F290" i="5"/>
  <c r="BA317" i="5"/>
  <c r="BA331" i="5" s="1"/>
  <c r="BA409" i="5" s="1"/>
  <c r="BA263" i="5" s="1"/>
  <c r="BA286" i="5"/>
  <c r="BM281" i="5"/>
  <c r="BM420" i="5" s="1"/>
  <c r="AV426" i="5"/>
  <c r="BC206" i="5"/>
  <c r="AX242" i="5"/>
  <c r="AX243" i="5" s="1"/>
  <c r="T724" i="5"/>
  <c r="T405" i="5"/>
  <c r="T408" i="5" s="1"/>
  <c r="T266" i="5"/>
  <c r="T268" i="5"/>
  <c r="G290" i="5"/>
  <c r="BB317" i="5"/>
  <c r="BB331" i="5" s="1"/>
  <c r="BB409" i="5" s="1"/>
  <c r="BB263" i="5" s="1"/>
  <c r="BB286" i="5"/>
  <c r="T517" i="5"/>
  <c r="AR292" i="5"/>
  <c r="BK317" i="5"/>
  <c r="BK331" i="5" s="1"/>
  <c r="BK409" i="5" s="1"/>
  <c r="BK263" i="5" s="1"/>
  <c r="BR431" i="5"/>
  <c r="AZ257" i="5"/>
  <c r="AZ258" i="5" s="1"/>
  <c r="AS254" i="5"/>
  <c r="AS255" i="5" s="1"/>
  <c r="AW437" i="5"/>
  <c r="AW430" i="5"/>
  <c r="X408" i="5"/>
  <c r="W415" i="5"/>
  <c r="AM465" i="5"/>
  <c r="BP130" i="5"/>
  <c r="BP163" i="5" s="1"/>
  <c r="Y401" i="5"/>
  <c r="AC724" i="5" s="1"/>
  <c r="AC728" i="5" s="1"/>
  <c r="Y295" i="5"/>
  <c r="Y299" i="5" s="1"/>
  <c r="BM278" i="5"/>
  <c r="Y517" i="5"/>
  <c r="AL288" i="5"/>
  <c r="AW333" i="5"/>
  <c r="AW357" i="5" s="1"/>
  <c r="T431" i="5"/>
  <c r="BA257" i="5"/>
  <c r="BA258" i="5" s="1"/>
  <c r="BA405" i="5"/>
  <c r="BA408" i="5" s="1"/>
  <c r="BH738" i="5"/>
  <c r="W431" i="5"/>
  <c r="BD163" i="5"/>
  <c r="BM195" i="5"/>
  <c r="BD279" i="5"/>
  <c r="U263" i="5"/>
  <c r="BB722" i="5"/>
  <c r="BB726" i="5" s="1"/>
  <c r="BB405" i="5"/>
  <c r="BB408" i="5" s="1"/>
  <c r="BB257" i="5"/>
  <c r="BB258" i="5" s="1"/>
  <c r="AY408" i="5"/>
  <c r="AD517" i="5"/>
  <c r="AP195" i="5"/>
  <c r="BI243" i="5"/>
  <c r="AI276" i="5"/>
  <c r="AI401" i="5"/>
  <c r="AL723" i="5" s="1"/>
  <c r="AL727" i="5" s="1"/>
  <c r="O278" i="5"/>
  <c r="BE279" i="5"/>
  <c r="F292" i="5"/>
  <c r="BR308" i="5"/>
  <c r="BR315" i="5" s="1"/>
  <c r="V317" i="5"/>
  <c r="V331" i="5" s="1"/>
  <c r="V409" i="5" s="1"/>
  <c r="V263" i="5" s="1"/>
  <c r="AD431" i="5"/>
  <c r="AA257" i="5"/>
  <c r="AA258" i="5" s="1"/>
  <c r="AA405" i="5"/>
  <c r="AA408" i="5" s="1"/>
  <c r="BC723" i="5"/>
  <c r="BC266" i="5"/>
  <c r="A892" i="5"/>
  <c r="U254" i="5"/>
  <c r="U255" i="5" s="1"/>
  <c r="AZ405" i="5"/>
  <c r="AZ408" i="5" s="1"/>
  <c r="K409" i="5"/>
  <c r="K263" i="5" s="1"/>
  <c r="P416" i="5"/>
  <c r="L438" i="5"/>
  <c r="BE105" i="5"/>
  <c r="BR242" i="5"/>
  <c r="BR243" i="5" s="1"/>
  <c r="AN401" i="5"/>
  <c r="AN276" i="5"/>
  <c r="AH301" i="5"/>
  <c r="AH306" i="5" s="1"/>
  <c r="AH279" i="5"/>
  <c r="BF279" i="5"/>
  <c r="G292" i="5"/>
  <c r="W317" i="5"/>
  <c r="W331" i="5" s="1"/>
  <c r="W409" i="5" s="1"/>
  <c r="W263" i="5" s="1"/>
  <c r="AI433" i="5"/>
  <c r="AI431" i="5"/>
  <c r="AB723" i="5"/>
  <c r="AB257" i="5"/>
  <c r="AB258" i="5" s="1"/>
  <c r="AB405" i="5"/>
  <c r="AB408" i="5" s="1"/>
  <c r="BD724" i="5"/>
  <c r="BD722" i="5"/>
  <c r="BD726" i="5" s="1"/>
  <c r="BD723" i="5"/>
  <c r="BD266" i="5"/>
  <c r="BD261" i="5"/>
  <c r="BD833" i="5" s="1"/>
  <c r="BC405" i="5"/>
  <c r="BC408" i="5" s="1"/>
  <c r="Q748" i="5"/>
  <c r="Q732" i="5"/>
  <c r="Q743" i="5" s="1"/>
  <c r="AO748" i="5"/>
  <c r="AO732" i="5"/>
  <c r="AF517" i="5"/>
  <c r="BR464" i="5"/>
  <c r="BT462" i="5"/>
  <c r="K825" i="5"/>
  <c r="K510" i="5"/>
  <c r="AI249" i="5"/>
  <c r="AS724" i="5"/>
  <c r="AS723" i="5"/>
  <c r="AS722" i="5"/>
  <c r="AS405" i="5"/>
  <c r="AS408" i="5" s="1"/>
  <c r="H279" i="5"/>
  <c r="H286" i="5" s="1"/>
  <c r="H288" i="5" s="1"/>
  <c r="AT301" i="5"/>
  <c r="AT306" i="5" s="1"/>
  <c r="AN431" i="5"/>
  <c r="AC722" i="5"/>
  <c r="AC726" i="5" s="1"/>
  <c r="AC723" i="5"/>
  <c r="AC727" i="5" s="1"/>
  <c r="AC405" i="5"/>
  <c r="AC408" i="5" s="1"/>
  <c r="BE723" i="5"/>
  <c r="BE722" i="5"/>
  <c r="BE724" i="5"/>
  <c r="I422" i="5"/>
  <c r="I426" i="5" s="1"/>
  <c r="I415" i="5"/>
  <c r="I409" i="5"/>
  <c r="I263" i="5" s="1"/>
  <c r="I262" i="5"/>
  <c r="BD415" i="5"/>
  <c r="BD262" i="5"/>
  <c r="R748" i="5"/>
  <c r="R732" i="5"/>
  <c r="R743" i="5" s="1"/>
  <c r="AP748" i="5"/>
  <c r="AP732" i="5"/>
  <c r="AP743" i="5" s="1"/>
  <c r="BN748" i="5"/>
  <c r="BN732" i="5"/>
  <c r="BN743" i="5" s="1"/>
  <c r="AG517" i="5"/>
  <c r="BF517" i="5"/>
  <c r="AS233" i="5"/>
  <c r="AS237" i="5" s="1"/>
  <c r="AS243" i="5" s="1"/>
  <c r="AM243" i="5"/>
  <c r="AX401" i="5"/>
  <c r="BA722" i="5" s="1"/>
  <c r="BA726" i="5" s="1"/>
  <c r="AX276" i="5"/>
  <c r="AK301" i="5"/>
  <c r="AK306" i="5" s="1"/>
  <c r="AK279" i="5"/>
  <c r="AX517" i="5"/>
  <c r="AE317" i="5"/>
  <c r="AE331" i="5" s="1"/>
  <c r="AE409" i="5" s="1"/>
  <c r="AE263" i="5" s="1"/>
  <c r="AS429" i="5"/>
  <c r="AD723" i="5"/>
  <c r="AD722" i="5"/>
  <c r="BF723" i="5"/>
  <c r="BF722" i="5"/>
  <c r="BF724" i="5"/>
  <c r="BE405" i="5"/>
  <c r="BE408" i="5" s="1"/>
  <c r="P829" i="5"/>
  <c r="P437" i="5"/>
  <c r="S748" i="5"/>
  <c r="S732" i="5"/>
  <c r="AQ748" i="5"/>
  <c r="AQ732" i="5"/>
  <c r="AQ743" i="5" s="1"/>
  <c r="BO732" i="5"/>
  <c r="BO748" i="5"/>
  <c r="G517" i="5"/>
  <c r="AH517" i="5"/>
  <c r="P438" i="5"/>
  <c r="AS261" i="5"/>
  <c r="AS833" i="5" s="1"/>
  <c r="AD268" i="5"/>
  <c r="K279" i="5"/>
  <c r="K286" i="5" s="1"/>
  <c r="K288" i="5" s="1"/>
  <c r="BI279" i="5"/>
  <c r="AR290" i="5"/>
  <c r="AF317" i="5"/>
  <c r="AF331" i="5" s="1"/>
  <c r="AF409" i="5" s="1"/>
  <c r="AF263" i="5" s="1"/>
  <c r="C723" i="5"/>
  <c r="C722" i="5"/>
  <c r="C724" i="5"/>
  <c r="C405" i="5"/>
  <c r="C408" i="5" s="1"/>
  <c r="C257" i="5"/>
  <c r="C258" i="5" s="1"/>
  <c r="AE723" i="5"/>
  <c r="AE727" i="5" s="1"/>
  <c r="AE722" i="5"/>
  <c r="AE724" i="5"/>
  <c r="AE257" i="5"/>
  <c r="AE258" i="5" s="1"/>
  <c r="AE266" i="5"/>
  <c r="BG723" i="5"/>
  <c r="BG722" i="5"/>
  <c r="BG726" i="5" s="1"/>
  <c r="BG724" i="5"/>
  <c r="BG405" i="5"/>
  <c r="BG408" i="5" s="1"/>
  <c r="BF405" i="5"/>
  <c r="BF408" i="5" s="1"/>
  <c r="BR407" i="5"/>
  <c r="BR261" i="5" s="1"/>
  <c r="BR833" i="5" s="1"/>
  <c r="P409" i="5"/>
  <c r="P263" i="5" s="1"/>
  <c r="AV415" i="5"/>
  <c r="H517" i="5"/>
  <c r="BR211" i="5"/>
  <c r="K262" i="5"/>
  <c r="AS267" i="5"/>
  <c r="BH276" i="5"/>
  <c r="L279" i="5"/>
  <c r="L286" i="5" s="1"/>
  <c r="L288" i="5" s="1"/>
  <c r="AM301" i="5"/>
  <c r="AM306" i="5" s="1"/>
  <c r="AM279" i="5"/>
  <c r="BJ279" i="5"/>
  <c r="R333" i="5"/>
  <c r="R357" i="5" s="1"/>
  <c r="D723" i="5"/>
  <c r="D727" i="5" s="1"/>
  <c r="D724" i="5"/>
  <c r="D728" i="5" s="1"/>
  <c r="D405" i="5"/>
  <c r="D408" i="5" s="1"/>
  <c r="D257" i="5"/>
  <c r="D258" i="5" s="1"/>
  <c r="AF723" i="5"/>
  <c r="AF722" i="5"/>
  <c r="AF724" i="5"/>
  <c r="AF266" i="5"/>
  <c r="AF261" i="5"/>
  <c r="AF833" i="5" s="1"/>
  <c r="AF405" i="5"/>
  <c r="AF408" i="5" s="1"/>
  <c r="BH401" i="5"/>
  <c r="L430" i="5"/>
  <c r="U748" i="5"/>
  <c r="U732" i="5"/>
  <c r="U743" i="5" s="1"/>
  <c r="AS732" i="5"/>
  <c r="AS743" i="5" s="1"/>
  <c r="AS748" i="5"/>
  <c r="BQ732" i="5"/>
  <c r="BQ748" i="5"/>
  <c r="AS268" i="5"/>
  <c r="AW415" i="5"/>
  <c r="I517" i="5"/>
  <c r="AQ25" i="5"/>
  <c r="BO25" i="5"/>
  <c r="BH243" i="5"/>
  <c r="BE257" i="5"/>
  <c r="BE258" i="5" s="1"/>
  <c r="AG266" i="5"/>
  <c r="BM276" i="5"/>
  <c r="AA317" i="5"/>
  <c r="AA331" i="5" s="1"/>
  <c r="AA409" i="5" s="1"/>
  <c r="AA263" i="5" s="1"/>
  <c r="AA286" i="5"/>
  <c r="BL279" i="5"/>
  <c r="BM517" i="5"/>
  <c r="S333" i="5"/>
  <c r="S357" i="5" s="1"/>
  <c r="E724" i="5"/>
  <c r="E723" i="5"/>
  <c r="E405" i="5"/>
  <c r="E408" i="5" s="1"/>
  <c r="E257" i="5"/>
  <c r="E258" i="5" s="1"/>
  <c r="AG722" i="5"/>
  <c r="AG723" i="5"/>
  <c r="AG727" i="5" s="1"/>
  <c r="AG724" i="5"/>
  <c r="BI722" i="5"/>
  <c r="BI724" i="5"/>
  <c r="BI723" i="5"/>
  <c r="BI405" i="5"/>
  <c r="BI408" i="5" s="1"/>
  <c r="M405" i="5"/>
  <c r="M408" i="5" s="1"/>
  <c r="T744" i="5"/>
  <c r="AR738" i="5"/>
  <c r="AR267" i="5"/>
  <c r="AB424" i="5"/>
  <c r="AP465" i="5"/>
  <c r="BR405" i="5"/>
  <c r="BR408" i="5" s="1"/>
  <c r="BR268" i="5"/>
  <c r="AB317" i="5"/>
  <c r="AB331" i="5" s="1"/>
  <c r="AB409" i="5" s="1"/>
  <c r="AB263" i="5" s="1"/>
  <c r="AB286" i="5"/>
  <c r="BR517" i="5"/>
  <c r="F722" i="5"/>
  <c r="F724" i="5"/>
  <c r="F723" i="5"/>
  <c r="F405" i="5"/>
  <c r="F408" i="5" s="1"/>
  <c r="F257" i="5"/>
  <c r="F258" i="5" s="1"/>
  <c r="AH723" i="5"/>
  <c r="AH724" i="5"/>
  <c r="AH722" i="5"/>
  <c r="AH405" i="5"/>
  <c r="AH408" i="5" s="1"/>
  <c r="AC257" i="5"/>
  <c r="AC258" i="5" s="1"/>
  <c r="U738" i="5"/>
  <c r="U267" i="5"/>
  <c r="AS744" i="5"/>
  <c r="BJ431" i="5"/>
  <c r="Y455" i="5"/>
  <c r="Y459" i="5" s="1"/>
  <c r="AQ464" i="5"/>
  <c r="K465" i="5"/>
  <c r="AC317" i="5"/>
  <c r="AC331" i="5" s="1"/>
  <c r="AC409" i="5" s="1"/>
  <c r="AC263" i="5" s="1"/>
  <c r="AC286" i="5"/>
  <c r="G266" i="5"/>
  <c r="G257" i="5"/>
  <c r="G258" i="5" s="1"/>
  <c r="G405" i="5"/>
  <c r="G408" i="5" s="1"/>
  <c r="G261" i="5"/>
  <c r="G833" i="5" s="1"/>
  <c r="V738" i="5"/>
  <c r="V267" i="5"/>
  <c r="AT738" i="5"/>
  <c r="AT744" i="5" s="1"/>
  <c r="AT267" i="5"/>
  <c r="BR738" i="5"/>
  <c r="BR267" i="5"/>
  <c r="M465" i="5"/>
  <c r="AT25" i="5"/>
  <c r="G254" i="5"/>
  <c r="G255" i="5" s="1"/>
  <c r="T261" i="5"/>
  <c r="T833" i="5" s="1"/>
  <c r="BO266" i="5"/>
  <c r="BA267" i="5"/>
  <c r="BS301" i="5"/>
  <c r="BS306" i="5" s="1"/>
  <c r="BS279" i="5"/>
  <c r="Y278" i="5"/>
  <c r="Y279" i="5" s="1"/>
  <c r="AD317" i="5"/>
  <c r="AD331" i="5" s="1"/>
  <c r="AD409" i="5" s="1"/>
  <c r="AD263" i="5" s="1"/>
  <c r="AD286" i="5"/>
  <c r="BW290" i="5"/>
  <c r="O421" i="5"/>
  <c r="BC308" i="5"/>
  <c r="BC315" i="5" s="1"/>
  <c r="H405" i="5"/>
  <c r="H408" i="5" s="1"/>
  <c r="H261" i="5"/>
  <c r="H833" i="5" s="1"/>
  <c r="W738" i="5"/>
  <c r="W744" i="5" s="1"/>
  <c r="W267" i="5"/>
  <c r="AU738" i="5"/>
  <c r="AU267" i="5"/>
  <c r="AU254" i="5"/>
  <c r="AU255" i="5" s="1"/>
  <c r="BS738" i="5"/>
  <c r="BS254" i="5"/>
  <c r="BS255" i="5" s="1"/>
  <c r="N517" i="5"/>
  <c r="AN517" i="5"/>
  <c r="AE193" i="5"/>
  <c r="AE195" i="5" s="1"/>
  <c r="R290" i="5"/>
  <c r="AS276" i="5"/>
  <c r="AE288" i="5"/>
  <c r="AE333" i="5"/>
  <c r="AE357" i="5" s="1"/>
  <c r="AL405" i="5"/>
  <c r="AL408" i="5" s="1"/>
  <c r="BM723" i="5"/>
  <c r="BM722" i="5"/>
  <c r="BM405" i="5"/>
  <c r="BM408" i="5" s="1"/>
  <c r="BO517" i="5"/>
  <c r="AT317" i="5"/>
  <c r="AT331" i="5" s="1"/>
  <c r="AT409" i="5" s="1"/>
  <c r="AT263" i="5" s="1"/>
  <c r="AT286" i="5"/>
  <c r="U292" i="5"/>
  <c r="R292" i="5"/>
  <c r="Y407" i="5"/>
  <c r="Y261" i="5" s="1"/>
  <c r="Y833" i="5" s="1"/>
  <c r="C748" i="5"/>
  <c r="C254" i="5"/>
  <c r="C255" i="5" s="1"/>
  <c r="C266" i="5"/>
  <c r="AA748" i="5"/>
  <c r="AA732" i="5"/>
  <c r="AA254" i="5"/>
  <c r="AA255" i="5" s="1"/>
  <c r="AY748" i="5"/>
  <c r="AY732" i="5"/>
  <c r="AY743" i="5" s="1"/>
  <c r="AY254" i="5"/>
  <c r="AY255" i="5" s="1"/>
  <c r="AY266" i="5"/>
  <c r="K415" i="5"/>
  <c r="AP517" i="5"/>
  <c r="BP517" i="5"/>
  <c r="AG438" i="5"/>
  <c r="I437" i="5"/>
  <c r="I431" i="5"/>
  <c r="E465" i="5"/>
  <c r="AC464" i="5"/>
  <c r="AX127" i="5"/>
  <c r="BC109" i="5" s="1"/>
  <c r="AL254" i="5"/>
  <c r="AL255" i="5" s="1"/>
  <c r="BG261" i="5"/>
  <c r="BG833" i="5" s="1"/>
  <c r="AV262" i="5"/>
  <c r="I266" i="5"/>
  <c r="BD267" i="5"/>
  <c r="AU317" i="5"/>
  <c r="AU331" i="5" s="1"/>
  <c r="AU409" i="5" s="1"/>
  <c r="AU263" i="5" s="1"/>
  <c r="AU286" i="5"/>
  <c r="AG279" i="5"/>
  <c r="BZ290" i="5"/>
  <c r="BQ333" i="5"/>
  <c r="BQ357" i="5" s="1"/>
  <c r="BQ288" i="5"/>
  <c r="AW317" i="5"/>
  <c r="AW331" i="5" s="1"/>
  <c r="AW409" i="5" s="1"/>
  <c r="AW263" i="5" s="1"/>
  <c r="L724" i="5"/>
  <c r="AO724" i="5"/>
  <c r="AO728" i="5" s="1"/>
  <c r="AO722" i="5"/>
  <c r="AO723" i="5"/>
  <c r="AO405" i="5"/>
  <c r="AO408" i="5" s="1"/>
  <c r="BO723" i="5"/>
  <c r="BO722" i="5"/>
  <c r="BO405" i="5"/>
  <c r="BO408" i="5" s="1"/>
  <c r="D732" i="5"/>
  <c r="D743" i="5" s="1"/>
  <c r="D748" i="5"/>
  <c r="D266" i="5"/>
  <c r="AB732" i="5"/>
  <c r="AB748" i="5"/>
  <c r="AB266" i="5"/>
  <c r="AZ732" i="5"/>
  <c r="AZ748" i="5"/>
  <c r="L415" i="5"/>
  <c r="AW262" i="5"/>
  <c r="AA267" i="5"/>
  <c r="BE267" i="5"/>
  <c r="AV279" i="5"/>
  <c r="U290" i="5"/>
  <c r="AA261" i="5"/>
  <c r="AA833" i="5" s="1"/>
  <c r="BA261" i="5"/>
  <c r="BA833" i="5" s="1"/>
  <c r="E732" i="5"/>
  <c r="E743" i="5" s="1"/>
  <c r="E748" i="5"/>
  <c r="E266" i="5"/>
  <c r="AC748" i="5"/>
  <c r="AC732" i="5"/>
  <c r="AC266" i="5"/>
  <c r="BA748" i="5"/>
  <c r="BA732" i="5"/>
  <c r="BA743" i="5" s="1"/>
  <c r="BA266" i="5"/>
  <c r="AA746" i="5"/>
  <c r="AA744" i="5"/>
  <c r="Y106" i="5"/>
  <c r="AD87" i="5" s="1"/>
  <c r="AF195" i="5"/>
  <c r="L254" i="5"/>
  <c r="L255" i="5" s="1"/>
  <c r="BI261" i="5"/>
  <c r="BI833" i="5" s="1"/>
  <c r="AO266" i="5"/>
  <c r="AB267" i="5"/>
  <c r="BG267" i="5"/>
  <c r="AJ279" i="5"/>
  <c r="BH308" i="5"/>
  <c r="BH315" i="5" s="1"/>
  <c r="N405" i="5"/>
  <c r="N408" i="5" s="1"/>
  <c r="Z408" i="5"/>
  <c r="BB261" i="5"/>
  <c r="BB833" i="5" s="1"/>
  <c r="AX106" i="5"/>
  <c r="BC87" i="5" s="1"/>
  <c r="AL257" i="5"/>
  <c r="AL258" i="5" s="1"/>
  <c r="AP266" i="5"/>
  <c r="AC267" i="5"/>
  <c r="BI267" i="5"/>
  <c r="BP288" i="5"/>
  <c r="AE405" i="5"/>
  <c r="AE408" i="5" s="1"/>
  <c r="AC261" i="5"/>
  <c r="AC833" i="5" s="1"/>
  <c r="BC407" i="5"/>
  <c r="BC261" i="5" s="1"/>
  <c r="BC833" i="5" s="1"/>
  <c r="BJ420" i="5"/>
  <c r="BJ422" i="5" s="1"/>
  <c r="AJ431" i="5"/>
  <c r="BA464" i="5"/>
  <c r="BA465" i="5"/>
  <c r="AA458" i="5"/>
  <c r="AA459" i="5" s="1"/>
  <c r="AB464" i="5" s="1"/>
  <c r="BD458" i="5"/>
  <c r="BC456" i="5"/>
  <c r="BC458" i="5" s="1"/>
  <c r="Q469" i="5"/>
  <c r="G424" i="5"/>
  <c r="AE424" i="5"/>
  <c r="AI517" i="5"/>
  <c r="K438" i="5"/>
  <c r="AF424" i="5"/>
  <c r="BD439" i="5"/>
  <c r="BC459" i="5"/>
  <c r="BD438" i="5"/>
  <c r="BF424" i="5"/>
  <c r="T464" i="5"/>
  <c r="T465" i="5"/>
  <c r="AA739" i="5"/>
  <c r="AA740" i="5" s="1"/>
  <c r="S744" i="5"/>
  <c r="S746" i="5"/>
  <c r="AQ744" i="5"/>
  <c r="AL517" i="5"/>
  <c r="BL517" i="5"/>
  <c r="L439" i="5"/>
  <c r="AJ424" i="5"/>
  <c r="BG431" i="5"/>
  <c r="G459" i="5"/>
  <c r="H464" i="5" s="1"/>
  <c r="AG459" i="5"/>
  <c r="BH465" i="5"/>
  <c r="BH464" i="5"/>
  <c r="W465" i="5"/>
  <c r="AY489" i="5"/>
  <c r="AO526" i="5"/>
  <c r="AG431" i="5"/>
  <c r="V459" i="5"/>
  <c r="E749" i="5"/>
  <c r="E499" i="5"/>
  <c r="I464" i="5"/>
  <c r="AI455" i="5"/>
  <c r="AI459" i="5" s="1"/>
  <c r="AK464" i="5" s="1"/>
  <c r="BK465" i="5"/>
  <c r="BK464" i="5"/>
  <c r="BJ724" i="5"/>
  <c r="BJ728" i="5" s="1"/>
  <c r="BJ723" i="5"/>
  <c r="BJ727" i="5" s="1"/>
  <c r="F732" i="5"/>
  <c r="F743" i="5" s="1"/>
  <c r="F748" i="5"/>
  <c r="AD732" i="5"/>
  <c r="AD748" i="5"/>
  <c r="BB748" i="5"/>
  <c r="BB732" i="5"/>
  <c r="BB743" i="5" s="1"/>
  <c r="X744" i="5"/>
  <c r="AQ517" i="5"/>
  <c r="BQ517" i="5"/>
  <c r="BL438" i="5"/>
  <c r="AK431" i="5"/>
  <c r="BN455" i="5"/>
  <c r="BN459" i="5" s="1"/>
  <c r="BM453" i="5"/>
  <c r="BM455" i="5" s="1"/>
  <c r="Y454" i="5"/>
  <c r="Z455" i="5"/>
  <c r="AO458" i="5"/>
  <c r="AN456" i="5"/>
  <c r="AN458" i="5" s="1"/>
  <c r="E290" i="5"/>
  <c r="BC429" i="5"/>
  <c r="AJ723" i="5"/>
  <c r="AJ727" i="5" s="1"/>
  <c r="AJ722" i="5"/>
  <c r="AJ726" i="5" s="1"/>
  <c r="AJ724" i="5"/>
  <c r="AJ728" i="5" s="1"/>
  <c r="BK722" i="5"/>
  <c r="BK726" i="5" s="1"/>
  <c r="G748" i="5"/>
  <c r="G732" i="5"/>
  <c r="AE748" i="5"/>
  <c r="AE732" i="5"/>
  <c r="BC748" i="5"/>
  <c r="BC732" i="5"/>
  <c r="AW744" i="5"/>
  <c r="S517" i="5"/>
  <c r="AR517" i="5"/>
  <c r="H431" i="5"/>
  <c r="BK431" i="5"/>
  <c r="AD467" i="5"/>
  <c r="AD469" i="5" s="1"/>
  <c r="K722" i="5"/>
  <c r="K726" i="5" s="1"/>
  <c r="K724" i="5"/>
  <c r="K728" i="5" s="1"/>
  <c r="K723" i="5"/>
  <c r="K727" i="5" s="1"/>
  <c r="AK723" i="5"/>
  <c r="AK722" i="5"/>
  <c r="AK726" i="5" s="1"/>
  <c r="H748" i="5"/>
  <c r="H732" i="5"/>
  <c r="H743" i="5" s="1"/>
  <c r="AF748" i="5"/>
  <c r="AF732" i="5"/>
  <c r="BD748" i="5"/>
  <c r="BD732" i="5"/>
  <c r="AX744" i="5"/>
  <c r="AS517" i="5"/>
  <c r="L437" i="5"/>
  <c r="L431" i="5"/>
  <c r="AN455" i="5"/>
  <c r="AY455" i="5"/>
  <c r="AY459" i="5" s="1"/>
  <c r="P458" i="5"/>
  <c r="P459" i="5" s="1"/>
  <c r="O456" i="5"/>
  <c r="O458" i="5" s="1"/>
  <c r="O459" i="5" s="1"/>
  <c r="AQ424" i="5"/>
  <c r="BO424" i="5"/>
  <c r="AR464" i="5"/>
  <c r="S267" i="5"/>
  <c r="M723" i="5"/>
  <c r="AM405" i="5"/>
  <c r="AM408" i="5" s="1"/>
  <c r="BN724" i="5"/>
  <c r="BN723" i="5"/>
  <c r="BN727" i="5" s="1"/>
  <c r="BN722" i="5"/>
  <c r="BN726" i="5" s="1"/>
  <c r="BN405" i="5"/>
  <c r="BN408" i="5" s="1"/>
  <c r="BK405" i="5"/>
  <c r="BK408" i="5" s="1"/>
  <c r="J748" i="5"/>
  <c r="J732" i="5"/>
  <c r="J743" i="5" s="1"/>
  <c r="AH732" i="5"/>
  <c r="AH743" i="5" s="1"/>
  <c r="AH748" i="5"/>
  <c r="BF748" i="5"/>
  <c r="BF732" i="5"/>
  <c r="AB744" i="5"/>
  <c r="V517" i="5"/>
  <c r="AR424" i="5"/>
  <c r="AP431" i="5"/>
  <c r="AA499" i="5"/>
  <c r="AA500" i="5" s="1"/>
  <c r="AA501" i="5" s="1"/>
  <c r="AA502" i="5" s="1"/>
  <c r="AA482" i="5"/>
  <c r="AA479" i="5"/>
  <c r="AI732" i="5"/>
  <c r="AI748" i="5"/>
  <c r="BG748" i="5"/>
  <c r="BG732" i="5"/>
  <c r="BG743" i="5" s="1"/>
  <c r="AV517" i="5"/>
  <c r="AH424" i="5"/>
  <c r="U424" i="5"/>
  <c r="BQ424" i="5"/>
  <c r="BB459" i="5"/>
  <c r="BG465" i="5" s="1"/>
  <c r="BT459" i="5"/>
  <c r="BP301" i="5"/>
  <c r="BP306" i="5" s="1"/>
  <c r="AP723" i="5"/>
  <c r="AP727" i="5" s="1"/>
  <c r="AP405" i="5"/>
  <c r="AP408" i="5" s="1"/>
  <c r="BP724" i="5"/>
  <c r="BP723" i="5"/>
  <c r="BP722" i="5"/>
  <c r="BP405" i="5"/>
  <c r="BP408" i="5" s="1"/>
  <c r="BP266" i="5"/>
  <c r="AD404" i="5"/>
  <c r="AD405" i="5" s="1"/>
  <c r="AD408" i="5" s="1"/>
  <c r="L748" i="5"/>
  <c r="L732" i="5"/>
  <c r="AJ732" i="5"/>
  <c r="AJ743" i="5" s="1"/>
  <c r="AJ748" i="5"/>
  <c r="BH748" i="5"/>
  <c r="BH732" i="5"/>
  <c r="BH743" i="5" s="1"/>
  <c r="F744" i="5"/>
  <c r="AD744" i="5"/>
  <c r="BB746" i="5"/>
  <c r="BB744" i="5"/>
  <c r="X517" i="5"/>
  <c r="V439" i="5"/>
  <c r="AT424" i="5"/>
  <c r="BS431" i="5"/>
  <c r="R459" i="5"/>
  <c r="BB266" i="5"/>
  <c r="AO279" i="5"/>
  <c r="BN279" i="5"/>
  <c r="J421" i="5"/>
  <c r="BQ301" i="5"/>
  <c r="BQ306" i="5" s="1"/>
  <c r="AQ405" i="5"/>
  <c r="AQ408" i="5" s="1"/>
  <c r="M732" i="5"/>
  <c r="M748" i="5"/>
  <c r="AK732" i="5"/>
  <c r="AK743" i="5" s="1"/>
  <c r="AK748" i="5"/>
  <c r="BI748" i="5"/>
  <c r="BI732" i="5"/>
  <c r="BI743" i="5" s="1"/>
  <c r="G744" i="5"/>
  <c r="AE744" i="5"/>
  <c r="BC744" i="5"/>
  <c r="W424" i="5"/>
  <c r="W439" i="5"/>
  <c r="AU424" i="5"/>
  <c r="AU438" i="5" s="1"/>
  <c r="AU439" i="5"/>
  <c r="BS439" i="5"/>
  <c r="BS424" i="5"/>
  <c r="BS438" i="5" s="1"/>
  <c r="AS459" i="5"/>
  <c r="BM469" i="5"/>
  <c r="AD266" i="5"/>
  <c r="AV267" i="5"/>
  <c r="Q279" i="5"/>
  <c r="AP279" i="5"/>
  <c r="BO279" i="5"/>
  <c r="T278" i="5"/>
  <c r="T279" i="5" s="1"/>
  <c r="Q724" i="5"/>
  <c r="Q722" i="5"/>
  <c r="Q723" i="5"/>
  <c r="Q405" i="5"/>
  <c r="Q408" i="5" s="1"/>
  <c r="AR724" i="5"/>
  <c r="AR723" i="5"/>
  <c r="AR405" i="5"/>
  <c r="AR408" i="5" s="1"/>
  <c r="AR266" i="5"/>
  <c r="AJ405" i="5"/>
  <c r="AJ408" i="5" s="1"/>
  <c r="AF744" i="5"/>
  <c r="BD744" i="5"/>
  <c r="BD746" i="5"/>
  <c r="X424" i="5"/>
  <c r="AV424" i="5"/>
  <c r="AV438" i="5" s="1"/>
  <c r="AV439" i="5"/>
  <c r="AJ455" i="5"/>
  <c r="AI454" i="5"/>
  <c r="BO459" i="5"/>
  <c r="BP464" i="5" s="1"/>
  <c r="G481" i="5"/>
  <c r="G495" i="5"/>
  <c r="G496" i="5" s="1"/>
  <c r="G497" i="5" s="1"/>
  <c r="G498" i="5" s="1"/>
  <c r="F266" i="5"/>
  <c r="X267" i="5"/>
  <c r="T421" i="5"/>
  <c r="AO301" i="5"/>
  <c r="AO306" i="5" s="1"/>
  <c r="R724" i="5"/>
  <c r="R723" i="5"/>
  <c r="R722" i="5"/>
  <c r="R405" i="5"/>
  <c r="R408" i="5" s="1"/>
  <c r="AT723" i="5"/>
  <c r="AT727" i="5" s="1"/>
  <c r="AT724" i="5"/>
  <c r="AK405" i="5"/>
  <c r="AK408" i="5" s="1"/>
  <c r="O748" i="5"/>
  <c r="O732" i="5"/>
  <c r="AM732" i="5"/>
  <c r="AM743" i="5" s="1"/>
  <c r="AM748" i="5"/>
  <c r="BK732" i="5"/>
  <c r="BK748" i="5"/>
  <c r="AG744" i="5"/>
  <c r="AW438" i="5"/>
  <c r="BY290" i="5"/>
  <c r="AP301" i="5"/>
  <c r="AP306" i="5" s="1"/>
  <c r="S724" i="5"/>
  <c r="S723" i="5"/>
  <c r="S722" i="5"/>
  <c r="S405" i="5"/>
  <c r="S408" i="5" s="1"/>
  <c r="P748" i="5"/>
  <c r="P732" i="5"/>
  <c r="AN748" i="5"/>
  <c r="AN732" i="5"/>
  <c r="AN743" i="5" s="1"/>
  <c r="BL748" i="5"/>
  <c r="BL732" i="5"/>
  <c r="BL743" i="5" s="1"/>
  <c r="J738" i="5"/>
  <c r="J267" i="5"/>
  <c r="AH738" i="5"/>
  <c r="AH744" i="5" s="1"/>
  <c r="AH267" i="5"/>
  <c r="BF738" i="5"/>
  <c r="BF267" i="5"/>
  <c r="BB517" i="5"/>
  <c r="U431" i="5"/>
  <c r="AV437" i="5"/>
  <c r="AW455" i="5"/>
  <c r="AW459" i="5" s="1"/>
  <c r="BQ464" i="5"/>
  <c r="BQ465" i="5"/>
  <c r="A895" i="5"/>
  <c r="BD455" i="5"/>
  <c r="BD459" i="5" s="1"/>
  <c r="AB499" i="5"/>
  <c r="AB500" i="5" s="1"/>
  <c r="AB501" i="5" s="1"/>
  <c r="AB502" i="5" s="1"/>
  <c r="AQ526" i="5"/>
  <c r="BF459" i="5"/>
  <c r="BG464" i="5" s="1"/>
  <c r="M517" i="5"/>
  <c r="AK517" i="5"/>
  <c r="AT458" i="5"/>
  <c r="J467" i="5"/>
  <c r="J469" i="5" s="1"/>
  <c r="BA481" i="5"/>
  <c r="BA495" i="5"/>
  <c r="BA496" i="5" s="1"/>
  <c r="BA497" i="5" s="1"/>
  <c r="BA498" i="5" s="1"/>
  <c r="J739" i="5"/>
  <c r="AM517" i="5"/>
  <c r="N748" i="5"/>
  <c r="N732" i="5"/>
  <c r="AL732" i="5"/>
  <c r="AL743" i="5" s="1"/>
  <c r="AL748" i="5"/>
  <c r="BJ748" i="5"/>
  <c r="BJ732" i="5"/>
  <c r="AC744" i="5"/>
  <c r="AC746" i="5"/>
  <c r="BA744" i="5"/>
  <c r="Q517" i="5"/>
  <c r="K437" i="5"/>
  <c r="X455" i="5"/>
  <c r="X459" i="5" s="1"/>
  <c r="BM458" i="5"/>
  <c r="AO469" i="5"/>
  <c r="AN467" i="5"/>
  <c r="AN469" i="5" s="1"/>
  <c r="D481" i="5"/>
  <c r="D495" i="5"/>
  <c r="D496" i="5" s="1"/>
  <c r="D497" i="5" s="1"/>
  <c r="D498" i="5" s="1"/>
  <c r="AY531" i="5"/>
  <c r="AD571" i="5"/>
  <c r="AD578" i="5" s="1"/>
  <c r="AD635" i="5"/>
  <c r="BW571" i="5"/>
  <c r="BW578" i="5" s="1"/>
  <c r="E479" i="5"/>
  <c r="E495" i="5"/>
  <c r="E496" i="5" s="1"/>
  <c r="E497" i="5" s="1"/>
  <c r="E498" i="5" s="1"/>
  <c r="BA482" i="5"/>
  <c r="BA499" i="5"/>
  <c r="BA500" i="5" s="1"/>
  <c r="BA501" i="5" s="1"/>
  <c r="BA502" i="5" s="1"/>
  <c r="BP739" i="5"/>
  <c r="AN571" i="5"/>
  <c r="AN578" i="5" s="1"/>
  <c r="AN635" i="5"/>
  <c r="I439" i="5"/>
  <c r="AH465" i="5"/>
  <c r="AB482" i="5"/>
  <c r="AB448" i="5"/>
  <c r="U458" i="5"/>
  <c r="U459" i="5" s="1"/>
  <c r="AS467" i="5"/>
  <c r="AS469" i="5" s="1"/>
  <c r="AT469" i="5"/>
  <c r="BQ724" i="5"/>
  <c r="BQ723" i="5"/>
  <c r="BQ722" i="5"/>
  <c r="T748" i="5"/>
  <c r="T732" i="5"/>
  <c r="AR748" i="5"/>
  <c r="AR732" i="5"/>
  <c r="BP732" i="5"/>
  <c r="BP748" i="5"/>
  <c r="K744" i="5"/>
  <c r="K746" i="5"/>
  <c r="BG744" i="5"/>
  <c r="W517" i="5"/>
  <c r="AU517" i="5"/>
  <c r="K439" i="5"/>
  <c r="V431" i="5"/>
  <c r="AN454" i="5"/>
  <c r="AO455" i="5"/>
  <c r="AD457" i="5"/>
  <c r="AD458" i="5" s="1"/>
  <c r="AD459" i="5" s="1"/>
  <c r="AY500" i="5"/>
  <c r="AY501" i="5" s="1"/>
  <c r="AY502" i="5" s="1"/>
  <c r="AT824" i="5"/>
  <c r="AT510" i="5"/>
  <c r="F459" i="5"/>
  <c r="AV469" i="5"/>
  <c r="V723" i="5"/>
  <c r="V722" i="5"/>
  <c r="V726" i="5" s="1"/>
  <c r="AU723" i="5"/>
  <c r="AU722" i="5"/>
  <c r="AU724" i="5"/>
  <c r="BS723" i="5"/>
  <c r="BS727" i="5" s="1"/>
  <c r="BS724" i="5"/>
  <c r="BS728" i="5" s="1"/>
  <c r="V748" i="5"/>
  <c r="V732" i="5"/>
  <c r="AT748" i="5"/>
  <c r="AT732" i="5"/>
  <c r="BR748" i="5"/>
  <c r="BR732" i="5"/>
  <c r="BR743" i="5" s="1"/>
  <c r="BI744" i="5"/>
  <c r="AW517" i="5"/>
  <c r="X431" i="5"/>
  <c r="BE459" i="5"/>
  <c r="V458" i="5"/>
  <c r="AU458" i="5"/>
  <c r="AU459" i="5" s="1"/>
  <c r="AV464" i="5" s="1"/>
  <c r="AA481" i="5"/>
  <c r="AA495" i="5"/>
  <c r="AA496" i="5" s="1"/>
  <c r="AA497" i="5" s="1"/>
  <c r="AA498" i="5" s="1"/>
  <c r="BX463" i="5"/>
  <c r="W723" i="5"/>
  <c r="W727" i="5" s="1"/>
  <c r="W722" i="5"/>
  <c r="AV723" i="5"/>
  <c r="AV722" i="5"/>
  <c r="AV724" i="5"/>
  <c r="W748" i="5"/>
  <c r="W732" i="5"/>
  <c r="AU748" i="5"/>
  <c r="AU732" i="5"/>
  <c r="BS732" i="5"/>
  <c r="BS748" i="5"/>
  <c r="AZ431" i="5"/>
  <c r="K448" i="5"/>
  <c r="AT455" i="5"/>
  <c r="AT459" i="5" s="1"/>
  <c r="AY469" i="5"/>
  <c r="AX467" i="5"/>
  <c r="AX469" i="5" s="1"/>
  <c r="D482" i="5"/>
  <c r="D530" i="5" s="1"/>
  <c r="D479" i="5"/>
  <c r="D499" i="5"/>
  <c r="AY842" i="5"/>
  <c r="X722" i="5"/>
  <c r="X724" i="5"/>
  <c r="X728" i="5" s="1"/>
  <c r="X723" i="5"/>
  <c r="AW722" i="5"/>
  <c r="AW724" i="5"/>
  <c r="AW728" i="5" s="1"/>
  <c r="AW723" i="5"/>
  <c r="AW727" i="5" s="1"/>
  <c r="O744" i="5"/>
  <c r="AA517" i="5"/>
  <c r="Z431" i="5"/>
  <c r="AW439" i="5"/>
  <c r="BQ405" i="5"/>
  <c r="BQ408" i="5" s="1"/>
  <c r="Y748" i="5"/>
  <c r="Y732" i="5"/>
  <c r="AW748" i="5"/>
  <c r="AW732" i="5"/>
  <c r="AW743" i="5" s="1"/>
  <c r="BL744" i="5"/>
  <c r="AB517" i="5"/>
  <c r="AZ517" i="5"/>
  <c r="P439" i="5"/>
  <c r="AA431" i="5"/>
  <c r="BB431" i="5"/>
  <c r="J455" i="5"/>
  <c r="J459" i="5" s="1"/>
  <c r="AX458" i="5"/>
  <c r="AX459" i="5" s="1"/>
  <c r="BT458" i="5"/>
  <c r="Z469" i="5"/>
  <c r="BD469" i="5"/>
  <c r="AY739" i="5"/>
  <c r="Z722" i="5"/>
  <c r="Z726" i="5" s="1"/>
  <c r="Z723" i="5"/>
  <c r="Z727" i="5" s="1"/>
  <c r="AY722" i="5"/>
  <c r="AY723" i="5"/>
  <c r="AY727" i="5" s="1"/>
  <c r="Z748" i="5"/>
  <c r="Z732" i="5"/>
  <c r="Z743" i="5" s="1"/>
  <c r="AX748" i="5"/>
  <c r="AX732" i="5"/>
  <c r="AX743" i="5" s="1"/>
  <c r="Q744" i="5"/>
  <c r="AC517" i="5"/>
  <c r="BA517" i="5"/>
  <c r="BD437" i="5"/>
  <c r="AZ448" i="5"/>
  <c r="L455" i="5"/>
  <c r="L459" i="5" s="1"/>
  <c r="Z458" i="5"/>
  <c r="AJ458" i="5"/>
  <c r="E481" i="5"/>
  <c r="AZ739" i="5"/>
  <c r="AH825" i="5"/>
  <c r="AH510" i="5"/>
  <c r="AH526" i="5" s="1"/>
  <c r="BD489" i="5"/>
  <c r="BO526" i="5"/>
  <c r="BO708" i="5"/>
  <c r="BO491" i="5"/>
  <c r="R825" i="5"/>
  <c r="R510" i="5"/>
  <c r="R526" i="5" s="1"/>
  <c r="AP825" i="5"/>
  <c r="AP510" i="5"/>
  <c r="AP526" i="5" s="1"/>
  <c r="BN825" i="5"/>
  <c r="BN510" i="5"/>
  <c r="Y510" i="5"/>
  <c r="Y526" i="5" s="1"/>
  <c r="E530" i="5"/>
  <c r="N455" i="5"/>
  <c r="N459" i="5" s="1"/>
  <c r="AL455" i="5"/>
  <c r="AL459" i="5" s="1"/>
  <c r="AQ465" i="5" s="1"/>
  <c r="BJ455" i="5"/>
  <c r="BJ459" i="5" s="1"/>
  <c r="C459" i="5"/>
  <c r="C473" i="5" s="1"/>
  <c r="O467" i="5"/>
  <c r="O469" i="5" s="1"/>
  <c r="P469" i="5"/>
  <c r="K842" i="5"/>
  <c r="AR825" i="5"/>
  <c r="AR510" i="5"/>
  <c r="AR526" i="5" s="1"/>
  <c r="Y684" i="5"/>
  <c r="Y622" i="5"/>
  <c r="O622" i="5"/>
  <c r="O625" i="5" s="1"/>
  <c r="V832" i="5"/>
  <c r="V733" i="5"/>
  <c r="V681" i="5"/>
  <c r="Z840" i="5" s="1"/>
  <c r="AZ733" i="5"/>
  <c r="AZ734" i="5" s="1"/>
  <c r="AZ832" i="5"/>
  <c r="AZ681" i="5"/>
  <c r="BT802" i="5"/>
  <c r="BU507" i="5"/>
  <c r="AE625" i="5"/>
  <c r="AD684" i="5"/>
  <c r="AD622" i="5"/>
  <c r="BH687" i="5"/>
  <c r="BH491" i="5" s="1"/>
  <c r="BH622" i="5"/>
  <c r="AX491" i="5"/>
  <c r="AZ664" i="5"/>
  <c r="S469" i="5"/>
  <c r="O739" i="5"/>
  <c r="AN739" i="5"/>
  <c r="BM739" i="5"/>
  <c r="BN489" i="5"/>
  <c r="P526" i="5"/>
  <c r="P529" i="5" s="1"/>
  <c r="AJ510" i="5"/>
  <c r="AY495" i="5"/>
  <c r="AY496" i="5" s="1"/>
  <c r="AY497" i="5" s="1"/>
  <c r="AY498" i="5" s="1"/>
  <c r="AY482" i="5"/>
  <c r="AY530" i="5" s="1"/>
  <c r="AK510" i="5"/>
  <c r="AK526" i="5" s="1"/>
  <c r="BS657" i="5"/>
  <c r="G458" i="5"/>
  <c r="Q739" i="5"/>
  <c r="AP739" i="5"/>
  <c r="AP740" i="5" s="1"/>
  <c r="P489" i="5"/>
  <c r="AL510" i="5"/>
  <c r="AL526" i="5" s="1"/>
  <c r="K664" i="5"/>
  <c r="K480" i="5" s="1"/>
  <c r="N824" i="5"/>
  <c r="N510" i="5"/>
  <c r="N526" i="5" s="1"/>
  <c r="AW825" i="5"/>
  <c r="AW510" i="5"/>
  <c r="AW526" i="5" s="1"/>
  <c r="AG458" i="5"/>
  <c r="W469" i="5"/>
  <c r="W495" i="5"/>
  <c r="W496" i="5" s="1"/>
  <c r="W497" i="5" s="1"/>
  <c r="W498" i="5" s="1"/>
  <c r="BQ739" i="5"/>
  <c r="AO842" i="5"/>
  <c r="Z825" i="5"/>
  <c r="Z510" i="5"/>
  <c r="AX825" i="5"/>
  <c r="AX510" i="5"/>
  <c r="AX526" i="5" s="1"/>
  <c r="C825" i="5"/>
  <c r="C510" i="5"/>
  <c r="AA825" i="5"/>
  <c r="AA510" i="5"/>
  <c r="AA526" i="5" s="1"/>
  <c r="AY825" i="5"/>
  <c r="AY510" i="5"/>
  <c r="BR510" i="5"/>
  <c r="BR526" i="5" s="1"/>
  <c r="AW469" i="5"/>
  <c r="W482" i="5"/>
  <c r="U489" i="5"/>
  <c r="D825" i="5"/>
  <c r="D510" i="5"/>
  <c r="AB825" i="5"/>
  <c r="AB510" i="5"/>
  <c r="AB526" i="5" s="1"/>
  <c r="AZ825" i="5"/>
  <c r="AZ510" i="5"/>
  <c r="AZ526" i="5" s="1"/>
  <c r="V510" i="5"/>
  <c r="V526" i="5" s="1"/>
  <c r="BS526" i="5"/>
  <c r="AV526" i="5"/>
  <c r="E482" i="5"/>
  <c r="V739" i="5"/>
  <c r="AT489" i="5"/>
  <c r="K495" i="5"/>
  <c r="K496" i="5" s="1"/>
  <c r="K497" i="5" s="1"/>
  <c r="K498" i="5" s="1"/>
  <c r="E825" i="5"/>
  <c r="E510" i="5"/>
  <c r="AC825" i="5"/>
  <c r="AC510" i="5"/>
  <c r="AC526" i="5" s="1"/>
  <c r="AU526" i="5"/>
  <c r="BA510" i="5"/>
  <c r="BA526" i="5" s="1"/>
  <c r="AV739" i="5"/>
  <c r="BS842" i="5"/>
  <c r="F825" i="5"/>
  <c r="F510" i="5"/>
  <c r="AD825" i="5"/>
  <c r="AD510" i="5"/>
  <c r="AD526" i="5" s="1"/>
  <c r="BB825" i="5"/>
  <c r="BB510" i="5"/>
  <c r="BB526" i="5" s="1"/>
  <c r="O571" i="5"/>
  <c r="O578" i="5" s="1"/>
  <c r="O635" i="5"/>
  <c r="C469" i="5"/>
  <c r="AB495" i="5"/>
  <c r="AB496" i="5" s="1"/>
  <c r="AB497" i="5" s="1"/>
  <c r="AB498" i="5" s="1"/>
  <c r="AB481" i="5"/>
  <c r="A897" i="5"/>
  <c r="AE825" i="5"/>
  <c r="AE510" i="5"/>
  <c r="BC825" i="5"/>
  <c r="BC510" i="5"/>
  <c r="BC526" i="5" s="1"/>
  <c r="BH510" i="5"/>
  <c r="BH526" i="5" s="1"/>
  <c r="T635" i="5"/>
  <c r="T571" i="5"/>
  <c r="T578" i="5" s="1"/>
  <c r="BM636" i="5"/>
  <c r="BM412" i="5" s="1"/>
  <c r="BM571" i="5"/>
  <c r="BM578" i="5" s="1"/>
  <c r="P727" i="5"/>
  <c r="BL723" i="5"/>
  <c r="BL727" i="5" s="1"/>
  <c r="BL722" i="5"/>
  <c r="BL726" i="5" s="1"/>
  <c r="X748" i="5"/>
  <c r="X732" i="5"/>
  <c r="AV748" i="5"/>
  <c r="AV732" i="5"/>
  <c r="N744" i="5"/>
  <c r="R517" i="5"/>
  <c r="W499" i="5"/>
  <c r="W500" i="5" s="1"/>
  <c r="W501" i="5" s="1"/>
  <c r="W502" i="5" s="1"/>
  <c r="AF825" i="5"/>
  <c r="AF510" i="5"/>
  <c r="AF526" i="5" s="1"/>
  <c r="BD825" i="5"/>
  <c r="BD510" i="5"/>
  <c r="BI510" i="5"/>
  <c r="J571" i="5"/>
  <c r="J578" i="5" s="1"/>
  <c r="J635" i="5"/>
  <c r="J708" i="5"/>
  <c r="AW657" i="5"/>
  <c r="O708" i="5"/>
  <c r="BW622" i="5"/>
  <c r="BW625" i="5" s="1"/>
  <c r="AI571" i="5"/>
  <c r="AI578" i="5" s="1"/>
  <c r="AI635" i="5"/>
  <c r="CB571" i="5"/>
  <c r="CB578" i="5" s="1"/>
  <c r="AI684" i="5"/>
  <c r="AI622" i="5"/>
  <c r="AI625" i="5" s="1"/>
  <c r="T686" i="5"/>
  <c r="T708" i="5" s="1"/>
  <c r="T622" i="5"/>
  <c r="AY832" i="5"/>
  <c r="AY733" i="5"/>
  <c r="AY681" i="5"/>
  <c r="AS657" i="5"/>
  <c r="BM595" i="5"/>
  <c r="AX657" i="5"/>
  <c r="W832" i="5"/>
  <c r="W733" i="5"/>
  <c r="W739" i="5" s="1"/>
  <c r="W740" i="5" s="1"/>
  <c r="W681" i="5"/>
  <c r="AX571" i="5"/>
  <c r="AX578" i="5" s="1"/>
  <c r="BP510" i="5"/>
  <c r="BP526" i="5" s="1"/>
  <c r="BC571" i="5"/>
  <c r="BC578" i="5" s="1"/>
  <c r="BH571" i="5"/>
  <c r="BH578" i="5" s="1"/>
  <c r="AN595" i="5"/>
  <c r="Z657" i="5"/>
  <c r="AA832" i="5"/>
  <c r="AA733" i="5"/>
  <c r="AA681" i="5"/>
  <c r="BM657" i="5"/>
  <c r="J832" i="5"/>
  <c r="J733" i="5"/>
  <c r="J681" i="5"/>
  <c r="BB657" i="5"/>
  <c r="G664" i="5"/>
  <c r="AB832" i="5"/>
  <c r="AB733" i="5"/>
  <c r="AB734" i="5" s="1"/>
  <c r="AB681" i="5"/>
  <c r="O832" i="5"/>
  <c r="O733" i="5"/>
  <c r="O681" i="5"/>
  <c r="BC635" i="5"/>
  <c r="T595" i="5"/>
  <c r="T667" i="5"/>
  <c r="U510" i="5"/>
  <c r="AB625" i="5"/>
  <c r="BM486" i="5"/>
  <c r="BN842" i="5" s="1"/>
  <c r="AC657" i="5"/>
  <c r="BD739" i="5"/>
  <c r="BD740" i="5" s="1"/>
  <c r="C625" i="5"/>
  <c r="C628" i="5" s="1"/>
  <c r="D627" i="5" s="1"/>
  <c r="BG657" i="5"/>
  <c r="Z842" i="5"/>
  <c r="CB622" i="5"/>
  <c r="D625" i="5"/>
  <c r="AS571" i="5"/>
  <c r="AS578" i="5" s="1"/>
  <c r="AS832" i="5"/>
  <c r="AS733" i="5"/>
  <c r="AS739" i="5" s="1"/>
  <c r="AS740" i="5" s="1"/>
  <c r="AS681" i="5"/>
  <c r="F657" i="5"/>
  <c r="V625" i="5"/>
  <c r="BL625" i="5"/>
  <c r="BT810" i="5"/>
  <c r="BX649" i="5"/>
  <c r="AZ625" i="5"/>
  <c r="BS824" i="5"/>
  <c r="BT514" i="5"/>
  <c r="BJ739" i="5"/>
  <c r="AE842" i="5"/>
  <c r="BE510" i="5"/>
  <c r="BE526" i="5" s="1"/>
  <c r="BM832" i="5"/>
  <c r="BM681" i="5"/>
  <c r="BM733" i="5"/>
  <c r="Z625" i="5"/>
  <c r="AL625" i="5"/>
  <c r="AU657" i="5"/>
  <c r="CC671" i="5"/>
  <c r="CC487" i="5" s="1"/>
  <c r="BD842" i="5"/>
  <c r="BF510" i="5"/>
  <c r="BF526" i="5" s="1"/>
  <c r="BR571" i="5"/>
  <c r="BR578" i="5" s="1"/>
  <c r="BR832" i="5"/>
  <c r="BR733" i="5"/>
  <c r="BR739" i="5" s="1"/>
  <c r="BR740" i="5" s="1"/>
  <c r="BR681" i="5"/>
  <c r="AA625" i="5"/>
  <c r="AM625" i="5"/>
  <c r="L657" i="5"/>
  <c r="AV657" i="5"/>
  <c r="AV822" i="5"/>
  <c r="BW832" i="5"/>
  <c r="BW681" i="5"/>
  <c r="U832" i="5"/>
  <c r="U733" i="5"/>
  <c r="U739" i="5" s="1"/>
  <c r="U740" i="5" s="1"/>
  <c r="BX832" i="5"/>
  <c r="BX681" i="5"/>
  <c r="AE708" i="5"/>
  <c r="BM724" i="5"/>
  <c r="Y571" i="5"/>
  <c r="Y578" i="5" s="1"/>
  <c r="AN622" i="5"/>
  <c r="AN625" i="5" s="1"/>
  <c r="BM622" i="5"/>
  <c r="BM625" i="5" s="1"/>
  <c r="X657" i="5"/>
  <c r="BB681" i="5"/>
  <c r="BD822" i="5"/>
  <c r="BD657" i="5"/>
  <c r="C657" i="5"/>
  <c r="C832" i="5"/>
  <c r="C681" i="5"/>
  <c r="BQ708" i="5"/>
  <c r="Y832" i="5"/>
  <c r="Y733" i="5"/>
  <c r="Y739" i="5" s="1"/>
  <c r="Y681" i="5"/>
  <c r="AN708" i="5"/>
  <c r="BQ625" i="5"/>
  <c r="AF657" i="5"/>
  <c r="BE657" i="5"/>
  <c r="D832" i="5"/>
  <c r="D733" i="5"/>
  <c r="D739" i="5" s="1"/>
  <c r="D740" i="5" s="1"/>
  <c r="D681" i="5"/>
  <c r="BG681" i="5"/>
  <c r="AD832" i="5"/>
  <c r="AD733" i="5"/>
  <c r="AS708" i="5"/>
  <c r="AS622" i="5"/>
  <c r="BR622" i="5"/>
  <c r="H657" i="5"/>
  <c r="AG657" i="5"/>
  <c r="BF657" i="5"/>
  <c r="Y657" i="5"/>
  <c r="G778" i="5"/>
  <c r="G741" i="5"/>
  <c r="AL741" i="5"/>
  <c r="AL778" i="5"/>
  <c r="AI595" i="5"/>
  <c r="AI667" i="5"/>
  <c r="AX708" i="5"/>
  <c r="I822" i="5"/>
  <c r="I657" i="5"/>
  <c r="AH657" i="5"/>
  <c r="BN840" i="5"/>
  <c r="AQ746" i="5"/>
  <c r="BL746" i="5"/>
  <c r="AN832" i="5"/>
  <c r="AN733" i="5"/>
  <c r="AN681" i="5"/>
  <c r="BC684" i="5"/>
  <c r="BC622" i="5"/>
  <c r="U625" i="5"/>
  <c r="BH635" i="5"/>
  <c r="AH681" i="5"/>
  <c r="BK832" i="5"/>
  <c r="BK681" i="5"/>
  <c r="AR708" i="5"/>
  <c r="BB819" i="5"/>
  <c r="AS595" i="5"/>
  <c r="BR595" i="5"/>
  <c r="BH708" i="5"/>
  <c r="K822" i="5"/>
  <c r="BI657" i="5"/>
  <c r="AJ681" i="5"/>
  <c r="BL681" i="5"/>
  <c r="U681" i="5"/>
  <c r="BR657" i="5"/>
  <c r="AX832" i="5"/>
  <c r="AX733" i="5"/>
  <c r="AX739" i="5" s="1"/>
  <c r="AX681" i="5"/>
  <c r="BM708" i="5"/>
  <c r="L822" i="5"/>
  <c r="AK657" i="5"/>
  <c r="BJ657" i="5"/>
  <c r="AE681" i="5"/>
  <c r="BC832" i="5"/>
  <c r="BC681" i="5"/>
  <c r="BC733" i="5"/>
  <c r="BR708" i="5"/>
  <c r="AX622" i="5"/>
  <c r="AX625" i="5" s="1"/>
  <c r="M657" i="5"/>
  <c r="AL657" i="5"/>
  <c r="BK657" i="5"/>
  <c r="AE657" i="5"/>
  <c r="BN832" i="5"/>
  <c r="BN681" i="5"/>
  <c r="BN733" i="5"/>
  <c r="BN734" i="5" s="1"/>
  <c r="AD681" i="5"/>
  <c r="BH595" i="5"/>
  <c r="BH667" i="5"/>
  <c r="N657" i="5"/>
  <c r="AM657" i="5"/>
  <c r="AM733" i="5"/>
  <c r="AM739" i="5" s="1"/>
  <c r="AM832" i="5"/>
  <c r="AM681" i="5"/>
  <c r="BS840" i="5"/>
  <c r="AG681" i="5"/>
  <c r="CC679" i="5"/>
  <c r="CC486" i="5" s="1"/>
  <c r="BX686" i="5"/>
  <c r="BX491" i="5" s="1"/>
  <c r="BY625" i="5"/>
  <c r="AO657" i="5"/>
  <c r="AJ657" i="5"/>
  <c r="AO832" i="5"/>
  <c r="AO733" i="5"/>
  <c r="AO739" i="5" s="1"/>
  <c r="AO681" i="5"/>
  <c r="BP832" i="5"/>
  <c r="BP733" i="5"/>
  <c r="BP681" i="5"/>
  <c r="BF681" i="5"/>
  <c r="Y595" i="5"/>
  <c r="AX595" i="5"/>
  <c r="BA625" i="5"/>
  <c r="BZ625" i="5"/>
  <c r="AP657" i="5"/>
  <c r="BN657" i="5"/>
  <c r="AP733" i="5"/>
  <c r="AP734" i="5" s="1"/>
  <c r="AP832" i="5"/>
  <c r="AP681" i="5"/>
  <c r="BQ832" i="5"/>
  <c r="BQ733" i="5"/>
  <c r="BQ681" i="5"/>
  <c r="Z745" i="5"/>
  <c r="BB625" i="5"/>
  <c r="Q657" i="5"/>
  <c r="AQ657" i="5"/>
  <c r="BO657" i="5"/>
  <c r="CC686" i="5"/>
  <c r="CC491" i="5" s="1"/>
  <c r="CB595" i="5"/>
  <c r="AC625" i="5"/>
  <c r="BD625" i="5"/>
  <c r="R657" i="5"/>
  <c r="AR657" i="5"/>
  <c r="BP657" i="5"/>
  <c r="AR832" i="5"/>
  <c r="AR733" i="5"/>
  <c r="AR739" i="5" s="1"/>
  <c r="AR681" i="5"/>
  <c r="BS832" i="5"/>
  <c r="BS733" i="5"/>
  <c r="BS739" i="5" s="1"/>
  <c r="BS681" i="5"/>
  <c r="X708" i="5"/>
  <c r="E625" i="5"/>
  <c r="S657" i="5"/>
  <c r="BQ657" i="5"/>
  <c r="Q832" i="5"/>
  <c r="Q733" i="5"/>
  <c r="Q681" i="5"/>
  <c r="AD484" i="5"/>
  <c r="AD749" i="5" s="1"/>
  <c r="F625" i="5"/>
  <c r="AF625" i="5"/>
  <c r="R832" i="5"/>
  <c r="R733" i="5"/>
  <c r="R734" i="5" s="1"/>
  <c r="R681" i="5"/>
  <c r="AT832" i="5"/>
  <c r="AT733" i="5"/>
  <c r="AT739" i="5" s="1"/>
  <c r="AT681" i="5"/>
  <c r="AA708" i="5"/>
  <c r="G739" i="5"/>
  <c r="BC484" i="5"/>
  <c r="BC749" i="5" s="1"/>
  <c r="AT842" i="5"/>
  <c r="BT508" i="5"/>
  <c r="AD595" i="5"/>
  <c r="BC595" i="5"/>
  <c r="U657" i="5"/>
  <c r="AU832" i="5"/>
  <c r="AU733" i="5"/>
  <c r="AU739" i="5" s="1"/>
  <c r="AU681" i="5"/>
  <c r="BF708" i="5"/>
  <c r="BK733" i="5"/>
  <c r="BK739" i="5" s="1"/>
  <c r="E830" i="5"/>
  <c r="S708" i="5"/>
  <c r="AQ708" i="5"/>
  <c r="BP708" i="5"/>
  <c r="BD733" i="5"/>
  <c r="E722" i="5"/>
  <c r="AK741" i="5"/>
  <c r="AK778" i="5"/>
  <c r="BO741" i="5"/>
  <c r="BO778" i="5"/>
  <c r="BO779" i="5" s="1"/>
  <c r="X832" i="5"/>
  <c r="X733" i="5"/>
  <c r="X739" i="5" s="1"/>
  <c r="X740" i="5" s="1"/>
  <c r="AV832" i="5"/>
  <c r="AV733" i="5"/>
  <c r="X681" i="5"/>
  <c r="U708" i="5"/>
  <c r="BC746" i="5"/>
  <c r="P822" i="5"/>
  <c r="AW832" i="5"/>
  <c r="AW733" i="5"/>
  <c r="AW739" i="5" s="1"/>
  <c r="AW740" i="5" s="1"/>
  <c r="AW681" i="5"/>
  <c r="BU832" i="5"/>
  <c r="BU681" i="5"/>
  <c r="BX840" i="5" s="1"/>
  <c r="CD681" i="5"/>
  <c r="V708" i="5"/>
  <c r="AT708" i="5"/>
  <c r="BS708" i="5"/>
  <c r="AL779" i="5"/>
  <c r="Z832" i="5"/>
  <c r="Z733" i="5"/>
  <c r="Z739" i="5" s="1"/>
  <c r="Z740" i="5" s="1"/>
  <c r="Z681" i="5"/>
  <c r="BV832" i="5"/>
  <c r="BV681" i="5"/>
  <c r="W708" i="5"/>
  <c r="AU708" i="5"/>
  <c r="BN745" i="5"/>
  <c r="AW708" i="5"/>
  <c r="AJ745" i="5"/>
  <c r="BL745" i="5"/>
  <c r="Z746" i="5"/>
  <c r="BQ819" i="5"/>
  <c r="BV783" i="5"/>
  <c r="E832" i="5"/>
  <c r="E733" i="5"/>
  <c r="E681" i="5"/>
  <c r="AC832" i="5"/>
  <c r="AC733" i="5"/>
  <c r="AC739" i="5" s="1"/>
  <c r="AC740" i="5" s="1"/>
  <c r="AC681" i="5"/>
  <c r="BA733" i="5"/>
  <c r="BA739" i="5" s="1"/>
  <c r="BA740" i="5" s="1"/>
  <c r="BA832" i="5"/>
  <c r="BA681" i="5"/>
  <c r="BY832" i="5"/>
  <c r="BY681" i="5"/>
  <c r="CC840" i="5" s="1"/>
  <c r="Z708" i="5"/>
  <c r="AS746" i="5"/>
  <c r="W746" i="5"/>
  <c r="M765" i="5"/>
  <c r="M779" i="5" s="1"/>
  <c r="M722" i="5"/>
  <c r="F832" i="5"/>
  <c r="F733" i="5"/>
  <c r="F739" i="5" s="1"/>
  <c r="F740" i="5" s="1"/>
  <c r="BB832" i="5"/>
  <c r="BB733" i="5"/>
  <c r="BB739" i="5" s="1"/>
  <c r="BB740" i="5" s="1"/>
  <c r="F681" i="5"/>
  <c r="AY708" i="5"/>
  <c r="O734" i="5"/>
  <c r="X746" i="5"/>
  <c r="CD733" i="5"/>
  <c r="CD739" i="5"/>
  <c r="N819" i="5"/>
  <c r="AT822" i="5"/>
  <c r="G832" i="5"/>
  <c r="G733" i="5"/>
  <c r="AE733" i="5"/>
  <c r="AE739" i="5" s="1"/>
  <c r="AE740" i="5" s="1"/>
  <c r="AE832" i="5"/>
  <c r="G681" i="5"/>
  <c r="D708" i="5"/>
  <c r="AB708" i="5"/>
  <c r="AB711" i="5" s="1"/>
  <c r="AZ708" i="5"/>
  <c r="Y737" i="5"/>
  <c r="T765" i="5"/>
  <c r="T779" i="5" s="1"/>
  <c r="P657" i="5"/>
  <c r="BL657" i="5"/>
  <c r="H832" i="5"/>
  <c r="H733" i="5"/>
  <c r="H739" i="5" s="1"/>
  <c r="AF832" i="5"/>
  <c r="AF733" i="5"/>
  <c r="AF739" i="5" s="1"/>
  <c r="AF740" i="5" s="1"/>
  <c r="H681" i="5"/>
  <c r="E708" i="5"/>
  <c r="E711" i="5" s="1"/>
  <c r="BA708" i="5"/>
  <c r="AP745" i="5"/>
  <c r="I832" i="5"/>
  <c r="I733" i="5"/>
  <c r="I739" i="5" s="1"/>
  <c r="AG832" i="5"/>
  <c r="AG733" i="5"/>
  <c r="AG739" i="5" s="1"/>
  <c r="AG740" i="5" s="1"/>
  <c r="BE832" i="5"/>
  <c r="BE733" i="5"/>
  <c r="BE739" i="5" s="1"/>
  <c r="CC667" i="5"/>
  <c r="I681" i="5"/>
  <c r="F708" i="5"/>
  <c r="BB708" i="5"/>
  <c r="AQ745" i="5"/>
  <c r="BR745" i="5"/>
  <c r="AB746" i="5"/>
  <c r="AW822" i="5"/>
  <c r="AH832" i="5"/>
  <c r="AH733" i="5"/>
  <c r="AH739" i="5" s="1"/>
  <c r="BF832" i="5"/>
  <c r="BF733" i="5"/>
  <c r="BF739" i="5" s="1"/>
  <c r="BF740" i="5" s="1"/>
  <c r="AK681" i="5"/>
  <c r="G708" i="5"/>
  <c r="BR735" i="5"/>
  <c r="BR734" i="5" s="1"/>
  <c r="T746" i="5"/>
  <c r="T817" i="5"/>
  <c r="BG832" i="5"/>
  <c r="BG733" i="5"/>
  <c r="BG739" i="5" s="1"/>
  <c r="K681" i="5"/>
  <c r="H708" i="5"/>
  <c r="AF708" i="5"/>
  <c r="BD708" i="5"/>
  <c r="AS734" i="5"/>
  <c r="BA746" i="5"/>
  <c r="AD746" i="5"/>
  <c r="AJ832" i="5"/>
  <c r="AJ733" i="5"/>
  <c r="AJ739" i="5" s="1"/>
  <c r="L681" i="5"/>
  <c r="I708" i="5"/>
  <c r="BE708" i="5"/>
  <c r="J622" i="5"/>
  <c r="J625" i="5" s="1"/>
  <c r="BI832" i="5"/>
  <c r="BI733" i="5"/>
  <c r="BI739" i="5" s="1"/>
  <c r="BI740" i="5" s="1"/>
  <c r="M681" i="5"/>
  <c r="H745" i="5"/>
  <c r="AW745" i="5"/>
  <c r="O778" i="5"/>
  <c r="V657" i="5"/>
  <c r="AT657" i="5"/>
  <c r="N832" i="5"/>
  <c r="N733" i="5"/>
  <c r="N739" i="5" s="1"/>
  <c r="AL832" i="5"/>
  <c r="AL733" i="5"/>
  <c r="AL739" i="5" s="1"/>
  <c r="BJ832" i="5"/>
  <c r="BJ733" i="5"/>
  <c r="N681" i="5"/>
  <c r="K708" i="5"/>
  <c r="BG708" i="5"/>
  <c r="I745" i="5"/>
  <c r="L708" i="5"/>
  <c r="AJ708" i="5"/>
  <c r="AY745" i="5"/>
  <c r="BH779" i="5"/>
  <c r="P832" i="5"/>
  <c r="P733" i="5"/>
  <c r="P739" i="5" s="1"/>
  <c r="BL832" i="5"/>
  <c r="BL733" i="5"/>
  <c r="BL739" i="5" s="1"/>
  <c r="BL740" i="5" s="1"/>
  <c r="P681" i="5"/>
  <c r="M708" i="5"/>
  <c r="Q745" i="5"/>
  <c r="Q734" i="5"/>
  <c r="AZ745" i="5"/>
  <c r="K733" i="5"/>
  <c r="K739" i="5" s="1"/>
  <c r="AY794" i="5"/>
  <c r="AY804" i="5" s="1"/>
  <c r="AY817" i="5" s="1"/>
  <c r="AY819" i="5" s="1"/>
  <c r="AY724" i="5"/>
  <c r="AY728" i="5" s="1"/>
  <c r="R745" i="5"/>
  <c r="BA745" i="5"/>
  <c r="L733" i="5"/>
  <c r="L739" i="5" s="1"/>
  <c r="BJ779" i="5"/>
  <c r="BK830" i="5" s="1"/>
  <c r="AK832" i="5"/>
  <c r="AM708" i="5"/>
  <c r="BK708" i="5"/>
  <c r="BN841" i="5" s="1"/>
  <c r="M733" i="5"/>
  <c r="M739" i="5" s="1"/>
  <c r="AX724" i="5"/>
  <c r="AX728" i="5" s="1"/>
  <c r="Y724" i="5"/>
  <c r="Y728" i="5" s="1"/>
  <c r="S733" i="5"/>
  <c r="S739" i="5" s="1"/>
  <c r="S740" i="5" s="1"/>
  <c r="S832" i="5"/>
  <c r="AQ733" i="5"/>
  <c r="AQ739" i="5" s="1"/>
  <c r="AQ832" i="5"/>
  <c r="BO832" i="5"/>
  <c r="BO733" i="5"/>
  <c r="BO739" i="5" s="1"/>
  <c r="S681" i="5"/>
  <c r="P708" i="5"/>
  <c r="BL708" i="5"/>
  <c r="BC724" i="5"/>
  <c r="Z794" i="5"/>
  <c r="Z804" i="5" s="1"/>
  <c r="Z817" i="5" s="1"/>
  <c r="Z724" i="5"/>
  <c r="Z728" i="5" s="1"/>
  <c r="BN708" i="5"/>
  <c r="BC745" i="5"/>
  <c r="AG746" i="5"/>
  <c r="BF737" i="5"/>
  <c r="BF746" i="5" s="1"/>
  <c r="Y722" i="5"/>
  <c r="V794" i="5"/>
  <c r="V804" i="5" s="1"/>
  <c r="V817" i="5" s="1"/>
  <c r="V724" i="5"/>
  <c r="V728" i="5" s="1"/>
  <c r="BT789" i="5"/>
  <c r="BU789" i="5" s="1"/>
  <c r="BV789" i="5" s="1"/>
  <c r="BW789" i="5" s="1"/>
  <c r="BX789" i="5" s="1"/>
  <c r="BY789" i="5" s="1"/>
  <c r="BZ789" i="5" s="1"/>
  <c r="CA789" i="5" s="1"/>
  <c r="CB789" i="5" s="1"/>
  <c r="CC789" i="5" s="1"/>
  <c r="CD789" i="5" s="1"/>
  <c r="CE789" i="5" s="1"/>
  <c r="CF789" i="5" s="1"/>
  <c r="BS794" i="5"/>
  <c r="BS804" i="5" s="1"/>
  <c r="BS817" i="5" s="1"/>
  <c r="AH746" i="5"/>
  <c r="BG746" i="5"/>
  <c r="AW819" i="5"/>
  <c r="BN737" i="5"/>
  <c r="BJ737" i="5"/>
  <c r="BJ746" i="5" s="1"/>
  <c r="W794" i="5"/>
  <c r="W804" i="5" s="1"/>
  <c r="W724" i="5"/>
  <c r="W728" i="5" s="1"/>
  <c r="AX745" i="5"/>
  <c r="AT746" i="5"/>
  <c r="BT737" i="5"/>
  <c r="AJ778" i="5"/>
  <c r="AJ779" i="5" s="1"/>
  <c r="AJ741" i="5"/>
  <c r="BO737" i="5"/>
  <c r="BS737" i="5"/>
  <c r="BS746" i="5" s="1"/>
  <c r="BD830" i="5"/>
  <c r="BM794" i="5"/>
  <c r="AW746" i="5"/>
  <c r="BS722" i="5"/>
  <c r="BS726" i="5" s="1"/>
  <c r="G779" i="5"/>
  <c r="BR737" i="5"/>
  <c r="BR746" i="5" s="1"/>
  <c r="U745" i="5"/>
  <c r="D746" i="5"/>
  <c r="AX746" i="5"/>
  <c r="BR761" i="5"/>
  <c r="P722" i="5"/>
  <c r="I741" i="5"/>
  <c r="I778" i="5"/>
  <c r="BH745" i="5"/>
  <c r="E745" i="5"/>
  <c r="AC745" i="5"/>
  <c r="BB745" i="5"/>
  <c r="E746" i="5"/>
  <c r="AK745" i="5"/>
  <c r="Z779" i="5"/>
  <c r="AE830" i="5" s="1"/>
  <c r="BH778" i="5"/>
  <c r="E804" i="5"/>
  <c r="BJ745" i="5"/>
  <c r="F745" i="5"/>
  <c r="F746" i="5"/>
  <c r="AZ737" i="5"/>
  <c r="AZ744" i="5" s="1"/>
  <c r="AN737" i="5"/>
  <c r="AN746" i="5" s="1"/>
  <c r="AT779" i="5"/>
  <c r="AY830" i="5" s="1"/>
  <c r="P765" i="5"/>
  <c r="P779" i="5" s="1"/>
  <c r="BP819" i="5"/>
  <c r="BI778" i="5"/>
  <c r="BI779" i="5" s="1"/>
  <c r="Y745" i="5"/>
  <c r="BK745" i="5"/>
  <c r="AJ734" i="5"/>
  <c r="G731" i="5"/>
  <c r="K731" i="5"/>
  <c r="K745" i="5" s="1"/>
  <c r="G746" i="5"/>
  <c r="AI765" i="5"/>
  <c r="O794" i="5"/>
  <c r="O804" i="5" s="1"/>
  <c r="O817" i="5" s="1"/>
  <c r="AC804" i="5"/>
  <c r="AC817" i="5" s="1"/>
  <c r="AC819" i="5" s="1"/>
  <c r="AF745" i="5"/>
  <c r="BI731" i="5"/>
  <c r="BE731" i="5"/>
  <c r="AP737" i="5"/>
  <c r="AP746" i="5" s="1"/>
  <c r="AN765" i="5"/>
  <c r="BN778" i="5"/>
  <c r="BN779" i="5" s="1"/>
  <c r="H734" i="5"/>
  <c r="AG745" i="5"/>
  <c r="Q746" i="5"/>
  <c r="AK708" i="5"/>
  <c r="D722" i="5"/>
  <c r="D726" i="5" s="1"/>
  <c r="CB733" i="5"/>
  <c r="CC733" i="5" s="1"/>
  <c r="BE737" i="5"/>
  <c r="BE746" i="5" s="1"/>
  <c r="AS765" i="5"/>
  <c r="Y815" i="5"/>
  <c r="AV817" i="5"/>
  <c r="AV819" i="5" s="1"/>
  <c r="N708" i="5"/>
  <c r="AL708" i="5"/>
  <c r="AH745" i="5"/>
  <c r="BO745" i="5"/>
  <c r="BA734" i="5"/>
  <c r="X819" i="5"/>
  <c r="AZ722" i="5"/>
  <c r="AZ726" i="5" s="1"/>
  <c r="AZ765" i="5"/>
  <c r="AZ779" i="5" s="1"/>
  <c r="BA830" i="5" s="1"/>
  <c r="V779" i="5"/>
  <c r="AA830" i="5" s="1"/>
  <c r="AD815" i="5"/>
  <c r="AI745" i="5"/>
  <c r="BP745" i="5"/>
  <c r="BB734" i="5"/>
  <c r="P731" i="5"/>
  <c r="L731" i="5"/>
  <c r="L745" i="5" s="1"/>
  <c r="AE819" i="5"/>
  <c r="AI817" i="5"/>
  <c r="M731" i="5"/>
  <c r="M745" i="5" s="1"/>
  <c r="L734" i="5"/>
  <c r="AF779" i="5"/>
  <c r="AD777" i="5"/>
  <c r="S778" i="5"/>
  <c r="S779" i="5" s="1"/>
  <c r="AS803" i="5"/>
  <c r="AS804" i="5" s="1"/>
  <c r="Q708" i="5"/>
  <c r="AO708" i="5"/>
  <c r="AL745" i="5"/>
  <c r="D734" i="5"/>
  <c r="BD734" i="5"/>
  <c r="M734" i="5"/>
  <c r="N731" i="5"/>
  <c r="N745" i="5" s="1"/>
  <c r="V737" i="5"/>
  <c r="V746" i="5" s="1"/>
  <c r="BX737" i="5"/>
  <c r="H741" i="5"/>
  <c r="BG745" i="5"/>
  <c r="AI723" i="5"/>
  <c r="AI727" i="5" s="1"/>
  <c r="AS815" i="5"/>
  <c r="AM745" i="5"/>
  <c r="BT732" i="5"/>
  <c r="E734" i="5"/>
  <c r="N734" i="5"/>
  <c r="O731" i="5"/>
  <c r="O745" i="5" s="1"/>
  <c r="N737" i="5"/>
  <c r="AN735" i="5"/>
  <c r="AN734" i="5" s="1"/>
  <c r="AN745" i="5"/>
  <c r="O746" i="5"/>
  <c r="J761" i="5"/>
  <c r="J765" i="5" s="1"/>
  <c r="J779" i="5" s="1"/>
  <c r="BF830" i="5"/>
  <c r="BF819" i="5"/>
  <c r="AP819" i="5"/>
  <c r="AS778" i="5"/>
  <c r="BC815" i="5"/>
  <c r="AO731" i="5"/>
  <c r="BX739" i="5"/>
  <c r="BT745" i="5"/>
  <c r="O761" i="5"/>
  <c r="O722" i="5" s="1"/>
  <c r="C830" i="5"/>
  <c r="C819" i="5"/>
  <c r="AX777" i="5"/>
  <c r="BH815" i="5"/>
  <c r="AF746" i="5"/>
  <c r="CC739" i="5"/>
  <c r="BI746" i="5"/>
  <c r="T722" i="5"/>
  <c r="T726" i="5" s="1"/>
  <c r="D830" i="5"/>
  <c r="AG779" i="5"/>
  <c r="BC778" i="5"/>
  <c r="BR789" i="5"/>
  <c r="AA819" i="5"/>
  <c r="T723" i="5"/>
  <c r="AH778" i="5"/>
  <c r="AH741" i="5"/>
  <c r="BJ778" i="5"/>
  <c r="BJ741" i="5"/>
  <c r="C804" i="5"/>
  <c r="C817" i="5" s="1"/>
  <c r="BM803" i="5"/>
  <c r="AQ817" i="5"/>
  <c r="BA819" i="5"/>
  <c r="AB722" i="5"/>
  <c r="AB726" i="5" s="1"/>
  <c r="AB765" i="5"/>
  <c r="AB779" i="5" s="1"/>
  <c r="R779" i="5"/>
  <c r="W830" i="5" s="1"/>
  <c r="O724" i="5"/>
  <c r="D804" i="5"/>
  <c r="D817" i="5" s="1"/>
  <c r="D819" i="5" s="1"/>
  <c r="Y794" i="5"/>
  <c r="Y804" i="5" s="1"/>
  <c r="W817" i="5"/>
  <c r="W819" i="5" s="1"/>
  <c r="U734" i="5"/>
  <c r="AT734" i="5"/>
  <c r="BM765" i="5"/>
  <c r="K741" i="5"/>
  <c r="K778" i="5"/>
  <c r="K779" i="5" s="1"/>
  <c r="BJ794" i="5"/>
  <c r="BJ804" i="5" s="1"/>
  <c r="BR803" i="5"/>
  <c r="V734" i="5"/>
  <c r="W731" i="5"/>
  <c r="W745" i="5" s="1"/>
  <c r="AU734" i="5"/>
  <c r="AV731" i="5"/>
  <c r="BM737" i="5"/>
  <c r="BM746" i="5" s="1"/>
  <c r="AH779" i="5"/>
  <c r="L741" i="5"/>
  <c r="L778" i="5"/>
  <c r="L779" i="5" s="1"/>
  <c r="Q804" i="5"/>
  <c r="Q817" i="5" s="1"/>
  <c r="AS745" i="5"/>
  <c r="AW734" i="5"/>
  <c r="I779" i="5"/>
  <c r="AK779" i="5"/>
  <c r="AB817" i="5"/>
  <c r="BD817" i="5"/>
  <c r="BD819" i="5" s="1"/>
  <c r="AX734" i="5"/>
  <c r="BQ737" i="5"/>
  <c r="BQ746" i="5" s="1"/>
  <c r="AX761" i="5"/>
  <c r="O777" i="5"/>
  <c r="O741" i="5" s="1"/>
  <c r="O740" i="5" s="1"/>
  <c r="AT778" i="5"/>
  <c r="AT741" i="5"/>
  <c r="AX794" i="5"/>
  <c r="AX804" i="5" s="1"/>
  <c r="AX817" i="5" s="1"/>
  <c r="AU731" i="5"/>
  <c r="AU745" i="5" s="1"/>
  <c r="Z734" i="5"/>
  <c r="AE731" i="5"/>
  <c r="AY734" i="5"/>
  <c r="BD731" i="5"/>
  <c r="BD745" i="5" s="1"/>
  <c r="AJ746" i="5"/>
  <c r="BC761" i="5"/>
  <c r="BC722" i="5" s="1"/>
  <c r="AM819" i="5"/>
  <c r="Q778" i="5"/>
  <c r="Q779" i="5" s="1"/>
  <c r="Q741" i="5"/>
  <c r="AU778" i="5"/>
  <c r="AU779" i="5" s="1"/>
  <c r="AU741" i="5"/>
  <c r="D745" i="5"/>
  <c r="AE746" i="5"/>
  <c r="AO779" i="5"/>
  <c r="AI778" i="5"/>
  <c r="E817" i="5"/>
  <c r="E819" i="5" s="1"/>
  <c r="BC794" i="5"/>
  <c r="BI794" i="5"/>
  <c r="BI804" i="5" s="1"/>
  <c r="BI817" i="5" s="1"/>
  <c r="J803" i="5"/>
  <c r="J734" i="5"/>
  <c r="AH734" i="5"/>
  <c r="BF734" i="5"/>
  <c r="BS765" i="5"/>
  <c r="BS779" i="5" s="1"/>
  <c r="BL794" i="5"/>
  <c r="BL804" i="5" s="1"/>
  <c r="BL817" i="5" s="1"/>
  <c r="BL819" i="5" s="1"/>
  <c r="BL724" i="5"/>
  <c r="BL728" i="5" s="1"/>
  <c r="BR723" i="5"/>
  <c r="H779" i="5"/>
  <c r="BR787" i="5"/>
  <c r="AN724" i="5"/>
  <c r="BE817" i="5"/>
  <c r="BE819" i="5" s="1"/>
  <c r="BX808" i="5"/>
  <c r="G817" i="5"/>
  <c r="AT722" i="5"/>
  <c r="AT726" i="5" s="1"/>
  <c r="AQ741" i="5"/>
  <c r="AQ779" i="5"/>
  <c r="AG817" i="5"/>
  <c r="BG817" i="5"/>
  <c r="BO724" i="5"/>
  <c r="Y765" i="5"/>
  <c r="Y779" i="5" s="1"/>
  <c r="AR819" i="5"/>
  <c r="P724" i="5"/>
  <c r="P728" i="5" s="1"/>
  <c r="I817" i="5"/>
  <c r="AH817" i="5"/>
  <c r="AD765" i="5"/>
  <c r="BC803" i="5"/>
  <c r="BG778" i="5"/>
  <c r="BG779" i="5" s="1"/>
  <c r="BG741" i="5"/>
  <c r="BH803" i="5"/>
  <c r="BH804" i="5" s="1"/>
  <c r="BJ817" i="5"/>
  <c r="BQ745" i="5"/>
  <c r="AN777" i="5"/>
  <c r="AN741" i="5" s="1"/>
  <c r="AN740" i="5" s="1"/>
  <c r="J794" i="5"/>
  <c r="J804" i="5" s="1"/>
  <c r="J817" i="5" s="1"/>
  <c r="L817" i="5"/>
  <c r="AK817" i="5"/>
  <c r="BK817" i="5"/>
  <c r="BK819" i="5" s="1"/>
  <c r="O803" i="5"/>
  <c r="BC777" i="5"/>
  <c r="BC741" i="5" s="1"/>
  <c r="Z778" i="5"/>
  <c r="J778" i="5"/>
  <c r="BM777" i="5"/>
  <c r="BM741" i="5" s="1"/>
  <c r="BM740" i="5" s="1"/>
  <c r="U779" i="5"/>
  <c r="AD787" i="5"/>
  <c r="AD724" i="5" s="1"/>
  <c r="K817" i="5"/>
  <c r="H87" i="2"/>
  <c r="G45" i="7"/>
  <c r="G46" i="7" s="1"/>
  <c r="BU12" i="3" l="1"/>
  <c r="AX25" i="3"/>
  <c r="BU25" i="3"/>
  <c r="AV9" i="3"/>
  <c r="AT9" i="3"/>
  <c r="AW9" i="3"/>
  <c r="AU9" i="3"/>
  <c r="AF19" i="3"/>
  <c r="AJ19" i="3"/>
  <c r="V32" i="3"/>
  <c r="W19" i="3"/>
  <c r="AY42" i="3"/>
  <c r="AT24" i="7"/>
  <c r="AG19" i="3"/>
  <c r="AZ42" i="3"/>
  <c r="AX42" i="3"/>
  <c r="BB42" i="3" s="1"/>
  <c r="AF32" i="3"/>
  <c r="AH19" i="3"/>
  <c r="AB19" i="3"/>
  <c r="AD32" i="3"/>
  <c r="O32" i="3"/>
  <c r="S32" i="3"/>
  <c r="AI19" i="3"/>
  <c r="Z19" i="3"/>
  <c r="AQ32" i="3"/>
  <c r="AW18" i="3"/>
  <c r="AS19" i="3"/>
  <c r="AA12" i="2"/>
  <c r="AA21" i="2"/>
  <c r="AD12" i="2"/>
  <c r="AD21" i="2"/>
  <c r="AG12" i="2"/>
  <c r="AG21" i="2"/>
  <c r="AC63" i="2"/>
  <c r="F12" i="2"/>
  <c r="F21" i="2"/>
  <c r="G12" i="2"/>
  <c r="G21" i="2"/>
  <c r="G24" i="2" s="1"/>
  <c r="G7" i="2" s="1"/>
  <c r="AQ12" i="2"/>
  <c r="AQ21" i="2"/>
  <c r="AQ34" i="2" s="1"/>
  <c r="AQ42" i="2" s="1"/>
  <c r="S12" i="2"/>
  <c r="S21" i="2"/>
  <c r="S34" i="2" s="1"/>
  <c r="S42" i="2" s="1"/>
  <c r="S43" i="2" s="1"/>
  <c r="P12" i="2"/>
  <c r="P21" i="2"/>
  <c r="P24" i="2" s="1"/>
  <c r="P7" i="2" s="1"/>
  <c r="G86" i="2"/>
  <c r="Z24" i="2"/>
  <c r="Z7" i="2" s="1"/>
  <c r="Z12" i="2"/>
  <c r="I12" i="2"/>
  <c r="AB12" i="2"/>
  <c r="R24" i="2"/>
  <c r="R7" i="2" s="1"/>
  <c r="R12" i="2"/>
  <c r="AI24" i="2"/>
  <c r="AI7" i="2" s="1"/>
  <c r="AI12" i="2"/>
  <c r="N24" i="2"/>
  <c r="N7" i="2" s="1"/>
  <c r="N12" i="2"/>
  <c r="O12" i="2"/>
  <c r="K24" i="2"/>
  <c r="K7" i="2" s="1"/>
  <c r="K12" i="2"/>
  <c r="AO24" i="2"/>
  <c r="AO7" i="2" s="1"/>
  <c r="AO12" i="2"/>
  <c r="Y12" i="2"/>
  <c r="AN12" i="2"/>
  <c r="W24" i="2"/>
  <c r="W7" i="2" s="1"/>
  <c r="W12" i="2"/>
  <c r="AP12" i="2"/>
  <c r="AC12" i="2"/>
  <c r="AH41" i="2"/>
  <c r="H12" i="2"/>
  <c r="AS12" i="2"/>
  <c r="AJ24" i="2"/>
  <c r="AJ7" i="2" s="1"/>
  <c r="AJ12" i="2"/>
  <c r="Q24" i="2"/>
  <c r="Q7" i="2" s="1"/>
  <c r="Q12" i="2"/>
  <c r="AH24" i="2"/>
  <c r="AH7" i="2" s="1"/>
  <c r="AH12" i="2"/>
  <c r="L24" i="2"/>
  <c r="L7" i="2" s="1"/>
  <c r="L12" i="2"/>
  <c r="V12" i="2"/>
  <c r="AD24" i="2"/>
  <c r="AD7" i="2" s="1"/>
  <c r="J34" i="2"/>
  <c r="J42" i="2" s="1"/>
  <c r="J12" i="2"/>
  <c r="AE12" i="2"/>
  <c r="U34" i="2"/>
  <c r="U42" i="2" s="1"/>
  <c r="U43" i="2" s="1"/>
  <c r="U46" i="2" s="1"/>
  <c r="U47" i="2" s="1"/>
  <c r="U12" i="2"/>
  <c r="AF24" i="2"/>
  <c r="AF7" i="2" s="1"/>
  <c r="AF12" i="2"/>
  <c r="AM12" i="2"/>
  <c r="AL24" i="2"/>
  <c r="AL7" i="2" s="1"/>
  <c r="AL12" i="2"/>
  <c r="X24" i="2"/>
  <c r="X7" i="2" s="1"/>
  <c r="X12" i="2"/>
  <c r="T34" i="2"/>
  <c r="T42" i="2" s="1"/>
  <c r="T43" i="2" s="1"/>
  <c r="T12" i="2"/>
  <c r="AA24" i="2"/>
  <c r="AA7" i="2" s="1"/>
  <c r="AK24" i="2"/>
  <c r="AK7" i="2" s="1"/>
  <c r="AK12" i="2"/>
  <c r="M24" i="2"/>
  <c r="M7" i="2" s="1"/>
  <c r="M12" i="2"/>
  <c r="AR24" i="2"/>
  <c r="AR7" i="2" s="1"/>
  <c r="AR12" i="2"/>
  <c r="AB24" i="2"/>
  <c r="AB7" i="2" s="1"/>
  <c r="AB34" i="2"/>
  <c r="AB42" i="2" s="1"/>
  <c r="W63" i="2"/>
  <c r="H63" i="2"/>
  <c r="H41" i="2"/>
  <c r="H7" i="7"/>
  <c r="AN41" i="2"/>
  <c r="AN7" i="7"/>
  <c r="AK63" i="2"/>
  <c r="J41" i="2"/>
  <c r="J7" i="7"/>
  <c r="I80" i="2"/>
  <c r="G41" i="2"/>
  <c r="H4" i="7"/>
  <c r="H14" i="7" s="1"/>
  <c r="K80" i="2"/>
  <c r="AO81" i="2"/>
  <c r="AV24" i="7"/>
  <c r="AU24" i="7"/>
  <c r="AW24" i="7"/>
  <c r="BA12" i="3"/>
  <c r="AZ12" i="3"/>
  <c r="AY12" i="3"/>
  <c r="AX12" i="3"/>
  <c r="BV12" i="3" s="1"/>
  <c r="H91" i="2"/>
  <c r="H85" i="2"/>
  <c r="H86" i="2" s="1"/>
  <c r="H94" i="2"/>
  <c r="U24" i="2"/>
  <c r="U7" i="2" s="1"/>
  <c r="G81" i="2"/>
  <c r="AF63" i="2"/>
  <c r="F80" i="2"/>
  <c r="AF34" i="2"/>
  <c r="AF42" i="2" s="1"/>
  <c r="AF80" i="2"/>
  <c r="J80" i="2"/>
  <c r="R34" i="2"/>
  <c r="R42" i="2" s="1"/>
  <c r="R43" i="2" s="1"/>
  <c r="W34" i="2"/>
  <c r="W42" i="2" s="1"/>
  <c r="W43" i="2" s="1"/>
  <c r="X63" i="2"/>
  <c r="I4" i="2"/>
  <c r="AN80" i="2"/>
  <c r="U32" i="3"/>
  <c r="AP19" i="3"/>
  <c r="Y32" i="3"/>
  <c r="H80" i="2"/>
  <c r="AH32" i="3"/>
  <c r="Z34" i="2"/>
  <c r="Z42" i="2" s="1"/>
  <c r="Z43" i="2" s="1"/>
  <c r="O80" i="2"/>
  <c r="AT44" i="2"/>
  <c r="AD19" i="3"/>
  <c r="Q32" i="3"/>
  <c r="S63" i="2"/>
  <c r="AG32" i="3"/>
  <c r="Q34" i="2"/>
  <c r="Q42" i="2" s="1"/>
  <c r="AG63" i="2"/>
  <c r="X80" i="2"/>
  <c r="AE19" i="3"/>
  <c r="AE32" i="3"/>
  <c r="M34" i="2"/>
  <c r="M42" i="2" s="1"/>
  <c r="M43" i="2" s="1"/>
  <c r="S19" i="3"/>
  <c r="AW30" i="3"/>
  <c r="AH63" i="2"/>
  <c r="AV30" i="3"/>
  <c r="K35" i="1"/>
  <c r="U465" i="5"/>
  <c r="BN819" i="5"/>
  <c r="BN830" i="5"/>
  <c r="AJ819" i="5"/>
  <c r="AJ830" i="5"/>
  <c r="AD465" i="5"/>
  <c r="AD464" i="5"/>
  <c r="AF464" i="5"/>
  <c r="BO819" i="5"/>
  <c r="BP830" i="5"/>
  <c r="AX465" i="5"/>
  <c r="AX464" i="5"/>
  <c r="AZ464" i="5"/>
  <c r="BJ439" i="5"/>
  <c r="BJ426" i="5"/>
  <c r="BJ438" i="5"/>
  <c r="AD415" i="5"/>
  <c r="AD422" i="5"/>
  <c r="AD262" i="5"/>
  <c r="AU819" i="5"/>
  <c r="AV830" i="5"/>
  <c r="AG711" i="5"/>
  <c r="T286" i="5"/>
  <c r="T317" i="5"/>
  <c r="T331" i="5" s="1"/>
  <c r="T409" i="5" s="1"/>
  <c r="T263" i="5" s="1"/>
  <c r="BI830" i="5"/>
  <c r="BI819" i="5"/>
  <c r="J819" i="5"/>
  <c r="J830" i="5"/>
  <c r="S819" i="5"/>
  <c r="S830" i="5"/>
  <c r="X830" i="5"/>
  <c r="Y664" i="5"/>
  <c r="Y480" i="5" s="1"/>
  <c r="Y478" i="5"/>
  <c r="T832" i="5"/>
  <c r="T733" i="5"/>
  <c r="T734" i="5" s="1"/>
  <c r="T681" i="5"/>
  <c r="T484" i="5"/>
  <c r="Z664" i="5"/>
  <c r="Z480" i="5" s="1"/>
  <c r="Z478" i="5"/>
  <c r="F526" i="5"/>
  <c r="AT526" i="5"/>
  <c r="BQ728" i="5"/>
  <c r="BV724" i="5"/>
  <c r="CA724" i="5" s="1"/>
  <c r="O743" i="5"/>
  <c r="AS464" i="5"/>
  <c r="AM722" i="5"/>
  <c r="AM726" i="5" s="1"/>
  <c r="BC743" i="5"/>
  <c r="BC734" i="5"/>
  <c r="E739" i="5"/>
  <c r="E740" i="5" s="1"/>
  <c r="L269" i="5"/>
  <c r="L416" i="5"/>
  <c r="AG286" i="5"/>
  <c r="AG317" i="5"/>
  <c r="AG331" i="5" s="1"/>
  <c r="AG409" i="5" s="1"/>
  <c r="AG263" i="5" s="1"/>
  <c r="AD288" i="5"/>
  <c r="AD333" i="5"/>
  <c r="AD357" i="5" s="1"/>
  <c r="F728" i="5"/>
  <c r="AG726" i="5"/>
  <c r="AH286" i="5"/>
  <c r="AH317" i="5"/>
  <c r="AH331" i="5" s="1"/>
  <c r="AH409" i="5" s="1"/>
  <c r="AH263" i="5" s="1"/>
  <c r="F359" i="5"/>
  <c r="F393" i="5" s="1"/>
  <c r="F395" i="5"/>
  <c r="F398" i="5" s="1"/>
  <c r="BM257" i="5"/>
  <c r="BM258" i="5" s="1"/>
  <c r="BM254" i="5"/>
  <c r="BM255" i="5" s="1"/>
  <c r="AJ55" i="5"/>
  <c r="AO55" i="5"/>
  <c r="Y817" i="5"/>
  <c r="BC728" i="5"/>
  <c r="S664" i="5"/>
  <c r="S480" i="5" s="1"/>
  <c r="S478" i="5"/>
  <c r="AQ664" i="5"/>
  <c r="AQ480" i="5" s="1"/>
  <c r="AQ478" i="5"/>
  <c r="BC625" i="5"/>
  <c r="BF664" i="5"/>
  <c r="BF480" i="5" s="1"/>
  <c r="BF478" i="5"/>
  <c r="BS841" i="5"/>
  <c r="BE465" i="5"/>
  <c r="BE464" i="5"/>
  <c r="R739" i="5"/>
  <c r="BN286" i="5"/>
  <c r="BN317" i="5"/>
  <c r="BN331" i="5" s="1"/>
  <c r="BN409" i="5" s="1"/>
  <c r="BN263" i="5" s="1"/>
  <c r="BP415" i="5"/>
  <c r="BP422" i="5"/>
  <c r="BP262" i="5"/>
  <c r="V465" i="5"/>
  <c r="V464" i="5"/>
  <c r="F726" i="5"/>
  <c r="AD726" i="5"/>
  <c r="O290" i="5"/>
  <c r="O292" i="5"/>
  <c r="T826" i="5"/>
  <c r="T32" i="5"/>
  <c r="T30" i="5"/>
  <c r="T29" i="5"/>
  <c r="Y819" i="5"/>
  <c r="Y830" i="5"/>
  <c r="BK737" i="5"/>
  <c r="BJ740" i="5"/>
  <c r="BT412" i="5"/>
  <c r="AS779" i="5"/>
  <c r="O765" i="5"/>
  <c r="O779" i="5" s="1"/>
  <c r="BT825" i="5"/>
  <c r="BU508" i="5"/>
  <c r="BT506" i="5"/>
  <c r="BT784" i="5" s="1"/>
  <c r="BC708" i="5"/>
  <c r="BC491" i="5"/>
  <c r="BC657" i="5"/>
  <c r="AI708" i="5"/>
  <c r="AI491" i="5"/>
  <c r="AE526" i="5"/>
  <c r="AK422" i="5"/>
  <c r="AK415" i="5"/>
  <c r="AK262" i="5"/>
  <c r="AO317" i="5"/>
  <c r="AO331" i="5" s="1"/>
  <c r="AO409" i="5" s="1"/>
  <c r="AO263" i="5" s="1"/>
  <c r="AO286" i="5"/>
  <c r="BU722" i="5"/>
  <c r="BZ722" i="5" s="1"/>
  <c r="BP726" i="5"/>
  <c r="BD743" i="5"/>
  <c r="AE743" i="5"/>
  <c r="AE290" i="5"/>
  <c r="AE292" i="5"/>
  <c r="Y286" i="5"/>
  <c r="Y317" i="5"/>
  <c r="Y331" i="5" s="1"/>
  <c r="Y409" i="5" s="1"/>
  <c r="Y263" i="5" s="1"/>
  <c r="E415" i="5"/>
  <c r="E409" i="5"/>
  <c r="E263" i="5" s="1"/>
  <c r="E422" i="5"/>
  <c r="E262" i="5"/>
  <c r="AR395" i="5"/>
  <c r="AR398" i="5" s="1"/>
  <c r="AR359" i="5"/>
  <c r="AR393" i="5" s="1"/>
  <c r="I269" i="5"/>
  <c r="I416" i="5"/>
  <c r="BA415" i="5"/>
  <c r="BA262" i="5"/>
  <c r="BA422" i="5"/>
  <c r="AZ723" i="5"/>
  <c r="AZ727" i="5" s="1"/>
  <c r="AX254" i="5"/>
  <c r="AX255" i="5" s="1"/>
  <c r="J290" i="5"/>
  <c r="J292" i="5"/>
  <c r="X826" i="5"/>
  <c r="X33" i="5"/>
  <c r="X30" i="5"/>
  <c r="X29" i="5"/>
  <c r="X34" i="5"/>
  <c r="X32" i="5"/>
  <c r="AM58" i="5"/>
  <c r="AM54" i="5" s="1"/>
  <c r="AM39" i="5"/>
  <c r="AR39" i="5"/>
  <c r="AT740" i="5"/>
  <c r="AY737" i="5"/>
  <c r="AU737" i="5"/>
  <c r="AU746" i="5" s="1"/>
  <c r="X734" i="5"/>
  <c r="BO740" i="5"/>
  <c r="BP737" i="5"/>
  <c r="Q664" i="5"/>
  <c r="Q478" i="5"/>
  <c r="AG664" i="5"/>
  <c r="AG480" i="5" s="1"/>
  <c r="AG478" i="5"/>
  <c r="AV664" i="5"/>
  <c r="AV478" i="5"/>
  <c r="D526" i="5"/>
  <c r="D521" i="5"/>
  <c r="BS664" i="5"/>
  <c r="BS480" i="5" s="1"/>
  <c r="BS478" i="5"/>
  <c r="BH625" i="5"/>
  <c r="T491" i="5"/>
  <c r="Y743" i="5"/>
  <c r="Y734" i="5"/>
  <c r="AT728" i="5"/>
  <c r="BU723" i="5"/>
  <c r="BZ723" i="5" s="1"/>
  <c r="AA743" i="5"/>
  <c r="AA734" i="5"/>
  <c r="AA745" i="5"/>
  <c r="AS279" i="5"/>
  <c r="AS301" i="5"/>
  <c r="AS306" i="5" s="1"/>
  <c r="BS317" i="5"/>
  <c r="BS331" i="5" s="1"/>
  <c r="BS409" i="5" s="1"/>
  <c r="BS263" i="5" s="1"/>
  <c r="BS286" i="5"/>
  <c r="AB288" i="5"/>
  <c r="AB333" i="5"/>
  <c r="AB357" i="5" s="1"/>
  <c r="E727" i="5"/>
  <c r="AS431" i="5"/>
  <c r="I430" i="5"/>
  <c r="AN722" i="5"/>
  <c r="AN726" i="5" s="1"/>
  <c r="AN723" i="5"/>
  <c r="AN727" i="5" s="1"/>
  <c r="AN268" i="5"/>
  <c r="AN254" i="5"/>
  <c r="AN255" i="5" s="1"/>
  <c r="AN266" i="5"/>
  <c r="AN267" i="5"/>
  <c r="AN261" i="5"/>
  <c r="AN833" i="5" s="1"/>
  <c r="AN405" i="5"/>
  <c r="AN408" i="5" s="1"/>
  <c r="AN13" i="5"/>
  <c r="AS13" i="5"/>
  <c r="AN257" i="5"/>
  <c r="AN258" i="5" s="1"/>
  <c r="AZ724" i="5"/>
  <c r="AZ728" i="5" s="1"/>
  <c r="J266" i="5"/>
  <c r="J405" i="5"/>
  <c r="J408" i="5" s="1"/>
  <c r="J261" i="5"/>
  <c r="J833" i="5" s="1"/>
  <c r="L723" i="5"/>
  <c r="N723" i="5"/>
  <c r="J254" i="5"/>
  <c r="J255" i="5" s="1"/>
  <c r="V426" i="5"/>
  <c r="V438" i="5"/>
  <c r="CC10" i="5"/>
  <c r="CD22" i="5"/>
  <c r="AA32" i="3"/>
  <c r="W32" i="3"/>
  <c r="BO728" i="5"/>
  <c r="BT724" i="5"/>
  <c r="BY724" i="5" s="1"/>
  <c r="BC804" i="5"/>
  <c r="AI737" i="5"/>
  <c r="AH740" i="5"/>
  <c r="AS817" i="5"/>
  <c r="I734" i="5"/>
  <c r="BQ740" i="5"/>
  <c r="AT664" i="5"/>
  <c r="AT480" i="5" s="1"/>
  <c r="AT478" i="5"/>
  <c r="BC739" i="5"/>
  <c r="AJ664" i="5"/>
  <c r="AJ480" i="5" s="1"/>
  <c r="AJ478" i="5"/>
  <c r="P838" i="5"/>
  <c r="L664" i="5"/>
  <c r="L478" i="5"/>
  <c r="AO459" i="5"/>
  <c r="AT465" i="5" s="1"/>
  <c r="R465" i="5"/>
  <c r="R464" i="5"/>
  <c r="BP728" i="5"/>
  <c r="BU724" i="5"/>
  <c r="BZ724" i="5" s="1"/>
  <c r="AE415" i="5"/>
  <c r="AE422" i="5"/>
  <c r="AE262" i="5"/>
  <c r="R395" i="5"/>
  <c r="R398" i="5" s="1"/>
  <c r="R359" i="5"/>
  <c r="R393" i="5" s="1"/>
  <c r="E728" i="5"/>
  <c r="L432" i="5"/>
  <c r="L441" i="5"/>
  <c r="AV416" i="5"/>
  <c r="AV269" i="5"/>
  <c r="BE317" i="5"/>
  <c r="BE331" i="5" s="1"/>
  <c r="BE409" i="5" s="1"/>
  <c r="BE263" i="5" s="1"/>
  <c r="BE286" i="5"/>
  <c r="BA723" i="5"/>
  <c r="BA727" i="5" s="1"/>
  <c r="BL439" i="5"/>
  <c r="BL426" i="5"/>
  <c r="W823" i="5"/>
  <c r="W292" i="5"/>
  <c r="W290" i="5"/>
  <c r="AU416" i="5"/>
  <c r="AU269" i="5"/>
  <c r="AI34" i="5"/>
  <c r="AI12" i="5"/>
  <c r="AN12" i="5"/>
  <c r="AI25" i="5"/>
  <c r="AA81" i="2"/>
  <c r="AA80" i="2"/>
  <c r="Z81" i="2"/>
  <c r="Z80" i="2"/>
  <c r="BC740" i="5"/>
  <c r="BM778" i="5"/>
  <c r="BM779" i="5" s="1"/>
  <c r="AD794" i="5"/>
  <c r="AD804" i="5" s="1"/>
  <c r="AD817" i="5" s="1"/>
  <c r="AO745" i="5"/>
  <c r="AO734" i="5"/>
  <c r="AI779" i="5"/>
  <c r="G819" i="5"/>
  <c r="G830" i="5"/>
  <c r="BN746" i="5"/>
  <c r="BN744" i="5"/>
  <c r="Z838" i="5"/>
  <c r="V664" i="5"/>
  <c r="V711" i="5" s="1"/>
  <c r="V478" i="5"/>
  <c r="BL664" i="5"/>
  <c r="BL480" i="5" s="1"/>
  <c r="BL478" i="5"/>
  <c r="AL830" i="5"/>
  <c r="AL819" i="5"/>
  <c r="AL737" i="5"/>
  <c r="AO664" i="5"/>
  <c r="AO480" i="5" s="1"/>
  <c r="AO478" i="5"/>
  <c r="BR664" i="5"/>
  <c r="BR480" i="5" s="1"/>
  <c r="BR478" i="5"/>
  <c r="H664" i="5"/>
  <c r="H480" i="5" s="1"/>
  <c r="H478" i="5"/>
  <c r="AI657" i="5"/>
  <c r="AD625" i="5"/>
  <c r="BQ415" i="5"/>
  <c r="BQ422" i="5"/>
  <c r="BQ262" i="5"/>
  <c r="X465" i="5"/>
  <c r="X464" i="5"/>
  <c r="AC465" i="5"/>
  <c r="R422" i="5"/>
  <c r="R415" i="5"/>
  <c r="R262" i="5"/>
  <c r="AJ422" i="5"/>
  <c r="AJ415" i="5"/>
  <c r="AJ262" i="5"/>
  <c r="AP422" i="5"/>
  <c r="AP262" i="5"/>
  <c r="AP415" i="5"/>
  <c r="AP744" i="5"/>
  <c r="K823" i="5"/>
  <c r="K290" i="5"/>
  <c r="K292" i="5"/>
  <c r="BE726" i="5"/>
  <c r="AO743" i="5"/>
  <c r="BL269" i="5"/>
  <c r="BL416" i="5"/>
  <c r="AM32" i="3"/>
  <c r="AI32" i="3"/>
  <c r="BX11" i="5"/>
  <c r="BC765" i="5"/>
  <c r="BC779" i="5" s="1"/>
  <c r="AX722" i="5"/>
  <c r="AX726" i="5" s="1"/>
  <c r="AX765" i="5"/>
  <c r="K819" i="5"/>
  <c r="K830" i="5"/>
  <c r="BC817" i="5"/>
  <c r="P664" i="5"/>
  <c r="P480" i="5" s="1"/>
  <c r="P478" i="5"/>
  <c r="E726" i="5"/>
  <c r="AE664" i="5"/>
  <c r="AE480" i="5" s="1"/>
  <c r="AE478" i="5"/>
  <c r="C664" i="5"/>
  <c r="C480" i="5" s="1"/>
  <c r="C478" i="5"/>
  <c r="BN739" i="5"/>
  <c r="BN740" i="5" s="1"/>
  <c r="AD708" i="5"/>
  <c r="AD491" i="5"/>
  <c r="R726" i="5"/>
  <c r="BR415" i="5"/>
  <c r="BR422" i="5"/>
  <c r="BR262" i="5"/>
  <c r="BH723" i="5"/>
  <c r="BH727" i="5" s="1"/>
  <c r="BH722" i="5"/>
  <c r="BH726" i="5" s="1"/>
  <c r="BH724" i="5"/>
  <c r="BH728" i="5" s="1"/>
  <c r="BH405" i="5"/>
  <c r="BH408" i="5" s="1"/>
  <c r="BH268" i="5"/>
  <c r="BH266" i="5"/>
  <c r="BM13" i="5"/>
  <c r="BH13" i="5"/>
  <c r="BH267" i="5"/>
  <c r="BK723" i="5"/>
  <c r="BK727" i="5" s="1"/>
  <c r="BJ722" i="5"/>
  <c r="BJ726" i="5" s="1"/>
  <c r="BH261" i="5"/>
  <c r="BH833" i="5" s="1"/>
  <c r="BE727" i="5"/>
  <c r="AI722" i="5"/>
  <c r="AI726" i="5" s="1"/>
  <c r="AI724" i="5"/>
  <c r="AI728" i="5" s="1"/>
  <c r="AI405" i="5"/>
  <c r="AI408" i="5" s="1"/>
  <c r="AI257" i="5"/>
  <c r="AI258" i="5" s="1"/>
  <c r="AI268" i="5"/>
  <c r="AI254" i="5"/>
  <c r="AI255" i="5" s="1"/>
  <c r="AI266" i="5"/>
  <c r="AI267" i="5"/>
  <c r="AI261" i="5"/>
  <c r="AI833" i="5" s="1"/>
  <c r="AI13" i="5"/>
  <c r="AM723" i="5"/>
  <c r="AM727" i="5" s="1"/>
  <c r="AL724" i="5"/>
  <c r="AL728" i="5" s="1"/>
  <c r="BE826" i="5"/>
  <c r="BE32" i="5"/>
  <c r="BE30" i="5"/>
  <c r="BE34" i="5"/>
  <c r="BE29" i="5"/>
  <c r="BE33" i="5"/>
  <c r="Q826" i="5"/>
  <c r="Q30" i="5"/>
  <c r="Q33" i="5"/>
  <c r="Q29" i="5"/>
  <c r="Q32" i="5"/>
  <c r="AQ830" i="5"/>
  <c r="AQ819" i="5"/>
  <c r="K740" i="5"/>
  <c r="L737" i="5"/>
  <c r="P737" i="5"/>
  <c r="AO841" i="5"/>
  <c r="AQ734" i="5"/>
  <c r="BS711" i="5"/>
  <c r="AE841" i="5"/>
  <c r="AA711" i="5"/>
  <c r="BK664" i="5"/>
  <c r="BK480" i="5" s="1"/>
  <c r="BK478" i="5"/>
  <c r="BR625" i="5"/>
  <c r="BD664" i="5"/>
  <c r="BD480" i="5" s="1"/>
  <c r="BD478" i="5"/>
  <c r="AY726" i="5"/>
  <c r="P743" i="5"/>
  <c r="R727" i="5"/>
  <c r="AR422" i="5"/>
  <c r="AR262" i="5"/>
  <c r="AR415" i="5"/>
  <c r="W438" i="5"/>
  <c r="W426" i="5"/>
  <c r="AT438" i="5"/>
  <c r="AP722" i="5"/>
  <c r="AP726" i="5" s="1"/>
  <c r="BK724" i="5"/>
  <c r="BK728" i="5" s="1"/>
  <c r="BL286" i="5"/>
  <c r="BL317" i="5"/>
  <c r="BL331" i="5" s="1"/>
  <c r="BL409" i="5" s="1"/>
  <c r="BL263" i="5" s="1"/>
  <c r="AF415" i="5"/>
  <c r="AF422" i="5"/>
  <c r="AF262" i="5"/>
  <c r="P519" i="5"/>
  <c r="P520" i="5"/>
  <c r="P270" i="5"/>
  <c r="AI301" i="5"/>
  <c r="AI306" i="5" s="1"/>
  <c r="AI279" i="5"/>
  <c r="AY288" i="5"/>
  <c r="AY333" i="5"/>
  <c r="AY357" i="5" s="1"/>
  <c r="O517" i="5"/>
  <c r="AN53" i="5"/>
  <c r="J826" i="5"/>
  <c r="J33" i="5"/>
  <c r="J29" i="5"/>
  <c r="J31" i="5" s="1"/>
  <c r="AQ740" i="5"/>
  <c r="AR737" i="5"/>
  <c r="F830" i="5"/>
  <c r="K734" i="5"/>
  <c r="F734" i="5"/>
  <c r="AY711" i="5"/>
  <c r="AT711" i="5"/>
  <c r="AT827" i="5" s="1"/>
  <c r="AS625" i="5"/>
  <c r="D628" i="5"/>
  <c r="E627" i="5" s="1"/>
  <c r="E628" i="5" s="1"/>
  <c r="F627" i="5" s="1"/>
  <c r="F628" i="5" s="1"/>
  <c r="G627" i="5" s="1"/>
  <c r="BJ744" i="5"/>
  <c r="C475" i="5"/>
  <c r="D465" i="5"/>
  <c r="R728" i="5"/>
  <c r="AR722" i="5"/>
  <c r="AR726" i="5" s="1"/>
  <c r="AT439" i="5"/>
  <c r="AP724" i="5"/>
  <c r="AK724" i="5"/>
  <c r="AK728" i="5" s="1"/>
  <c r="AE438" i="5"/>
  <c r="AZ465" i="5"/>
  <c r="AA333" i="5"/>
  <c r="AA357" i="5" s="1"/>
  <c r="AA288" i="5"/>
  <c r="AO830" i="5"/>
  <c r="AO819" i="5"/>
  <c r="I737" i="5"/>
  <c r="H740" i="5"/>
  <c r="P745" i="5"/>
  <c r="P734" i="5"/>
  <c r="Z819" i="5"/>
  <c r="Z830" i="5"/>
  <c r="BM804" i="5"/>
  <c r="BM817" i="5" s="1"/>
  <c r="AJ841" i="5"/>
  <c r="T819" i="5"/>
  <c r="T830" i="5"/>
  <c r="AL664" i="5"/>
  <c r="AL480" i="5" s="1"/>
  <c r="AL478" i="5"/>
  <c r="CB625" i="5"/>
  <c r="BU802" i="5"/>
  <c r="BV507" i="5"/>
  <c r="BJ464" i="5"/>
  <c r="BJ465" i="5"/>
  <c r="AB739" i="5"/>
  <c r="AB740" i="5" s="1"/>
  <c r="S422" i="5"/>
  <c r="S262" i="5"/>
  <c r="S415" i="5"/>
  <c r="AR727" i="5"/>
  <c r="BO438" i="5"/>
  <c r="AD743" i="5"/>
  <c r="AD745" i="5"/>
  <c r="AD734" i="5"/>
  <c r="BO415" i="5"/>
  <c r="BO422" i="5"/>
  <c r="BO262" i="5"/>
  <c r="Y465" i="5"/>
  <c r="Y464" i="5"/>
  <c r="BF422" i="5"/>
  <c r="BF415" i="5"/>
  <c r="BF262" i="5"/>
  <c r="AX301" i="5"/>
  <c r="AX306" i="5" s="1"/>
  <c r="AX279" i="5"/>
  <c r="BC415" i="5"/>
  <c r="BC262" i="5"/>
  <c r="BC422" i="5"/>
  <c r="AZ415" i="5"/>
  <c r="AZ262" i="5"/>
  <c r="AZ422" i="5"/>
  <c r="AL290" i="5"/>
  <c r="AL292" i="5"/>
  <c r="BB288" i="5"/>
  <c r="BB333" i="5"/>
  <c r="BB357" i="5" s="1"/>
  <c r="BC9" i="5"/>
  <c r="BC25" i="5"/>
  <c r="BC59" i="5"/>
  <c r="BH9" i="5"/>
  <c r="S395" i="5"/>
  <c r="S398" i="5" s="1"/>
  <c r="S359" i="5"/>
  <c r="S393" i="5" s="1"/>
  <c r="AS38" i="5"/>
  <c r="AS49" i="5"/>
  <c r="AS57" i="5"/>
  <c r="AS53" i="5" s="1"/>
  <c r="AN58" i="5"/>
  <c r="G745" i="5"/>
  <c r="G734" i="5"/>
  <c r="BL734" i="5"/>
  <c r="F711" i="5"/>
  <c r="F827" i="5" s="1"/>
  <c r="BW783" i="5"/>
  <c r="BV509" i="5"/>
  <c r="AQ711" i="5"/>
  <c r="AT840" i="5"/>
  <c r="BI664" i="5"/>
  <c r="BI478" i="5"/>
  <c r="E521" i="5"/>
  <c r="E526" i="5"/>
  <c r="AL465" i="5"/>
  <c r="AL464" i="5"/>
  <c r="BS745" i="5"/>
  <c r="BS743" i="5"/>
  <c r="BS734" i="5"/>
  <c r="AT745" i="5"/>
  <c r="AT743" i="5"/>
  <c r="AN657" i="5"/>
  <c r="BT465" i="5"/>
  <c r="BT464" i="5"/>
  <c r="BT455" i="5"/>
  <c r="BU462" i="5"/>
  <c r="BU459" i="5"/>
  <c r="BT472" i="5"/>
  <c r="BT475" i="5" s="1"/>
  <c r="AK727" i="5"/>
  <c r="W464" i="5"/>
  <c r="BT722" i="5"/>
  <c r="BY722" i="5" s="1"/>
  <c r="BO726" i="5"/>
  <c r="BM279" i="5"/>
  <c r="BM301" i="5"/>
  <c r="BM306" i="5" s="1"/>
  <c r="AX723" i="5"/>
  <c r="AX727" i="5" s="1"/>
  <c r="AX267" i="5"/>
  <c r="BC13" i="5"/>
  <c r="AX405" i="5"/>
  <c r="AX408" i="5" s="1"/>
  <c r="AX266" i="5"/>
  <c r="AX13" i="5"/>
  <c r="AX261" i="5"/>
  <c r="AX833" i="5" s="1"/>
  <c r="BA724" i="5"/>
  <c r="BA728" i="5" s="1"/>
  <c r="S826" i="5"/>
  <c r="S33" i="5"/>
  <c r="S29" i="5"/>
  <c r="S32" i="5"/>
  <c r="S30" i="5"/>
  <c r="AZ288" i="5"/>
  <c r="AZ333" i="5"/>
  <c r="AZ357" i="5" s="1"/>
  <c r="P395" i="5"/>
  <c r="P398" i="5" s="1"/>
  <c r="P359" i="5"/>
  <c r="P393" i="5" s="1"/>
  <c r="BY808" i="5"/>
  <c r="Y740" i="5"/>
  <c r="Y746" i="5"/>
  <c r="BP664" i="5"/>
  <c r="BP480" i="5" s="1"/>
  <c r="BP478" i="5"/>
  <c r="M664" i="5"/>
  <c r="M480" i="5" s="1"/>
  <c r="M478" i="5"/>
  <c r="AH664" i="5"/>
  <c r="AH478" i="5"/>
  <c r="G480" i="5"/>
  <c r="AV743" i="5"/>
  <c r="AJ526" i="5"/>
  <c r="AJ521" i="5"/>
  <c r="N464" i="5"/>
  <c r="N465" i="5"/>
  <c r="AU743" i="5"/>
  <c r="S727" i="5"/>
  <c r="Q409" i="5"/>
  <c r="Q263" i="5" s="1"/>
  <c r="Q422" i="5"/>
  <c r="Q262" i="5"/>
  <c r="Q415" i="5"/>
  <c r="BF743" i="5"/>
  <c r="BF745" i="5"/>
  <c r="BC431" i="5"/>
  <c r="BT723" i="5"/>
  <c r="BY723" i="5" s="1"/>
  <c r="BO727" i="5"/>
  <c r="BG415" i="5"/>
  <c r="BG262" i="5"/>
  <c r="BG422" i="5"/>
  <c r="AX257" i="5"/>
  <c r="AX258" i="5" s="1"/>
  <c r="AY422" i="5"/>
  <c r="AY415" i="5"/>
  <c r="AY262" i="5"/>
  <c r="G359" i="5"/>
  <c r="G393" i="5" s="1"/>
  <c r="G395" i="5"/>
  <c r="G398" i="5" s="1"/>
  <c r="BB826" i="5"/>
  <c r="BB30" i="5"/>
  <c r="BB33" i="5"/>
  <c r="BB29" i="5"/>
  <c r="BB31" i="5" s="1"/>
  <c r="BB35" i="5" s="1"/>
  <c r="BB32" i="5"/>
  <c r="BB34" i="5"/>
  <c r="T33" i="5"/>
  <c r="AK830" i="5"/>
  <c r="AK819" i="5"/>
  <c r="CC832" i="5"/>
  <c r="CC681" i="5"/>
  <c r="CC484" i="5"/>
  <c r="CC749" i="5" s="1"/>
  <c r="AZ711" i="5"/>
  <c r="BD841" i="5"/>
  <c r="X664" i="5"/>
  <c r="X480" i="5" s="1"/>
  <c r="X478" i="5"/>
  <c r="AX664" i="5"/>
  <c r="AX480" i="5" s="1"/>
  <c r="AX478" i="5"/>
  <c r="AY526" i="5"/>
  <c r="AY521" i="5"/>
  <c r="BD840" i="5"/>
  <c r="V743" i="5"/>
  <c r="V745" i="5"/>
  <c r="Q727" i="5"/>
  <c r="BB465" i="5"/>
  <c r="BB464" i="5"/>
  <c r="E359" i="5"/>
  <c r="E393" i="5" s="1"/>
  <c r="E395" i="5"/>
  <c r="E398" i="5" s="1"/>
  <c r="AC743" i="5"/>
  <c r="AC734" i="5"/>
  <c r="AO415" i="5"/>
  <c r="AO422" i="5"/>
  <c r="AO262" i="5"/>
  <c r="BQ744" i="5"/>
  <c r="BO743" i="5"/>
  <c r="BO734" i="5"/>
  <c r="BD727" i="5"/>
  <c r="BE743" i="5"/>
  <c r="AS12" i="5"/>
  <c r="AX12" i="5"/>
  <c r="BR59" i="5"/>
  <c r="BR55" i="5" s="1"/>
  <c r="BR25" i="5"/>
  <c r="BR9" i="5"/>
  <c r="AA826" i="5"/>
  <c r="AA30" i="5"/>
  <c r="AA29" i="5"/>
  <c r="AA31" i="5" s="1"/>
  <c r="AA33" i="5"/>
  <c r="AA32" i="5"/>
  <c r="AA34" i="5"/>
  <c r="R19" i="3"/>
  <c r="N19" i="3"/>
  <c r="I1" i="3"/>
  <c r="H5" i="3"/>
  <c r="AU740" i="5"/>
  <c r="AV737" i="5"/>
  <c r="I830" i="5"/>
  <c r="I819" i="5"/>
  <c r="BO746" i="5"/>
  <c r="BO744" i="5"/>
  <c r="AR664" i="5"/>
  <c r="AR480" i="5" s="1"/>
  <c r="AR478" i="5"/>
  <c r="BN664" i="5"/>
  <c r="BN480" i="5" s="1"/>
  <c r="BN478" i="5"/>
  <c r="I664" i="5"/>
  <c r="I480" i="5" s="1"/>
  <c r="I478" i="5"/>
  <c r="BB664" i="5"/>
  <c r="BB480" i="5" s="1"/>
  <c r="BB478" i="5"/>
  <c r="X743" i="5"/>
  <c r="X745" i="5"/>
  <c r="BU458" i="5"/>
  <c r="BT437" i="5"/>
  <c r="W743" i="5"/>
  <c r="AW465" i="5"/>
  <c r="AW464" i="5"/>
  <c r="BQ438" i="5"/>
  <c r="I823" i="5"/>
  <c r="I290" i="5"/>
  <c r="I292" i="5"/>
  <c r="Y826" i="5"/>
  <c r="Y29" i="5"/>
  <c r="Y33" i="5"/>
  <c r="Y34" i="5"/>
  <c r="BG333" i="5"/>
  <c r="BG357" i="5" s="1"/>
  <c r="BG288" i="5"/>
  <c r="AD9" i="5"/>
  <c r="AD59" i="5"/>
  <c r="AD25" i="5"/>
  <c r="AU53" i="5"/>
  <c r="AP53" i="5"/>
  <c r="AG826" i="5"/>
  <c r="AG32" i="5"/>
  <c r="AG29" i="5"/>
  <c r="AG31" i="5" s="1"/>
  <c r="AG30" i="5"/>
  <c r="AG33" i="5"/>
  <c r="AG34" i="5"/>
  <c r="AN728" i="5"/>
  <c r="AG830" i="5"/>
  <c r="AG819" i="5"/>
  <c r="V830" i="5"/>
  <c r="V819" i="5"/>
  <c r="BG734" i="5"/>
  <c r="D711" i="5"/>
  <c r="BR711" i="5"/>
  <c r="BG664" i="5"/>
  <c r="BG480" i="5" s="1"/>
  <c r="BG478" i="5"/>
  <c r="Q728" i="5"/>
  <c r="AO726" i="5"/>
  <c r="BO826" i="5"/>
  <c r="BO29" i="5"/>
  <c r="BO31" i="5" s="1"/>
  <c r="BO35" i="5" s="1"/>
  <c r="BO32" i="5"/>
  <c r="BO30" i="5"/>
  <c r="BO33" i="5"/>
  <c r="BO34" i="5"/>
  <c r="D415" i="5"/>
  <c r="D409" i="5"/>
  <c r="D263" i="5" s="1"/>
  <c r="D262" i="5"/>
  <c r="D422" i="5"/>
  <c r="BD728" i="5"/>
  <c r="BB723" i="5"/>
  <c r="BB727" i="5" s="1"/>
  <c r="Y723" i="5"/>
  <c r="Y727" i="5" s="1"/>
  <c r="Y267" i="5"/>
  <c r="Y254" i="5"/>
  <c r="Y255" i="5" s="1"/>
  <c r="Y257" i="5"/>
  <c r="Y258" i="5" s="1"/>
  <c r="Y405" i="5"/>
  <c r="Y408" i="5" s="1"/>
  <c r="Y13" i="5"/>
  <c r="Y266" i="5"/>
  <c r="Y268" i="5"/>
  <c r="AD13" i="5"/>
  <c r="AA724" i="5"/>
  <c r="AA728" i="5" s="1"/>
  <c r="AG743" i="5"/>
  <c r="AG734" i="5"/>
  <c r="AB826" i="5"/>
  <c r="AB30" i="5"/>
  <c r="AB32" i="5"/>
  <c r="AB29" i="5"/>
  <c r="AB31" i="5" s="1"/>
  <c r="AB35" i="5" s="1"/>
  <c r="AB33" i="5"/>
  <c r="AG269" i="5"/>
  <c r="AG416" i="5"/>
  <c r="BR724" i="5"/>
  <c r="BR794" i="5"/>
  <c r="BR804" i="5" s="1"/>
  <c r="BR817" i="5" s="1"/>
  <c r="R737" i="5"/>
  <c r="Q740" i="5"/>
  <c r="AZ819" i="5"/>
  <c r="AJ740" i="5"/>
  <c r="AO737" i="5"/>
  <c r="AK737" i="5"/>
  <c r="AK740" i="5" s="1"/>
  <c r="BK711" i="5"/>
  <c r="K840" i="5"/>
  <c r="M830" i="5"/>
  <c r="M819" i="5"/>
  <c r="R664" i="5"/>
  <c r="R480" i="5" s="1"/>
  <c r="R478" i="5"/>
  <c r="AT838" i="5"/>
  <c r="AP664" i="5"/>
  <c r="AP478" i="5"/>
  <c r="BU810" i="5"/>
  <c r="BT815" i="5"/>
  <c r="AS664" i="5"/>
  <c r="AS480" i="5" s="1"/>
  <c r="AS478" i="5"/>
  <c r="AW664" i="5"/>
  <c r="AW480" i="5" s="1"/>
  <c r="AW478" i="5"/>
  <c r="BN526" i="5"/>
  <c r="BN521" i="5"/>
  <c r="L464" i="5"/>
  <c r="L465" i="5"/>
  <c r="M464" i="5"/>
  <c r="Q465" i="5"/>
  <c r="J464" i="5"/>
  <c r="AV728" i="5"/>
  <c r="AG465" i="5"/>
  <c r="AH464" i="5"/>
  <c r="AG464" i="5"/>
  <c r="Z422" i="5"/>
  <c r="Z415" i="5"/>
  <c r="Z262" i="5"/>
  <c r="S465" i="5"/>
  <c r="AU744" i="5"/>
  <c r="BR744" i="5"/>
  <c r="U744" i="5"/>
  <c r="U746" i="5"/>
  <c r="AQ826" i="5"/>
  <c r="AQ32" i="5"/>
  <c r="AQ33" i="5"/>
  <c r="AQ29" i="5"/>
  <c r="AQ30" i="5"/>
  <c r="S743" i="5"/>
  <c r="S745" i="5"/>
  <c r="S734" i="5"/>
  <c r="H290" i="5"/>
  <c r="H292" i="5"/>
  <c r="T422" i="5"/>
  <c r="T262" i="5"/>
  <c r="T415" i="5"/>
  <c r="C826" i="5"/>
  <c r="C30" i="5"/>
  <c r="C29" i="5"/>
  <c r="C31" i="5" s="1"/>
  <c r="C32" i="5"/>
  <c r="C33" i="5"/>
  <c r="C34" i="5"/>
  <c r="BY44" i="5"/>
  <c r="BY19" i="5"/>
  <c r="AH81" i="2"/>
  <c r="AH80" i="2"/>
  <c r="H819" i="5"/>
  <c r="H830" i="5"/>
  <c r="Q819" i="5"/>
  <c r="Q830" i="5"/>
  <c r="Y726" i="5"/>
  <c r="AM711" i="5"/>
  <c r="AJ711" i="5"/>
  <c r="AI832" i="5"/>
  <c r="AI733" i="5"/>
  <c r="AI734" i="5" s="1"/>
  <c r="AI681" i="5"/>
  <c r="AJ840" i="5" s="1"/>
  <c r="AI484" i="5"/>
  <c r="BE664" i="5"/>
  <c r="BE478" i="5"/>
  <c r="O657" i="5"/>
  <c r="C526" i="5"/>
  <c r="C521" i="5"/>
  <c r="AU728" i="5"/>
  <c r="BJ743" i="5"/>
  <c r="BJ734" i="5"/>
  <c r="BO286" i="5"/>
  <c r="BO317" i="5"/>
  <c r="BO331" i="5" s="1"/>
  <c r="BO409" i="5" s="1"/>
  <c r="BO263" i="5" s="1"/>
  <c r="O465" i="5"/>
  <c r="O464" i="5"/>
  <c r="G464" i="5"/>
  <c r="Q464" i="5"/>
  <c r="N422" i="5"/>
  <c r="N415" i="5"/>
  <c r="N262" i="5"/>
  <c r="N409" i="5"/>
  <c r="N263" i="5" s="1"/>
  <c r="BB724" i="5"/>
  <c r="BB728" i="5" s="1"/>
  <c r="AM464" i="5"/>
  <c r="BU21" i="5"/>
  <c r="BU7" i="5"/>
  <c r="BS416" i="5"/>
  <c r="BS269" i="5"/>
  <c r="X288" i="5"/>
  <c r="X333" i="5"/>
  <c r="X357" i="5" s="1"/>
  <c r="BT50" i="5"/>
  <c r="BT51" i="5" s="1"/>
  <c r="AX38" i="3"/>
  <c r="AB81" i="2"/>
  <c r="AB80" i="2"/>
  <c r="BH257" i="5"/>
  <c r="BH258" i="5" s="1"/>
  <c r="BH254" i="5"/>
  <c r="BH255" i="5" s="1"/>
  <c r="AG58" i="5"/>
  <c r="AG39" i="5"/>
  <c r="BH737" i="5"/>
  <c r="BG740" i="5"/>
  <c r="BR727" i="5"/>
  <c r="BW723" i="5"/>
  <c r="CB723" i="5" s="1"/>
  <c r="W734" i="5"/>
  <c r="AM734" i="5"/>
  <c r="AO711" i="5"/>
  <c r="BT746" i="5"/>
  <c r="BT738" i="5"/>
  <c r="P841" i="5"/>
  <c r="L711" i="5"/>
  <c r="AW711" i="5"/>
  <c r="BF711" i="5"/>
  <c r="AM664" i="5"/>
  <c r="AM480" i="5" s="1"/>
  <c r="AM478" i="5"/>
  <c r="BM728" i="5"/>
  <c r="K479" i="5"/>
  <c r="K499" i="5"/>
  <c r="K482" i="5"/>
  <c r="K530" i="5" s="1"/>
  <c r="AW726" i="5"/>
  <c r="BP743" i="5"/>
  <c r="BP734" i="5"/>
  <c r="BF465" i="5"/>
  <c r="BF464" i="5"/>
  <c r="BE744" i="5"/>
  <c r="BO465" i="5"/>
  <c r="AP317" i="5"/>
  <c r="AP331" i="5" s="1"/>
  <c r="AP409" i="5" s="1"/>
  <c r="AP263" i="5" s="1"/>
  <c r="AP286" i="5"/>
  <c r="BK422" i="5"/>
  <c r="BK415" i="5"/>
  <c r="BK262" i="5"/>
  <c r="P465" i="5"/>
  <c r="Z459" i="5"/>
  <c r="AI464" i="5"/>
  <c r="AI465" i="5"/>
  <c r="N724" i="5"/>
  <c r="S728" i="5" s="1"/>
  <c r="L722" i="5"/>
  <c r="Q726" i="5" s="1"/>
  <c r="S464" i="5"/>
  <c r="AH422" i="5"/>
  <c r="AH415" i="5"/>
  <c r="AH262" i="5"/>
  <c r="M422" i="5"/>
  <c r="M415" i="5"/>
  <c r="M262" i="5"/>
  <c r="M409" i="5"/>
  <c r="M263" i="5" s="1"/>
  <c r="AB727" i="5"/>
  <c r="K743" i="5"/>
  <c r="AD43" i="5"/>
  <c r="AD58" i="5" s="1"/>
  <c r="AE58" i="5"/>
  <c r="AQ359" i="5"/>
  <c r="AQ393" i="5" s="1"/>
  <c r="AQ395" i="5"/>
  <c r="AQ398" i="5" s="1"/>
  <c r="BG819" i="5"/>
  <c r="BG830" i="5"/>
  <c r="L830" i="5"/>
  <c r="L819" i="5"/>
  <c r="R819" i="5"/>
  <c r="R830" i="5"/>
  <c r="U841" i="5"/>
  <c r="Q711" i="5"/>
  <c r="P819" i="5"/>
  <c r="P830" i="5"/>
  <c r="J737" i="5"/>
  <c r="I740" i="5"/>
  <c r="BS740" i="5"/>
  <c r="BE740" i="5"/>
  <c r="AL734" i="5"/>
  <c r="AY840" i="5"/>
  <c r="AD739" i="5"/>
  <c r="AJ838" i="5"/>
  <c r="AF664" i="5"/>
  <c r="AF711" i="5" s="1"/>
  <c r="AF478" i="5"/>
  <c r="AE711" i="5"/>
  <c r="AE827" i="5" s="1"/>
  <c r="AY838" i="5"/>
  <c r="AU664" i="5"/>
  <c r="AU711" i="5" s="1"/>
  <c r="AU478" i="5"/>
  <c r="AC664" i="5"/>
  <c r="AC711" i="5" s="1"/>
  <c r="AC478" i="5"/>
  <c r="X727" i="5"/>
  <c r="W726" i="5"/>
  <c r="AU727" i="5"/>
  <c r="AR743" i="5"/>
  <c r="AR734" i="5"/>
  <c r="AR745" i="5"/>
  <c r="AD657" i="5"/>
  <c r="Q317" i="5"/>
  <c r="Q286" i="5"/>
  <c r="M743" i="5"/>
  <c r="BN422" i="5"/>
  <c r="BN415" i="5"/>
  <c r="BN262" i="5"/>
  <c r="AY465" i="5"/>
  <c r="BF438" i="5"/>
  <c r="N722" i="5"/>
  <c r="S726" i="5" s="1"/>
  <c r="I438" i="5"/>
  <c r="AH726" i="5"/>
  <c r="BI422" i="5"/>
  <c r="BI415" i="5"/>
  <c r="BI262" i="5"/>
  <c r="AE726" i="5"/>
  <c r="AS727" i="5"/>
  <c r="AB724" i="5"/>
  <c r="AB728" i="5" s="1"/>
  <c r="BC727" i="5"/>
  <c r="Q34" i="5"/>
  <c r="BV12" i="5"/>
  <c r="AI9" i="5"/>
  <c r="BC726" i="5"/>
  <c r="L740" i="5"/>
  <c r="M737" i="5"/>
  <c r="AB819" i="5"/>
  <c r="AB830" i="5"/>
  <c r="AN778" i="5"/>
  <c r="AN779" i="5" s="1"/>
  <c r="BE734" i="5"/>
  <c r="BE745" i="5"/>
  <c r="AT819" i="5"/>
  <c r="AT830" i="5"/>
  <c r="BJ830" i="5"/>
  <c r="BJ819" i="5"/>
  <c r="BG711" i="5"/>
  <c r="K841" i="5"/>
  <c r="G711" i="5"/>
  <c r="N664" i="5"/>
  <c r="N480" i="5" s="1"/>
  <c r="N478" i="5"/>
  <c r="AM737" i="5"/>
  <c r="AL740" i="5"/>
  <c r="BM664" i="5"/>
  <c r="BM480" i="5" s="1"/>
  <c r="BM478" i="5"/>
  <c r="AJ459" i="5"/>
  <c r="AQ422" i="5"/>
  <c r="AQ438" i="5" s="1"/>
  <c r="AQ262" i="5"/>
  <c r="AQ415" i="5"/>
  <c r="AN459" i="5"/>
  <c r="AA464" i="5"/>
  <c r="AA465" i="5"/>
  <c r="U395" i="5"/>
  <c r="U398" i="5" s="1"/>
  <c r="U359" i="5"/>
  <c r="U393" i="5" s="1"/>
  <c r="BM422" i="5"/>
  <c r="BM415" i="5"/>
  <c r="BM262" i="5"/>
  <c r="H415" i="5"/>
  <c r="H262" i="5"/>
  <c r="H422" i="5"/>
  <c r="H409" i="5"/>
  <c r="H263" i="5" s="1"/>
  <c r="V744" i="5"/>
  <c r="AH728" i="5"/>
  <c r="AM317" i="5"/>
  <c r="AM331" i="5" s="1"/>
  <c r="AM409" i="5" s="1"/>
  <c r="AM263" i="5" s="1"/>
  <c r="AM286" i="5"/>
  <c r="AS728" i="5"/>
  <c r="AA415" i="5"/>
  <c r="AA422" i="5"/>
  <c r="AA262" i="5"/>
  <c r="BD317" i="5"/>
  <c r="BD331" i="5" s="1"/>
  <c r="BD409" i="5" s="1"/>
  <c r="BD263" i="5" s="1"/>
  <c r="BD286" i="5"/>
  <c r="W416" i="5"/>
  <c r="W269" i="5"/>
  <c r="AV430" i="5"/>
  <c r="M359" i="5"/>
  <c r="M393" i="5" s="1"/>
  <c r="M395" i="5"/>
  <c r="M398" i="5" s="1"/>
  <c r="AT430" i="5"/>
  <c r="AT437" i="5"/>
  <c r="W826" i="5"/>
  <c r="W33" i="5"/>
  <c r="W29" i="5"/>
  <c r="W31" i="5" s="1"/>
  <c r="W35" i="5" s="1"/>
  <c r="W32" i="5"/>
  <c r="W34" i="5"/>
  <c r="W30" i="5"/>
  <c r="U826" i="5"/>
  <c r="U33" i="5"/>
  <c r="U30" i="5"/>
  <c r="U32" i="5"/>
  <c r="U34" i="5"/>
  <c r="U29" i="5"/>
  <c r="CA24" i="5"/>
  <c r="CC23" i="5"/>
  <c r="Y30" i="5"/>
  <c r="AH819" i="5"/>
  <c r="AH830" i="5"/>
  <c r="BI745" i="5"/>
  <c r="BI734" i="5"/>
  <c r="K711" i="5"/>
  <c r="BI841" i="5"/>
  <c r="AO840" i="5"/>
  <c r="Z711" i="5"/>
  <c r="Z827" i="5" s="1"/>
  <c r="U711" i="5"/>
  <c r="U840" i="5"/>
  <c r="BN838" i="5"/>
  <c r="BJ664" i="5"/>
  <c r="BJ478" i="5"/>
  <c r="H737" i="5"/>
  <c r="G740" i="5"/>
  <c r="J657" i="5"/>
  <c r="BM748" i="5"/>
  <c r="BM732" i="5"/>
  <c r="BM266" i="5"/>
  <c r="BS529" i="5"/>
  <c r="Y625" i="5"/>
  <c r="X726" i="5"/>
  <c r="V727" i="5"/>
  <c r="T743" i="5"/>
  <c r="T745" i="5"/>
  <c r="N743" i="5"/>
  <c r="AX268" i="5"/>
  <c r="AQ722" i="5"/>
  <c r="AQ726" i="5" s="1"/>
  <c r="BN465" i="5"/>
  <c r="BS465" i="5"/>
  <c r="AJ438" i="5"/>
  <c r="AJ286" i="5"/>
  <c r="AJ317" i="5"/>
  <c r="AJ331" i="5" s="1"/>
  <c r="AJ409" i="5" s="1"/>
  <c r="AJ263" i="5" s="1"/>
  <c r="AV317" i="5"/>
  <c r="AV331" i="5" s="1"/>
  <c r="AV409" i="5" s="1"/>
  <c r="AV263" i="5" s="1"/>
  <c r="AV286" i="5"/>
  <c r="BQ292" i="5"/>
  <c r="BQ290" i="5"/>
  <c r="BM726" i="5"/>
  <c r="BI728" i="5"/>
  <c r="AW416" i="5"/>
  <c r="AW269" i="5"/>
  <c r="X422" i="5"/>
  <c r="X415" i="5"/>
  <c r="X262" i="5"/>
  <c r="AF465" i="5"/>
  <c r="AT416" i="5"/>
  <c r="AT520" i="5" s="1"/>
  <c r="AT269" i="5"/>
  <c r="AR826" i="5"/>
  <c r="AR32" i="5"/>
  <c r="AR30" i="5"/>
  <c r="AR33" i="5"/>
  <c r="AR34" i="5"/>
  <c r="AR29" i="5"/>
  <c r="AC19" i="3"/>
  <c r="BS830" i="5"/>
  <c r="BS819" i="5"/>
  <c r="P726" i="5"/>
  <c r="I711" i="5"/>
  <c r="AY841" i="5"/>
  <c r="BH832" i="5"/>
  <c r="BH733" i="5"/>
  <c r="BH734" i="5" s="1"/>
  <c r="BH681" i="5"/>
  <c r="BI840" i="5" s="1"/>
  <c r="BH484" i="5"/>
  <c r="AE840" i="5"/>
  <c r="AZ480" i="5"/>
  <c r="Y708" i="5"/>
  <c r="Y711" i="5" s="1"/>
  <c r="Y491" i="5"/>
  <c r="BD465" i="5"/>
  <c r="BK743" i="5"/>
  <c r="BK734" i="5"/>
  <c r="AQ723" i="5"/>
  <c r="AQ727" i="5" s="1"/>
  <c r="L743" i="5"/>
  <c r="BN728" i="5"/>
  <c r="K269" i="5"/>
  <c r="K416" i="5"/>
  <c r="BM727" i="5"/>
  <c r="BI726" i="5"/>
  <c r="C415" i="5"/>
  <c r="C409" i="5"/>
  <c r="C263" i="5" s="1"/>
  <c r="C422" i="5"/>
  <c r="C262" i="5"/>
  <c r="BF728" i="5"/>
  <c r="K520" i="5"/>
  <c r="K526" i="5"/>
  <c r="K529" i="5" s="1"/>
  <c r="K521" i="5"/>
  <c r="AA722" i="5"/>
  <c r="AA726" i="5" s="1"/>
  <c r="AW54" i="5"/>
  <c r="J257" i="5"/>
  <c r="J258" i="5" s="1"/>
  <c r="AD728" i="5"/>
  <c r="BH817" i="5"/>
  <c r="BH819" i="5" s="1"/>
  <c r="N740" i="5"/>
  <c r="N746" i="5"/>
  <c r="AD741" i="5"/>
  <c r="AD778" i="5"/>
  <c r="AD779" i="5" s="1"/>
  <c r="AL711" i="5"/>
  <c r="V740" i="5"/>
  <c r="BR765" i="5"/>
  <c r="BR779" i="5" s="1"/>
  <c r="BR722" i="5"/>
  <c r="BN711" i="5"/>
  <c r="P840" i="5"/>
  <c r="BA711" i="5"/>
  <c r="BE830" i="5"/>
  <c r="W711" i="5"/>
  <c r="U664" i="5"/>
  <c r="U480" i="5" s="1"/>
  <c r="U478" i="5"/>
  <c r="BT768" i="5"/>
  <c r="AO838" i="5"/>
  <c r="AK664" i="5"/>
  <c r="AK478" i="5"/>
  <c r="F664" i="5"/>
  <c r="F480" i="5" s="1"/>
  <c r="F521" i="5" s="1"/>
  <c r="F478" i="5"/>
  <c r="U521" i="5"/>
  <c r="U526" i="5"/>
  <c r="BI526" i="5"/>
  <c r="T657" i="5"/>
  <c r="U838" i="5" s="1"/>
  <c r="BD838" i="5"/>
  <c r="D532" i="5"/>
  <c r="D500" i="5"/>
  <c r="D501" i="5" s="1"/>
  <c r="D502" i="5" s="1"/>
  <c r="D531" i="5"/>
  <c r="BV722" i="5"/>
  <c r="CA722" i="5" s="1"/>
  <c r="BQ726" i="5"/>
  <c r="BF744" i="5"/>
  <c r="BI465" i="5"/>
  <c r="AQ724" i="5"/>
  <c r="AQ728" i="5" s="1"/>
  <c r="AM422" i="5"/>
  <c r="AM415" i="5"/>
  <c r="AM262" i="5"/>
  <c r="AL415" i="5"/>
  <c r="AL422" i="5"/>
  <c r="AL262" i="5"/>
  <c r="F415" i="5"/>
  <c r="F409" i="5"/>
  <c r="F263" i="5" s="1"/>
  <c r="F262" i="5"/>
  <c r="F422" i="5"/>
  <c r="BH301" i="5"/>
  <c r="BH306" i="5" s="1"/>
  <c r="BH279" i="5"/>
  <c r="BF726" i="5"/>
  <c r="AA723" i="5"/>
  <c r="AA727" i="5" s="1"/>
  <c r="BA288" i="5"/>
  <c r="BA333" i="5"/>
  <c r="BA357" i="5" s="1"/>
  <c r="D826" i="5"/>
  <c r="D30" i="5"/>
  <c r="D32" i="5"/>
  <c r="D29" i="5"/>
  <c r="D31" i="5" s="1"/>
  <c r="D35" i="5" s="1"/>
  <c r="D33" i="5"/>
  <c r="D34" i="5"/>
  <c r="BR333" i="5"/>
  <c r="BR357" i="5" s="1"/>
  <c r="BR288" i="5"/>
  <c r="O31" i="5"/>
  <c r="O35" i="5" s="1"/>
  <c r="N359" i="5"/>
  <c r="N393" i="5" s="1"/>
  <c r="N395" i="5"/>
  <c r="N398" i="5" s="1"/>
  <c r="AR19" i="3"/>
  <c r="AN19" i="3"/>
  <c r="U830" i="5"/>
  <c r="U819" i="5"/>
  <c r="AE745" i="5"/>
  <c r="AE734" i="5"/>
  <c r="AV734" i="5"/>
  <c r="AV745" i="5"/>
  <c r="AX741" i="5"/>
  <c r="AX740" i="5" s="1"/>
  <c r="AX778" i="5"/>
  <c r="AF819" i="5"/>
  <c r="AZ746" i="5"/>
  <c r="AZ740" i="5"/>
  <c r="J745" i="5"/>
  <c r="E827" i="5"/>
  <c r="BQ664" i="5"/>
  <c r="BQ480" i="5" s="1"/>
  <c r="BQ478" i="5"/>
  <c r="BS838" i="5"/>
  <c r="BO664" i="5"/>
  <c r="BO478" i="5"/>
  <c r="AK734" i="5"/>
  <c r="BH657" i="5"/>
  <c r="BI838" i="5" s="1"/>
  <c r="AT841" i="5"/>
  <c r="T625" i="5"/>
  <c r="BD520" i="5"/>
  <c r="BD526" i="5"/>
  <c r="BD529" i="5" s="1"/>
  <c r="BD521" i="5"/>
  <c r="Z526" i="5"/>
  <c r="Z521" i="5"/>
  <c r="BM744" i="5"/>
  <c r="AN744" i="5"/>
  <c r="AU464" i="5"/>
  <c r="AU465" i="5"/>
  <c r="F465" i="5"/>
  <c r="BV723" i="5"/>
  <c r="CA723" i="5" s="1"/>
  <c r="BQ727" i="5"/>
  <c r="X438" i="5"/>
  <c r="AD257" i="5"/>
  <c r="AD258" i="5" s="1"/>
  <c r="AD254" i="5"/>
  <c r="AD255" i="5" s="1"/>
  <c r="AM724" i="5"/>
  <c r="AM728" i="5" s="1"/>
  <c r="Y744" i="5"/>
  <c r="E532" i="5"/>
  <c r="E500" i="5"/>
  <c r="E501" i="5" s="1"/>
  <c r="E502" i="5" s="1"/>
  <c r="E531" i="5"/>
  <c r="BC464" i="5"/>
  <c r="BC465" i="5"/>
  <c r="AL722" i="5"/>
  <c r="AL726" i="5" s="1"/>
  <c r="BQ743" i="5"/>
  <c r="BQ734" i="5"/>
  <c r="BF727" i="5"/>
  <c r="BD416" i="5"/>
  <c r="BD269" i="5"/>
  <c r="BF286" i="5"/>
  <c r="BF317" i="5"/>
  <c r="BF331" i="5" s="1"/>
  <c r="BF409" i="5" s="1"/>
  <c r="BF263" i="5" s="1"/>
  <c r="K441" i="5"/>
  <c r="K432" i="5"/>
  <c r="BV21" i="5"/>
  <c r="BV7" i="5"/>
  <c r="CA7" i="5"/>
  <c r="J268" i="5"/>
  <c r="BM126" i="5"/>
  <c r="BR109" i="5"/>
  <c r="BR126" i="5" s="1"/>
  <c r="AC58" i="5"/>
  <c r="AH39" i="5"/>
  <c r="AP54" i="5"/>
  <c r="BO55" i="5"/>
  <c r="AQ34" i="5"/>
  <c r="J34" i="5"/>
  <c r="AZ38" i="3"/>
  <c r="AI49" i="5"/>
  <c r="AI38" i="5"/>
  <c r="BP826" i="5"/>
  <c r="BP29" i="5"/>
  <c r="BP31" i="5" s="1"/>
  <c r="BP35" i="5" s="1"/>
  <c r="BP30" i="5"/>
  <c r="BP32" i="5"/>
  <c r="BP33" i="5"/>
  <c r="BK51" i="5"/>
  <c r="BK50" i="5"/>
  <c r="I31" i="5"/>
  <c r="I35" i="5" s="1"/>
  <c r="BE31" i="3"/>
  <c r="BA30" i="3"/>
  <c r="AF35" i="5"/>
  <c r="AY38" i="3"/>
  <c r="U80" i="2"/>
  <c r="U81" i="2"/>
  <c r="AF58" i="5"/>
  <c r="AF54" i="5" s="1"/>
  <c r="AF39" i="5"/>
  <c r="AG426" i="5"/>
  <c r="AG439" i="5"/>
  <c r="T34" i="5"/>
  <c r="T12" i="5"/>
  <c r="AV54" i="5"/>
  <c r="AQ54" i="5"/>
  <c r="BT47" i="5"/>
  <c r="BT40" i="5"/>
  <c r="BN51" i="5"/>
  <c r="AO826" i="5"/>
  <c r="AO33" i="5"/>
  <c r="AO29" i="5"/>
  <c r="AO32" i="5"/>
  <c r="AO30" i="5"/>
  <c r="AX18" i="3"/>
  <c r="AT17" i="3"/>
  <c r="BH40" i="5"/>
  <c r="BW12" i="5"/>
  <c r="AJ35" i="5"/>
  <c r="S80" i="2"/>
  <c r="AL34" i="2"/>
  <c r="AL42" i="2" s="1"/>
  <c r="AL43" i="2" s="1"/>
  <c r="AN49" i="5"/>
  <c r="AN38" i="5"/>
  <c r="AT53" i="5"/>
  <c r="P826" i="5"/>
  <c r="P29" i="5"/>
  <c r="P31" i="5" s="1"/>
  <c r="P30" i="5"/>
  <c r="P32" i="5"/>
  <c r="P33" i="5"/>
  <c r="AX53" i="5"/>
  <c r="BQ826" i="5"/>
  <c r="BQ33" i="5"/>
  <c r="BQ30" i="5"/>
  <c r="BQ29" i="5"/>
  <c r="BQ31" i="5" s="1"/>
  <c r="BQ35" i="5" s="1"/>
  <c r="BQ32" i="5"/>
  <c r="BX10" i="5"/>
  <c r="BX24" i="5"/>
  <c r="V19" i="3"/>
  <c r="BH54" i="5"/>
  <c r="BM54" i="5"/>
  <c r="AL80" i="2"/>
  <c r="AX40" i="5"/>
  <c r="AX47" i="5"/>
  <c r="AX49" i="5"/>
  <c r="Z288" i="5"/>
  <c r="Z333" i="5"/>
  <c r="Z357" i="5" s="1"/>
  <c r="U19" i="3"/>
  <c r="Q19" i="3"/>
  <c r="BC286" i="5"/>
  <c r="BC317" i="5"/>
  <c r="BC331" i="5" s="1"/>
  <c r="BC409" i="5" s="1"/>
  <c r="BC263" i="5" s="1"/>
  <c r="BC42" i="3"/>
  <c r="BQ55" i="5"/>
  <c r="CB24" i="5"/>
  <c r="Y80" i="2"/>
  <c r="AS81" i="2"/>
  <c r="AS80" i="2"/>
  <c r="AS422" i="5"/>
  <c r="AS262" i="5"/>
  <c r="AS415" i="5"/>
  <c r="AB422" i="5"/>
  <c r="AB262" i="5"/>
  <c r="AB415" i="5"/>
  <c r="O723" i="5"/>
  <c r="T727" i="5" s="1"/>
  <c r="O405" i="5"/>
  <c r="O408" i="5" s="1"/>
  <c r="O267" i="5"/>
  <c r="O13" i="5"/>
  <c r="O268" i="5"/>
  <c r="O254" i="5"/>
  <c r="O255" i="5" s="1"/>
  <c r="O266" i="5"/>
  <c r="T13" i="5"/>
  <c r="BB50" i="5"/>
  <c r="BB51" i="5"/>
  <c r="AD57" i="5"/>
  <c r="AI53" i="5" s="1"/>
  <c r="AY51" i="5"/>
  <c r="AY39" i="5"/>
  <c r="AT39" i="5"/>
  <c r="AS43" i="5"/>
  <c r="AT58" i="5"/>
  <c r="BL31" i="5"/>
  <c r="BL35" i="5" s="1"/>
  <c r="T19" i="3"/>
  <c r="P19" i="3"/>
  <c r="P34" i="5"/>
  <c r="Z32" i="3"/>
  <c r="AT30" i="3"/>
  <c r="AX31" i="3"/>
  <c r="AZ18" i="3"/>
  <c r="AV17" i="3"/>
  <c r="AG34" i="2"/>
  <c r="AG42" i="2" s="1"/>
  <c r="AG43" i="2" s="1"/>
  <c r="AG24" i="2"/>
  <c r="AG7" i="2" s="1"/>
  <c r="AT69" i="2"/>
  <c r="AU66" i="2"/>
  <c r="AS63" i="2"/>
  <c r="AG2" i="2"/>
  <c r="M3" i="1"/>
  <c r="AZ743" i="5"/>
  <c r="AU288" i="5"/>
  <c r="AU333" i="5"/>
  <c r="AU357" i="5" s="1"/>
  <c r="G415" i="5"/>
  <c r="G422" i="5"/>
  <c r="G438" i="5" s="1"/>
  <c r="G409" i="5"/>
  <c r="G263" i="5" s="1"/>
  <c r="G262" i="5"/>
  <c r="AH727" i="5"/>
  <c r="BI727" i="5"/>
  <c r="BJ286" i="5"/>
  <c r="BJ317" i="5"/>
  <c r="BJ331" i="5" s="1"/>
  <c r="BJ409" i="5" s="1"/>
  <c r="BJ263" i="5" s="1"/>
  <c r="AE728" i="5"/>
  <c r="AS726" i="5"/>
  <c r="AW395" i="5"/>
  <c r="AW398" i="5" s="1"/>
  <c r="AW359" i="5"/>
  <c r="AW393" i="5" s="1"/>
  <c r="V416" i="5"/>
  <c r="V269" i="5"/>
  <c r="AO32" i="3"/>
  <c r="AK32" i="3"/>
  <c r="Y12" i="5"/>
  <c r="BZ40" i="5"/>
  <c r="BZ47" i="5"/>
  <c r="AX25" i="5"/>
  <c r="AX9" i="5"/>
  <c r="AX59" i="5"/>
  <c r="I34" i="2"/>
  <c r="I42" i="2" s="1"/>
  <c r="I24" i="2"/>
  <c r="I7" i="2" s="1"/>
  <c r="R32" i="3"/>
  <c r="X19" i="3"/>
  <c r="AH826" i="5"/>
  <c r="AH32" i="5"/>
  <c r="AH29" i="5"/>
  <c r="AH33" i="5"/>
  <c r="AH30" i="5"/>
  <c r="AH34" i="5"/>
  <c r="R2" i="2"/>
  <c r="T2" i="3"/>
  <c r="AC24" i="2"/>
  <c r="AC7" i="2" s="1"/>
  <c r="AC34" i="2"/>
  <c r="AC42" i="2" s="1"/>
  <c r="AC43" i="2" s="1"/>
  <c r="AI743" i="5"/>
  <c r="BM459" i="5"/>
  <c r="BP292" i="5"/>
  <c r="BP290" i="5"/>
  <c r="AB743" i="5"/>
  <c r="AB745" i="5"/>
  <c r="AC288" i="5"/>
  <c r="AC333" i="5"/>
  <c r="AC357" i="5" s="1"/>
  <c r="F727" i="5"/>
  <c r="AG728" i="5"/>
  <c r="L823" i="5"/>
  <c r="L290" i="5"/>
  <c r="L292" i="5"/>
  <c r="BE422" i="5"/>
  <c r="BE415" i="5"/>
  <c r="BE262" i="5"/>
  <c r="BB422" i="5"/>
  <c r="BB415" i="5"/>
  <c r="BB262" i="5"/>
  <c r="C359" i="5"/>
  <c r="C393" i="5" s="1"/>
  <c r="C395" i="5"/>
  <c r="C398" i="5" s="1"/>
  <c r="AW826" i="5"/>
  <c r="AW32" i="5"/>
  <c r="AW30" i="5"/>
  <c r="AW33" i="5"/>
  <c r="AW29" i="5"/>
  <c r="AH54" i="5"/>
  <c r="BZ24" i="5"/>
  <c r="BW816" i="5"/>
  <c r="BV543" i="5"/>
  <c r="AU55" i="5"/>
  <c r="AU426" i="5"/>
  <c r="D359" i="5"/>
  <c r="D393" i="5" s="1"/>
  <c r="D395" i="5"/>
  <c r="D398" i="5" s="1"/>
  <c r="BU12" i="5"/>
  <c r="AK55" i="5"/>
  <c r="AF55" i="5"/>
  <c r="CA40" i="5"/>
  <c r="CA47" i="5"/>
  <c r="CD43" i="5"/>
  <c r="CC39" i="5"/>
  <c r="AD50" i="5"/>
  <c r="AD51" i="5" s="1"/>
  <c r="U422" i="5"/>
  <c r="U415" i="5"/>
  <c r="U262" i="5"/>
  <c r="AU30" i="3"/>
  <c r="AY31" i="3"/>
  <c r="I63" i="2"/>
  <c r="BJ31" i="5"/>
  <c r="BJ35" i="5" s="1"/>
  <c r="BI826" i="5"/>
  <c r="BI29" i="5"/>
  <c r="BI31" i="5" s="1"/>
  <c r="BI35" i="5" s="1"/>
  <c r="BI33" i="5"/>
  <c r="BI30" i="5"/>
  <c r="BI32" i="5"/>
  <c r="BG826" i="5"/>
  <c r="BG32" i="5"/>
  <c r="BG30" i="5"/>
  <c r="BG33" i="5"/>
  <c r="BG29" i="5"/>
  <c r="BG31" i="5" s="1"/>
  <c r="BG35" i="5" s="1"/>
  <c r="CA51" i="5"/>
  <c r="CA50" i="5"/>
  <c r="CC20" i="5"/>
  <c r="BY8" i="5"/>
  <c r="Y19" i="3"/>
  <c r="G826" i="5"/>
  <c r="G32" i="5"/>
  <c r="G29" i="5"/>
  <c r="G30" i="5"/>
  <c r="G33" i="5"/>
  <c r="G34" i="5"/>
  <c r="AG2" i="3"/>
  <c r="AU55" i="2"/>
  <c r="AV22" i="2" s="1"/>
  <c r="BK292" i="5"/>
  <c r="BK290" i="5"/>
  <c r="M31" i="5"/>
  <c r="M35" i="5" s="1"/>
  <c r="BZ7" i="5"/>
  <c r="BZ21" i="5"/>
  <c r="BM826" i="5"/>
  <c r="BM33" i="5"/>
  <c r="BM30" i="5"/>
  <c r="BM29" i="5"/>
  <c r="AN59" i="5"/>
  <c r="AN55" i="5" s="1"/>
  <c r="AN25" i="5"/>
  <c r="AN9" i="5"/>
  <c r="BP34" i="5"/>
  <c r="U728" i="5"/>
  <c r="BR50" i="5"/>
  <c r="BR51" i="5" s="1"/>
  <c r="J63" i="2"/>
  <c r="P80" i="2"/>
  <c r="F41" i="2"/>
  <c r="F86" i="2"/>
  <c r="AF290" i="5"/>
  <c r="AF292" i="5"/>
  <c r="BD432" i="5"/>
  <c r="BD441" i="5"/>
  <c r="BS426" i="5"/>
  <c r="AS59" i="5"/>
  <c r="AS55" i="5" s="1"/>
  <c r="AS9" i="5"/>
  <c r="AS25" i="5"/>
  <c r="Z826" i="5"/>
  <c r="Z32" i="5"/>
  <c r="Z30" i="5"/>
  <c r="Z29" i="5"/>
  <c r="Z31" i="5" s="1"/>
  <c r="Z33" i="5"/>
  <c r="BF35" i="5"/>
  <c r="BZ50" i="5"/>
  <c r="BZ51" i="5"/>
  <c r="K31" i="5"/>
  <c r="K35" i="5" s="1"/>
  <c r="BI55" i="5"/>
  <c r="AU31" i="5"/>
  <c r="AU35" i="5" s="1"/>
  <c r="U726" i="5"/>
  <c r="BT9" i="5"/>
  <c r="BT25" i="5"/>
  <c r="BT59" i="5"/>
  <c r="BT55" i="5" s="1"/>
  <c r="BW19" i="5"/>
  <c r="CB42" i="5"/>
  <c r="CC42" i="5" s="1"/>
  <c r="BW44" i="5"/>
  <c r="BX42" i="5"/>
  <c r="AY18" i="3"/>
  <c r="AU17" i="3"/>
  <c r="AE31" i="5"/>
  <c r="AE35" i="5" s="1"/>
  <c r="S2" i="2"/>
  <c r="H5" i="2"/>
  <c r="H5" i="7" s="1"/>
  <c r="I1" i="2"/>
  <c r="AQ81" i="2"/>
  <c r="AQ80" i="2"/>
  <c r="Z5" i="5"/>
  <c r="V5" i="5"/>
  <c r="W5" i="5" s="1"/>
  <c r="X5" i="5" s="1"/>
  <c r="Y5" i="5" s="1"/>
  <c r="X2" i="2"/>
  <c r="F96" i="2"/>
  <c r="V823" i="5"/>
  <c r="V292" i="5"/>
  <c r="V290" i="5"/>
  <c r="AN32" i="3"/>
  <c r="AJ32" i="3"/>
  <c r="BG34" i="5"/>
  <c r="BH50" i="5"/>
  <c r="BH51" i="5" s="1"/>
  <c r="BR53" i="5"/>
  <c r="BW53" i="5"/>
  <c r="AE24" i="2"/>
  <c r="AE7" i="2" s="1"/>
  <c r="AE34" i="2"/>
  <c r="AE42" i="2" s="1"/>
  <c r="AE43" i="2" s="1"/>
  <c r="AM80" i="2"/>
  <c r="G96" i="2"/>
  <c r="AP826" i="5"/>
  <c r="AP33" i="5"/>
  <c r="AP32" i="5"/>
  <c r="AP29" i="5"/>
  <c r="AP30" i="5"/>
  <c r="AI34" i="2"/>
  <c r="AI42" i="2" s="1"/>
  <c r="N80" i="2"/>
  <c r="V2" i="3"/>
  <c r="AR438" i="5"/>
  <c r="AF743" i="5"/>
  <c r="AF734" i="5"/>
  <c r="G743" i="5"/>
  <c r="AO727" i="5"/>
  <c r="AT826" i="5"/>
  <c r="AT33" i="5"/>
  <c r="AT30" i="5"/>
  <c r="AT29" i="5"/>
  <c r="AT32" i="5"/>
  <c r="AT34" i="5"/>
  <c r="BI286" i="5"/>
  <c r="BI317" i="5"/>
  <c r="BI331" i="5" s="1"/>
  <c r="BI409" i="5" s="1"/>
  <c r="BI263" i="5" s="1"/>
  <c r="BE728" i="5"/>
  <c r="AN301" i="5"/>
  <c r="AN306" i="5" s="1"/>
  <c r="AN279" i="5"/>
  <c r="T728" i="5"/>
  <c r="BJ519" i="5"/>
  <c r="BJ270" i="5"/>
  <c r="AY826" i="5"/>
  <c r="AY30" i="5"/>
  <c r="AY33" i="5"/>
  <c r="AY32" i="5"/>
  <c r="AY29" i="5"/>
  <c r="Z34" i="5"/>
  <c r="AW34" i="5"/>
  <c r="O261" i="5"/>
  <c r="O833" i="5" s="1"/>
  <c r="BC12" i="5"/>
  <c r="BC34" i="5"/>
  <c r="CA9" i="5"/>
  <c r="CA25" i="5"/>
  <c r="CA59" i="5"/>
  <c r="BH84" i="5"/>
  <c r="BR47" i="5"/>
  <c r="BR40" i="5"/>
  <c r="AQ19" i="3"/>
  <c r="AI55" i="5"/>
  <c r="S2" i="3"/>
  <c r="Q80" i="2"/>
  <c r="AS34" i="2"/>
  <c r="AS42" i="2" s="1"/>
  <c r="AS43" i="2" s="1"/>
  <c r="AS24" i="2"/>
  <c r="AS7" i="2" s="1"/>
  <c r="BO50" i="5"/>
  <c r="BO51" i="5" s="1"/>
  <c r="BA38" i="3"/>
  <c r="H826" i="5"/>
  <c r="H32" i="5"/>
  <c r="H30" i="5"/>
  <c r="H33" i="5"/>
  <c r="H29" i="5"/>
  <c r="BC49" i="5"/>
  <c r="AJ34" i="2"/>
  <c r="AJ42" i="2" s="1"/>
  <c r="AJ80" i="2"/>
  <c r="BH826" i="5"/>
  <c r="BH33" i="5"/>
  <c r="BH30" i="5"/>
  <c r="BH29" i="5"/>
  <c r="BH31" i="5" s="1"/>
  <c r="BH35" i="5" s="1"/>
  <c r="AT288" i="5"/>
  <c r="AT333" i="5"/>
  <c r="AT357" i="5" s="1"/>
  <c r="BS744" i="5"/>
  <c r="AK286" i="5"/>
  <c r="AK317" i="5"/>
  <c r="AK331" i="5" s="1"/>
  <c r="AK409" i="5" s="1"/>
  <c r="AK263" i="5" s="1"/>
  <c r="AC415" i="5"/>
  <c r="AC422" i="5"/>
  <c r="AC262" i="5"/>
  <c r="AW441" i="5"/>
  <c r="AW432" i="5"/>
  <c r="P435" i="5"/>
  <c r="P443" i="5" s="1"/>
  <c r="P528" i="5" s="1"/>
  <c r="P442" i="5"/>
  <c r="BM32" i="5"/>
  <c r="BX58" i="5"/>
  <c r="BX54" i="5" s="1"/>
  <c r="BX8" i="5"/>
  <c r="BY12" i="5"/>
  <c r="O826" i="5"/>
  <c r="BM50" i="5"/>
  <c r="BM51" i="5" s="1"/>
  <c r="BM40" i="5"/>
  <c r="BM47" i="5"/>
  <c r="T32" i="3"/>
  <c r="L80" i="2"/>
  <c r="AO34" i="2"/>
  <c r="AO42" i="2" s="1"/>
  <c r="AO43" i="2" s="1"/>
  <c r="BK31" i="5"/>
  <c r="BK35" i="5" s="1"/>
  <c r="AJ58" i="5"/>
  <c r="AJ54" i="5" s="1"/>
  <c r="AJ39" i="5"/>
  <c r="AI43" i="5"/>
  <c r="R81" i="2"/>
  <c r="R80" i="2"/>
  <c r="CD4" i="5"/>
  <c r="CE4" i="5" s="1"/>
  <c r="CF4" i="5" s="1"/>
  <c r="CC3" i="5"/>
  <c r="AP34" i="2"/>
  <c r="AP42" i="2" s="1"/>
  <c r="AP43" i="2" s="1"/>
  <c r="AP24" i="2"/>
  <c r="AP7" i="2" s="1"/>
  <c r="BD31" i="3"/>
  <c r="AZ30" i="3"/>
  <c r="BH55" i="5"/>
  <c r="BE42" i="3"/>
  <c r="BU512" i="5"/>
  <c r="BT512" i="5"/>
  <c r="L34" i="2"/>
  <c r="L42" i="2" s="1"/>
  <c r="L43" i="2" s="1"/>
  <c r="H45" i="7"/>
  <c r="H46" i="7" s="1"/>
  <c r="I87" i="2"/>
  <c r="BV25" i="3" l="1"/>
  <c r="BB25" i="3"/>
  <c r="BU9" i="3"/>
  <c r="BU10" i="3" s="1"/>
  <c r="BA24" i="7"/>
  <c r="BA40" i="7" s="1"/>
  <c r="BA9" i="3"/>
  <c r="AZ24" i="7"/>
  <c r="AZ40" i="7" s="1"/>
  <c r="AZ9" i="3"/>
  <c r="AY24" i="7"/>
  <c r="AY40" i="7" s="1"/>
  <c r="AY9" i="3"/>
  <c r="AX24" i="7"/>
  <c r="AX54" i="7" s="1"/>
  <c r="AX9" i="3"/>
  <c r="BV9" i="3" s="1"/>
  <c r="AT54" i="7"/>
  <c r="AT40" i="7"/>
  <c r="AT27" i="7"/>
  <c r="AT28" i="7"/>
  <c r="BD42" i="3"/>
  <c r="BF42" i="3"/>
  <c r="BA18" i="3"/>
  <c r="AW17" i="3"/>
  <c r="AW8" i="3" s="1"/>
  <c r="AW17" i="2" s="1"/>
  <c r="J43" i="2"/>
  <c r="L46" i="2"/>
  <c r="L47" i="2" s="1"/>
  <c r="AL46" i="2"/>
  <c r="AL47" i="2" s="1"/>
  <c r="Z46" i="2"/>
  <c r="AQ43" i="2"/>
  <c r="AQ46" i="2" s="1"/>
  <c r="AQ47" i="2" s="1"/>
  <c r="AJ43" i="2"/>
  <c r="AJ46" i="2" s="1"/>
  <c r="AJ47" i="2" s="1"/>
  <c r="I43" i="2"/>
  <c r="I46" i="2" s="1"/>
  <c r="I47" i="2" s="1"/>
  <c r="AG46" i="2"/>
  <c r="AG47" i="2" s="1"/>
  <c r="AP46" i="2"/>
  <c r="AP47" i="2" s="1"/>
  <c r="AS46" i="2"/>
  <c r="AS47" i="2" s="1"/>
  <c r="AC46" i="2"/>
  <c r="AC47" i="2" s="1"/>
  <c r="AE46" i="2"/>
  <c r="AE47" i="2" s="1"/>
  <c r="Q43" i="2"/>
  <c r="Q46" i="2" s="1"/>
  <c r="M46" i="2"/>
  <c r="M47" i="2" s="1"/>
  <c r="T46" i="2"/>
  <c r="T47" i="2" s="1"/>
  <c r="R46" i="2"/>
  <c r="R47" i="2" s="1"/>
  <c r="W46" i="2"/>
  <c r="W47" i="2" s="1"/>
  <c r="AO46" i="2"/>
  <c r="AO47" i="2" s="1"/>
  <c r="G34" i="2"/>
  <c r="G42" i="2" s="1"/>
  <c r="S46" i="2"/>
  <c r="S47" i="2" s="1"/>
  <c r="AI43" i="2"/>
  <c r="AI46" i="2" s="1"/>
  <c r="AI47" i="2" s="1"/>
  <c r="G43" i="2"/>
  <c r="AF43" i="2"/>
  <c r="AF46" i="2" s="1"/>
  <c r="AF47" i="2" s="1"/>
  <c r="AB43" i="2"/>
  <c r="AB46" i="2" s="1"/>
  <c r="AB47" i="2" s="1"/>
  <c r="S24" i="2"/>
  <c r="S7" i="2" s="1"/>
  <c r="S51" i="2" s="1"/>
  <c r="AQ24" i="2"/>
  <c r="AQ7" i="2" s="1"/>
  <c r="P34" i="2"/>
  <c r="P42" i="2" s="1"/>
  <c r="J46" i="2"/>
  <c r="J47" i="2" s="1"/>
  <c r="AF51" i="2"/>
  <c r="M51" i="2"/>
  <c r="W51" i="2"/>
  <c r="G46" i="2"/>
  <c r="T24" i="2"/>
  <c r="T7" i="2" s="1"/>
  <c r="T51" i="2" s="1"/>
  <c r="AK34" i="2"/>
  <c r="AK42" i="2" s="1"/>
  <c r="AN24" i="2"/>
  <c r="AN7" i="2" s="1"/>
  <c r="AN34" i="2"/>
  <c r="AN42" i="2" s="1"/>
  <c r="Y34" i="2"/>
  <c r="Y42" i="2" s="1"/>
  <c r="Y24" i="2"/>
  <c r="Y7" i="2" s="1"/>
  <c r="V34" i="2"/>
  <c r="V42" i="2" s="1"/>
  <c r="V24" i="2"/>
  <c r="V7" i="2" s="1"/>
  <c r="J24" i="2"/>
  <c r="J7" i="2" s="1"/>
  <c r="J51" i="2" s="1"/>
  <c r="AH34" i="2"/>
  <c r="AH42" i="2" s="1"/>
  <c r="O24" i="2"/>
  <c r="O7" i="2" s="1"/>
  <c r="O34" i="2"/>
  <c r="O42" i="2" s="1"/>
  <c r="X34" i="2"/>
  <c r="X42" i="2" s="1"/>
  <c r="AR34" i="2"/>
  <c r="AR42" i="2" s="1"/>
  <c r="AM24" i="2"/>
  <c r="AM7" i="2" s="1"/>
  <c r="AM34" i="2"/>
  <c r="AM42" i="2" s="1"/>
  <c r="H24" i="2"/>
  <c r="H7" i="2" s="1"/>
  <c r="H34" i="2"/>
  <c r="H42" i="2" s="1"/>
  <c r="N34" i="2"/>
  <c r="N42" i="2" s="1"/>
  <c r="AD34" i="2"/>
  <c r="AD42" i="2" s="1"/>
  <c r="K34" i="2"/>
  <c r="K42" i="2" s="1"/>
  <c r="AA34" i="2"/>
  <c r="AA42" i="2" s="1"/>
  <c r="I4" i="7"/>
  <c r="I14" i="7" s="1"/>
  <c r="AQ51" i="2"/>
  <c r="AU54" i="7"/>
  <c r="AW40" i="7"/>
  <c r="AW54" i="7"/>
  <c r="AV40" i="7"/>
  <c r="AV54" i="7"/>
  <c r="AV28" i="7"/>
  <c r="AV27" i="7"/>
  <c r="H96" i="2"/>
  <c r="AU27" i="7"/>
  <c r="AU40" i="7"/>
  <c r="AU28" i="7"/>
  <c r="AW27" i="7"/>
  <c r="AW28" i="7"/>
  <c r="BE12" i="3"/>
  <c r="BD12" i="3"/>
  <c r="BC12" i="3"/>
  <c r="BB12" i="3"/>
  <c r="BW12" i="3" s="1"/>
  <c r="I85" i="2"/>
  <c r="I94" i="2"/>
  <c r="I91" i="2"/>
  <c r="J4" i="2"/>
  <c r="AU44" i="2"/>
  <c r="L35" i="1"/>
  <c r="L31" i="1"/>
  <c r="L32" i="1"/>
  <c r="AC51" i="2"/>
  <c r="AP51" i="2"/>
  <c r="BM830" i="5"/>
  <c r="BM819" i="5"/>
  <c r="BL830" i="5"/>
  <c r="BO830" i="5"/>
  <c r="AD830" i="5"/>
  <c r="AD819" i="5"/>
  <c r="AC830" i="5"/>
  <c r="AF830" i="5"/>
  <c r="AB827" i="5"/>
  <c r="CC44" i="5"/>
  <c r="CC38" i="5"/>
  <c r="CD42" i="5"/>
  <c r="L51" i="2"/>
  <c r="AS51" i="2"/>
  <c r="AI51" i="2"/>
  <c r="H627" i="5"/>
  <c r="G628" i="5"/>
  <c r="AJ51" i="2"/>
  <c r="AN830" i="5"/>
  <c r="AN819" i="5"/>
  <c r="AP830" i="5"/>
  <c r="AM830" i="5"/>
  <c r="R51" i="2"/>
  <c r="G269" i="5"/>
  <c r="G416" i="5"/>
  <c r="P51" i="2"/>
  <c r="BE30" i="3"/>
  <c r="BI31" i="3"/>
  <c r="BI30" i="3" s="1"/>
  <c r="BO495" i="5"/>
  <c r="BO496" i="5" s="1"/>
  <c r="BO497" i="5" s="1"/>
  <c r="BO498" i="5" s="1"/>
  <c r="BO481" i="5"/>
  <c r="AK495" i="5"/>
  <c r="AK496" i="5" s="1"/>
  <c r="AK497" i="5" s="1"/>
  <c r="AK498" i="5" s="1"/>
  <c r="AK481" i="5"/>
  <c r="N495" i="5"/>
  <c r="N496" i="5" s="1"/>
  <c r="N497" i="5" s="1"/>
  <c r="N498" i="5" s="1"/>
  <c r="N481" i="5"/>
  <c r="AD664" i="5"/>
  <c r="AD480" i="5" s="1"/>
  <c r="AD478" i="5"/>
  <c r="AE838" i="5"/>
  <c r="M416" i="5"/>
  <c r="M269" i="5"/>
  <c r="BU25" i="5"/>
  <c r="BU59" i="5"/>
  <c r="BU55" i="5" s="1"/>
  <c r="BU9" i="5"/>
  <c r="AS495" i="5"/>
  <c r="AS496" i="5" s="1"/>
  <c r="AS497" i="5" s="1"/>
  <c r="AS498" i="5" s="1"/>
  <c r="AS481" i="5"/>
  <c r="AV746" i="5"/>
  <c r="AV740" i="5"/>
  <c r="AV744" i="5"/>
  <c r="AH480" i="5"/>
  <c r="AH711" i="5"/>
  <c r="BC416" i="5"/>
  <c r="BC269" i="5"/>
  <c r="BV802" i="5"/>
  <c r="BW507" i="5"/>
  <c r="BW802" i="5" s="1"/>
  <c r="BX802" i="5" s="1"/>
  <c r="BX507" i="5" s="1"/>
  <c r="BY507" i="5" s="1"/>
  <c r="L746" i="5"/>
  <c r="L744" i="5"/>
  <c r="AT499" i="5"/>
  <c r="AT479" i="5"/>
  <c r="AT482" i="5"/>
  <c r="AT530" i="5" s="1"/>
  <c r="J422" i="5"/>
  <c r="J262" i="5"/>
  <c r="J415" i="5"/>
  <c r="J409" i="5"/>
  <c r="J263" i="5" s="1"/>
  <c r="AS317" i="5"/>
  <c r="AS331" i="5" s="1"/>
  <c r="AS409" i="5" s="1"/>
  <c r="AS263" i="5" s="1"/>
  <c r="AS286" i="5"/>
  <c r="AS830" i="5"/>
  <c r="AS819" i="5"/>
  <c r="AR830" i="5"/>
  <c r="BI42" i="3"/>
  <c r="AB51" i="2"/>
  <c r="V2" i="2"/>
  <c r="AL51" i="2"/>
  <c r="AV8" i="3"/>
  <c r="AV17" i="2" s="1"/>
  <c r="BS839" i="5"/>
  <c r="BO480" i="5"/>
  <c r="AM269" i="5"/>
  <c r="AM416" i="5"/>
  <c r="AK480" i="5"/>
  <c r="H426" i="5"/>
  <c r="H438" i="5"/>
  <c r="H439" i="5"/>
  <c r="N499" i="5"/>
  <c r="N500" i="5" s="1"/>
  <c r="N501" i="5" s="1"/>
  <c r="N502" i="5" s="1"/>
  <c r="N479" i="5"/>
  <c r="N482" i="5"/>
  <c r="J746" i="5"/>
  <c r="J740" i="5"/>
  <c r="M439" i="5"/>
  <c r="M426" i="5"/>
  <c r="M438" i="5"/>
  <c r="BY40" i="5"/>
  <c r="BY47" i="5"/>
  <c r="AS499" i="5"/>
  <c r="AS500" i="5" s="1"/>
  <c r="AS501" i="5" s="1"/>
  <c r="AS502" i="5" s="1"/>
  <c r="AS482" i="5"/>
  <c r="AS479" i="5"/>
  <c r="AG519" i="5"/>
  <c r="AG270" i="5"/>
  <c r="M495" i="5"/>
  <c r="M496" i="5" s="1"/>
  <c r="M497" i="5" s="1"/>
  <c r="M498" i="5" s="1"/>
  <c r="M481" i="5"/>
  <c r="AX422" i="5"/>
  <c r="AX262" i="5"/>
  <c r="AX415" i="5"/>
  <c r="AX317" i="5"/>
  <c r="AX331" i="5" s="1"/>
  <c r="AX409" i="5" s="1"/>
  <c r="AX263" i="5" s="1"/>
  <c r="AX286" i="5"/>
  <c r="C495" i="5"/>
  <c r="C496" i="5" s="1"/>
  <c r="C497" i="5" s="1"/>
  <c r="C498" i="5" s="1"/>
  <c r="C481" i="5"/>
  <c r="AV519" i="5"/>
  <c r="AV270" i="5"/>
  <c r="AO333" i="5"/>
  <c r="AO357" i="5" s="1"/>
  <c r="AO288" i="5"/>
  <c r="BT636" i="5"/>
  <c r="BP426" i="5"/>
  <c r="BP438" i="5"/>
  <c r="BP439" i="5"/>
  <c r="BC51" i="5"/>
  <c r="BC50" i="5"/>
  <c r="AU823" i="5"/>
  <c r="AU292" i="5"/>
  <c r="AU290" i="5"/>
  <c r="AZ17" i="3"/>
  <c r="BD18" i="3"/>
  <c r="BG42" i="3"/>
  <c r="AN51" i="5"/>
  <c r="AN50" i="5"/>
  <c r="AM439" i="5"/>
  <c r="AM426" i="5"/>
  <c r="AM438" i="5"/>
  <c r="X416" i="5"/>
  <c r="X269" i="5"/>
  <c r="BH746" i="5"/>
  <c r="BH740" i="5"/>
  <c r="BE481" i="5"/>
  <c r="BE495" i="5"/>
  <c r="BE496" i="5" s="1"/>
  <c r="BE497" i="5" s="1"/>
  <c r="BE498" i="5" s="1"/>
  <c r="D269" i="5"/>
  <c r="D416" i="5"/>
  <c r="M479" i="5"/>
  <c r="M499" i="5"/>
  <c r="M500" i="5" s="1"/>
  <c r="M501" i="5" s="1"/>
  <c r="M502" i="5" s="1"/>
  <c r="M482" i="5"/>
  <c r="AR746" i="5"/>
  <c r="AR740" i="5"/>
  <c r="W430" i="5"/>
  <c r="W437" i="5"/>
  <c r="W822" i="5"/>
  <c r="AI422" i="5"/>
  <c r="AI415" i="5"/>
  <c r="AI262" i="5"/>
  <c r="C482" i="5"/>
  <c r="C530" i="5" s="1"/>
  <c r="C479" i="5"/>
  <c r="C499" i="5"/>
  <c r="K359" i="5"/>
  <c r="K393" i="5" s="1"/>
  <c r="K395" i="5"/>
  <c r="K398" i="5" s="1"/>
  <c r="H481" i="5"/>
  <c r="H495" i="5"/>
  <c r="H496" i="5" s="1"/>
  <c r="H497" i="5" s="1"/>
  <c r="H498" i="5" s="1"/>
  <c r="BP746" i="5"/>
  <c r="BP744" i="5"/>
  <c r="BP740" i="5"/>
  <c r="BP269" i="5"/>
  <c r="BP416" i="5"/>
  <c r="BI333" i="5"/>
  <c r="BI357" i="5" s="1"/>
  <c r="BI288" i="5"/>
  <c r="AE5" i="5"/>
  <c r="AA5" i="5"/>
  <c r="AB5" i="5" s="1"/>
  <c r="AC5" i="5" s="1"/>
  <c r="AD5" i="5" s="1"/>
  <c r="U416" i="5"/>
  <c r="U269" i="5"/>
  <c r="AX55" i="5"/>
  <c r="O409" i="5"/>
  <c r="O263" i="5" s="1"/>
  <c r="O415" i="5"/>
  <c r="O422" i="5"/>
  <c r="O262" i="5"/>
  <c r="BQ481" i="5"/>
  <c r="BQ495" i="5"/>
  <c r="BQ496" i="5" s="1"/>
  <c r="BQ497" i="5" s="1"/>
  <c r="BQ498" i="5" s="1"/>
  <c r="BR292" i="5"/>
  <c r="BR290" i="5"/>
  <c r="BT735" i="5"/>
  <c r="X426" i="5"/>
  <c r="X439" i="5"/>
  <c r="H269" i="5"/>
  <c r="H416" i="5"/>
  <c r="AH416" i="5"/>
  <c r="AH269" i="5"/>
  <c r="BE480" i="5"/>
  <c r="BV810" i="5"/>
  <c r="BU815" i="5"/>
  <c r="BP481" i="5"/>
  <c r="BP495" i="5"/>
  <c r="BP496" i="5" s="1"/>
  <c r="BP497" i="5" s="1"/>
  <c r="BP498" i="5" s="1"/>
  <c r="AN54" i="5"/>
  <c r="AS711" i="5"/>
  <c r="AA290" i="5"/>
  <c r="AA292" i="5"/>
  <c r="AE481" i="5"/>
  <c r="AE495" i="5"/>
  <c r="AE496" i="5" s="1"/>
  <c r="AE497" i="5" s="1"/>
  <c r="AE498" i="5" s="1"/>
  <c r="H479" i="5"/>
  <c r="H499" i="5"/>
  <c r="H500" i="5" s="1"/>
  <c r="H501" i="5" s="1"/>
  <c r="H502" i="5" s="1"/>
  <c r="H482" i="5"/>
  <c r="L442" i="5"/>
  <c r="L472" i="5"/>
  <c r="L435" i="5"/>
  <c r="BA426" i="5"/>
  <c r="BA439" i="5"/>
  <c r="BA438" i="5"/>
  <c r="AI39" i="5"/>
  <c r="AI58" i="5"/>
  <c r="AI54" i="5" s="1"/>
  <c r="AW435" i="5"/>
  <c r="AW443" i="5" s="1"/>
  <c r="AW472" i="5"/>
  <c r="AW442" i="5"/>
  <c r="AV55" i="2"/>
  <c r="AW22" i="2" s="1"/>
  <c r="U426" i="5"/>
  <c r="U439" i="5"/>
  <c r="AC823" i="5"/>
  <c r="AC290" i="5"/>
  <c r="AC292" i="5"/>
  <c r="BQ499" i="5"/>
  <c r="BQ500" i="5" s="1"/>
  <c r="BQ501" i="5" s="1"/>
  <c r="BQ502" i="5" s="1"/>
  <c r="BQ479" i="5"/>
  <c r="BQ482" i="5"/>
  <c r="U481" i="5"/>
  <c r="U495" i="5"/>
  <c r="U496" i="5" s="1"/>
  <c r="U497" i="5" s="1"/>
  <c r="U498" i="5" s="1"/>
  <c r="BH749" i="5"/>
  <c r="BH739" i="5" s="1"/>
  <c r="BI842" i="5"/>
  <c r="AH426" i="5"/>
  <c r="AH439" i="5"/>
  <c r="AU726" i="5"/>
  <c r="AX711" i="5"/>
  <c r="AA35" i="5"/>
  <c r="BP479" i="5"/>
  <c r="BP499" i="5"/>
  <c r="BP500" i="5" s="1"/>
  <c r="BP501" i="5" s="1"/>
  <c r="BP502" i="5" s="1"/>
  <c r="BP482" i="5"/>
  <c r="AN39" i="5"/>
  <c r="BF416" i="5"/>
  <c r="BF269" i="5"/>
  <c r="AL495" i="5"/>
  <c r="AL496" i="5" s="1"/>
  <c r="AL497" i="5" s="1"/>
  <c r="AL498" i="5" s="1"/>
  <c r="AL481" i="5"/>
  <c r="AR269" i="5"/>
  <c r="AR416" i="5"/>
  <c r="AE482" i="5"/>
  <c r="AE530" i="5" s="1"/>
  <c r="AE479" i="5"/>
  <c r="AE499" i="5"/>
  <c r="BR481" i="5"/>
  <c r="BR495" i="5"/>
  <c r="BR496" i="5" s="1"/>
  <c r="BR497" i="5" s="1"/>
  <c r="BR498" i="5" s="1"/>
  <c r="BP727" i="5"/>
  <c r="P711" i="5"/>
  <c r="P827" i="5" s="1"/>
  <c r="AK416" i="5"/>
  <c r="AK269" i="5"/>
  <c r="BK740" i="5"/>
  <c r="BK746" i="5"/>
  <c r="BK744" i="5"/>
  <c r="BN333" i="5"/>
  <c r="BN357" i="5" s="1"/>
  <c r="BN288" i="5"/>
  <c r="Z35" i="5"/>
  <c r="BX816" i="5"/>
  <c r="BW543" i="5"/>
  <c r="AH31" i="5"/>
  <c r="AH35" i="5" s="1"/>
  <c r="AX826" i="5"/>
  <c r="AX33" i="5"/>
  <c r="AX32" i="5"/>
  <c r="AX29" i="5"/>
  <c r="AX31" i="5" s="1"/>
  <c r="AX35" i="5" s="1"/>
  <c r="AX34" i="5"/>
  <c r="AX30" i="5"/>
  <c r="AB416" i="5"/>
  <c r="AB269" i="5"/>
  <c r="U499" i="5"/>
  <c r="U482" i="5"/>
  <c r="U530" i="5" s="1"/>
  <c r="U479" i="5"/>
  <c r="AW519" i="5"/>
  <c r="AW270" i="5"/>
  <c r="BM743" i="5"/>
  <c r="BM734" i="5"/>
  <c r="BM745" i="5"/>
  <c r="AT441" i="5"/>
  <c r="AT432" i="5"/>
  <c r="BM416" i="5"/>
  <c r="BM269" i="5"/>
  <c r="AV727" i="5"/>
  <c r="N269" i="5"/>
  <c r="N416" i="5"/>
  <c r="AI749" i="5"/>
  <c r="AI739" i="5" s="1"/>
  <c r="AJ842" i="5"/>
  <c r="C35" i="5"/>
  <c r="Z416" i="5"/>
  <c r="Z269" i="5"/>
  <c r="AP481" i="5"/>
  <c r="AP495" i="5"/>
  <c r="AP496" i="5" s="1"/>
  <c r="AP497" i="5" s="1"/>
  <c r="AP498" i="5" s="1"/>
  <c r="AG35" i="5"/>
  <c r="BU437" i="5"/>
  <c r="BV458" i="5"/>
  <c r="S711" i="5"/>
  <c r="AF728" i="5"/>
  <c r="BF426" i="5"/>
  <c r="BF439" i="5"/>
  <c r="AL479" i="5"/>
  <c r="AL499" i="5"/>
  <c r="AL500" i="5" s="1"/>
  <c r="AL501" i="5" s="1"/>
  <c r="AL502" i="5" s="1"/>
  <c r="AL482" i="5"/>
  <c r="BR499" i="5"/>
  <c r="BR500" i="5" s="1"/>
  <c r="BR501" i="5" s="1"/>
  <c r="BR502" i="5" s="1"/>
  <c r="BR479" i="5"/>
  <c r="BR482" i="5"/>
  <c r="AI746" i="5"/>
  <c r="AI740" i="5"/>
  <c r="AI744" i="5"/>
  <c r="BA416" i="5"/>
  <c r="BA269" i="5"/>
  <c r="AK439" i="5"/>
  <c r="AK426" i="5"/>
  <c r="AK438" i="5"/>
  <c r="AT521" i="5"/>
  <c r="AT31" i="5"/>
  <c r="AT35" i="5" s="1"/>
  <c r="AK2" i="3"/>
  <c r="BZ12" i="5"/>
  <c r="BZ34" i="5"/>
  <c r="BB31" i="3"/>
  <c r="AX30" i="3"/>
  <c r="BC288" i="5"/>
  <c r="BC333" i="5"/>
  <c r="BC357" i="5" s="1"/>
  <c r="BV25" i="5"/>
  <c r="BV9" i="5"/>
  <c r="BV59" i="5"/>
  <c r="BV55" i="5" s="1"/>
  <c r="BM426" i="5"/>
  <c r="BM439" i="5"/>
  <c r="BM438" i="5"/>
  <c r="N439" i="5"/>
  <c r="N426" i="5"/>
  <c r="N438" i="5"/>
  <c r="Z426" i="5"/>
  <c r="Z438" i="5"/>
  <c r="Z439" i="5"/>
  <c r="AT839" i="5"/>
  <c r="AP480" i="5"/>
  <c r="AS51" i="5"/>
  <c r="AS50" i="5"/>
  <c r="BP711" i="5"/>
  <c r="J35" i="5"/>
  <c r="AR426" i="5"/>
  <c r="AR439" i="5"/>
  <c r="P481" i="5"/>
  <c r="P495" i="5"/>
  <c r="P496" i="5" s="1"/>
  <c r="P497" i="5" s="1"/>
  <c r="P498" i="5" s="1"/>
  <c r="AP416" i="5"/>
  <c r="AP269" i="5"/>
  <c r="AO495" i="5"/>
  <c r="AO496" i="5" s="1"/>
  <c r="AO497" i="5" s="1"/>
  <c r="AO498" i="5" s="1"/>
  <c r="AO481" i="5"/>
  <c r="AN422" i="5"/>
  <c r="AN415" i="5"/>
  <c r="AN262" i="5"/>
  <c r="I519" i="5"/>
  <c r="I270" i="5"/>
  <c r="J744" i="5"/>
  <c r="AC426" i="5"/>
  <c r="AC439" i="5"/>
  <c r="AC438" i="5"/>
  <c r="AB426" i="5"/>
  <c r="AB439" i="5"/>
  <c r="K442" i="5"/>
  <c r="K435" i="5"/>
  <c r="K443" i="5" s="1"/>
  <c r="K528" i="5" s="1"/>
  <c r="C426" i="5"/>
  <c r="C438" i="5"/>
  <c r="C439" i="5"/>
  <c r="J664" i="5"/>
  <c r="J478" i="5"/>
  <c r="AG54" i="5"/>
  <c r="AL54" i="5"/>
  <c r="Q269" i="5"/>
  <c r="Q416" i="5"/>
  <c r="BM286" i="5"/>
  <c r="BM317" i="5"/>
  <c r="BM331" i="5" s="1"/>
  <c r="BM409" i="5" s="1"/>
  <c r="BM263" i="5" s="1"/>
  <c r="Q31" i="5"/>
  <c r="Q35" i="5" s="1"/>
  <c r="P479" i="5"/>
  <c r="P499" i="5"/>
  <c r="P482" i="5"/>
  <c r="P530" i="5" s="1"/>
  <c r="P521" i="5"/>
  <c r="AO499" i="5"/>
  <c r="AO479" i="5"/>
  <c r="AO482" i="5"/>
  <c r="AO530" i="5" s="1"/>
  <c r="AO521" i="5"/>
  <c r="AY746" i="5"/>
  <c r="AY740" i="5"/>
  <c r="AY744" i="5"/>
  <c r="AE521" i="5"/>
  <c r="AT529" i="5"/>
  <c r="AS416" i="5"/>
  <c r="AS269" i="5"/>
  <c r="AT8" i="3"/>
  <c r="AT17" i="2" s="1"/>
  <c r="BQ359" i="5"/>
  <c r="BQ393" i="5" s="1"/>
  <c r="BQ395" i="5"/>
  <c r="BQ398" i="5" s="1"/>
  <c r="AC495" i="5"/>
  <c r="AC496" i="5" s="1"/>
  <c r="AC497" i="5" s="1"/>
  <c r="AC498" i="5" s="1"/>
  <c r="AC481" i="5"/>
  <c r="K500" i="5"/>
  <c r="K501" i="5" s="1"/>
  <c r="K502" i="5" s="1"/>
  <c r="K532" i="5"/>
  <c r="K531" i="5"/>
  <c r="T416" i="5"/>
  <c r="T269" i="5"/>
  <c r="R495" i="5"/>
  <c r="R496" i="5" s="1"/>
  <c r="R497" i="5" s="1"/>
  <c r="R498" i="5" s="1"/>
  <c r="R481" i="5"/>
  <c r="BB495" i="5"/>
  <c r="BB496" i="5" s="1"/>
  <c r="BB497" i="5" s="1"/>
  <c r="BB498" i="5" s="1"/>
  <c r="BB481" i="5"/>
  <c r="BR826" i="5"/>
  <c r="BR32" i="5"/>
  <c r="BR30" i="5"/>
  <c r="BR34" i="5"/>
  <c r="BR29" i="5"/>
  <c r="BR31" i="5" s="1"/>
  <c r="BR33" i="5"/>
  <c r="BZ808" i="5"/>
  <c r="AB438" i="5"/>
  <c r="Z841" i="5"/>
  <c r="AP728" i="5"/>
  <c r="AP426" i="5"/>
  <c r="AP439" i="5"/>
  <c r="AP438" i="5"/>
  <c r="AE426" i="5"/>
  <c r="AE439" i="5"/>
  <c r="AD727" i="5"/>
  <c r="BH744" i="5"/>
  <c r="BP359" i="5"/>
  <c r="BP393" i="5" s="1"/>
  <c r="BP395" i="5"/>
  <c r="BP398" i="5" s="1"/>
  <c r="AC416" i="5"/>
  <c r="AC269" i="5"/>
  <c r="W2" i="3"/>
  <c r="CA826" i="5"/>
  <c r="CA401" i="5"/>
  <c r="CA30" i="5"/>
  <c r="CA29" i="5"/>
  <c r="CA31" i="5" s="1"/>
  <c r="CA35" i="5" s="1"/>
  <c r="CA32" i="5"/>
  <c r="AP31" i="5"/>
  <c r="AP35" i="5" s="1"/>
  <c r="CE43" i="5"/>
  <c r="CD20" i="5"/>
  <c r="W2" i="2"/>
  <c r="AS826" i="5"/>
  <c r="AS32" i="5"/>
  <c r="AS29" i="5"/>
  <c r="AS30" i="5"/>
  <c r="AS33" i="5"/>
  <c r="AW31" i="5"/>
  <c r="AW35" i="5" s="1"/>
  <c r="BB18" i="3"/>
  <c r="AX17" i="3"/>
  <c r="N711" i="5"/>
  <c r="C269" i="5"/>
  <c r="C416" i="5"/>
  <c r="BI416" i="5"/>
  <c r="BI269" i="5"/>
  <c r="AC480" i="5"/>
  <c r="AE839" i="5"/>
  <c r="AJ827" i="5"/>
  <c r="R499" i="5"/>
  <c r="R500" i="5" s="1"/>
  <c r="R501" i="5" s="1"/>
  <c r="R502" i="5" s="1"/>
  <c r="R482" i="5"/>
  <c r="R479" i="5"/>
  <c r="BB482" i="5"/>
  <c r="BB499" i="5"/>
  <c r="BB500" i="5" s="1"/>
  <c r="BB501" i="5" s="1"/>
  <c r="BB502" i="5" s="1"/>
  <c r="BB479" i="5"/>
  <c r="Q426" i="5"/>
  <c r="Q438" i="5"/>
  <c r="Q439" i="5"/>
  <c r="AE416" i="5"/>
  <c r="AE269" i="5"/>
  <c r="AE529" i="5"/>
  <c r="BO711" i="5"/>
  <c r="T288" i="5"/>
  <c r="T333" i="5"/>
  <c r="T357" i="5" s="1"/>
  <c r="C711" i="5"/>
  <c r="AK333" i="5"/>
  <c r="AK357" i="5" s="1"/>
  <c r="AK288" i="5"/>
  <c r="BM464" i="5"/>
  <c r="BM465" i="5"/>
  <c r="BR465" i="5"/>
  <c r="N3" i="1"/>
  <c r="AS426" i="5"/>
  <c r="AS438" i="5"/>
  <c r="AS439" i="5"/>
  <c r="Z823" i="5"/>
  <c r="Z292" i="5"/>
  <c r="Z290" i="5"/>
  <c r="BX12" i="5"/>
  <c r="AI51" i="5"/>
  <c r="AI50" i="5"/>
  <c r="BF333" i="5"/>
  <c r="BF357" i="5" s="1"/>
  <c r="BF288" i="5"/>
  <c r="AV441" i="5"/>
  <c r="AV432" i="5"/>
  <c r="BI439" i="5"/>
  <c r="BI426" i="5"/>
  <c r="BI438" i="5"/>
  <c r="AU481" i="5"/>
  <c r="AU495" i="5"/>
  <c r="AU496" i="5" s="1"/>
  <c r="AU497" i="5" s="1"/>
  <c r="AU498" i="5" s="1"/>
  <c r="T439" i="5"/>
  <c r="T426" i="5"/>
  <c r="T438" i="5"/>
  <c r="AD826" i="5"/>
  <c r="AD33" i="5"/>
  <c r="AD32" i="5"/>
  <c r="AD34" i="5"/>
  <c r="AD29" i="5"/>
  <c r="AD30" i="5"/>
  <c r="BO426" i="5"/>
  <c r="BO439" i="5"/>
  <c r="AJ269" i="5"/>
  <c r="AJ416" i="5"/>
  <c r="AL746" i="5"/>
  <c r="AL744" i="5"/>
  <c r="AI826" i="5"/>
  <c r="AI33" i="5"/>
  <c r="AI30" i="5"/>
  <c r="AI29" i="5"/>
  <c r="AI31" i="5" s="1"/>
  <c r="AI35" i="5" s="1"/>
  <c r="AI32" i="5"/>
  <c r="AH333" i="5"/>
  <c r="AH357" i="5" s="1"/>
  <c r="AH288" i="5"/>
  <c r="AG827" i="5"/>
  <c r="AU8" i="3"/>
  <c r="AU17" i="2" s="1"/>
  <c r="AN826" i="5"/>
  <c r="AN32" i="5"/>
  <c r="AN29" i="5"/>
  <c r="AN34" i="5"/>
  <c r="AN33" i="5"/>
  <c r="AN30" i="5"/>
  <c r="AK2" i="2"/>
  <c r="AX50" i="5"/>
  <c r="AX51" i="5"/>
  <c r="BD38" i="3"/>
  <c r="BW722" i="5"/>
  <c r="CB722" i="5" s="1"/>
  <c r="BR726" i="5"/>
  <c r="AV288" i="5"/>
  <c r="AV333" i="5"/>
  <c r="AV357" i="5" s="1"/>
  <c r="AY839" i="5"/>
  <c r="AU480" i="5"/>
  <c r="Z465" i="5"/>
  <c r="AE465" i="5"/>
  <c r="AM481" i="5"/>
  <c r="AM495" i="5"/>
  <c r="AM496" i="5" s="1"/>
  <c r="AM497" i="5" s="1"/>
  <c r="AM498" i="5" s="1"/>
  <c r="BG481" i="5"/>
  <c r="BG495" i="5"/>
  <c r="BG496" i="5" s="1"/>
  <c r="BG497" i="5" s="1"/>
  <c r="BG498" i="5" s="1"/>
  <c r="I495" i="5"/>
  <c r="I496" i="5" s="1"/>
  <c r="I497" i="5" s="1"/>
  <c r="I498" i="5" s="1"/>
  <c r="I481" i="5"/>
  <c r="AS34" i="5"/>
  <c r="BO269" i="5"/>
  <c r="BO416" i="5"/>
  <c r="BB711" i="5"/>
  <c r="BD481" i="5"/>
  <c r="BD495" i="5"/>
  <c r="BD496" i="5" s="1"/>
  <c r="BD497" i="5" s="1"/>
  <c r="BD498" i="5" s="1"/>
  <c r="AX779" i="5"/>
  <c r="BC830" i="5" s="1"/>
  <c r="AJ426" i="5"/>
  <c r="AJ439" i="5"/>
  <c r="Z481" i="5"/>
  <c r="Z495" i="5"/>
  <c r="Z496" i="5" s="1"/>
  <c r="Z497" i="5" s="1"/>
  <c r="Z498" i="5" s="1"/>
  <c r="H31" i="5"/>
  <c r="H35" i="5" s="1"/>
  <c r="V395" i="5"/>
  <c r="V398" i="5" s="1"/>
  <c r="V359" i="5"/>
  <c r="V393" i="5" s="1"/>
  <c r="BC18" i="3"/>
  <c r="AY17" i="3"/>
  <c r="BS430" i="5"/>
  <c r="BS822" i="5"/>
  <c r="BS437" i="5"/>
  <c r="G31" i="5"/>
  <c r="G35" i="5" s="1"/>
  <c r="V519" i="5"/>
  <c r="V270" i="5"/>
  <c r="AO31" i="5"/>
  <c r="AO35" i="5" s="1"/>
  <c r="BD519" i="5"/>
  <c r="BD270" i="5"/>
  <c r="BA823" i="5"/>
  <c r="BA290" i="5"/>
  <c r="BA292" i="5"/>
  <c r="T664" i="5"/>
  <c r="T480" i="5" s="1"/>
  <c r="T478" i="5"/>
  <c r="BR819" i="5"/>
  <c r="BR830" i="5"/>
  <c r="BQ830" i="5"/>
  <c r="K519" i="5"/>
  <c r="K270" i="5"/>
  <c r="H746" i="5"/>
  <c r="H744" i="5"/>
  <c r="CD23" i="5"/>
  <c r="CC11" i="5"/>
  <c r="AN465" i="5"/>
  <c r="AN464" i="5"/>
  <c r="AP464" i="5"/>
  <c r="AM479" i="5"/>
  <c r="AM499" i="5"/>
  <c r="AM500" i="5" s="1"/>
  <c r="AM501" i="5" s="1"/>
  <c r="AM502" i="5" s="1"/>
  <c r="AM482" i="5"/>
  <c r="H359" i="5"/>
  <c r="H393" i="5" s="1"/>
  <c r="H395" i="5"/>
  <c r="H398" i="5" s="1"/>
  <c r="BG479" i="5"/>
  <c r="BG482" i="5"/>
  <c r="BG499" i="5"/>
  <c r="BG500" i="5" s="1"/>
  <c r="BG501" i="5" s="1"/>
  <c r="BG502" i="5" s="1"/>
  <c r="I499" i="5"/>
  <c r="I500" i="5" s="1"/>
  <c r="I501" i="5" s="1"/>
  <c r="I502" i="5" s="1"/>
  <c r="I479" i="5"/>
  <c r="I482" i="5"/>
  <c r="BI495" i="5"/>
  <c r="BI496" i="5" s="1"/>
  <c r="BI497" i="5" s="1"/>
  <c r="BI498" i="5" s="1"/>
  <c r="BI481" i="5"/>
  <c r="BC826" i="5"/>
  <c r="BC29" i="5"/>
  <c r="BC30" i="5"/>
  <c r="BC33" i="5"/>
  <c r="BC32" i="5"/>
  <c r="AY290" i="5"/>
  <c r="AY292" i="5"/>
  <c r="BD499" i="5"/>
  <c r="BD479" i="5"/>
  <c r="BD482" i="5"/>
  <c r="BD530" i="5" s="1"/>
  <c r="BE31" i="5"/>
  <c r="BE35" i="5" s="1"/>
  <c r="E426" i="5"/>
  <c r="E438" i="5"/>
  <c r="E439" i="5"/>
  <c r="BC664" i="5"/>
  <c r="BC478" i="5"/>
  <c r="T31" i="5"/>
  <c r="T35" i="5" s="1"/>
  <c r="BF481" i="5"/>
  <c r="BF495" i="5"/>
  <c r="BF496" i="5" s="1"/>
  <c r="BF497" i="5" s="1"/>
  <c r="BF498" i="5" s="1"/>
  <c r="Z482" i="5"/>
  <c r="Z530" i="5" s="1"/>
  <c r="Z479" i="5"/>
  <c r="Z499" i="5"/>
  <c r="AT823" i="5"/>
  <c r="AT292" i="5"/>
  <c r="AT290" i="5"/>
  <c r="BX49" i="5"/>
  <c r="BX44" i="5"/>
  <c r="BX38" i="5"/>
  <c r="BM31" i="5"/>
  <c r="BM35" i="5" s="1"/>
  <c r="AY54" i="5"/>
  <c r="AT54" i="5"/>
  <c r="BJ495" i="5"/>
  <c r="BJ496" i="5" s="1"/>
  <c r="BJ497" i="5" s="1"/>
  <c r="BJ498" i="5" s="1"/>
  <c r="BJ481" i="5"/>
  <c r="CA12" i="5"/>
  <c r="CA34" i="5"/>
  <c r="W519" i="5"/>
  <c r="W270" i="5"/>
  <c r="AQ269" i="5"/>
  <c r="AQ416" i="5"/>
  <c r="U438" i="5"/>
  <c r="BG292" i="5"/>
  <c r="BG290" i="5"/>
  <c r="AY532" i="5"/>
  <c r="BI480" i="5"/>
  <c r="BI711" i="5"/>
  <c r="BN827" i="5" s="1"/>
  <c r="AI286" i="5"/>
  <c r="AI317" i="5"/>
  <c r="AI331" i="5" s="1"/>
  <c r="AI409" i="5" s="1"/>
  <c r="AI263" i="5" s="1"/>
  <c r="BC819" i="5"/>
  <c r="BB830" i="5"/>
  <c r="R416" i="5"/>
  <c r="R269" i="5"/>
  <c r="BL481" i="5"/>
  <c r="BL495" i="5"/>
  <c r="BL496" i="5" s="1"/>
  <c r="BL497" i="5" s="1"/>
  <c r="BL498" i="5" s="1"/>
  <c r="BS495" i="5"/>
  <c r="BS496" i="5" s="1"/>
  <c r="BS497" i="5" s="1"/>
  <c r="BS498" i="5" s="1"/>
  <c r="BS481" i="5"/>
  <c r="BF482" i="5"/>
  <c r="BF499" i="5"/>
  <c r="BF500" i="5" s="1"/>
  <c r="BF501" i="5" s="1"/>
  <c r="BF502" i="5" s="1"/>
  <c r="BF479" i="5"/>
  <c r="T749" i="5"/>
  <c r="T739" i="5" s="1"/>
  <c r="T740" i="5" s="1"/>
  <c r="U842" i="5"/>
  <c r="AU830" i="5"/>
  <c r="BD30" i="3"/>
  <c r="BH31" i="3"/>
  <c r="BH30" i="3" s="1"/>
  <c r="BW47" i="5"/>
  <c r="BW40" i="5"/>
  <c r="BD442" i="5"/>
  <c r="BD435" i="5"/>
  <c r="BD443" i="5" s="1"/>
  <c r="BD528" i="5" s="1"/>
  <c r="AS39" i="5"/>
  <c r="AS58" i="5"/>
  <c r="AO54" i="5"/>
  <c r="AJ333" i="5"/>
  <c r="AJ357" i="5" s="1"/>
  <c r="AJ288" i="5"/>
  <c r="BN839" i="5"/>
  <c r="BJ480" i="5"/>
  <c r="BJ711" i="5"/>
  <c r="CA33" i="5"/>
  <c r="BD288" i="5"/>
  <c r="BD333" i="5"/>
  <c r="BD357" i="5" s="1"/>
  <c r="AF495" i="5"/>
  <c r="AF496" i="5" s="1"/>
  <c r="AF497" i="5" s="1"/>
  <c r="AF498" i="5" s="1"/>
  <c r="AF481" i="5"/>
  <c r="BF827" i="5"/>
  <c r="BB38" i="3"/>
  <c r="BN481" i="5"/>
  <c r="BN495" i="5"/>
  <c r="BN496" i="5" s="1"/>
  <c r="BN497" i="5" s="1"/>
  <c r="BN498" i="5" s="1"/>
  <c r="AX495" i="5"/>
  <c r="AX496" i="5" s="1"/>
  <c r="AX497" i="5" s="1"/>
  <c r="AX498" i="5" s="1"/>
  <c r="AX481" i="5"/>
  <c r="BK481" i="5"/>
  <c r="BK495" i="5"/>
  <c r="BK496" i="5" s="1"/>
  <c r="BK497" i="5" s="1"/>
  <c r="BK498" i="5" s="1"/>
  <c r="BH415" i="5"/>
  <c r="BH422" i="5"/>
  <c r="BH262" i="5"/>
  <c r="R426" i="5"/>
  <c r="R438" i="5"/>
  <c r="R439" i="5"/>
  <c r="BL479" i="5"/>
  <c r="BL482" i="5"/>
  <c r="BL499" i="5"/>
  <c r="BL500" i="5" s="1"/>
  <c r="BL501" i="5" s="1"/>
  <c r="BL502" i="5" s="1"/>
  <c r="CC24" i="5"/>
  <c r="I441" i="5"/>
  <c r="I432" i="5"/>
  <c r="BS499" i="5"/>
  <c r="BS482" i="5"/>
  <c r="BS530" i="5" s="1"/>
  <c r="BS479" i="5"/>
  <c r="BS521" i="5"/>
  <c r="E269" i="5"/>
  <c r="E416" i="5"/>
  <c r="E529" i="5" s="1"/>
  <c r="BQ711" i="5"/>
  <c r="AD823" i="5"/>
  <c r="AD290" i="5"/>
  <c r="AD292" i="5"/>
  <c r="AY31" i="5"/>
  <c r="AY35" i="5" s="1"/>
  <c r="I5" i="2"/>
  <c r="I5" i="7" s="1"/>
  <c r="J1" i="2"/>
  <c r="CB44" i="5"/>
  <c r="CB19" i="5"/>
  <c r="Z529" i="5"/>
  <c r="BH286" i="5"/>
  <c r="BH317" i="5"/>
  <c r="BH331" i="5" s="1"/>
  <c r="BH409" i="5" s="1"/>
  <c r="BH263" i="5" s="1"/>
  <c r="U31" i="5"/>
  <c r="U35" i="5" s="1"/>
  <c r="AQ426" i="5"/>
  <c r="AQ439" i="5"/>
  <c r="M746" i="5"/>
  <c r="M740" i="5"/>
  <c r="M744" i="5"/>
  <c r="AJ839" i="5"/>
  <c r="AF480" i="5"/>
  <c r="BK416" i="5"/>
  <c r="BK269" i="5"/>
  <c r="BO333" i="5"/>
  <c r="BO357" i="5" s="1"/>
  <c r="BO288" i="5"/>
  <c r="AK746" i="5"/>
  <c r="AK744" i="5"/>
  <c r="Y422" i="5"/>
  <c r="Y415" i="5"/>
  <c r="Y262" i="5"/>
  <c r="BR827" i="5"/>
  <c r="BN499" i="5"/>
  <c r="BN479" i="5"/>
  <c r="BN482" i="5"/>
  <c r="BN530" i="5" s="1"/>
  <c r="AX482" i="5"/>
  <c r="AX499" i="5"/>
  <c r="AX500" i="5" s="1"/>
  <c r="AX501" i="5" s="1"/>
  <c r="AX502" i="5" s="1"/>
  <c r="AX479" i="5"/>
  <c r="AZ823" i="5"/>
  <c r="AZ290" i="5"/>
  <c r="AZ292" i="5"/>
  <c r="BU465" i="5"/>
  <c r="BU464" i="5"/>
  <c r="BU475" i="5"/>
  <c r="BU455" i="5"/>
  <c r="BV446" i="5" s="1"/>
  <c r="BV462" i="5"/>
  <c r="BV459" i="5"/>
  <c r="BU472" i="5"/>
  <c r="BB823" i="5"/>
  <c r="BB290" i="5"/>
  <c r="BB292" i="5"/>
  <c r="BK499" i="5"/>
  <c r="BK500" i="5" s="1"/>
  <c r="BK501" i="5" s="1"/>
  <c r="BK502" i="5" s="1"/>
  <c r="BK482" i="5"/>
  <c r="BK479" i="5"/>
  <c r="V495" i="5"/>
  <c r="V496" i="5" s="1"/>
  <c r="V497" i="5" s="1"/>
  <c r="V498" i="5" s="1"/>
  <c r="V481" i="5"/>
  <c r="AU519" i="5"/>
  <c r="AU270" i="5"/>
  <c r="AO465" i="5"/>
  <c r="CE22" i="5"/>
  <c r="CD24" i="5"/>
  <c r="BM711" i="5"/>
  <c r="AD426" i="5"/>
  <c r="AD438" i="5"/>
  <c r="AD439" i="5"/>
  <c r="BW21" i="5"/>
  <c r="BW7" i="5"/>
  <c r="AF359" i="5"/>
  <c r="AF393" i="5" s="1"/>
  <c r="AF395" i="5"/>
  <c r="AF398" i="5" s="1"/>
  <c r="AV66" i="2"/>
  <c r="AU69" i="2"/>
  <c r="AD740" i="5"/>
  <c r="AR31" i="5"/>
  <c r="AR35" i="5" s="1"/>
  <c r="AJ465" i="5"/>
  <c r="BK426" i="5"/>
  <c r="BK439" i="5"/>
  <c r="BK438" i="5"/>
  <c r="AO746" i="5"/>
  <c r="AO740" i="5"/>
  <c r="AO744" i="5"/>
  <c r="AR481" i="5"/>
  <c r="AR495" i="5"/>
  <c r="AR496" i="5" s="1"/>
  <c r="AR497" i="5" s="1"/>
  <c r="AR498" i="5" s="1"/>
  <c r="AA827" i="5"/>
  <c r="Z839" i="5"/>
  <c r="V480" i="5"/>
  <c r="W395" i="5"/>
  <c r="W398" i="5" s="1"/>
  <c r="W359" i="5"/>
  <c r="W393" i="5" s="1"/>
  <c r="L495" i="5"/>
  <c r="L496" i="5" s="1"/>
  <c r="L497" i="5" s="1"/>
  <c r="L498" i="5" s="1"/>
  <c r="L481" i="5"/>
  <c r="Y333" i="5"/>
  <c r="Y357" i="5" s="1"/>
  <c r="Y288" i="5"/>
  <c r="AQ481" i="5"/>
  <c r="AQ495" i="5"/>
  <c r="AQ496" i="5" s="1"/>
  <c r="AQ497" i="5" s="1"/>
  <c r="AQ498" i="5" s="1"/>
  <c r="AG333" i="5"/>
  <c r="AG357" i="5" s="1"/>
  <c r="AG288" i="5"/>
  <c r="AD416" i="5"/>
  <c r="AD269" i="5"/>
  <c r="BT516" i="5"/>
  <c r="BE38" i="3"/>
  <c r="Z2" i="3"/>
  <c r="BW49" i="5"/>
  <c r="BZ9" i="5"/>
  <c r="BZ59" i="5"/>
  <c r="BZ55" i="5" s="1"/>
  <c r="BZ25" i="5"/>
  <c r="AU430" i="5"/>
  <c r="AU437" i="5"/>
  <c r="AU822" i="5"/>
  <c r="BB416" i="5"/>
  <c r="BB269" i="5"/>
  <c r="BC38" i="3"/>
  <c r="F426" i="5"/>
  <c r="F438" i="5"/>
  <c r="F439" i="5"/>
  <c r="U529" i="5"/>
  <c r="U827" i="5"/>
  <c r="AA426" i="5"/>
  <c r="AA438" i="5"/>
  <c r="AA439" i="5"/>
  <c r="AP288" i="5"/>
  <c r="AP333" i="5"/>
  <c r="AP357" i="5" s="1"/>
  <c r="D827" i="5"/>
  <c r="Y31" i="5"/>
  <c r="Y35" i="5" s="1"/>
  <c r="AR479" i="5"/>
  <c r="AR499" i="5"/>
  <c r="AR500" i="5" s="1"/>
  <c r="AR501" i="5" s="1"/>
  <c r="AR502" i="5" s="1"/>
  <c r="AR482" i="5"/>
  <c r="BG728" i="5"/>
  <c r="X481" i="5"/>
  <c r="X495" i="5"/>
  <c r="X496" i="5" s="1"/>
  <c r="X497" i="5" s="1"/>
  <c r="X498" i="5" s="1"/>
  <c r="AY416" i="5"/>
  <c r="AY529" i="5" s="1"/>
  <c r="AY269" i="5"/>
  <c r="AL359" i="5"/>
  <c r="AL393" i="5" s="1"/>
  <c r="AL395" i="5"/>
  <c r="AL398" i="5" s="1"/>
  <c r="S416" i="5"/>
  <c r="S269" i="5"/>
  <c r="L480" i="5"/>
  <c r="D529" i="5"/>
  <c r="O395" i="5"/>
  <c r="O398" i="5" s="1"/>
  <c r="O359" i="5"/>
  <c r="O393" i="5" s="1"/>
  <c r="AQ479" i="5"/>
  <c r="AQ499" i="5"/>
  <c r="AQ500" i="5" s="1"/>
  <c r="AQ501" i="5" s="1"/>
  <c r="AQ502" i="5" s="1"/>
  <c r="AQ482" i="5"/>
  <c r="L519" i="5"/>
  <c r="L270" i="5"/>
  <c r="Y495" i="5"/>
  <c r="Y496" i="5" s="1"/>
  <c r="Y497" i="5" s="1"/>
  <c r="Y498" i="5" s="1"/>
  <c r="Y481" i="5"/>
  <c r="K32" i="1"/>
  <c r="BB426" i="5"/>
  <c r="BB439" i="5"/>
  <c r="BB438" i="5"/>
  <c r="BJ333" i="5"/>
  <c r="BJ357" i="5" s="1"/>
  <c r="BJ288" i="5"/>
  <c r="AA416" i="5"/>
  <c r="AA269" i="5"/>
  <c r="BN416" i="5"/>
  <c r="BN269" i="5"/>
  <c r="BT413" i="5"/>
  <c r="BT748" i="5" s="1"/>
  <c r="BT777" i="5"/>
  <c r="BT778" i="5" s="1"/>
  <c r="X823" i="5"/>
  <c r="X292" i="5"/>
  <c r="X290" i="5"/>
  <c r="AQ31" i="5"/>
  <c r="AQ35" i="5" s="1"/>
  <c r="BH830" i="5"/>
  <c r="AF727" i="5"/>
  <c r="X482" i="5"/>
  <c r="X479" i="5"/>
  <c r="X499" i="5"/>
  <c r="X500" i="5" s="1"/>
  <c r="X501" i="5" s="1"/>
  <c r="X502" i="5" s="1"/>
  <c r="AY426" i="5"/>
  <c r="AY438" i="5"/>
  <c r="AY439" i="5"/>
  <c r="AJ529" i="5"/>
  <c r="S31" i="5"/>
  <c r="S35" i="5" s="1"/>
  <c r="BU446" i="5"/>
  <c r="BT446" i="5"/>
  <c r="BX783" i="5"/>
  <c r="BW509" i="5"/>
  <c r="BS827" i="5"/>
  <c r="AV495" i="5"/>
  <c r="AV496" i="5" s="1"/>
  <c r="AV497" i="5" s="1"/>
  <c r="AV498" i="5" s="1"/>
  <c r="AV481" i="5"/>
  <c r="X31" i="5"/>
  <c r="X35" i="5" s="1"/>
  <c r="AE359" i="5"/>
  <c r="AE393" i="5" s="1"/>
  <c r="AE395" i="5"/>
  <c r="AE398" i="5" s="1"/>
  <c r="S495" i="5"/>
  <c r="S496" i="5" s="1"/>
  <c r="S497" i="5" s="1"/>
  <c r="S498" i="5" s="1"/>
  <c r="S481" i="5"/>
  <c r="Y482" i="5"/>
  <c r="Y479" i="5"/>
  <c r="Y499" i="5"/>
  <c r="Y500" i="5" s="1"/>
  <c r="Y501" i="5" s="1"/>
  <c r="Y502" i="5" s="1"/>
  <c r="BT401" i="5"/>
  <c r="BT266" i="5" s="1"/>
  <c r="BT32" i="5"/>
  <c r="BT34" i="5"/>
  <c r="BT30" i="5"/>
  <c r="BT29" i="5"/>
  <c r="BT33" i="5"/>
  <c r="BM481" i="5"/>
  <c r="BM495" i="5"/>
  <c r="BM496" i="5" s="1"/>
  <c r="BM497" i="5" s="1"/>
  <c r="BM498" i="5" s="1"/>
  <c r="BN426" i="5"/>
  <c r="BS829" i="5" s="1"/>
  <c r="BN439" i="5"/>
  <c r="BN438" i="5"/>
  <c r="AV726" i="5"/>
  <c r="AZ426" i="5"/>
  <c r="AZ439" i="5"/>
  <c r="AZ438" i="5"/>
  <c r="S426" i="5"/>
  <c r="S439" i="5"/>
  <c r="S438" i="5"/>
  <c r="AF426" i="5"/>
  <c r="AF439" i="5"/>
  <c r="BR426" i="5"/>
  <c r="BR439" i="5"/>
  <c r="BR438" i="5"/>
  <c r="BL430" i="5"/>
  <c r="BL822" i="5"/>
  <c r="BL437" i="5"/>
  <c r="AJ481" i="5"/>
  <c r="AJ495" i="5"/>
  <c r="AJ496" i="5" s="1"/>
  <c r="AJ497" i="5" s="1"/>
  <c r="AJ498" i="5" s="1"/>
  <c r="V829" i="5"/>
  <c r="V430" i="5"/>
  <c r="V437" i="5"/>
  <c r="V822" i="5"/>
  <c r="AV480" i="5"/>
  <c r="AV711" i="5"/>
  <c r="AV827" i="5" s="1"/>
  <c r="S499" i="5"/>
  <c r="S500" i="5" s="1"/>
  <c r="S501" i="5" s="1"/>
  <c r="S502" i="5" s="1"/>
  <c r="S482" i="5"/>
  <c r="S479" i="5"/>
  <c r="BJ430" i="5"/>
  <c r="BJ822" i="5"/>
  <c r="BJ437" i="5"/>
  <c r="AX39" i="5"/>
  <c r="CC58" i="5"/>
  <c r="CC8" i="5"/>
  <c r="BE416" i="5"/>
  <c r="BE269" i="5"/>
  <c r="AG51" i="2"/>
  <c r="F269" i="5"/>
  <c r="F416" i="5"/>
  <c r="F529" i="5" s="1"/>
  <c r="F481" i="5"/>
  <c r="F495" i="5"/>
  <c r="F496" i="5" s="1"/>
  <c r="F497" i="5" s="1"/>
  <c r="F498" i="5" s="1"/>
  <c r="AM333" i="5"/>
  <c r="AM357" i="5" s="1"/>
  <c r="AM288" i="5"/>
  <c r="BM482" i="5"/>
  <c r="BM479" i="5"/>
  <c r="BM499" i="5"/>
  <c r="BM500" i="5" s="1"/>
  <c r="BM501" i="5" s="1"/>
  <c r="BM502" i="5" s="1"/>
  <c r="AH438" i="5"/>
  <c r="BO464" i="5"/>
  <c r="AO827" i="5"/>
  <c r="BS519" i="5"/>
  <c r="BS270" i="5"/>
  <c r="BS520" i="5"/>
  <c r="I359" i="5"/>
  <c r="I393" i="5" s="1"/>
  <c r="I395" i="5"/>
  <c r="I398" i="5" s="1"/>
  <c r="AZ827" i="5"/>
  <c r="BG426" i="5"/>
  <c r="BG439" i="5"/>
  <c r="BG438" i="5"/>
  <c r="H711" i="5"/>
  <c r="H827" i="5" s="1"/>
  <c r="I746" i="5"/>
  <c r="I744" i="5"/>
  <c r="AY827" i="5"/>
  <c r="AF416" i="5"/>
  <c r="AF269" i="5"/>
  <c r="AK711" i="5"/>
  <c r="AL827" i="5" s="1"/>
  <c r="BR416" i="5"/>
  <c r="BR269" i="5"/>
  <c r="AR54" i="5"/>
  <c r="BQ426" i="5"/>
  <c r="BQ439" i="5"/>
  <c r="AJ479" i="5"/>
  <c r="AJ499" i="5"/>
  <c r="AJ482" i="5"/>
  <c r="AJ530" i="5" s="1"/>
  <c r="AB823" i="5"/>
  <c r="AB292" i="5"/>
  <c r="AB290" i="5"/>
  <c r="AG481" i="5"/>
  <c r="AG495" i="5"/>
  <c r="AG496" i="5" s="1"/>
  <c r="AG497" i="5" s="1"/>
  <c r="AG498" i="5" s="1"/>
  <c r="AF438" i="5"/>
  <c r="BU825" i="5"/>
  <c r="BV508" i="5"/>
  <c r="BU506" i="5"/>
  <c r="BU784" i="5" s="1"/>
  <c r="K838" i="5"/>
  <c r="BE426" i="5"/>
  <c r="BE438" i="5"/>
  <c r="BE439" i="5"/>
  <c r="X2" i="3"/>
  <c r="U51" i="2"/>
  <c r="AK54" i="5"/>
  <c r="BH664" i="5"/>
  <c r="BH478" i="5"/>
  <c r="F482" i="5"/>
  <c r="F530" i="5" s="1"/>
  <c r="F499" i="5"/>
  <c r="F479" i="5"/>
  <c r="BE711" i="5"/>
  <c r="BX19" i="5"/>
  <c r="R746" i="5"/>
  <c r="R740" i="5"/>
  <c r="R744" i="5"/>
  <c r="AO438" i="5"/>
  <c r="AO426" i="5"/>
  <c r="AO439" i="5"/>
  <c r="G479" i="5"/>
  <c r="G499" i="5"/>
  <c r="G500" i="5" s="1"/>
  <c r="G501" i="5" s="1"/>
  <c r="G502" i="5" s="1"/>
  <c r="G482" i="5"/>
  <c r="AR728" i="5"/>
  <c r="AZ416" i="5"/>
  <c r="AZ269" i="5"/>
  <c r="BD711" i="5"/>
  <c r="BD827" i="5" s="1"/>
  <c r="BL519" i="5"/>
  <c r="BL270" i="5"/>
  <c r="BQ269" i="5"/>
  <c r="BQ416" i="5"/>
  <c r="X711" i="5"/>
  <c r="AC827" i="5" s="1"/>
  <c r="BS333" i="5"/>
  <c r="BS357" i="5" s="1"/>
  <c r="BS288" i="5"/>
  <c r="AG479" i="5"/>
  <c r="AG482" i="5"/>
  <c r="AG499" i="5"/>
  <c r="AG500" i="5" s="1"/>
  <c r="AG501" i="5" s="1"/>
  <c r="AG502" i="5" s="1"/>
  <c r="R711" i="5"/>
  <c r="AE51" i="2"/>
  <c r="AB2" i="2"/>
  <c r="BK359" i="5"/>
  <c r="BK393" i="5" s="1"/>
  <c r="BK395" i="5"/>
  <c r="BK398" i="5" s="1"/>
  <c r="I51" i="2"/>
  <c r="CB12" i="5"/>
  <c r="P35" i="5"/>
  <c r="AL439" i="5"/>
  <c r="AL426" i="5"/>
  <c r="AL438" i="5"/>
  <c r="AM746" i="5"/>
  <c r="AM740" i="5"/>
  <c r="AM744" i="5"/>
  <c r="Q333" i="5"/>
  <c r="Q288" i="5"/>
  <c r="C529" i="5"/>
  <c r="BY49" i="5"/>
  <c r="AR744" i="5"/>
  <c r="AW495" i="5"/>
  <c r="AW496" i="5" s="1"/>
  <c r="AW497" i="5" s="1"/>
  <c r="AW498" i="5" s="1"/>
  <c r="AW481" i="5"/>
  <c r="BG727" i="5"/>
  <c r="I5" i="3"/>
  <c r="J1" i="3"/>
  <c r="AO269" i="5"/>
  <c r="AO416" i="5"/>
  <c r="BG416" i="5"/>
  <c r="BG269" i="5"/>
  <c r="K839" i="5"/>
  <c r="BC426" i="5"/>
  <c r="BC439" i="5"/>
  <c r="BC438" i="5"/>
  <c r="M711" i="5"/>
  <c r="BL333" i="5"/>
  <c r="BL357" i="5" s="1"/>
  <c r="BL288" i="5"/>
  <c r="AI830" i="5"/>
  <c r="AI819" i="5"/>
  <c r="BE333" i="5"/>
  <c r="BE357" i="5" s="1"/>
  <c r="BE288" i="5"/>
  <c r="Q495" i="5"/>
  <c r="Q496" i="5" s="1"/>
  <c r="Q497" i="5" s="1"/>
  <c r="Q498" i="5" s="1"/>
  <c r="Q481" i="5"/>
  <c r="O819" i="5"/>
  <c r="O830" i="5"/>
  <c r="N830" i="5"/>
  <c r="AO51" i="2"/>
  <c r="AN317" i="5"/>
  <c r="AN331" i="5" s="1"/>
  <c r="AN409" i="5" s="1"/>
  <c r="AN263" i="5" s="1"/>
  <c r="AN286" i="5"/>
  <c r="AY30" i="3"/>
  <c r="BC31" i="3"/>
  <c r="L395" i="5"/>
  <c r="L398" i="5" s="1"/>
  <c r="L359" i="5"/>
  <c r="L393" i="5" s="1"/>
  <c r="P834" i="5" s="1"/>
  <c r="G426" i="5"/>
  <c r="G439" i="5"/>
  <c r="F24" i="2"/>
  <c r="F34" i="2"/>
  <c r="AG430" i="5"/>
  <c r="AG822" i="5"/>
  <c r="AG437" i="5"/>
  <c r="AL269" i="5"/>
  <c r="AL416" i="5"/>
  <c r="AP711" i="5"/>
  <c r="AQ827" i="5" s="1"/>
  <c r="AZ482" i="5"/>
  <c r="AZ499" i="5"/>
  <c r="AZ500" i="5" s="1"/>
  <c r="AZ501" i="5" s="1"/>
  <c r="AZ502" i="5" s="1"/>
  <c r="AZ479" i="5"/>
  <c r="AT519" i="5"/>
  <c r="AT270" i="5"/>
  <c r="K827" i="5"/>
  <c r="AR711" i="5"/>
  <c r="AR827" i="5" s="1"/>
  <c r="O664" i="5"/>
  <c r="O478" i="5"/>
  <c r="CC19" i="5"/>
  <c r="BY7" i="5"/>
  <c r="BY21" i="5"/>
  <c r="AW482" i="5"/>
  <c r="AW499" i="5"/>
  <c r="AW500" i="5" s="1"/>
  <c r="AW501" i="5" s="1"/>
  <c r="AW502" i="5" s="1"/>
  <c r="AW479" i="5"/>
  <c r="BW724" i="5"/>
  <c r="CB724" i="5" s="1"/>
  <c r="BR728" i="5"/>
  <c r="D426" i="5"/>
  <c r="D438" i="5"/>
  <c r="D439" i="5"/>
  <c r="AF726" i="5"/>
  <c r="AH481" i="5"/>
  <c r="AH495" i="5"/>
  <c r="AH496" i="5" s="1"/>
  <c r="AH497" i="5" s="1"/>
  <c r="AH498" i="5" s="1"/>
  <c r="AN664" i="5"/>
  <c r="AN478" i="5"/>
  <c r="P746" i="5"/>
  <c r="P740" i="5"/>
  <c r="P744" i="5"/>
  <c r="AD711" i="5"/>
  <c r="AD827" i="5" s="1"/>
  <c r="AI664" i="5"/>
  <c r="AI480" i="5" s="1"/>
  <c r="AI478" i="5"/>
  <c r="AT495" i="5"/>
  <c r="AT496" i="5" s="1"/>
  <c r="AT497" i="5" s="1"/>
  <c r="AT498" i="5" s="1"/>
  <c r="AT481" i="5"/>
  <c r="U839" i="5"/>
  <c r="Q480" i="5"/>
  <c r="J359" i="5"/>
  <c r="J393" i="5" s="1"/>
  <c r="J395" i="5"/>
  <c r="J398" i="5" s="1"/>
  <c r="BL711" i="5"/>
  <c r="BL827" i="5" s="1"/>
  <c r="AS465" i="5"/>
  <c r="J87" i="2"/>
  <c r="I45" i="7"/>
  <c r="I46" i="7" s="1"/>
  <c r="BV10" i="3" l="1"/>
  <c r="BW25" i="3"/>
  <c r="BF25" i="3"/>
  <c r="BX25" i="3" s="1"/>
  <c r="BA54" i="7"/>
  <c r="BA27" i="7"/>
  <c r="BA28" i="7"/>
  <c r="AZ54" i="7"/>
  <c r="AZ27" i="7"/>
  <c r="AZ28" i="7"/>
  <c r="AY54" i="7"/>
  <c r="AY27" i="7"/>
  <c r="AY28" i="7"/>
  <c r="AX40" i="7"/>
  <c r="AX27" i="7"/>
  <c r="AX28" i="7"/>
  <c r="BE24" i="7"/>
  <c r="BE9" i="3"/>
  <c r="BD24" i="7"/>
  <c r="BD9" i="3"/>
  <c r="BC24" i="7"/>
  <c r="BC9" i="3"/>
  <c r="BB24" i="7"/>
  <c r="BB9" i="3"/>
  <c r="BW9" i="3" s="1"/>
  <c r="BW10" i="3" s="1"/>
  <c r="BH42" i="3"/>
  <c r="BE18" i="3"/>
  <c r="BA17" i="3"/>
  <c r="BA8" i="3" s="1"/>
  <c r="BA17" i="2" s="1"/>
  <c r="Q51" i="2"/>
  <c r="Q47" i="2"/>
  <c r="Y43" i="2"/>
  <c r="Y46" i="2" s="1"/>
  <c r="Y47" i="2" s="1"/>
  <c r="P43" i="2"/>
  <c r="P46" i="2" s="1"/>
  <c r="P47" i="2" s="1"/>
  <c r="AK43" i="2"/>
  <c r="AK46" i="2" s="1"/>
  <c r="G51" i="2"/>
  <c r="G47" i="2"/>
  <c r="AA43" i="2"/>
  <c r="AA46" i="2" s="1"/>
  <c r="K43" i="2"/>
  <c r="K46" i="2" s="1"/>
  <c r="AD43" i="2"/>
  <c r="AD46" i="2" s="1"/>
  <c r="AR43" i="2"/>
  <c r="AR46" i="2" s="1"/>
  <c r="H43" i="2"/>
  <c r="H46" i="2" s="1"/>
  <c r="X43" i="2"/>
  <c r="X46" i="2" s="1"/>
  <c r="N43" i="2"/>
  <c r="N46" i="2" s="1"/>
  <c r="AM43" i="2"/>
  <c r="AM46" i="2" s="1"/>
  <c r="AM47" i="2" s="1"/>
  <c r="O43" i="2"/>
  <c r="O46" i="2" s="1"/>
  <c r="AN43" i="2"/>
  <c r="AN46" i="2" s="1"/>
  <c r="AN47" i="2" s="1"/>
  <c r="AH43" i="2"/>
  <c r="AH46" i="2" s="1"/>
  <c r="Z51" i="2"/>
  <c r="Z47" i="2"/>
  <c r="V43" i="2"/>
  <c r="V46" i="2" s="1"/>
  <c r="V47" i="2" s="1"/>
  <c r="AN51" i="2"/>
  <c r="AM51" i="2"/>
  <c r="AW32" i="2"/>
  <c r="V51" i="2"/>
  <c r="Y51" i="2"/>
  <c r="J4" i="7"/>
  <c r="J14" i="7" s="1"/>
  <c r="BI12" i="3"/>
  <c r="BH12" i="3"/>
  <c r="BG12" i="3"/>
  <c r="BF12" i="3"/>
  <c r="BX12" i="3" s="1"/>
  <c r="I96" i="2"/>
  <c r="AW64" i="2"/>
  <c r="AW39" i="2"/>
  <c r="AW33" i="2"/>
  <c r="AW61" i="2" s="1"/>
  <c r="I86" i="2"/>
  <c r="J85" i="2"/>
  <c r="J86" i="2" s="1"/>
  <c r="J91" i="2"/>
  <c r="J94" i="2"/>
  <c r="K4" i="2"/>
  <c r="AV44" i="2"/>
  <c r="M31" i="1"/>
  <c r="M32" i="1"/>
  <c r="M35" i="1"/>
  <c r="CC12" i="5"/>
  <c r="BD823" i="5"/>
  <c r="BD290" i="5"/>
  <c r="BD292" i="5"/>
  <c r="AI479" i="5"/>
  <c r="AI499" i="5"/>
  <c r="AI500" i="5" s="1"/>
  <c r="AI501" i="5" s="1"/>
  <c r="AI502" i="5" s="1"/>
  <c r="AI482" i="5"/>
  <c r="BN531" i="5"/>
  <c r="BN500" i="5"/>
  <c r="BN501" i="5" s="1"/>
  <c r="BN502" i="5" s="1"/>
  <c r="BN532" i="5"/>
  <c r="T499" i="5"/>
  <c r="T500" i="5" s="1"/>
  <c r="T501" i="5" s="1"/>
  <c r="T502" i="5" s="1"/>
  <c r="T479" i="5"/>
  <c r="T482" i="5"/>
  <c r="AU479" i="5"/>
  <c r="AU499" i="5"/>
  <c r="AU500" i="5" s="1"/>
  <c r="AU501" i="5" s="1"/>
  <c r="AU502" i="5" s="1"/>
  <c r="AU482" i="5"/>
  <c r="CD8" i="5"/>
  <c r="CA808" i="5"/>
  <c r="AT33" i="2"/>
  <c r="AT61" i="2" s="1"/>
  <c r="AT64" i="2"/>
  <c r="AT32" i="2"/>
  <c r="AT42" i="2" s="1"/>
  <c r="AT39" i="2"/>
  <c r="AC829" i="5"/>
  <c r="AC430" i="5"/>
  <c r="AC437" i="5"/>
  <c r="AC822" i="5"/>
  <c r="BF829" i="5"/>
  <c r="BF430" i="5"/>
  <c r="BF437" i="5"/>
  <c r="BF822" i="5"/>
  <c r="AU395" i="5"/>
  <c r="AU398" i="5" s="1"/>
  <c r="AU359" i="5"/>
  <c r="AU393" i="5" s="1"/>
  <c r="BS823" i="5"/>
  <c r="BS292" i="5"/>
  <c r="BS290" i="5"/>
  <c r="F531" i="5"/>
  <c r="F500" i="5"/>
  <c r="F501" i="5" s="1"/>
  <c r="F502" i="5" s="1"/>
  <c r="F532" i="5"/>
  <c r="BG430" i="5"/>
  <c r="BG437" i="5"/>
  <c r="BG822" i="5"/>
  <c r="V441" i="5"/>
  <c r="V432" i="5"/>
  <c r="BN519" i="5"/>
  <c r="BN270" i="5"/>
  <c r="BN520" i="5"/>
  <c r="BJ479" i="5"/>
  <c r="BJ482" i="5"/>
  <c r="BJ499" i="5"/>
  <c r="BJ500" i="5" s="1"/>
  <c r="BJ501" i="5" s="1"/>
  <c r="BJ502" i="5" s="1"/>
  <c r="BC495" i="5"/>
  <c r="BC496" i="5" s="1"/>
  <c r="BC497" i="5" s="1"/>
  <c r="BC498" i="5" s="1"/>
  <c r="BC481" i="5"/>
  <c r="CE20" i="5"/>
  <c r="CF43" i="5"/>
  <c r="CF20" i="5" s="1"/>
  <c r="N430" i="5"/>
  <c r="N437" i="5"/>
  <c r="N823" i="5"/>
  <c r="N822" i="5"/>
  <c r="BY802" i="5"/>
  <c r="BZ507" i="5"/>
  <c r="R519" i="5"/>
  <c r="R270" i="5"/>
  <c r="Q430" i="5"/>
  <c r="Q437" i="5"/>
  <c r="Q822" i="5"/>
  <c r="K1" i="2"/>
  <c r="J5" i="2"/>
  <c r="J5" i="7" s="1"/>
  <c r="BC480" i="5"/>
  <c r="BD839" i="5"/>
  <c r="BA395" i="5"/>
  <c r="BA398" i="5" s="1"/>
  <c r="BA359" i="5"/>
  <c r="BA393" i="5" s="1"/>
  <c r="AS430" i="5"/>
  <c r="AS822" i="5"/>
  <c r="AS437" i="5"/>
  <c r="BM333" i="5"/>
  <c r="BM357" i="5" s="1"/>
  <c r="BM288" i="5"/>
  <c r="O481" i="5"/>
  <c r="O495" i="5"/>
  <c r="O496" i="5" s="1"/>
  <c r="O497" i="5" s="1"/>
  <c r="O498" i="5" s="1"/>
  <c r="X827" i="5"/>
  <c r="BH481" i="5"/>
  <c r="BH495" i="5"/>
  <c r="BH496" i="5" s="1"/>
  <c r="BH497" i="5" s="1"/>
  <c r="BH498" i="5" s="1"/>
  <c r="AA519" i="5"/>
  <c r="AA270" i="5"/>
  <c r="Y416" i="5"/>
  <c r="Y269" i="5"/>
  <c r="AJ823" i="5"/>
  <c r="AJ290" i="5"/>
  <c r="AJ292" i="5"/>
  <c r="AV823" i="5"/>
  <c r="AV290" i="5"/>
  <c r="AV292" i="5"/>
  <c r="BR35" i="5"/>
  <c r="Q519" i="5"/>
  <c r="Q270" i="5"/>
  <c r="BW458" i="5"/>
  <c r="BV437" i="5"/>
  <c r="AC359" i="5"/>
  <c r="AC393" i="5" s="1"/>
  <c r="AC395" i="5"/>
  <c r="AC398" i="5" s="1"/>
  <c r="BP829" i="5"/>
  <c r="BP430" i="5"/>
  <c r="BP437" i="5"/>
  <c r="BP822" i="5"/>
  <c r="BP823" i="5"/>
  <c r="O480" i="5"/>
  <c r="O711" i="5"/>
  <c r="F42" i="2"/>
  <c r="F43" i="2" s="1"/>
  <c r="BQ519" i="5"/>
  <c r="BQ270" i="5"/>
  <c r="BH480" i="5"/>
  <c r="BH711" i="5"/>
  <c r="BJ827" i="5" s="1"/>
  <c r="BY783" i="5"/>
  <c r="BX509" i="5"/>
  <c r="Y426" i="5"/>
  <c r="Y439" i="5"/>
  <c r="Y438" i="5"/>
  <c r="R829" i="5"/>
  <c r="R430" i="5"/>
  <c r="R822" i="5"/>
  <c r="R823" i="5"/>
  <c r="R437" i="5"/>
  <c r="AI711" i="5"/>
  <c r="AI827" i="5" s="1"/>
  <c r="AV442" i="5"/>
  <c r="AV472" i="5"/>
  <c r="AV435" i="5"/>
  <c r="AV443" i="5" s="1"/>
  <c r="BN823" i="5"/>
  <c r="BN290" i="5"/>
  <c r="BN292" i="5"/>
  <c r="K834" i="5"/>
  <c r="G827" i="5"/>
  <c r="BC519" i="5"/>
  <c r="BC270" i="5"/>
  <c r="BY50" i="5"/>
  <c r="BY51" i="5"/>
  <c r="AN481" i="5"/>
  <c r="AN495" i="5"/>
  <c r="AN496" i="5" s="1"/>
  <c r="AN497" i="5" s="1"/>
  <c r="AN498" i="5" s="1"/>
  <c r="F7" i="2"/>
  <c r="BE823" i="5"/>
  <c r="BE290" i="5"/>
  <c r="BE292" i="5"/>
  <c r="AB395" i="5"/>
  <c r="AB398" i="5" s="1"/>
  <c r="AB359" i="5"/>
  <c r="AB393" i="5" s="1"/>
  <c r="V499" i="5"/>
  <c r="V500" i="5" s="1"/>
  <c r="V501" i="5" s="1"/>
  <c r="V502" i="5" s="1"/>
  <c r="V482" i="5"/>
  <c r="V479" i="5"/>
  <c r="AV69" i="2"/>
  <c r="AW66" i="2"/>
  <c r="E829" i="5"/>
  <c r="E437" i="5"/>
  <c r="E430" i="5"/>
  <c r="E823" i="5"/>
  <c r="E822" i="5"/>
  <c r="AN269" i="5"/>
  <c r="AN416" i="5"/>
  <c r="BM430" i="5"/>
  <c r="BM437" i="5"/>
  <c r="BM822" i="5"/>
  <c r="U532" i="5"/>
  <c r="U531" i="5"/>
  <c r="U500" i="5"/>
  <c r="U501" i="5" s="1"/>
  <c r="U502" i="5" s="1"/>
  <c r="BY816" i="5"/>
  <c r="BX543" i="5"/>
  <c r="AX827" i="5"/>
  <c r="BW810" i="5"/>
  <c r="BV815" i="5"/>
  <c r="O426" i="5"/>
  <c r="O438" i="5"/>
  <c r="O439" i="5"/>
  <c r="C532" i="5"/>
  <c r="C531" i="5"/>
  <c r="C500" i="5"/>
  <c r="C501" i="5" s="1"/>
  <c r="C502" i="5" s="1"/>
  <c r="M829" i="5"/>
  <c r="M430" i="5"/>
  <c r="M823" i="5"/>
  <c r="M822" i="5"/>
  <c r="M437" i="5"/>
  <c r="Z2" i="2"/>
  <c r="CC7" i="5"/>
  <c r="CC21" i="5"/>
  <c r="CC57" i="5"/>
  <c r="AN480" i="5"/>
  <c r="AN711" i="5"/>
  <c r="Q823" i="5"/>
  <c r="Q292" i="5"/>
  <c r="Q290" i="5"/>
  <c r="BB395" i="5"/>
  <c r="BB398" i="5" s="1"/>
  <c r="BB359" i="5"/>
  <c r="BB393" i="5" s="1"/>
  <c r="BH426" i="5"/>
  <c r="BH439" i="5"/>
  <c r="BH438" i="5"/>
  <c r="BH38" i="3"/>
  <c r="CA404" i="5"/>
  <c r="CA407" i="5"/>
  <c r="CA405" i="5"/>
  <c r="CA408" i="5" s="1"/>
  <c r="CA268" i="5"/>
  <c r="AN426" i="5"/>
  <c r="AS829" i="5" s="1"/>
  <c r="AN438" i="5"/>
  <c r="AN439" i="5"/>
  <c r="W827" i="5"/>
  <c r="AO2" i="3"/>
  <c r="AW473" i="5"/>
  <c r="AW475" i="5"/>
  <c r="BE482" i="5"/>
  <c r="BE499" i="5"/>
  <c r="BE500" i="5" s="1"/>
  <c r="BE501" i="5" s="1"/>
  <c r="BE502" i="5" s="1"/>
  <c r="BE479" i="5"/>
  <c r="O269" i="5"/>
  <c r="O416" i="5"/>
  <c r="AH479" i="5"/>
  <c r="AH499" i="5"/>
  <c r="AH500" i="5" s="1"/>
  <c r="AH501" i="5" s="1"/>
  <c r="AH502" i="5" s="1"/>
  <c r="AH482" i="5"/>
  <c r="AF827" i="5"/>
  <c r="BI829" i="5"/>
  <c r="BI430" i="5"/>
  <c r="BI437" i="5"/>
  <c r="BI822" i="5"/>
  <c r="BL441" i="5"/>
  <c r="BL432" i="5"/>
  <c r="BT31" i="5"/>
  <c r="BT35" i="5" s="1"/>
  <c r="AP823" i="5"/>
  <c r="AP290" i="5"/>
  <c r="AP292" i="5"/>
  <c r="BO823" i="5"/>
  <c r="BO292" i="5"/>
  <c r="BO290" i="5"/>
  <c r="BH416" i="5"/>
  <c r="BH269" i="5"/>
  <c r="AS54" i="5"/>
  <c r="AX54" i="5"/>
  <c r="AJ829" i="5"/>
  <c r="AJ430" i="5"/>
  <c r="AJ822" i="5"/>
  <c r="AJ437" i="5"/>
  <c r="U836" i="5"/>
  <c r="U829" i="5"/>
  <c r="U430" i="5"/>
  <c r="U822" i="5"/>
  <c r="U437" i="5"/>
  <c r="U823" i="5"/>
  <c r="BI839" i="5"/>
  <c r="X519" i="5"/>
  <c r="X270" i="5"/>
  <c r="BB519" i="5"/>
  <c r="BB270" i="5"/>
  <c r="AI333" i="5"/>
  <c r="AI357" i="5" s="1"/>
  <c r="AI288" i="5"/>
  <c r="AX830" i="5"/>
  <c r="AX819" i="5"/>
  <c r="AW830" i="5"/>
  <c r="AZ830" i="5"/>
  <c r="AJ519" i="5"/>
  <c r="AJ270" i="5"/>
  <c r="AJ520" i="5"/>
  <c r="BF823" i="5"/>
  <c r="BF290" i="5"/>
  <c r="BF292" i="5"/>
  <c r="J495" i="5"/>
  <c r="J496" i="5" s="1"/>
  <c r="J497" i="5" s="1"/>
  <c r="J498" i="5" s="1"/>
  <c r="J481" i="5"/>
  <c r="AH430" i="5"/>
  <c r="AH437" i="5"/>
  <c r="AH822" i="5"/>
  <c r="AO823" i="5"/>
  <c r="AO292" i="5"/>
  <c r="AO290" i="5"/>
  <c r="G829" i="5"/>
  <c r="G430" i="5"/>
  <c r="G437" i="5"/>
  <c r="G822" i="5"/>
  <c r="G823" i="5"/>
  <c r="AJ500" i="5"/>
  <c r="AJ501" i="5" s="1"/>
  <c r="AJ502" i="5" s="1"/>
  <c r="AJ531" i="5"/>
  <c r="AJ532" i="5"/>
  <c r="AD2" i="3"/>
  <c r="AW827" i="5"/>
  <c r="BI827" i="5"/>
  <c r="AA2" i="3"/>
  <c r="AS519" i="5"/>
  <c r="AS270" i="5"/>
  <c r="J480" i="5"/>
  <c r="J711" i="5"/>
  <c r="BV401" i="5"/>
  <c r="CA13" i="5" s="1"/>
  <c r="BV30" i="5"/>
  <c r="BV32" i="5"/>
  <c r="BV33" i="5"/>
  <c r="BV29" i="5"/>
  <c r="BV34" i="5"/>
  <c r="Z519" i="5"/>
  <c r="Z270" i="5"/>
  <c r="Z520" i="5"/>
  <c r="AH519" i="5"/>
  <c r="AH270" i="5"/>
  <c r="AI416" i="5"/>
  <c r="AI269" i="5"/>
  <c r="AM829" i="5"/>
  <c r="AM430" i="5"/>
  <c r="AM437" i="5"/>
  <c r="AM822" i="5"/>
  <c r="BL829" i="5"/>
  <c r="BL823" i="5"/>
  <c r="BL290" i="5"/>
  <c r="BL292" i="5"/>
  <c r="AZ519" i="5"/>
  <c r="AZ270" i="5"/>
  <c r="AA829" i="5"/>
  <c r="AA430" i="5"/>
  <c r="AA437" i="5"/>
  <c r="AA822" i="5"/>
  <c r="BV475" i="5"/>
  <c r="BV464" i="5"/>
  <c r="BW462" i="5"/>
  <c r="BV472" i="5"/>
  <c r="BV465" i="5"/>
  <c r="BV455" i="5"/>
  <c r="BW446" i="5" s="1"/>
  <c r="BX446" i="5" s="1"/>
  <c r="BW459" i="5"/>
  <c r="AD359" i="5"/>
  <c r="AD393" i="5" s="1"/>
  <c r="AD395" i="5"/>
  <c r="AD398" i="5" s="1"/>
  <c r="BI499" i="5"/>
  <c r="BI479" i="5"/>
  <c r="BI482" i="5"/>
  <c r="BI530" i="5" s="1"/>
  <c r="BI521" i="5"/>
  <c r="BD532" i="5"/>
  <c r="BD500" i="5"/>
  <c r="BD501" i="5" s="1"/>
  <c r="BD502" i="5" s="1"/>
  <c r="BD531" i="5"/>
  <c r="AS31" i="5"/>
  <c r="AS35" i="5" s="1"/>
  <c r="AP519" i="5"/>
  <c r="AP270" i="5"/>
  <c r="AK430" i="5"/>
  <c r="AK437" i="5"/>
  <c r="AK822" i="5"/>
  <c r="AK519" i="5"/>
  <c r="AK270" i="5"/>
  <c r="AW55" i="2"/>
  <c r="AX22" i="2" s="1"/>
  <c r="H519" i="5"/>
  <c r="H270" i="5"/>
  <c r="AI426" i="5"/>
  <c r="AJ836" i="5" s="1"/>
  <c r="AI439" i="5"/>
  <c r="AI438" i="5"/>
  <c r="I627" i="5"/>
  <c r="H628" i="5"/>
  <c r="BR829" i="5"/>
  <c r="BR430" i="5"/>
  <c r="BR437" i="5"/>
  <c r="BR822" i="5"/>
  <c r="BT787" i="5"/>
  <c r="BT762" i="5"/>
  <c r="BT761" i="5"/>
  <c r="BT268" i="5"/>
  <c r="BT405" i="5"/>
  <c r="BT408" i="5" s="1"/>
  <c r="BT407" i="5"/>
  <c r="BT404" i="5"/>
  <c r="BT13" i="5"/>
  <c r="AY829" i="5"/>
  <c r="AY430" i="5"/>
  <c r="BD829" i="5"/>
  <c r="AY437" i="5"/>
  <c r="AY822" i="5"/>
  <c r="BI38" i="3"/>
  <c r="BW25" i="5"/>
  <c r="BW59" i="5"/>
  <c r="BW55" i="5" s="1"/>
  <c r="BW9" i="5"/>
  <c r="BK519" i="5"/>
  <c r="BK270" i="5"/>
  <c r="BO829" i="5"/>
  <c r="BO437" i="5"/>
  <c r="BO430" i="5"/>
  <c r="BO822" i="5"/>
  <c r="AC482" i="5"/>
  <c r="AC499" i="5"/>
  <c r="AC500" i="5" s="1"/>
  <c r="AC501" i="5" s="1"/>
  <c r="AC502" i="5" s="1"/>
  <c r="AC479" i="5"/>
  <c r="AC519" i="5"/>
  <c r="AC270" i="5"/>
  <c r="M827" i="5"/>
  <c r="BQ829" i="5"/>
  <c r="BQ430" i="5"/>
  <c r="BQ437" i="5"/>
  <c r="BQ822" i="5"/>
  <c r="BQ823" i="5"/>
  <c r="BT826" i="5"/>
  <c r="AU441" i="5"/>
  <c r="AU432" i="5"/>
  <c r="AF482" i="5"/>
  <c r="AF499" i="5"/>
  <c r="AF500" i="5" s="1"/>
  <c r="AF501" i="5" s="1"/>
  <c r="AF502" i="5" s="1"/>
  <c r="AF479" i="5"/>
  <c r="BX40" i="5"/>
  <c r="BX47" i="5"/>
  <c r="AY395" i="5"/>
  <c r="AY398" i="5" s="1"/>
  <c r="AY359" i="5"/>
  <c r="AY393" i="5" s="1"/>
  <c r="BO519" i="5"/>
  <c r="BO270" i="5"/>
  <c r="AO2" i="2"/>
  <c r="AK823" i="5"/>
  <c r="AK290" i="5"/>
  <c r="AK292" i="5"/>
  <c r="C829" i="5"/>
  <c r="C430" i="5"/>
  <c r="C823" i="5"/>
  <c r="C437" i="5"/>
  <c r="C822" i="5"/>
  <c r="BA829" i="5"/>
  <c r="BA430" i="5"/>
  <c r="BA437" i="5"/>
  <c r="BA822" i="5"/>
  <c r="AL519" i="5"/>
  <c r="AL270" i="5"/>
  <c r="AL829" i="5"/>
  <c r="AL430" i="5"/>
  <c r="AL437" i="5"/>
  <c r="AL822" i="5"/>
  <c r="AL823" i="5"/>
  <c r="BE519" i="5"/>
  <c r="BE270" i="5"/>
  <c r="AF829" i="5"/>
  <c r="AF430" i="5"/>
  <c r="AF437" i="5"/>
  <c r="AF822" i="5"/>
  <c r="AF823" i="5"/>
  <c r="L479" i="5"/>
  <c r="L499" i="5"/>
  <c r="L500" i="5" s="1"/>
  <c r="L501" i="5" s="1"/>
  <c r="L502" i="5" s="1"/>
  <c r="L482" i="5"/>
  <c r="AU829" i="5"/>
  <c r="BQ827" i="5"/>
  <c r="BG359" i="5"/>
  <c r="BG393" i="5" s="1"/>
  <c r="BG395" i="5"/>
  <c r="BG398" i="5" s="1"/>
  <c r="BX50" i="5"/>
  <c r="BX51" i="5"/>
  <c r="AY823" i="5"/>
  <c r="BI519" i="5"/>
  <c r="BI270" i="5"/>
  <c r="BI520" i="5"/>
  <c r="T519" i="5"/>
  <c r="T270" i="5"/>
  <c r="BA519" i="5"/>
  <c r="BA270" i="5"/>
  <c r="N519" i="5"/>
  <c r="N270" i="5"/>
  <c r="L443" i="5"/>
  <c r="X829" i="5"/>
  <c r="X430" i="5"/>
  <c r="X437" i="5"/>
  <c r="X822" i="5"/>
  <c r="W441" i="5"/>
  <c r="W432" i="5"/>
  <c r="G519" i="5"/>
  <c r="G270" i="5"/>
  <c r="AM823" i="5"/>
  <c r="AM290" i="5"/>
  <c r="AM292" i="5"/>
  <c r="BJ823" i="5"/>
  <c r="BJ292" i="5"/>
  <c r="BJ290" i="5"/>
  <c r="P839" i="5"/>
  <c r="E519" i="5"/>
  <c r="E270" i="5"/>
  <c r="E520" i="5"/>
  <c r="BK827" i="5"/>
  <c r="AT395" i="5"/>
  <c r="AT398" i="5" s="1"/>
  <c r="AT359" i="5"/>
  <c r="AT393" i="5" s="1"/>
  <c r="CE23" i="5"/>
  <c r="AD31" i="5"/>
  <c r="AD35" i="5" s="1"/>
  <c r="C827" i="5"/>
  <c r="C714" i="5"/>
  <c r="C519" i="5"/>
  <c r="C270" i="5"/>
  <c r="C520" i="5"/>
  <c r="AA2" i="2"/>
  <c r="AR829" i="5"/>
  <c r="AR430" i="5"/>
  <c r="AR822" i="5"/>
  <c r="AR823" i="5"/>
  <c r="AR437" i="5"/>
  <c r="L473" i="5"/>
  <c r="L475" i="5"/>
  <c r="W829" i="5"/>
  <c r="AX288" i="5"/>
  <c r="AX333" i="5"/>
  <c r="AX357" i="5" s="1"/>
  <c r="H829" i="5"/>
  <c r="H430" i="5"/>
  <c r="H437" i="5"/>
  <c r="H822" i="5"/>
  <c r="H823" i="5"/>
  <c r="AS288" i="5"/>
  <c r="AS333" i="5"/>
  <c r="AS357" i="5" s="1"/>
  <c r="BU826" i="5"/>
  <c r="BU401" i="5"/>
  <c r="BU33" i="5"/>
  <c r="BU30" i="5"/>
  <c r="BU32" i="5"/>
  <c r="BU29" i="5"/>
  <c r="BU31" i="5" s="1"/>
  <c r="BU34" i="5"/>
  <c r="BC430" i="5"/>
  <c r="BC822" i="5"/>
  <c r="BC437" i="5"/>
  <c r="AF2" i="2"/>
  <c r="BR519" i="5"/>
  <c r="BR270" i="5"/>
  <c r="BJ432" i="5"/>
  <c r="BJ441" i="5"/>
  <c r="F829" i="5"/>
  <c r="F430" i="5"/>
  <c r="K829" i="5"/>
  <c r="F823" i="5"/>
  <c r="F437" i="5"/>
  <c r="F822" i="5"/>
  <c r="BT517" i="5"/>
  <c r="BT419" i="5"/>
  <c r="AD829" i="5"/>
  <c r="AD430" i="5"/>
  <c r="AD437" i="5"/>
  <c r="AD822" i="5"/>
  <c r="BF38" i="3"/>
  <c r="BG823" i="5"/>
  <c r="AE531" i="5"/>
  <c r="AE532" i="5"/>
  <c r="AE500" i="5"/>
  <c r="AE501" i="5" s="1"/>
  <c r="AE502" i="5" s="1"/>
  <c r="U519" i="5"/>
  <c r="U270" i="5"/>
  <c r="U520" i="5"/>
  <c r="AK499" i="5"/>
  <c r="AK500" i="5" s="1"/>
  <c r="AK501" i="5" s="1"/>
  <c r="AK502" i="5" s="1"/>
  <c r="AK482" i="5"/>
  <c r="AK479" i="5"/>
  <c r="BG31" i="3"/>
  <c r="BG30" i="3" s="1"/>
  <c r="BC30" i="3"/>
  <c r="AO829" i="5"/>
  <c r="AO836" i="5"/>
  <c r="AO430" i="5"/>
  <c r="AO437" i="5"/>
  <c r="AO822" i="5"/>
  <c r="AT829" i="5"/>
  <c r="S829" i="5"/>
  <c r="S437" i="5"/>
  <c r="S430" i="5"/>
  <c r="S823" i="5"/>
  <c r="S822" i="5"/>
  <c r="BZ826" i="5"/>
  <c r="BZ401" i="5"/>
  <c r="BZ30" i="5"/>
  <c r="BZ32" i="5"/>
  <c r="BZ29" i="5"/>
  <c r="BZ31" i="5" s="1"/>
  <c r="BZ35" i="5" s="1"/>
  <c r="BZ33" i="5"/>
  <c r="BK829" i="5"/>
  <c r="BK430" i="5"/>
  <c r="BK437" i="5"/>
  <c r="BK822" i="5"/>
  <c r="BK823" i="5"/>
  <c r="BM827" i="5"/>
  <c r="AN31" i="5"/>
  <c r="AN35" i="5" s="1"/>
  <c r="T823" i="5"/>
  <c r="T292" i="5"/>
  <c r="T290" i="5"/>
  <c r="AB829" i="5"/>
  <c r="AB430" i="5"/>
  <c r="AB437" i="5"/>
  <c r="AB822" i="5"/>
  <c r="BP827" i="5"/>
  <c r="BG827" i="5"/>
  <c r="AB519" i="5"/>
  <c r="AB270" i="5"/>
  <c r="BT734" i="5"/>
  <c r="BU731" i="5"/>
  <c r="AX416" i="5"/>
  <c r="AX269" i="5"/>
  <c r="AO839" i="5"/>
  <c r="M519" i="5"/>
  <c r="M270" i="5"/>
  <c r="S519" i="5"/>
  <c r="S270" i="5"/>
  <c r="BG38" i="3"/>
  <c r="AD519" i="5"/>
  <c r="AD270" i="5"/>
  <c r="CD12" i="5"/>
  <c r="AZ359" i="5"/>
  <c r="AZ393" i="5" s="1"/>
  <c r="AZ395" i="5"/>
  <c r="AZ398" i="5" s="1"/>
  <c r="AQ519" i="5"/>
  <c r="AQ270" i="5"/>
  <c r="BC31" i="5"/>
  <c r="BC35" i="5" s="1"/>
  <c r="N827" i="5"/>
  <c r="AE829" i="5"/>
  <c r="AE836" i="5"/>
  <c r="AE430" i="5"/>
  <c r="AE437" i="5"/>
  <c r="AE822" i="5"/>
  <c r="AE823" i="5"/>
  <c r="BR359" i="5"/>
  <c r="BR393" i="5" s="1"/>
  <c r="BR395" i="5"/>
  <c r="BR398" i="5" s="1"/>
  <c r="AJ5" i="5"/>
  <c r="AF5" i="5"/>
  <c r="AG5" i="5" s="1"/>
  <c r="AH5" i="5" s="1"/>
  <c r="AI5" i="5" s="1"/>
  <c r="AM519" i="5"/>
  <c r="AM270" i="5"/>
  <c r="J269" i="5"/>
  <c r="J416" i="5"/>
  <c r="AU827" i="5"/>
  <c r="BG519" i="5"/>
  <c r="BG270" i="5"/>
  <c r="F519" i="5"/>
  <c r="F270" i="5"/>
  <c r="F520" i="5"/>
  <c r="AG823" i="5"/>
  <c r="AG290" i="5"/>
  <c r="AG292" i="5"/>
  <c r="CE24" i="5"/>
  <c r="CF22" i="5"/>
  <c r="AQ829" i="5"/>
  <c r="AQ430" i="5"/>
  <c r="AQ437" i="5"/>
  <c r="AQ823" i="5"/>
  <c r="AQ822" i="5"/>
  <c r="AV829" i="5"/>
  <c r="CB7" i="5"/>
  <c r="CB21" i="5"/>
  <c r="BS441" i="5"/>
  <c r="BS432" i="5"/>
  <c r="BO827" i="5"/>
  <c r="BC823" i="5"/>
  <c r="BC290" i="5"/>
  <c r="BC292" i="5"/>
  <c r="BM519" i="5"/>
  <c r="BM270" i="5"/>
  <c r="AR519" i="5"/>
  <c r="AR270" i="5"/>
  <c r="BI823" i="5"/>
  <c r="BI292" i="5"/>
  <c r="BI290" i="5"/>
  <c r="AX426" i="5"/>
  <c r="AZ829" i="5" s="1"/>
  <c r="AX438" i="5"/>
  <c r="AX439" i="5"/>
  <c r="AD481" i="5"/>
  <c r="AD495" i="5"/>
  <c r="AD496" i="5" s="1"/>
  <c r="AD497" i="5" s="1"/>
  <c r="AD498" i="5" s="1"/>
  <c r="T711" i="5"/>
  <c r="AF519" i="5"/>
  <c r="AF270" i="5"/>
  <c r="CD54" i="5"/>
  <c r="CC54" i="5"/>
  <c r="X395" i="5"/>
  <c r="X398" i="5" s="1"/>
  <c r="X359" i="5"/>
  <c r="X393" i="5" s="1"/>
  <c r="Q499" i="5"/>
  <c r="Q500" i="5" s="1"/>
  <c r="Q501" i="5" s="1"/>
  <c r="Q502" i="5" s="1"/>
  <c r="Q482" i="5"/>
  <c r="Q479" i="5"/>
  <c r="AO519" i="5"/>
  <c r="AO270" i="5"/>
  <c r="AO520" i="5"/>
  <c r="AO529" i="5"/>
  <c r="AB2" i="3"/>
  <c r="AZ430" i="5"/>
  <c r="AZ822" i="5"/>
  <c r="AZ437" i="5"/>
  <c r="BD836" i="5"/>
  <c r="BW50" i="5"/>
  <c r="BW51" i="5"/>
  <c r="CB40" i="5"/>
  <c r="CB47" i="5"/>
  <c r="BS531" i="5"/>
  <c r="BS500" i="5"/>
  <c r="BS501" i="5" s="1"/>
  <c r="BS502" i="5" s="1"/>
  <c r="BS532" i="5"/>
  <c r="Z532" i="5"/>
  <c r="Z531" i="5"/>
  <c r="Z500" i="5"/>
  <c r="Z501" i="5" s="1"/>
  <c r="Z502" i="5" s="1"/>
  <c r="BS836" i="5"/>
  <c r="AU64" i="2"/>
  <c r="AU33" i="2"/>
  <c r="AU61" i="2" s="1"/>
  <c r="AU32" i="2"/>
  <c r="AU42" i="2" s="1"/>
  <c r="AU39" i="2"/>
  <c r="AO531" i="5"/>
  <c r="AO500" i="5"/>
  <c r="AO501" i="5" s="1"/>
  <c r="AO502" i="5" s="1"/>
  <c r="AO532" i="5"/>
  <c r="AP479" i="5"/>
  <c r="AP499" i="5"/>
  <c r="AP500" i="5" s="1"/>
  <c r="AP501" i="5" s="1"/>
  <c r="AP502" i="5" s="1"/>
  <c r="AP482" i="5"/>
  <c r="AT442" i="5"/>
  <c r="AT435" i="5"/>
  <c r="AT443" i="5" s="1"/>
  <c r="AT528" i="5" s="1"/>
  <c r="BR823" i="5"/>
  <c r="BO499" i="5"/>
  <c r="BO500" i="5" s="1"/>
  <c r="BO501" i="5" s="1"/>
  <c r="BO502" i="5" s="1"/>
  <c r="BO479" i="5"/>
  <c r="BO482" i="5"/>
  <c r="J426" i="5"/>
  <c r="K836" i="5" s="1"/>
  <c r="J439" i="5"/>
  <c r="J438" i="5"/>
  <c r="AD482" i="5"/>
  <c r="AD479" i="5"/>
  <c r="AD499" i="5"/>
  <c r="AD500" i="5" s="1"/>
  <c r="AD501" i="5" s="1"/>
  <c r="AD502" i="5" s="1"/>
  <c r="CD44" i="5"/>
  <c r="CD19" i="5"/>
  <c r="CE42" i="5"/>
  <c r="CD49" i="5"/>
  <c r="D829" i="5"/>
  <c r="D430" i="5"/>
  <c r="D822" i="5"/>
  <c r="D437" i="5"/>
  <c r="D823" i="5"/>
  <c r="CB49" i="5"/>
  <c r="I472" i="5"/>
  <c r="I435" i="5"/>
  <c r="I443" i="5" s="1"/>
  <c r="I442" i="5"/>
  <c r="T430" i="5"/>
  <c r="T437" i="5"/>
  <c r="T822" i="5"/>
  <c r="Z395" i="5"/>
  <c r="Z398" i="5" s="1"/>
  <c r="Z359" i="5"/>
  <c r="Z393" i="5" s="1"/>
  <c r="AX8" i="3"/>
  <c r="AX17" i="2" s="1"/>
  <c r="AP829" i="5"/>
  <c r="AP430" i="5"/>
  <c r="AP822" i="5"/>
  <c r="AP437" i="5"/>
  <c r="AT836" i="5"/>
  <c r="BP519" i="5"/>
  <c r="BP270" i="5"/>
  <c r="AG432" i="5"/>
  <c r="AG441" i="5"/>
  <c r="AN333" i="5"/>
  <c r="AN357" i="5" s="1"/>
  <c r="AN288" i="5"/>
  <c r="AG829" i="5"/>
  <c r="R827" i="5"/>
  <c r="BN529" i="5"/>
  <c r="BT741" i="5"/>
  <c r="BB829" i="5"/>
  <c r="BB430" i="5"/>
  <c r="BB437" i="5"/>
  <c r="BB822" i="5"/>
  <c r="AY519" i="5"/>
  <c r="AY270" i="5"/>
  <c r="AY520" i="5"/>
  <c r="BI529" i="5"/>
  <c r="BH288" i="5"/>
  <c r="BH333" i="5"/>
  <c r="BH357" i="5" s="1"/>
  <c r="AY8" i="3"/>
  <c r="AY17" i="2" s="1"/>
  <c r="BF18" i="3"/>
  <c r="BB17" i="3"/>
  <c r="BA827" i="5"/>
  <c r="CA55" i="5"/>
  <c r="BF31" i="3"/>
  <c r="BB30" i="3"/>
  <c r="D519" i="5"/>
  <c r="D270" i="5"/>
  <c r="D520" i="5"/>
  <c r="BH18" i="3"/>
  <c r="BD17" i="3"/>
  <c r="CC40" i="5"/>
  <c r="CC47" i="5"/>
  <c r="J5" i="3"/>
  <c r="K1" i="3"/>
  <c r="BX21" i="5"/>
  <c r="BX57" i="5"/>
  <c r="BX53" i="5" s="1"/>
  <c r="BX7" i="5"/>
  <c r="AV499" i="5"/>
  <c r="AV500" i="5" s="1"/>
  <c r="AV501" i="5" s="1"/>
  <c r="AV502" i="5" s="1"/>
  <c r="AV482" i="5"/>
  <c r="AV479" i="5"/>
  <c r="BT637" i="5"/>
  <c r="BT267" i="5"/>
  <c r="P532" i="5"/>
  <c r="P500" i="5"/>
  <c r="P501" i="5" s="1"/>
  <c r="P502" i="5" s="1"/>
  <c r="P531" i="5"/>
  <c r="AA395" i="5"/>
  <c r="AA398" i="5" s="1"/>
  <c r="AA359" i="5"/>
  <c r="AA393" i="5" s="1"/>
  <c r="AE834" i="5" s="1"/>
  <c r="AZ8" i="3"/>
  <c r="AZ17" i="2" s="1"/>
  <c r="AT532" i="5"/>
  <c r="AT531" i="5"/>
  <c r="AT500" i="5"/>
  <c r="AT501" i="5" s="1"/>
  <c r="AT502" i="5" s="1"/>
  <c r="CC49" i="5"/>
  <c r="BC711" i="5"/>
  <c r="BC827" i="5" s="1"/>
  <c r="BG18" i="3"/>
  <c r="BC17" i="3"/>
  <c r="AI481" i="5"/>
  <c r="AI495" i="5"/>
  <c r="AI496" i="5" s="1"/>
  <c r="AI497" i="5" s="1"/>
  <c r="AI498" i="5" s="1"/>
  <c r="BY9" i="5"/>
  <c r="BY25" i="5"/>
  <c r="BY59" i="5"/>
  <c r="BY55" i="5" s="1"/>
  <c r="BE827" i="5"/>
  <c r="BE829" i="5"/>
  <c r="BE430" i="5"/>
  <c r="BE437" i="5"/>
  <c r="BE822" i="5"/>
  <c r="BV825" i="5"/>
  <c r="BW508" i="5"/>
  <c r="BV506" i="5"/>
  <c r="BV784" i="5" s="1"/>
  <c r="BW512" i="5"/>
  <c r="BV512" i="5"/>
  <c r="BN836" i="5"/>
  <c r="BN829" i="5"/>
  <c r="BN430" i="5"/>
  <c r="BN437" i="5"/>
  <c r="BN822" i="5"/>
  <c r="Y823" i="5"/>
  <c r="Y292" i="5"/>
  <c r="Y290" i="5"/>
  <c r="T495" i="5"/>
  <c r="T496" i="5" s="1"/>
  <c r="T497" i="5" s="1"/>
  <c r="T498" i="5" s="1"/>
  <c r="T481" i="5"/>
  <c r="AH823" i="5"/>
  <c r="AH292" i="5"/>
  <c r="AH290" i="5"/>
  <c r="AE519" i="5"/>
  <c r="AE270" i="5"/>
  <c r="AE520" i="5"/>
  <c r="Z829" i="5"/>
  <c r="Z836" i="5"/>
  <c r="Z430" i="5"/>
  <c r="Z437" i="5"/>
  <c r="Z822" i="5"/>
  <c r="BF519" i="5"/>
  <c r="BF270" i="5"/>
  <c r="AA823" i="5"/>
  <c r="AV64" i="2"/>
  <c r="AV33" i="2"/>
  <c r="AV61" i="2" s="1"/>
  <c r="AV32" i="2"/>
  <c r="AV42" i="2" s="1"/>
  <c r="AV39" i="2"/>
  <c r="K87" i="2"/>
  <c r="J45" i="7"/>
  <c r="J46" i="7" s="1"/>
  <c r="J55" i="7" s="1"/>
  <c r="BF30" i="3" l="1"/>
  <c r="BE54" i="7"/>
  <c r="BE40" i="7"/>
  <c r="BE27" i="7"/>
  <c r="BE28" i="7"/>
  <c r="BD54" i="7"/>
  <c r="BD40" i="7"/>
  <c r="BD27" i="7"/>
  <c r="BD28" i="7"/>
  <c r="BC54" i="7"/>
  <c r="BC40" i="7"/>
  <c r="BC27" i="7"/>
  <c r="BC28" i="7"/>
  <c r="BB54" i="7"/>
  <c r="BB40" i="7"/>
  <c r="BB27" i="7"/>
  <c r="BB28" i="7"/>
  <c r="BI24" i="7"/>
  <c r="BI9" i="3"/>
  <c r="BH24" i="7"/>
  <c r="BH9" i="3"/>
  <c r="BG24" i="7"/>
  <c r="BG9" i="3"/>
  <c r="BF24" i="7"/>
  <c r="BF9" i="3"/>
  <c r="BI18" i="3"/>
  <c r="BI17" i="3" s="1"/>
  <c r="BE17" i="3"/>
  <c r="BE8" i="3" s="1"/>
  <c r="BE17" i="2" s="1"/>
  <c r="AW62" i="2"/>
  <c r="AW42" i="2"/>
  <c r="AH51" i="2"/>
  <c r="AH47" i="2"/>
  <c r="O51" i="2"/>
  <c r="O47" i="2"/>
  <c r="H51" i="2"/>
  <c r="H47" i="2"/>
  <c r="AD51" i="2"/>
  <c r="AD47" i="2"/>
  <c r="X51" i="2"/>
  <c r="X47" i="2"/>
  <c r="K51" i="2"/>
  <c r="K47" i="2"/>
  <c r="F88" i="2"/>
  <c r="AA51" i="2"/>
  <c r="AA47" i="2"/>
  <c r="AK51" i="2"/>
  <c r="AK47" i="2"/>
  <c r="AR51" i="2"/>
  <c r="AR47" i="2"/>
  <c r="N51" i="2"/>
  <c r="K88" i="2" s="1"/>
  <c r="N47" i="2"/>
  <c r="AW93" i="2"/>
  <c r="BA32" i="2"/>
  <c r="BA62" i="2" s="1"/>
  <c r="J19" i="7"/>
  <c r="J9" i="7"/>
  <c r="J10" i="7" s="1"/>
  <c r="J11" i="7" s="1"/>
  <c r="K4" i="7"/>
  <c r="K14" i="7" s="1"/>
  <c r="BG17" i="3"/>
  <c r="BG8" i="3" s="1"/>
  <c r="BG17" i="2" s="1"/>
  <c r="BH17" i="3"/>
  <c r="BH8" i="3" s="1"/>
  <c r="BH17" i="2" s="1"/>
  <c r="BF17" i="3"/>
  <c r="BA33" i="2"/>
  <c r="BA61" i="2" s="1"/>
  <c r="BA39" i="2"/>
  <c r="BA64" i="2"/>
  <c r="K91" i="2"/>
  <c r="K94" i="2"/>
  <c r="K85" i="2"/>
  <c r="L4" i="2"/>
  <c r="J96" i="2"/>
  <c r="AW44" i="2"/>
  <c r="N35" i="1"/>
  <c r="N31" i="1"/>
  <c r="N32" i="1"/>
  <c r="BX512" i="5"/>
  <c r="BX513" i="5" s="1"/>
  <c r="BU732" i="5"/>
  <c r="AE2" i="2"/>
  <c r="BF432" i="5"/>
  <c r="BF441" i="5"/>
  <c r="BD359" i="5"/>
  <c r="BD393" i="5" s="1"/>
  <c r="BD395" i="5"/>
  <c r="BD398" i="5" s="1"/>
  <c r="AS823" i="5"/>
  <c r="AS292" i="5"/>
  <c r="AS290" i="5"/>
  <c r="AU472" i="5"/>
  <c r="AU435" i="5"/>
  <c r="AU442" i="5"/>
  <c r="AE2" i="3"/>
  <c r="O829" i="5"/>
  <c r="O430" i="5"/>
  <c r="O437" i="5"/>
  <c r="O823" i="5"/>
  <c r="O822" i="5"/>
  <c r="BB441" i="5"/>
  <c r="BB432" i="5"/>
  <c r="F432" i="5"/>
  <c r="F441" i="5"/>
  <c r="AL432" i="5"/>
  <c r="AL441" i="5"/>
  <c r="AK359" i="5"/>
  <c r="AK393" i="5" s="1"/>
  <c r="AK395" i="5"/>
  <c r="AK398" i="5" s="1"/>
  <c r="J627" i="5"/>
  <c r="I628" i="5"/>
  <c r="AM432" i="5"/>
  <c r="AM441" i="5"/>
  <c r="BE395" i="5"/>
  <c r="BE398" i="5" s="1"/>
  <c r="BE359" i="5"/>
  <c r="BE393" i="5" s="1"/>
  <c r="AV473" i="5"/>
  <c r="AV475" i="5"/>
  <c r="BZ783" i="5"/>
  <c r="BY509" i="5"/>
  <c r="I473" i="5"/>
  <c r="I475" i="5"/>
  <c r="BW825" i="5"/>
  <c r="BW506" i="5"/>
  <c r="BW784" i="5" s="1"/>
  <c r="AZ64" i="2"/>
  <c r="AZ33" i="2"/>
  <c r="AZ61" i="2" s="1"/>
  <c r="AZ32" i="2"/>
  <c r="AZ42" i="2" s="1"/>
  <c r="AZ39" i="2"/>
  <c r="AQ441" i="5"/>
  <c r="AQ432" i="5"/>
  <c r="AK5" i="5"/>
  <c r="AO5" i="5"/>
  <c r="AO441" i="5"/>
  <c r="AO432" i="5"/>
  <c r="BJ359" i="5"/>
  <c r="BJ393" i="5" s="1"/>
  <c r="BJ395" i="5"/>
  <c r="BJ398" i="5" s="1"/>
  <c r="L829" i="5"/>
  <c r="BF359" i="5"/>
  <c r="BF393" i="5" s="1"/>
  <c r="BF395" i="5"/>
  <c r="BF398" i="5" s="1"/>
  <c r="BL472" i="5"/>
  <c r="BL435" i="5"/>
  <c r="BL443" i="5" s="1"/>
  <c r="BL442" i="5"/>
  <c r="AN827" i="5"/>
  <c r="AM827" i="5"/>
  <c r="BX810" i="5"/>
  <c r="BW815" i="5"/>
  <c r="AS441" i="5"/>
  <c r="AS432" i="5"/>
  <c r="N432" i="5"/>
  <c r="N441" i="5"/>
  <c r="BB8" i="3"/>
  <c r="BB17" i="2" s="1"/>
  <c r="BO441" i="5"/>
  <c r="BO432" i="5"/>
  <c r="AA441" i="5"/>
  <c r="AA432" i="5"/>
  <c r="AJ432" i="5"/>
  <c r="AJ441" i="5"/>
  <c r="AN499" i="5"/>
  <c r="AN500" i="5" s="1"/>
  <c r="AN501" i="5" s="1"/>
  <c r="AN502" i="5" s="1"/>
  <c r="AN479" i="5"/>
  <c r="AN482" i="5"/>
  <c r="L1" i="2"/>
  <c r="K5" i="2"/>
  <c r="K5" i="7" s="1"/>
  <c r="N829" i="5"/>
  <c r="V442" i="5"/>
  <c r="V435" i="5"/>
  <c r="BU737" i="5"/>
  <c r="BT740" i="5"/>
  <c r="BX25" i="5"/>
  <c r="BX59" i="5"/>
  <c r="BX55" i="5" s="1"/>
  <c r="BX9" i="5"/>
  <c r="CF24" i="5"/>
  <c r="BJ472" i="5"/>
  <c r="BJ442" i="5"/>
  <c r="BJ435" i="5"/>
  <c r="H441" i="5"/>
  <c r="H432" i="5"/>
  <c r="C831" i="5"/>
  <c r="C719" i="5"/>
  <c r="D713" i="5"/>
  <c r="D714" i="5" s="1"/>
  <c r="AS2" i="2"/>
  <c r="AI519" i="5"/>
  <c r="AI270" i="5"/>
  <c r="BH829" i="5"/>
  <c r="BH430" i="5"/>
  <c r="BH437" i="5"/>
  <c r="BH822" i="5"/>
  <c r="BJ829" i="5"/>
  <c r="CD53" i="5"/>
  <c r="CC53" i="5"/>
  <c r="CF8" i="5"/>
  <c r="AY441" i="5"/>
  <c r="AY432" i="5"/>
  <c r="AY836" i="5"/>
  <c r="BW437" i="5"/>
  <c r="BX458" i="5"/>
  <c r="BY458" i="5" s="1"/>
  <c r="Y519" i="5"/>
  <c r="Y270" i="5"/>
  <c r="CE8" i="5"/>
  <c r="AY64" i="2"/>
  <c r="AY39" i="2"/>
  <c r="AY33" i="2"/>
  <c r="AY61" i="2" s="1"/>
  <c r="AY32" i="2"/>
  <c r="AY42" i="2" s="1"/>
  <c r="BC395" i="5"/>
  <c r="BC398" i="5" s="1"/>
  <c r="BC359" i="5"/>
  <c r="BC393" i="5" s="1"/>
  <c r="CE12" i="5"/>
  <c r="BK432" i="5"/>
  <c r="BK441" i="5"/>
  <c r="BB827" i="5"/>
  <c r="AI829" i="5"/>
  <c r="AI430" i="5"/>
  <c r="AI437" i="5"/>
  <c r="AI822" i="5"/>
  <c r="CC59" i="5"/>
  <c r="CC9" i="5"/>
  <c r="CC25" i="5"/>
  <c r="BZ816" i="5"/>
  <c r="BY543" i="5"/>
  <c r="BH827" i="5"/>
  <c r="AC432" i="5"/>
  <c r="AC441" i="5"/>
  <c r="G441" i="5"/>
  <c r="G432" i="5"/>
  <c r="AS2" i="3"/>
  <c r="BH479" i="5"/>
  <c r="BH499" i="5"/>
  <c r="BH500" i="5" s="1"/>
  <c r="BH501" i="5" s="1"/>
  <c r="BH502" i="5" s="1"/>
  <c r="BH482" i="5"/>
  <c r="BC499" i="5"/>
  <c r="BC500" i="5" s="1"/>
  <c r="BC501" i="5" s="1"/>
  <c r="BC502" i="5" s="1"/>
  <c r="BC482" i="5"/>
  <c r="BC479" i="5"/>
  <c r="BG432" i="5"/>
  <c r="BG441" i="5"/>
  <c r="J829" i="5"/>
  <c r="J430" i="5"/>
  <c r="J437" i="5"/>
  <c r="J822" i="5"/>
  <c r="J823" i="5"/>
  <c r="L1" i="3"/>
  <c r="K5" i="3"/>
  <c r="AG359" i="5"/>
  <c r="AG393" i="5" s="1"/>
  <c r="AG395" i="5"/>
  <c r="AG398" i="5" s="1"/>
  <c r="CF23" i="5"/>
  <c r="AM395" i="5"/>
  <c r="AM398" i="5" s="1"/>
  <c r="AM359" i="5"/>
  <c r="AM393" i="5" s="1"/>
  <c r="BQ441" i="5"/>
  <c r="BQ432" i="5"/>
  <c r="BI531" i="5"/>
  <c r="BI500" i="5"/>
  <c r="BI501" i="5" s="1"/>
  <c r="BI502" i="5" s="1"/>
  <c r="BI532" i="5"/>
  <c r="U441" i="5"/>
  <c r="U432" i="5"/>
  <c r="AW69" i="2"/>
  <c r="AX66" i="2"/>
  <c r="R432" i="5"/>
  <c r="R441" i="5"/>
  <c r="BG829" i="5"/>
  <c r="AZ441" i="5"/>
  <c r="AZ432" i="5"/>
  <c r="AJ2" i="2"/>
  <c r="BT409" i="5"/>
  <c r="BT415" i="5"/>
  <c r="BT422" i="5"/>
  <c r="BT262" i="5"/>
  <c r="BH519" i="5"/>
  <c r="BH270" i="5"/>
  <c r="AH827" i="5"/>
  <c r="AT62" i="2"/>
  <c r="AT93" i="2"/>
  <c r="BT254" i="5"/>
  <c r="BT255" i="5" s="1"/>
  <c r="BT257" i="5"/>
  <c r="Z432" i="5"/>
  <c r="Z441" i="5"/>
  <c r="Y395" i="5"/>
  <c r="Y398" i="5" s="1"/>
  <c r="Y359" i="5"/>
  <c r="Y393" i="5" s="1"/>
  <c r="Z834" i="5" s="1"/>
  <c r="AP441" i="5"/>
  <c r="AP432" i="5"/>
  <c r="T827" i="5"/>
  <c r="Y827" i="5"/>
  <c r="V827" i="5"/>
  <c r="AX55" i="2"/>
  <c r="AY22" i="2" s="1"/>
  <c r="AD2" i="2"/>
  <c r="BY826" i="5"/>
  <c r="BY401" i="5"/>
  <c r="BY33" i="5"/>
  <c r="BY32" i="5"/>
  <c r="BY30" i="5"/>
  <c r="BY34" i="5"/>
  <c r="BY29" i="5"/>
  <c r="BY31" i="5" s="1"/>
  <c r="AN823" i="5"/>
  <c r="AN290" i="5"/>
  <c r="AN292" i="5"/>
  <c r="AF2" i="3"/>
  <c r="BS435" i="5"/>
  <c r="BS443" i="5" s="1"/>
  <c r="BS528" i="5" s="1"/>
  <c r="BS442" i="5"/>
  <c r="AB441" i="5"/>
  <c r="AB432" i="5"/>
  <c r="BI441" i="5"/>
  <c r="BI432" i="5"/>
  <c r="AN829" i="5"/>
  <c r="AN430" i="5"/>
  <c r="AN437" i="5"/>
  <c r="AN822" i="5"/>
  <c r="Q441" i="5"/>
  <c r="Q432" i="5"/>
  <c r="I829" i="5"/>
  <c r="BZ405" i="5"/>
  <c r="BZ407" i="5"/>
  <c r="BZ404" i="5"/>
  <c r="BZ13" i="5"/>
  <c r="BZ268" i="5"/>
  <c r="AP827" i="5"/>
  <c r="BU658" i="5"/>
  <c r="BT658" i="5"/>
  <c r="AO395" i="5"/>
  <c r="AO398" i="5" s="1"/>
  <c r="AO359" i="5"/>
  <c r="AO393" i="5" s="1"/>
  <c r="BI836" i="5"/>
  <c r="O827" i="5"/>
  <c r="Q829" i="5"/>
  <c r="BS359" i="5"/>
  <c r="BS393" i="5" s="1"/>
  <c r="BS395" i="5"/>
  <c r="BS398" i="5" s="1"/>
  <c r="Q827" i="5"/>
  <c r="BD8" i="3"/>
  <c r="BD17" i="2" s="1"/>
  <c r="AX64" i="2"/>
  <c r="AX33" i="2"/>
  <c r="AX61" i="2" s="1"/>
  <c r="AX32" i="2"/>
  <c r="AX42" i="2" s="1"/>
  <c r="AX39" i="2"/>
  <c r="AE432" i="5"/>
  <c r="AE441" i="5"/>
  <c r="BA432" i="5"/>
  <c r="BA441" i="5"/>
  <c r="BT659" i="5"/>
  <c r="BL395" i="5"/>
  <c r="BL398" i="5" s="1"/>
  <c r="BL359" i="5"/>
  <c r="BL393" i="5" s="1"/>
  <c r="AH2" i="3"/>
  <c r="AI823" i="5"/>
  <c r="AI290" i="5"/>
  <c r="AI395" i="5" s="1"/>
  <c r="AI398" i="5" s="1"/>
  <c r="AI292" i="5"/>
  <c r="BM441" i="5"/>
  <c r="BM432" i="5"/>
  <c r="O499" i="5"/>
  <c r="O500" i="5" s="1"/>
  <c r="O501" i="5" s="1"/>
  <c r="O502" i="5" s="1"/>
  <c r="O479" i="5"/>
  <c r="O482" i="5"/>
  <c r="AG435" i="5"/>
  <c r="AG443" i="5" s="1"/>
  <c r="AG442" i="5"/>
  <c r="BC441" i="5"/>
  <c r="BC432" i="5"/>
  <c r="BT660" i="5"/>
  <c r="BT794" i="5"/>
  <c r="BV31" i="5"/>
  <c r="BV35" i="5" s="1"/>
  <c r="CA409" i="5"/>
  <c r="CA263" i="5" s="1"/>
  <c r="CA262" i="5"/>
  <c r="P836" i="5"/>
  <c r="BM829" i="5"/>
  <c r="CB808" i="5"/>
  <c r="AX823" i="5"/>
  <c r="AX290" i="5"/>
  <c r="AX292" i="5"/>
  <c r="BC8" i="3"/>
  <c r="BC17" i="2" s="1"/>
  <c r="AX829" i="5"/>
  <c r="AX430" i="5"/>
  <c r="AX437" i="5"/>
  <c r="AX822" i="5"/>
  <c r="T395" i="5"/>
  <c r="T398" i="5" s="1"/>
  <c r="T359" i="5"/>
  <c r="T393" i="5" s="1"/>
  <c r="AD432" i="5"/>
  <c r="AD441" i="5"/>
  <c r="BC829" i="5"/>
  <c r="AN519" i="5"/>
  <c r="AN270" i="5"/>
  <c r="AV395" i="5"/>
  <c r="AV398" i="5" s="1"/>
  <c r="AV359" i="5"/>
  <c r="AV393" i="5" s="1"/>
  <c r="BZ802" i="5"/>
  <c r="CA507" i="5"/>
  <c r="BE432" i="5"/>
  <c r="BE441" i="5"/>
  <c r="D432" i="5"/>
  <c r="D441" i="5"/>
  <c r="M432" i="5"/>
  <c r="M441" i="5"/>
  <c r="AU62" i="2"/>
  <c r="AU93" i="2"/>
  <c r="AV62" i="2"/>
  <c r="AV93" i="2"/>
  <c r="BH823" i="5"/>
  <c r="BH292" i="5"/>
  <c r="BH290" i="5"/>
  <c r="BI359" i="5"/>
  <c r="BI393" i="5" s="1"/>
  <c r="BI395" i="5"/>
  <c r="BI398" i="5" s="1"/>
  <c r="S441" i="5"/>
  <c r="S432" i="5"/>
  <c r="BU35" i="5"/>
  <c r="W442" i="5"/>
  <c r="W472" i="5"/>
  <c r="W435" i="5"/>
  <c r="W443" i="5" s="1"/>
  <c r="AF441" i="5"/>
  <c r="AF432" i="5"/>
  <c r="BR441" i="5"/>
  <c r="BR432" i="5"/>
  <c r="BO395" i="5"/>
  <c r="BO398" i="5" s="1"/>
  <c r="BO359" i="5"/>
  <c r="BO393" i="5" s="1"/>
  <c r="CA257" i="5"/>
  <c r="CD50" i="5"/>
  <c r="CD51" i="5" s="1"/>
  <c r="AK432" i="5"/>
  <c r="AK441" i="5"/>
  <c r="BW464" i="5"/>
  <c r="BW465" i="5"/>
  <c r="BW455" i="5"/>
  <c r="BY462" i="5"/>
  <c r="BX459" i="5"/>
  <c r="BW472" i="5"/>
  <c r="BX472" i="5" s="1"/>
  <c r="BX473" i="5" s="1"/>
  <c r="BV787" i="5"/>
  <c r="BV794" i="5" s="1"/>
  <c r="BV762" i="5"/>
  <c r="BV761" i="5"/>
  <c r="BV268" i="5"/>
  <c r="BV405" i="5"/>
  <c r="BV408" i="5" s="1"/>
  <c r="BV407" i="5"/>
  <c r="BV13" i="5"/>
  <c r="BN395" i="5"/>
  <c r="BN398" i="5" s="1"/>
  <c r="BN359" i="5"/>
  <c r="BN393" i="5" s="1"/>
  <c r="AS827" i="5"/>
  <c r="BN432" i="5"/>
  <c r="BN441" i="5"/>
  <c r="CE44" i="5"/>
  <c r="CE49" i="5" s="1"/>
  <c r="CE19" i="5"/>
  <c r="CF42" i="5"/>
  <c r="CB9" i="5"/>
  <c r="CB59" i="5"/>
  <c r="CB55" i="5" s="1"/>
  <c r="CB25" i="5"/>
  <c r="BW826" i="5"/>
  <c r="BW401" i="5"/>
  <c r="BW33" i="5"/>
  <c r="BW30" i="5"/>
  <c r="BW32" i="5"/>
  <c r="BW34" i="5"/>
  <c r="BW29" i="5"/>
  <c r="BW31" i="5" s="1"/>
  <c r="BW35" i="5" s="1"/>
  <c r="AK829" i="5"/>
  <c r="BV826" i="5"/>
  <c r="CA762" i="5"/>
  <c r="Y829" i="5"/>
  <c r="Y430" i="5"/>
  <c r="Y822" i="5"/>
  <c r="Y437" i="5"/>
  <c r="BP441" i="5"/>
  <c r="BP432" i="5"/>
  <c r="AJ395" i="5"/>
  <c r="AJ398" i="5" s="1"/>
  <c r="AJ359" i="5"/>
  <c r="CB50" i="5"/>
  <c r="CB51" i="5" s="1"/>
  <c r="AH359" i="5"/>
  <c r="AH393" i="5" s="1"/>
  <c r="AH395" i="5"/>
  <c r="AH398" i="5" s="1"/>
  <c r="T441" i="5"/>
  <c r="T432" i="5"/>
  <c r="CD21" i="5"/>
  <c r="CD7" i="5"/>
  <c r="J519" i="5"/>
  <c r="J270" i="5"/>
  <c r="AX519" i="5"/>
  <c r="AX270" i="5"/>
  <c r="AW829" i="5"/>
  <c r="J827" i="5"/>
  <c r="L827" i="5"/>
  <c r="I827" i="5"/>
  <c r="AH441" i="5"/>
  <c r="AH432" i="5"/>
  <c r="O519" i="5"/>
  <c r="O270" i="5"/>
  <c r="CA761" i="5"/>
  <c r="CC50" i="5"/>
  <c r="CC51" i="5" s="1"/>
  <c r="T829" i="5"/>
  <c r="CD40" i="5"/>
  <c r="CD47" i="5"/>
  <c r="AK827" i="5"/>
  <c r="BU787" i="5"/>
  <c r="BU762" i="5"/>
  <c r="BV659" i="5" s="1"/>
  <c r="BU761" i="5"/>
  <c r="BU404" i="5"/>
  <c r="BU268" i="5"/>
  <c r="BU405" i="5"/>
  <c r="BU407" i="5"/>
  <c r="BU13" i="5"/>
  <c r="AR441" i="5"/>
  <c r="AR432" i="5"/>
  <c r="J479" i="5"/>
  <c r="J499" i="5"/>
  <c r="J500" i="5" s="1"/>
  <c r="J501" i="5" s="1"/>
  <c r="J502" i="5" s="1"/>
  <c r="J482" i="5"/>
  <c r="AH829" i="5"/>
  <c r="E441" i="5"/>
  <c r="E432" i="5"/>
  <c r="S827" i="5"/>
  <c r="X441" i="5"/>
  <c r="X432" i="5"/>
  <c r="C432" i="5"/>
  <c r="C441" i="5"/>
  <c r="AP395" i="5"/>
  <c r="AP398" i="5" s="1"/>
  <c r="AP359" i="5"/>
  <c r="AP393" i="5" s="1"/>
  <c r="Q395" i="5"/>
  <c r="Q398" i="5" s="1"/>
  <c r="Q359" i="5"/>
  <c r="Q393" i="5" s="1"/>
  <c r="U834" i="5" s="1"/>
  <c r="BM823" i="5"/>
  <c r="BM292" i="5"/>
  <c r="BM290" i="5"/>
  <c r="K45" i="7"/>
  <c r="K46" i="7" s="1"/>
  <c r="K55" i="7" s="1"/>
  <c r="L87" i="2"/>
  <c r="BX9" i="3" l="1"/>
  <c r="BX10" i="3" s="1"/>
  <c r="BF54" i="7"/>
  <c r="BF40" i="7"/>
  <c r="BI54" i="7"/>
  <c r="BI40" i="7"/>
  <c r="BI27" i="7"/>
  <c r="BI28" i="7"/>
  <c r="BH54" i="7"/>
  <c r="BH40" i="7"/>
  <c r="BH27" i="7"/>
  <c r="BH28" i="7"/>
  <c r="BG54" i="7"/>
  <c r="BG40" i="7"/>
  <c r="BG27" i="7"/>
  <c r="BG28" i="7"/>
  <c r="BF27" i="7"/>
  <c r="BF28" i="7"/>
  <c r="BA42" i="2"/>
  <c r="H88" i="2"/>
  <c r="I88" i="2"/>
  <c r="J88" i="2"/>
  <c r="G88" i="2"/>
  <c r="BA93" i="2"/>
  <c r="BE39" i="2"/>
  <c r="K9" i="7"/>
  <c r="K10" i="7" s="1"/>
  <c r="K11" i="7" s="1"/>
  <c r="K19" i="7"/>
  <c r="L4" i="7"/>
  <c r="L14" i="7" s="1"/>
  <c r="BE33" i="2"/>
  <c r="BE61" i="2" s="1"/>
  <c r="BE64" i="2"/>
  <c r="BE32" i="2"/>
  <c r="BE93" i="2" s="1"/>
  <c r="BI8" i="3"/>
  <c r="BI17" i="2" s="1"/>
  <c r="BF8" i="3"/>
  <c r="BF17" i="2" s="1"/>
  <c r="K86" i="2"/>
  <c r="L88" i="2"/>
  <c r="L85" i="2"/>
  <c r="L86" i="2" s="1"/>
  <c r="L94" i="2"/>
  <c r="L91" i="2"/>
  <c r="M4" i="2"/>
  <c r="K96" i="2"/>
  <c r="AX44" i="2"/>
  <c r="BX407" i="5"/>
  <c r="CE50" i="5"/>
  <c r="CE51" i="5" s="1"/>
  <c r="BU659" i="5"/>
  <c r="BZ458" i="5"/>
  <c r="BW762" i="5"/>
  <c r="BX762" i="5" s="1"/>
  <c r="BW761" i="5"/>
  <c r="BX761" i="5" s="1"/>
  <c r="BW787" i="5"/>
  <c r="BW404" i="5"/>
  <c r="BW268" i="5"/>
  <c r="BW407" i="5"/>
  <c r="BW405" i="5"/>
  <c r="BW408" i="5" s="1"/>
  <c r="BW13" i="5"/>
  <c r="BC435" i="5"/>
  <c r="BC443" i="5" s="1"/>
  <c r="BC472" i="5"/>
  <c r="BC442" i="5"/>
  <c r="AH2" i="2"/>
  <c r="AI441" i="5"/>
  <c r="AI432" i="5"/>
  <c r="BJ443" i="5"/>
  <c r="BD834" i="5"/>
  <c r="BG39" i="2"/>
  <c r="BG32" i="2"/>
  <c r="BG42" i="2" s="1"/>
  <c r="BG33" i="2"/>
  <c r="BG61" i="2" s="1"/>
  <c r="BG64" i="2"/>
  <c r="AN441" i="5"/>
  <c r="AN432" i="5"/>
  <c r="AZ62" i="2"/>
  <c r="AZ93" i="2"/>
  <c r="AR472" i="5"/>
  <c r="AR435" i="5"/>
  <c r="AR443" i="5" s="1"/>
  <c r="AR442" i="5"/>
  <c r="CB826" i="5"/>
  <c r="CB401" i="5"/>
  <c r="CB33" i="5"/>
  <c r="CB30" i="5"/>
  <c r="CB32" i="5"/>
  <c r="CB34" i="5"/>
  <c r="CB29" i="5"/>
  <c r="CB31" i="5" s="1"/>
  <c r="CB35" i="5" s="1"/>
  <c r="BA442" i="5"/>
  <c r="BA435" i="5"/>
  <c r="BA443" i="5" s="1"/>
  <c r="BA472" i="5"/>
  <c r="AY435" i="5"/>
  <c r="AY443" i="5" s="1"/>
  <c r="AY528" i="5" s="1"/>
  <c r="AY442" i="5"/>
  <c r="BJ473" i="5"/>
  <c r="BJ475" i="5"/>
  <c r="N472" i="5"/>
  <c r="N442" i="5"/>
  <c r="N435" i="5"/>
  <c r="N443" i="5" s="1"/>
  <c r="AL472" i="5"/>
  <c r="AL435" i="5"/>
  <c r="AL443" i="5" s="1"/>
  <c r="AL442" i="5"/>
  <c r="BF435" i="5"/>
  <c r="BF443" i="5" s="1"/>
  <c r="BF472" i="5"/>
  <c r="BF442" i="5"/>
  <c r="AX432" i="5"/>
  <c r="AX441" i="5"/>
  <c r="BI442" i="5"/>
  <c r="BI435" i="5"/>
  <c r="BI443" i="5" s="1"/>
  <c r="BI528" i="5" s="1"/>
  <c r="AY55" i="2"/>
  <c r="AZ22" i="2" s="1"/>
  <c r="AS472" i="5"/>
  <c r="AS442" i="5"/>
  <c r="AS435" i="5"/>
  <c r="AS443" i="5" s="1"/>
  <c r="AI2" i="2"/>
  <c r="CF12" i="5"/>
  <c r="F435" i="5"/>
  <c r="F443" i="5" s="1"/>
  <c r="F528" i="5" s="1"/>
  <c r="F472" i="5"/>
  <c r="F442" i="5"/>
  <c r="CA787" i="5"/>
  <c r="M442" i="5"/>
  <c r="M472" i="5"/>
  <c r="M435" i="5"/>
  <c r="BC64" i="2"/>
  <c r="BC32" i="2"/>
  <c r="BC42" i="2" s="1"/>
  <c r="BC39" i="2"/>
  <c r="BC33" i="2"/>
  <c r="BC61" i="2" s="1"/>
  <c r="M1" i="3"/>
  <c r="L5" i="3"/>
  <c r="BX784" i="5"/>
  <c r="BW794" i="5"/>
  <c r="BB442" i="5"/>
  <c r="BB472" i="5"/>
  <c r="BB435" i="5"/>
  <c r="BB443" i="5" s="1"/>
  <c r="BU412" i="5"/>
  <c r="BU768" i="5"/>
  <c r="BU408" i="5"/>
  <c r="AJ393" i="5"/>
  <c r="AJ834" i="5" s="1"/>
  <c r="AI359" i="5"/>
  <c r="AI393" i="5" s="1"/>
  <c r="CF19" i="5"/>
  <c r="CF49" i="5"/>
  <c r="CF44" i="5"/>
  <c r="AE442" i="5"/>
  <c r="AE435" i="5"/>
  <c r="AE443" i="5" s="1"/>
  <c r="AE528" i="5" s="1"/>
  <c r="AB442" i="5"/>
  <c r="AB472" i="5"/>
  <c r="AB435" i="5"/>
  <c r="AB443" i="5" s="1"/>
  <c r="BK472" i="5"/>
  <c r="BK435" i="5"/>
  <c r="BK443" i="5" s="1"/>
  <c r="BK442" i="5"/>
  <c r="BY810" i="5"/>
  <c r="BX815" i="5"/>
  <c r="BU745" i="5"/>
  <c r="C442" i="5"/>
  <c r="C435" i="5"/>
  <c r="C443" i="5" s="1"/>
  <c r="C528" i="5" s="1"/>
  <c r="CE21" i="5"/>
  <c r="CE7" i="5"/>
  <c r="BR472" i="5"/>
  <c r="BR442" i="5"/>
  <c r="BR435" i="5"/>
  <c r="BR443" i="5" s="1"/>
  <c r="BH39" i="2"/>
  <c r="BH32" i="2"/>
  <c r="BH42" i="2" s="1"/>
  <c r="BH33" i="2"/>
  <c r="BH61" i="2" s="1"/>
  <c r="BH64" i="2"/>
  <c r="X472" i="5"/>
  <c r="X435" i="5"/>
  <c r="X443" i="5" s="1"/>
  <c r="X442" i="5"/>
  <c r="BU257" i="5"/>
  <c r="BP435" i="5"/>
  <c r="BP443" i="5" s="1"/>
  <c r="BP472" i="5"/>
  <c r="BP442" i="5"/>
  <c r="CE40" i="5"/>
  <c r="CE47" i="5"/>
  <c r="BV262" i="5"/>
  <c r="BV409" i="5"/>
  <c r="BV263" i="5" s="1"/>
  <c r="D442" i="5"/>
  <c r="D435" i="5"/>
  <c r="D443" i="5" s="1"/>
  <c r="D528" i="5" s="1"/>
  <c r="D472" i="5"/>
  <c r="AX62" i="2"/>
  <c r="AX93" i="2"/>
  <c r="BZ257" i="5"/>
  <c r="BV658" i="5"/>
  <c r="BV404" i="5"/>
  <c r="BX404" i="5" s="1"/>
  <c r="AF435" i="5"/>
  <c r="AF442" i="5"/>
  <c r="AX395" i="5"/>
  <c r="AX398" i="5" s="1"/>
  <c r="AX359" i="5"/>
  <c r="AX393" i="5" s="1"/>
  <c r="AY834" i="5" s="1"/>
  <c r="J441" i="5"/>
  <c r="J432" i="5"/>
  <c r="BZ408" i="5"/>
  <c r="AJ2" i="3"/>
  <c r="R472" i="5"/>
  <c r="R442" i="5"/>
  <c r="R435" i="5"/>
  <c r="R443" i="5" s="1"/>
  <c r="BU660" i="5"/>
  <c r="BU794" i="5"/>
  <c r="BE472" i="5"/>
  <c r="BE435" i="5"/>
  <c r="BE442" i="5"/>
  <c r="BZ761" i="5"/>
  <c r="CA658" i="5" s="1"/>
  <c r="BT424" i="5"/>
  <c r="BT425" i="5"/>
  <c r="BT426" i="5" s="1"/>
  <c r="AX69" i="2"/>
  <c r="AY66" i="2"/>
  <c r="L5" i="2"/>
  <c r="L5" i="7" s="1"/>
  <c r="M1" i="2"/>
  <c r="BL473" i="5"/>
  <c r="BL475" i="5"/>
  <c r="O441" i="5"/>
  <c r="O432" i="5"/>
  <c r="CD59" i="5"/>
  <c r="CD55" i="5" s="1"/>
  <c r="CD9" i="5"/>
  <c r="CD25" i="5"/>
  <c r="Y432" i="5"/>
  <c r="Y441" i="5"/>
  <c r="W473" i="5"/>
  <c r="W475" i="5"/>
  <c r="BZ762" i="5"/>
  <c r="CA659" i="5" s="1"/>
  <c r="AP435" i="5"/>
  <c r="AP472" i="5"/>
  <c r="AP442" i="5"/>
  <c r="BT416" i="5"/>
  <c r="BT269" i="5"/>
  <c r="AW2" i="3"/>
  <c r="CA783" i="5"/>
  <c r="BZ509" i="5"/>
  <c r="BV660" i="5"/>
  <c r="CA802" i="5"/>
  <c r="CB507" i="5"/>
  <c r="CB802" i="5" s="1"/>
  <c r="CC802" i="5" s="1"/>
  <c r="CC507" i="5" s="1"/>
  <c r="CD507" i="5" s="1"/>
  <c r="CC808" i="5"/>
  <c r="BZ787" i="5"/>
  <c r="AN395" i="5"/>
  <c r="AN398" i="5" s="1"/>
  <c r="AN359" i="5"/>
  <c r="AN393" i="5" s="1"/>
  <c r="AO834" i="5" s="1"/>
  <c r="BT263" i="5"/>
  <c r="U442" i="5"/>
  <c r="U435" i="5"/>
  <c r="U443" i="5" s="1"/>
  <c r="U528" i="5" s="1"/>
  <c r="AY62" i="2"/>
  <c r="AY93" i="2"/>
  <c r="BH432" i="5"/>
  <c r="BH441" i="5"/>
  <c r="T442" i="5"/>
  <c r="T435" i="5"/>
  <c r="T443" i="5" s="1"/>
  <c r="T472" i="5"/>
  <c r="BM472" i="5"/>
  <c r="BM435" i="5"/>
  <c r="BM443" i="5" s="1"/>
  <c r="BM442" i="5"/>
  <c r="BD64" i="2"/>
  <c r="BD32" i="2"/>
  <c r="BD42" i="2" s="1"/>
  <c r="BD39" i="2"/>
  <c r="BD33" i="2"/>
  <c r="BD61" i="2" s="1"/>
  <c r="BG435" i="5"/>
  <c r="BG443" i="5" s="1"/>
  <c r="BG472" i="5"/>
  <c r="BG442" i="5"/>
  <c r="G435" i="5"/>
  <c r="G442" i="5"/>
  <c r="G472" i="5"/>
  <c r="BX401" i="5"/>
  <c r="BX455" i="5"/>
  <c r="BY446" i="5" s="1"/>
  <c r="BX465" i="5"/>
  <c r="BY459" i="5"/>
  <c r="BY437" i="5" s="1"/>
  <c r="BX475" i="5"/>
  <c r="CC463" i="5"/>
  <c r="Q472" i="5"/>
  <c r="Q435" i="5"/>
  <c r="Q442" i="5"/>
  <c r="BY35" i="5"/>
  <c r="AN2" i="2"/>
  <c r="AI2" i="3"/>
  <c r="BW475" i="5"/>
  <c r="S472" i="5"/>
  <c r="S442" i="5"/>
  <c r="S435" i="5"/>
  <c r="S443" i="5" s="1"/>
  <c r="BX826" i="5"/>
  <c r="BX33" i="5"/>
  <c r="BX32" i="5"/>
  <c r="BX30" i="5"/>
  <c r="BX34" i="5"/>
  <c r="BX29" i="5"/>
  <c r="BX31" i="5" s="1"/>
  <c r="BX35" i="5" s="1"/>
  <c r="AJ442" i="5"/>
  <c r="AJ435" i="5"/>
  <c r="AJ443" i="5" s="1"/>
  <c r="AJ528" i="5" s="1"/>
  <c r="BM395" i="5"/>
  <c r="BM398" i="5" s="1"/>
  <c r="BM359" i="5"/>
  <c r="BM393" i="5" s="1"/>
  <c r="BN834" i="5" s="1"/>
  <c r="AZ472" i="5"/>
  <c r="AZ435" i="5"/>
  <c r="AZ442" i="5"/>
  <c r="AA442" i="5"/>
  <c r="AA435" i="5"/>
  <c r="AO435" i="5"/>
  <c r="AO443" i="5" s="1"/>
  <c r="AO528" i="5" s="1"/>
  <c r="AO442" i="5"/>
  <c r="CA816" i="5"/>
  <c r="BZ543" i="5"/>
  <c r="AW2" i="2"/>
  <c r="AU443" i="5"/>
  <c r="BQ472" i="5"/>
  <c r="BQ442" i="5"/>
  <c r="BQ435" i="5"/>
  <c r="BQ443" i="5" s="1"/>
  <c r="AC472" i="5"/>
  <c r="AC435" i="5"/>
  <c r="AC443" i="5" s="1"/>
  <c r="AC442" i="5"/>
  <c r="CC826" i="5"/>
  <c r="CC32" i="5"/>
  <c r="CC30" i="5"/>
  <c r="CC33" i="5"/>
  <c r="CC29" i="5"/>
  <c r="CC31" i="5" s="1"/>
  <c r="CC34" i="5"/>
  <c r="D831" i="5"/>
  <c r="D719" i="5"/>
  <c r="E713" i="5"/>
  <c r="E714" i="5" s="1"/>
  <c r="BU746" i="5"/>
  <c r="BU738" i="5"/>
  <c r="BO472" i="5"/>
  <c r="BO435" i="5"/>
  <c r="BO442" i="5"/>
  <c r="AI885" i="5"/>
  <c r="AJ885" i="5"/>
  <c r="AJ884" i="5" s="1"/>
  <c r="AK885" i="5"/>
  <c r="AK884" i="5" s="1"/>
  <c r="AM885" i="5"/>
  <c r="AL885" i="5"/>
  <c r="AT5" i="5"/>
  <c r="AP5" i="5"/>
  <c r="AU473" i="5"/>
  <c r="AU475" i="5"/>
  <c r="E442" i="5"/>
  <c r="E435" i="5"/>
  <c r="E443" i="5" s="1"/>
  <c r="E528" i="5" s="1"/>
  <c r="E472" i="5"/>
  <c r="BH395" i="5"/>
  <c r="BH398" i="5" s="1"/>
  <c r="BH359" i="5"/>
  <c r="BH393" i="5" s="1"/>
  <c r="BI834" i="5" s="1"/>
  <c r="AL2" i="3"/>
  <c r="BS834" i="5"/>
  <c r="BY762" i="5"/>
  <c r="BY761" i="5"/>
  <c r="BZ658" i="5" s="1"/>
  <c r="BY787" i="5"/>
  <c r="BY404" i="5"/>
  <c r="BY407" i="5"/>
  <c r="BY405" i="5"/>
  <c r="CC401" i="5"/>
  <c r="BY268" i="5"/>
  <c r="BY13" i="5"/>
  <c r="AJ879" i="5"/>
  <c r="AI879" i="5"/>
  <c r="AL5" i="5"/>
  <c r="AM472" i="5"/>
  <c r="AM435" i="5"/>
  <c r="AM443" i="5" s="1"/>
  <c r="AM442" i="5"/>
  <c r="AS395" i="5"/>
  <c r="AS398" i="5" s="1"/>
  <c r="AS359" i="5"/>
  <c r="AS393" i="5" s="1"/>
  <c r="AT834" i="5" s="1"/>
  <c r="CC55" i="5"/>
  <c r="BB64" i="2"/>
  <c r="BB32" i="2"/>
  <c r="BB42" i="2" s="1"/>
  <c r="BB33" i="2"/>
  <c r="BB61" i="2" s="1"/>
  <c r="BB39" i="2"/>
  <c r="AQ442" i="5"/>
  <c r="AQ472" i="5"/>
  <c r="AQ435" i="5"/>
  <c r="AQ443" i="5" s="1"/>
  <c r="AH442" i="5"/>
  <c r="AH435" i="5"/>
  <c r="AH443" i="5" s="1"/>
  <c r="AH472" i="5"/>
  <c r="BN442" i="5"/>
  <c r="BN435" i="5"/>
  <c r="BN443" i="5" s="1"/>
  <c r="BN528" i="5" s="1"/>
  <c r="AK442" i="5"/>
  <c r="AK435" i="5"/>
  <c r="AD472" i="5"/>
  <c r="AD435" i="5"/>
  <c r="AD443" i="5" s="1"/>
  <c r="AD442" i="5"/>
  <c r="F46" i="2"/>
  <c r="Z442" i="5"/>
  <c r="Z435" i="5"/>
  <c r="Z443" i="5" s="1"/>
  <c r="Z528" i="5" s="1"/>
  <c r="H435" i="5"/>
  <c r="H443" i="5" s="1"/>
  <c r="H442" i="5"/>
  <c r="H472" i="5"/>
  <c r="V443" i="5"/>
  <c r="K627" i="5"/>
  <c r="K628" i="5" s="1"/>
  <c r="L627" i="5" s="1"/>
  <c r="J628" i="5"/>
  <c r="L45" i="7"/>
  <c r="L46" i="7" s="1"/>
  <c r="L55" i="7" s="1"/>
  <c r="M87" i="2"/>
  <c r="BE42" i="2" l="1"/>
  <c r="F47" i="2"/>
  <c r="BF32" i="2"/>
  <c r="BF93" i="2" s="1"/>
  <c r="L9" i="7"/>
  <c r="L10" i="7" s="1"/>
  <c r="L11" i="7" s="1"/>
  <c r="L19" i="7"/>
  <c r="M4" i="7"/>
  <c r="M14" i="7" s="1"/>
  <c r="BE62" i="2"/>
  <c r="BF39" i="2"/>
  <c r="BI39" i="2"/>
  <c r="BI32" i="2"/>
  <c r="BI42" i="2" s="1"/>
  <c r="BI33" i="2"/>
  <c r="BI61" i="2" s="1"/>
  <c r="BI64" i="2"/>
  <c r="BF64" i="2"/>
  <c r="BF33" i="2"/>
  <c r="BF61" i="2" s="1"/>
  <c r="L96" i="2"/>
  <c r="M88" i="2"/>
  <c r="M85" i="2"/>
  <c r="M86" i="2" s="1"/>
  <c r="M91" i="2"/>
  <c r="M94" i="2"/>
  <c r="N4" i="2"/>
  <c r="AY44" i="2"/>
  <c r="BX257" i="5"/>
  <c r="BX258" i="5" s="1"/>
  <c r="BT635" i="5"/>
  <c r="BT429" i="5"/>
  <c r="BT430" i="5"/>
  <c r="BT823" i="5"/>
  <c r="E719" i="5"/>
  <c r="E831" i="5"/>
  <c r="F713" i="5"/>
  <c r="F714" i="5" s="1"/>
  <c r="BX405" i="5"/>
  <c r="BX408" i="5" s="1"/>
  <c r="BX13" i="5"/>
  <c r="BX268" i="5"/>
  <c r="BW658" i="5"/>
  <c r="BX658" i="5" s="1"/>
  <c r="BW257" i="5"/>
  <c r="AP2" i="3"/>
  <c r="CA543" i="5"/>
  <c r="CB816" i="5"/>
  <c r="BZ810" i="5"/>
  <c r="BY815" i="5"/>
  <c r="BB473" i="5"/>
  <c r="BB475" i="5"/>
  <c r="BX787" i="5"/>
  <c r="BX724" i="5" s="1"/>
  <c r="BX728" i="5" s="1"/>
  <c r="BW660" i="5"/>
  <c r="BX660" i="5" s="1"/>
  <c r="CC35" i="5"/>
  <c r="G443" i="5"/>
  <c r="BX508" i="5"/>
  <c r="BX506" i="5"/>
  <c r="BX794" i="5"/>
  <c r="AM2" i="2"/>
  <c r="AD473" i="5"/>
  <c r="AE472" i="5"/>
  <c r="AD475" i="5"/>
  <c r="AT837" i="5"/>
  <c r="AP443" i="5"/>
  <c r="X473" i="5"/>
  <c r="X475" i="5"/>
  <c r="BG93" i="2"/>
  <c r="BG62" i="2"/>
  <c r="AK879" i="5"/>
  <c r="AM5" i="5"/>
  <c r="AE837" i="5"/>
  <c r="AA443" i="5"/>
  <c r="S473" i="5"/>
  <c r="S475" i="5"/>
  <c r="R473" i="5"/>
  <c r="R475" i="5"/>
  <c r="BK473" i="5"/>
  <c r="BK475" i="5"/>
  <c r="AS473" i="5"/>
  <c r="AT472" i="5"/>
  <c r="AS475" i="5"/>
  <c r="BA473" i="5"/>
  <c r="BA475" i="5"/>
  <c r="AJ837" i="5"/>
  <c r="AF443" i="5"/>
  <c r="BW659" i="5"/>
  <c r="BX659" i="5" s="1"/>
  <c r="AN2" i="3"/>
  <c r="BZ409" i="5"/>
  <c r="BZ263" i="5" s="1"/>
  <c r="BZ262" i="5"/>
  <c r="AB473" i="5"/>
  <c r="AB475" i="5"/>
  <c r="N1" i="3"/>
  <c r="M5" i="3"/>
  <c r="BN837" i="5"/>
  <c r="BT519" i="5"/>
  <c r="BT270" i="5"/>
  <c r="AM473" i="5"/>
  <c r="AM475" i="5"/>
  <c r="AN879" i="5"/>
  <c r="AO879" i="5"/>
  <c r="AQ5" i="5"/>
  <c r="AC473" i="5"/>
  <c r="AC475" i="5"/>
  <c r="AM2" i="3"/>
  <c r="BD93" i="2"/>
  <c r="BD62" i="2"/>
  <c r="BZ660" i="5"/>
  <c r="Y472" i="5"/>
  <c r="Y442" i="5"/>
  <c r="Y435" i="5"/>
  <c r="Y443" i="5" s="1"/>
  <c r="AZ55" i="2"/>
  <c r="BA22" i="2" s="1"/>
  <c r="AI442" i="5"/>
  <c r="AI472" i="5"/>
  <c r="AI435" i="5"/>
  <c r="AI443" i="5" s="1"/>
  <c r="BX722" i="5"/>
  <c r="BX726" i="5" s="1"/>
  <c r="BY658" i="5"/>
  <c r="E473" i="5"/>
  <c r="E475" i="5"/>
  <c r="AH473" i="5"/>
  <c r="AH475" i="5"/>
  <c r="AR885" i="5"/>
  <c r="AP885" i="5"/>
  <c r="AQ885" i="5"/>
  <c r="AQ884" i="5" s="1"/>
  <c r="AO885" i="5"/>
  <c r="AO884" i="5" s="1"/>
  <c r="AN885" i="5"/>
  <c r="AN884" i="5" s="1"/>
  <c r="AU5" i="5"/>
  <c r="AY5" i="5"/>
  <c r="CD808" i="5"/>
  <c r="CD401" i="5"/>
  <c r="CD32" i="5"/>
  <c r="CD34" i="5"/>
  <c r="CD30" i="5"/>
  <c r="CD33" i="5"/>
  <c r="CD29" i="5"/>
  <c r="CD31" i="5" s="1"/>
  <c r="CD35" i="5" s="1"/>
  <c r="M627" i="5"/>
  <c r="L628" i="5"/>
  <c r="AL884" i="5"/>
  <c r="BD837" i="5"/>
  <c r="AZ443" i="5"/>
  <c r="AR2" i="2"/>
  <c r="AZ66" i="2"/>
  <c r="AY69" i="2"/>
  <c r="D473" i="5"/>
  <c r="D475" i="5"/>
  <c r="BH93" i="2"/>
  <c r="BH62" i="2"/>
  <c r="AL2" i="2"/>
  <c r="BH442" i="5"/>
  <c r="BH472" i="5"/>
  <c r="BH435" i="5"/>
  <c r="BH443" i="5" s="1"/>
  <c r="BG473" i="5"/>
  <c r="BG475" i="5"/>
  <c r="BQ473" i="5"/>
  <c r="BQ475" i="5"/>
  <c r="AZ473" i="5"/>
  <c r="AZ475" i="5"/>
  <c r="CD802" i="5"/>
  <c r="CE507" i="5"/>
  <c r="BC93" i="2"/>
  <c r="BC62" i="2"/>
  <c r="G473" i="5"/>
  <c r="G475" i="5"/>
  <c r="Z837" i="5"/>
  <c r="O472" i="5"/>
  <c r="O442" i="5"/>
  <c r="O435" i="5"/>
  <c r="O443" i="5" s="1"/>
  <c r="CF47" i="5"/>
  <c r="CF40" i="5"/>
  <c r="AK443" i="5"/>
  <c r="H473" i="5"/>
  <c r="H475" i="5"/>
  <c r="AQ473" i="5"/>
  <c r="AQ475" i="5"/>
  <c r="CC13" i="5"/>
  <c r="CC268" i="5"/>
  <c r="BN472" i="5"/>
  <c r="BM473" i="5"/>
  <c r="BM475" i="5"/>
  <c r="BT640" i="5"/>
  <c r="CF51" i="5"/>
  <c r="CF50" i="5"/>
  <c r="CB787" i="5"/>
  <c r="CB761" i="5"/>
  <c r="CB762" i="5"/>
  <c r="CB407" i="5"/>
  <c r="CB404" i="5"/>
  <c r="CB13" i="5"/>
  <c r="CB405" i="5"/>
  <c r="CB268" i="5"/>
  <c r="BY408" i="5"/>
  <c r="AI884" i="5"/>
  <c r="U837" i="5"/>
  <c r="Q443" i="5"/>
  <c r="U472" i="5"/>
  <c r="T473" i="5"/>
  <c r="T475" i="5"/>
  <c r="BS472" i="5"/>
  <c r="BR473" i="5"/>
  <c r="BR475" i="5"/>
  <c r="CF21" i="5"/>
  <c r="CF7" i="5"/>
  <c r="M443" i="5"/>
  <c r="P837" i="5"/>
  <c r="AX442" i="5"/>
  <c r="AX472" i="5"/>
  <c r="AX435" i="5"/>
  <c r="BX261" i="5"/>
  <c r="BX833" i="5" s="1"/>
  <c r="M5" i="2"/>
  <c r="M5" i="7" s="1"/>
  <c r="N1" i="2"/>
  <c r="CC407" i="5"/>
  <c r="CC261" i="5" s="1"/>
  <c r="CC833" i="5" s="1"/>
  <c r="Q473" i="5"/>
  <c r="Q475" i="5"/>
  <c r="J472" i="5"/>
  <c r="J435" i="5"/>
  <c r="J443" i="5" s="1"/>
  <c r="J442" i="5"/>
  <c r="M473" i="5"/>
  <c r="M475" i="5"/>
  <c r="BC473" i="5"/>
  <c r="BD472" i="5"/>
  <c r="BC475" i="5"/>
  <c r="BV257" i="5"/>
  <c r="BS837" i="5"/>
  <c r="BO443" i="5"/>
  <c r="CB783" i="5"/>
  <c r="CA509" i="5"/>
  <c r="BF473" i="5"/>
  <c r="BF475" i="5"/>
  <c r="BX723" i="5"/>
  <c r="BX727" i="5" s="1"/>
  <c r="BY659" i="5"/>
  <c r="CA458" i="5"/>
  <c r="CE59" i="5"/>
  <c r="CE55" i="5" s="1"/>
  <c r="CE9" i="5"/>
  <c r="CE25" i="5"/>
  <c r="BU415" i="5"/>
  <c r="BU409" i="5"/>
  <c r="BU262" i="5"/>
  <c r="CA660" i="5"/>
  <c r="AR473" i="5"/>
  <c r="AR475" i="5"/>
  <c r="N473" i="5"/>
  <c r="N475" i="5"/>
  <c r="BY257" i="5"/>
  <c r="CC404" i="5"/>
  <c r="BO473" i="5"/>
  <c r="BO475" i="5"/>
  <c r="BB93" i="2"/>
  <c r="BB62" i="2"/>
  <c r="BZ459" i="5"/>
  <c r="BY475" i="5"/>
  <c r="BZ462" i="5"/>
  <c r="BY472" i="5"/>
  <c r="BY464" i="5"/>
  <c r="BY465" i="5"/>
  <c r="BY455" i="5"/>
  <c r="BZ446" i="5" s="1"/>
  <c r="BU735" i="5"/>
  <c r="BW409" i="5"/>
  <c r="BW263" i="5" s="1"/>
  <c r="BW262" i="5"/>
  <c r="AP473" i="5"/>
  <c r="AP475" i="5"/>
  <c r="BY660" i="5"/>
  <c r="BZ659" i="5"/>
  <c r="BU413" i="5"/>
  <c r="BU777" i="5"/>
  <c r="BA2" i="3"/>
  <c r="BI837" i="5"/>
  <c r="BE443" i="5"/>
  <c r="F473" i="5"/>
  <c r="F475" i="5"/>
  <c r="BA2" i="2"/>
  <c r="BE473" i="5"/>
  <c r="BE475" i="5"/>
  <c r="BP473" i="5"/>
  <c r="BP475" i="5"/>
  <c r="BU636" i="5"/>
  <c r="BU266" i="5"/>
  <c r="AL473" i="5"/>
  <c r="AL475" i="5"/>
  <c r="AN472" i="5"/>
  <c r="AN435" i="5"/>
  <c r="AN443" i="5" s="1"/>
  <c r="AN442" i="5"/>
  <c r="N87" i="2"/>
  <c r="M45" i="7"/>
  <c r="M46" i="7" s="1"/>
  <c r="M55" i="7" s="1"/>
  <c r="BF42" i="2" l="1"/>
  <c r="BF62" i="2"/>
  <c r="M9" i="7"/>
  <c r="M10" i="7" s="1"/>
  <c r="M11" i="7" s="1"/>
  <c r="M19" i="7"/>
  <c r="N4" i="7"/>
  <c r="N14" i="7" s="1"/>
  <c r="BI62" i="2"/>
  <c r="BI93" i="2"/>
  <c r="N88" i="2"/>
  <c r="N85" i="2"/>
  <c r="N86" i="2" s="1"/>
  <c r="N91" i="2"/>
  <c r="N94" i="2"/>
  <c r="O4" i="2"/>
  <c r="M96" i="2"/>
  <c r="AZ44" i="2"/>
  <c r="CA459" i="5"/>
  <c r="BZ465" i="5"/>
  <c r="BZ464" i="5"/>
  <c r="BZ455" i="5"/>
  <c r="CA446" i="5" s="1"/>
  <c r="CA462" i="5"/>
  <c r="BZ472" i="5"/>
  <c r="BZ475" i="5" s="1"/>
  <c r="CB257" i="5"/>
  <c r="BU263" i="5"/>
  <c r="BX409" i="5"/>
  <c r="BX263" i="5" s="1"/>
  <c r="AX443" i="5"/>
  <c r="AY837" i="5"/>
  <c r="AT885" i="5"/>
  <c r="AV885" i="5"/>
  <c r="AU885" i="5"/>
  <c r="AU884" i="5" s="1"/>
  <c r="AW885" i="5"/>
  <c r="AS885" i="5"/>
  <c r="AS884" i="5" s="1"/>
  <c r="BD5" i="5"/>
  <c r="AZ5" i="5"/>
  <c r="CC761" i="5"/>
  <c r="CB658" i="5"/>
  <c r="CE802" i="5"/>
  <c r="CF507" i="5"/>
  <c r="CF802" i="5" s="1"/>
  <c r="AP879" i="5"/>
  <c r="AR5" i="5"/>
  <c r="CC787" i="5"/>
  <c r="CC724" i="5" s="1"/>
  <c r="CB660" i="5"/>
  <c r="AL879" i="5"/>
  <c r="AN5" i="5"/>
  <c r="AM879" i="5" s="1"/>
  <c r="BX262" i="5"/>
  <c r="BZ437" i="5"/>
  <c r="J473" i="5"/>
  <c r="K472" i="5"/>
  <c r="J475" i="5"/>
  <c r="AP884" i="5"/>
  <c r="F831" i="5"/>
  <c r="F719" i="5"/>
  <c r="K713" i="5"/>
  <c r="K714" i="5" s="1"/>
  <c r="G713" i="5"/>
  <c r="G714" i="5" s="1"/>
  <c r="BU416" i="5"/>
  <c r="BU269" i="5"/>
  <c r="AS879" i="5"/>
  <c r="AT879" i="5"/>
  <c r="AV5" i="5"/>
  <c r="CC257" i="5"/>
  <c r="CC258" i="5" s="1"/>
  <c r="AR884" i="5"/>
  <c r="AO472" i="5"/>
  <c r="AN473" i="5"/>
  <c r="AN475" i="5"/>
  <c r="P472" i="5"/>
  <c r="O473" i="5"/>
  <c r="O475" i="5"/>
  <c r="CC783" i="5"/>
  <c r="CB509" i="5"/>
  <c r="AM884" i="5"/>
  <c r="AR2" i="3"/>
  <c r="CA437" i="5"/>
  <c r="CB458" i="5"/>
  <c r="BN473" i="5"/>
  <c r="BN475" i="5"/>
  <c r="AV2" i="2"/>
  <c r="K837" i="5"/>
  <c r="F51" i="2"/>
  <c r="BE2" i="3"/>
  <c r="AZ69" i="2"/>
  <c r="BA66" i="2"/>
  <c r="AE473" i="5"/>
  <c r="AE475" i="5"/>
  <c r="AF472" i="5"/>
  <c r="CC405" i="5"/>
  <c r="CC408" i="5" s="1"/>
  <c r="AX473" i="5"/>
  <c r="AY472" i="5"/>
  <c r="AX475" i="5"/>
  <c r="CF59" i="5"/>
  <c r="CF55" i="5" s="1"/>
  <c r="CF25" i="5"/>
  <c r="CF9" i="5"/>
  <c r="O1" i="3"/>
  <c r="N5" i="3"/>
  <c r="AT473" i="5"/>
  <c r="AT475" i="5"/>
  <c r="AQ2" i="2"/>
  <c r="BT441" i="5"/>
  <c r="CE826" i="5"/>
  <c r="CE401" i="5"/>
  <c r="CE32" i="5"/>
  <c r="CE30" i="5"/>
  <c r="CE34" i="5"/>
  <c r="CE33" i="5"/>
  <c r="CE29" i="5"/>
  <c r="CE31" i="5" s="1"/>
  <c r="CE35" i="5" s="1"/>
  <c r="BU741" i="5"/>
  <c r="BT797" i="5"/>
  <c r="N627" i="5"/>
  <c r="M628" i="5"/>
  <c r="BT431" i="5"/>
  <c r="BX431" i="5" s="1"/>
  <c r="BX429" i="5"/>
  <c r="U473" i="5"/>
  <c r="U475" i="5"/>
  <c r="V472" i="5"/>
  <c r="CC658" i="5"/>
  <c r="BT822" i="5"/>
  <c r="BT657" i="5"/>
  <c r="BT292" i="5"/>
  <c r="BU734" i="5"/>
  <c r="BV731" i="5"/>
  <c r="BS473" i="5"/>
  <c r="BS475" i="5"/>
  <c r="CC660" i="5"/>
  <c r="BU778" i="5"/>
  <c r="Y473" i="5"/>
  <c r="Z472" i="5"/>
  <c r="Y475" i="5"/>
  <c r="BX825" i="5"/>
  <c r="BY508" i="5"/>
  <c r="BY512" i="5" s="1"/>
  <c r="BU637" i="5"/>
  <c r="BU267" i="5"/>
  <c r="BU254" i="5"/>
  <c r="BU255" i="5" s="1"/>
  <c r="BU748" i="5"/>
  <c r="BE2" i="2"/>
  <c r="BD473" i="5"/>
  <c r="BD475" i="5"/>
  <c r="BH473" i="5"/>
  <c r="BI472" i="5"/>
  <c r="BH475" i="5"/>
  <c r="AI473" i="5"/>
  <c r="AJ472" i="5"/>
  <c r="AI475" i="5"/>
  <c r="CC816" i="5"/>
  <c r="CB543" i="5"/>
  <c r="BY262" i="5"/>
  <c r="BY409" i="5"/>
  <c r="CD407" i="5"/>
  <c r="CD13" i="5"/>
  <c r="CD405" i="5"/>
  <c r="CD408" i="5" s="1"/>
  <c r="CD268" i="5"/>
  <c r="CA810" i="5"/>
  <c r="BZ815" i="5"/>
  <c r="CD826" i="5"/>
  <c r="CC762" i="5"/>
  <c r="CB659" i="5"/>
  <c r="CC659" i="5" s="1"/>
  <c r="O1" i="2"/>
  <c r="N5" i="2"/>
  <c r="N5" i="7" s="1"/>
  <c r="AP2" i="2"/>
  <c r="CB408" i="5"/>
  <c r="AO837" i="5"/>
  <c r="AT2" i="3"/>
  <c r="CE808" i="5"/>
  <c r="BA55" i="2"/>
  <c r="BB22" i="2" s="1"/>
  <c r="AQ2" i="3"/>
  <c r="O87" i="2"/>
  <c r="N45" i="7"/>
  <c r="N46" i="7" s="1"/>
  <c r="N55" i="7" s="1"/>
  <c r="N19" i="7" l="1"/>
  <c r="O4" i="7"/>
  <c r="O14" i="7" s="1"/>
  <c r="O88" i="2"/>
  <c r="O85" i="2"/>
  <c r="O86" i="2" s="1"/>
  <c r="O91" i="2"/>
  <c r="O94" i="2"/>
  <c r="P4" i="2"/>
  <c r="N96" i="2"/>
  <c r="BA44" i="2"/>
  <c r="K831" i="5"/>
  <c r="K719" i="5"/>
  <c r="P713" i="5"/>
  <c r="P714" i="5" s="1"/>
  <c r="L713" i="5"/>
  <c r="L714" i="5" s="1"/>
  <c r="AT2" i="2"/>
  <c r="Z473" i="5"/>
  <c r="Z475" i="5"/>
  <c r="AA472" i="5"/>
  <c r="CD783" i="5"/>
  <c r="CC509" i="5"/>
  <c r="BY263" i="5"/>
  <c r="BI2" i="3"/>
  <c r="V473" i="5"/>
  <c r="V475" i="5"/>
  <c r="CE407" i="5"/>
  <c r="CE405" i="5"/>
  <c r="CE408" i="5" s="1"/>
  <c r="CE268" i="5"/>
  <c r="CE13" i="5"/>
  <c r="P473" i="5"/>
  <c r="P475" i="5"/>
  <c r="AU2" i="3"/>
  <c r="CC262" i="5"/>
  <c r="CC728" i="5"/>
  <c r="CD724" i="5"/>
  <c r="BI2" i="2"/>
  <c r="BT432" i="5"/>
  <c r="AO473" i="5"/>
  <c r="AO475" i="5"/>
  <c r="AQ879" i="5"/>
  <c r="AS5" i="5"/>
  <c r="AR879" i="5" s="1"/>
  <c r="BB55" i="2"/>
  <c r="BC22" i="2" s="1"/>
  <c r="AZ2" i="2"/>
  <c r="CF808" i="5"/>
  <c r="P1" i="2"/>
  <c r="O5" i="2"/>
  <c r="O5" i="7" s="1"/>
  <c r="P1" i="3"/>
  <c r="O5" i="3"/>
  <c r="K473" i="5"/>
  <c r="K475" i="5"/>
  <c r="O627" i="5"/>
  <c r="N628" i="5"/>
  <c r="AU2" i="2"/>
  <c r="CC723" i="5"/>
  <c r="CF826" i="5"/>
  <c r="CF401" i="5"/>
  <c r="CF30" i="5"/>
  <c r="CF32" i="5"/>
  <c r="CF33" i="5"/>
  <c r="CF34" i="5"/>
  <c r="CF29" i="5"/>
  <c r="CF31" i="5" s="1"/>
  <c r="CF35" i="5" s="1"/>
  <c r="BT803" i="5"/>
  <c r="BT804" i="5" s="1"/>
  <c r="BT817" i="5" s="1"/>
  <c r="CC458" i="5"/>
  <c r="CD458" i="5" s="1"/>
  <c r="CC722" i="5"/>
  <c r="AY879" i="5"/>
  <c r="AX879" i="5"/>
  <c r="BA5" i="5"/>
  <c r="AY473" i="5"/>
  <c r="AY475" i="5"/>
  <c r="AU879" i="5"/>
  <c r="AW5" i="5"/>
  <c r="BA885" i="5"/>
  <c r="BA884" i="5" s="1"/>
  <c r="AY885" i="5"/>
  <c r="AY884" i="5" s="1"/>
  <c r="BB885" i="5"/>
  <c r="AZ885" i="5"/>
  <c r="AX885" i="5"/>
  <c r="BE5" i="5"/>
  <c r="BI5" i="5"/>
  <c r="CB810" i="5"/>
  <c r="CA815" i="5"/>
  <c r="CB262" i="5"/>
  <c r="CB409" i="5"/>
  <c r="CB263" i="5" s="1"/>
  <c r="CA475" i="5"/>
  <c r="CB459" i="5"/>
  <c r="CB437" i="5" s="1"/>
  <c r="CA472" i="5"/>
  <c r="CA465" i="5"/>
  <c r="CA455" i="5"/>
  <c r="CB446" i="5" s="1"/>
  <c r="CC446" i="5" s="1"/>
  <c r="CA464" i="5"/>
  <c r="CB462" i="5"/>
  <c r="CD404" i="5"/>
  <c r="AJ473" i="5"/>
  <c r="AJ475" i="5"/>
  <c r="AK472" i="5"/>
  <c r="BV732" i="5"/>
  <c r="AF473" i="5"/>
  <c r="AF475" i="5"/>
  <c r="AG472" i="5"/>
  <c r="AV2" i="3"/>
  <c r="AV884" i="5"/>
  <c r="CD816" i="5"/>
  <c r="CC543" i="5"/>
  <c r="CD262" i="5"/>
  <c r="CD409" i="5"/>
  <c r="CD263" i="5" s="1"/>
  <c r="BY825" i="5"/>
  <c r="BZ508" i="5"/>
  <c r="BY506" i="5"/>
  <c r="BY784" i="5" s="1"/>
  <c r="BY794" i="5" s="1"/>
  <c r="BZ512" i="5"/>
  <c r="BU270" i="5"/>
  <c r="AT884" i="5"/>
  <c r="BB66" i="2"/>
  <c r="BA69" i="2"/>
  <c r="AX2" i="3"/>
  <c r="BI473" i="5"/>
  <c r="BI475" i="5"/>
  <c r="BT664" i="5"/>
  <c r="BT478" i="5"/>
  <c r="BV737" i="5"/>
  <c r="BU740" i="5"/>
  <c r="G831" i="5"/>
  <c r="G719" i="5"/>
  <c r="H713" i="5"/>
  <c r="H714" i="5" s="1"/>
  <c r="O45" i="7"/>
  <c r="O46" i="7" s="1"/>
  <c r="O55" i="7" s="1"/>
  <c r="P87" i="2"/>
  <c r="O19" i="7" l="1"/>
  <c r="P4" i="7"/>
  <c r="P14" i="7" s="1"/>
  <c r="N9" i="7"/>
  <c r="N10" i="7" s="1"/>
  <c r="N11" i="7" s="1"/>
  <c r="N12" i="7" s="1"/>
  <c r="N56" i="7"/>
  <c r="P88" i="2"/>
  <c r="P85" i="2"/>
  <c r="P86" i="2" s="1"/>
  <c r="P91" i="2"/>
  <c r="P94" i="2"/>
  <c r="Q4" i="2"/>
  <c r="O96" i="2"/>
  <c r="BB44" i="2"/>
  <c r="BG885" i="5"/>
  <c r="BC885" i="5"/>
  <c r="BF885" i="5"/>
  <c r="BF884" i="5" s="1"/>
  <c r="BD885" i="5"/>
  <c r="BE885" i="5"/>
  <c r="BE884" i="5" s="1"/>
  <c r="BJ5" i="5"/>
  <c r="BN5" i="5"/>
  <c r="BD879" i="5"/>
  <c r="BC879" i="5"/>
  <c r="BF5" i="5"/>
  <c r="CD722" i="5"/>
  <c r="CC726" i="5"/>
  <c r="CE458" i="5"/>
  <c r="CE724" i="5"/>
  <c r="CD787" i="5"/>
  <c r="CD660" i="5" s="1"/>
  <c r="CC409" i="5"/>
  <c r="CC263" i="5" s="1"/>
  <c r="BV412" i="5"/>
  <c r="BV768" i="5"/>
  <c r="AX884" i="5"/>
  <c r="H831" i="5"/>
  <c r="H719" i="5"/>
  <c r="I713" i="5"/>
  <c r="I714" i="5" s="1"/>
  <c r="BZ825" i="5"/>
  <c r="CA508" i="5"/>
  <c r="BZ506" i="5"/>
  <c r="BZ784" i="5" s="1"/>
  <c r="BZ794" i="5" s="1"/>
  <c r="CA512" i="5"/>
  <c r="BV745" i="5"/>
  <c r="AZ884" i="5"/>
  <c r="Q1" i="2"/>
  <c r="P5" i="2"/>
  <c r="P5" i="7" s="1"/>
  <c r="AK473" i="5"/>
  <c r="AK475" i="5"/>
  <c r="BB884" i="5"/>
  <c r="BV738" i="5"/>
  <c r="CD257" i="5"/>
  <c r="AV879" i="5"/>
  <c r="AX5" i="5"/>
  <c r="AW879" i="5" s="1"/>
  <c r="AY2" i="3"/>
  <c r="CE783" i="5"/>
  <c r="CD509" i="5"/>
  <c r="Q1" i="3"/>
  <c r="P5" i="3"/>
  <c r="BT495" i="5"/>
  <c r="BT496" i="5" s="1"/>
  <c r="BT497" i="5" s="1"/>
  <c r="BT498" i="5" s="1"/>
  <c r="AA473" i="5"/>
  <c r="AA475" i="5"/>
  <c r="BT480" i="5"/>
  <c r="CE816" i="5"/>
  <c r="CD543" i="5"/>
  <c r="BD2" i="2"/>
  <c r="CB465" i="5"/>
  <c r="CB472" i="5"/>
  <c r="CC472" i="5" s="1"/>
  <c r="CB455" i="5"/>
  <c r="CC459" i="5"/>
  <c r="CB464" i="5"/>
  <c r="CF407" i="5"/>
  <c r="CF405" i="5"/>
  <c r="CF404" i="5"/>
  <c r="CF268" i="5"/>
  <c r="CF13" i="5"/>
  <c r="CE262" i="5"/>
  <c r="CE409" i="5"/>
  <c r="CE263" i="5" s="1"/>
  <c r="CE404" i="5"/>
  <c r="AX2" i="2"/>
  <c r="L831" i="5"/>
  <c r="L719" i="5"/>
  <c r="M713" i="5"/>
  <c r="M714" i="5" s="1"/>
  <c r="AW884" i="5"/>
  <c r="CC727" i="5"/>
  <c r="CD723" i="5"/>
  <c r="Q713" i="5"/>
  <c r="Q714" i="5" s="1"/>
  <c r="P831" i="5"/>
  <c r="U713" i="5"/>
  <c r="U714" i="5" s="1"/>
  <c r="P719" i="5"/>
  <c r="BB2" i="3"/>
  <c r="BC66" i="2"/>
  <c r="BB69" i="2"/>
  <c r="AZ2" i="3"/>
  <c r="AZ879" i="5"/>
  <c r="BB5" i="5"/>
  <c r="AY2" i="2"/>
  <c r="BC55" i="2"/>
  <c r="BD22" i="2" s="1"/>
  <c r="AG473" i="5"/>
  <c r="AG475" i="5"/>
  <c r="P627" i="5"/>
  <c r="P628" i="5" s="1"/>
  <c r="Q627" i="5" s="1"/>
  <c r="O628" i="5"/>
  <c r="CC810" i="5"/>
  <c r="CB815" i="5"/>
  <c r="BT447" i="5"/>
  <c r="BT488" i="5" s="1"/>
  <c r="BT435" i="5"/>
  <c r="Q87" i="2"/>
  <c r="P45" i="7"/>
  <c r="P46" i="7" s="1"/>
  <c r="P55" i="7" s="1"/>
  <c r="P19" i="7" l="1"/>
  <c r="O9" i="7"/>
  <c r="O10" i="7" s="1"/>
  <c r="O11" i="7" s="1"/>
  <c r="O12" i="7" s="1"/>
  <c r="O56" i="7"/>
  <c r="Q4" i="7"/>
  <c r="Q14" i="7" s="1"/>
  <c r="Q88" i="2"/>
  <c r="Q85" i="2"/>
  <c r="Q86" i="2" s="1"/>
  <c r="Q91" i="2"/>
  <c r="Q94" i="2"/>
  <c r="R4" i="2"/>
  <c r="P96" i="2"/>
  <c r="BC44" i="2"/>
  <c r="CF816" i="5"/>
  <c r="CF543" i="5" s="1"/>
  <c r="CE543" i="5"/>
  <c r="CF724" i="5"/>
  <c r="CF787" i="5" s="1"/>
  <c r="CE787" i="5"/>
  <c r="CE660" i="5" s="1"/>
  <c r="BA879" i="5"/>
  <c r="BC5" i="5"/>
  <c r="BB879" i="5" s="1"/>
  <c r="BT479" i="5"/>
  <c r="BT482" i="5"/>
  <c r="BT499" i="5"/>
  <c r="BT500" i="5" s="1"/>
  <c r="BT501" i="5" s="1"/>
  <c r="BT502" i="5" s="1"/>
  <c r="BC2" i="2"/>
  <c r="BX837" i="5"/>
  <c r="BT448" i="5"/>
  <c r="BT443" i="5" s="1"/>
  <c r="BT442" i="5"/>
  <c r="CF458" i="5"/>
  <c r="CF783" i="5"/>
  <c r="CE509" i="5"/>
  <c r="CE722" i="5"/>
  <c r="CD761" i="5"/>
  <c r="Q5" i="3"/>
  <c r="R1" i="3"/>
  <c r="BD66" i="2"/>
  <c r="BC69" i="2"/>
  <c r="BE879" i="5"/>
  <c r="BG5" i="5"/>
  <c r="Q5" i="2"/>
  <c r="Q5" i="7" s="1"/>
  <c r="R1" i="2"/>
  <c r="CF408" i="5"/>
  <c r="BC2" i="3"/>
  <c r="BX842" i="5"/>
  <c r="BT699" i="5"/>
  <c r="BT481" i="5"/>
  <c r="CA825" i="5"/>
  <c r="CB508" i="5"/>
  <c r="CA506" i="5"/>
  <c r="CA784" i="5" s="1"/>
  <c r="CA794" i="5" s="1"/>
  <c r="CB512" i="5"/>
  <c r="BD2" i="3"/>
  <c r="BF2" i="3"/>
  <c r="CF257" i="5"/>
  <c r="CE723" i="5"/>
  <c r="CD762" i="5"/>
  <c r="I831" i="5"/>
  <c r="I719" i="5"/>
  <c r="J713" i="5"/>
  <c r="J714" i="5" s="1"/>
  <c r="BJ885" i="5"/>
  <c r="BL885" i="5"/>
  <c r="BK885" i="5"/>
  <c r="BK884" i="5" s="1"/>
  <c r="BI885" i="5"/>
  <c r="BI884" i="5" s="1"/>
  <c r="BH885" i="5"/>
  <c r="BH884" i="5" s="1"/>
  <c r="BS5" i="5"/>
  <c r="BO5" i="5"/>
  <c r="CC473" i="5"/>
  <c r="BH879" i="5"/>
  <c r="BI879" i="5"/>
  <c r="BK5" i="5"/>
  <c r="CC455" i="5"/>
  <c r="CD446" i="5" s="1"/>
  <c r="CC465" i="5"/>
  <c r="CD463" i="5"/>
  <c r="CC475" i="5"/>
  <c r="CD459" i="5"/>
  <c r="M831" i="5"/>
  <c r="M719" i="5"/>
  <c r="N713" i="5"/>
  <c r="N714" i="5" s="1"/>
  <c r="CB475" i="5"/>
  <c r="BD884" i="5"/>
  <c r="CD810" i="5"/>
  <c r="CC815" i="5"/>
  <c r="R627" i="5"/>
  <c r="Q628" i="5"/>
  <c r="BB2" i="2"/>
  <c r="BV413" i="5"/>
  <c r="BV777" i="5"/>
  <c r="BV778" i="5"/>
  <c r="BV735" i="5"/>
  <c r="BV746" i="5"/>
  <c r="BC884" i="5"/>
  <c r="Z713" i="5"/>
  <c r="Z714" i="5" s="1"/>
  <c r="V713" i="5"/>
  <c r="V714" i="5" s="1"/>
  <c r="U719" i="5"/>
  <c r="Q831" i="5"/>
  <c r="Q719" i="5"/>
  <c r="R713" i="5"/>
  <c r="R714" i="5" s="1"/>
  <c r="BD55" i="2"/>
  <c r="BE22" i="2" s="1"/>
  <c r="CE257" i="5"/>
  <c r="BH2" i="2"/>
  <c r="BV748" i="5"/>
  <c r="BV636" i="5"/>
  <c r="BV266" i="5"/>
  <c r="BV415" i="5"/>
  <c r="BV254" i="5"/>
  <c r="BV255" i="5" s="1"/>
  <c r="BG884" i="5"/>
  <c r="Q45" i="7"/>
  <c r="Q46" i="7" s="1"/>
  <c r="Q55" i="7" s="1"/>
  <c r="R87" i="2"/>
  <c r="Q19" i="7" l="1"/>
  <c r="R4" i="7"/>
  <c r="R14" i="7" s="1"/>
  <c r="R16" i="7" s="1"/>
  <c r="R17" i="7" s="1"/>
  <c r="R41" i="7" s="1"/>
  <c r="P9" i="7"/>
  <c r="P10" i="7" s="1"/>
  <c r="P11" i="7" s="1"/>
  <c r="P12" i="7" s="1"/>
  <c r="P56" i="7"/>
  <c r="R88" i="2"/>
  <c r="R91" i="2"/>
  <c r="R85" i="2"/>
  <c r="R86" i="2" s="1"/>
  <c r="R94" i="2"/>
  <c r="S4" i="2"/>
  <c r="Q96" i="2"/>
  <c r="BD44" i="2"/>
  <c r="J719" i="5"/>
  <c r="J831" i="5"/>
  <c r="N831" i="5"/>
  <c r="N719" i="5"/>
  <c r="O713" i="5"/>
  <c r="O714" i="5" s="1"/>
  <c r="CF509" i="5"/>
  <c r="V831" i="5"/>
  <c r="W713" i="5"/>
  <c r="W714" i="5" s="1"/>
  <c r="V719" i="5"/>
  <c r="CD659" i="5"/>
  <c r="CF723" i="5"/>
  <c r="CF762" i="5" s="1"/>
  <c r="CE762" i="5"/>
  <c r="CF659" i="5" s="1"/>
  <c r="BG2" i="3"/>
  <c r="CE459" i="5"/>
  <c r="CD465" i="5"/>
  <c r="CD455" i="5"/>
  <c r="CE446" i="5" s="1"/>
  <c r="CE463" i="5"/>
  <c r="CD472" i="5"/>
  <c r="CD475" i="5" s="1"/>
  <c r="CD437" i="5"/>
  <c r="CF409" i="5"/>
  <c r="CF263" i="5" s="1"/>
  <c r="CF262" i="5"/>
  <c r="A409" i="5"/>
  <c r="BV416" i="5"/>
  <c r="BV269" i="5"/>
  <c r="BV734" i="5"/>
  <c r="BW731" i="5"/>
  <c r="BG2" i="2"/>
  <c r="BH2" i="3"/>
  <c r="S1" i="2"/>
  <c r="R5" i="2"/>
  <c r="R5" i="7" s="1"/>
  <c r="BV741" i="5"/>
  <c r="BV637" i="5"/>
  <c r="BV267" i="5"/>
  <c r="BF879" i="5"/>
  <c r="BH5" i="5"/>
  <c r="BG879" i="5" s="1"/>
  <c r="CF660" i="5"/>
  <c r="BJ879" i="5"/>
  <c r="BL5" i="5"/>
  <c r="BF2" i="2"/>
  <c r="BO885" i="5"/>
  <c r="BM885" i="5"/>
  <c r="BQ885" i="5"/>
  <c r="BP885" i="5"/>
  <c r="BN885" i="5"/>
  <c r="BN884" i="5" s="1"/>
  <c r="BX5" i="5"/>
  <c r="BT5" i="5"/>
  <c r="CB825" i="5"/>
  <c r="CB506" i="5"/>
  <c r="CB784" i="5" s="1"/>
  <c r="BE66" i="2"/>
  <c r="BD69" i="2"/>
  <c r="AA713" i="5"/>
  <c r="AA714" i="5" s="1"/>
  <c r="Z719" i="5"/>
  <c r="AE713" i="5"/>
  <c r="AE714" i="5" s="1"/>
  <c r="S1" i="3"/>
  <c r="R5" i="3"/>
  <c r="S627" i="5"/>
  <c r="R628" i="5"/>
  <c r="R831" i="5" s="1"/>
  <c r="BE55" i="2"/>
  <c r="BF22" i="2" s="1"/>
  <c r="CD658" i="5"/>
  <c r="BN879" i="5"/>
  <c r="BM879" i="5"/>
  <c r="BP5" i="5"/>
  <c r="R719" i="5"/>
  <c r="S713" i="5"/>
  <c r="S714" i="5" s="1"/>
  <c r="CE810" i="5"/>
  <c r="CD815" i="5"/>
  <c r="CF722" i="5"/>
  <c r="CF761" i="5" s="1"/>
  <c r="CE761" i="5"/>
  <c r="CF658" i="5" s="1"/>
  <c r="CC512" i="5"/>
  <c r="CC513" i="5" s="1"/>
  <c r="BJ884" i="5"/>
  <c r="BX699" i="5"/>
  <c r="BT708" i="5"/>
  <c r="BT811" i="5"/>
  <c r="S87" i="2"/>
  <c r="R45" i="7"/>
  <c r="R46" i="7" s="1"/>
  <c r="R55" i="7" s="1"/>
  <c r="R15" i="7"/>
  <c r="R19" i="7" l="1"/>
  <c r="R20" i="7"/>
  <c r="S4" i="7"/>
  <c r="S14" i="7" s="1"/>
  <c r="Q9" i="7"/>
  <c r="Q10" i="7" s="1"/>
  <c r="Q11" i="7" s="1"/>
  <c r="Q12" i="7" s="1"/>
  <c r="Q56" i="7"/>
  <c r="S88" i="2"/>
  <c r="S91" i="2"/>
  <c r="S85" i="2"/>
  <c r="S86" i="2" s="1"/>
  <c r="S94" i="2"/>
  <c r="T4" i="2"/>
  <c r="R96" i="2"/>
  <c r="BE44" i="2"/>
  <c r="CE472" i="5"/>
  <c r="CF459" i="5"/>
  <c r="CE465" i="5"/>
  <c r="CE475" i="5"/>
  <c r="CF463" i="5"/>
  <c r="CE455" i="5"/>
  <c r="CF446" i="5" s="1"/>
  <c r="CE437" i="5"/>
  <c r="BP884" i="5"/>
  <c r="BX888" i="5"/>
  <c r="BS885" i="5"/>
  <c r="BS884" i="5" s="1"/>
  <c r="BR885" i="5"/>
  <c r="BX483" i="5"/>
  <c r="BX410" i="5"/>
  <c r="BX259" i="5"/>
  <c r="CC5" i="5"/>
  <c r="BX444" i="5"/>
  <c r="BY5" i="5"/>
  <c r="BX402" i="5"/>
  <c r="BX485" i="5"/>
  <c r="BK879" i="5"/>
  <c r="BM5" i="5"/>
  <c r="BL879" i="5" s="1"/>
  <c r="T627" i="5"/>
  <c r="S628" i="5"/>
  <c r="BW732" i="5"/>
  <c r="BW745" i="5"/>
  <c r="CE659" i="5"/>
  <c r="BM884" i="5"/>
  <c r="BO884" i="5"/>
  <c r="CF810" i="5"/>
  <c r="CF815" i="5" s="1"/>
  <c r="CE815" i="5"/>
  <c r="S831" i="5"/>
  <c r="T713" i="5"/>
  <c r="T714" i="5" s="1"/>
  <c r="S719" i="5"/>
  <c r="BV270" i="5"/>
  <c r="X713" i="5"/>
  <c r="X714" i="5" s="1"/>
  <c r="W719" i="5"/>
  <c r="T1" i="3"/>
  <c r="S5" i="3"/>
  <c r="O831" i="5"/>
  <c r="O719" i="5"/>
  <c r="T1" i="2"/>
  <c r="S5" i="2"/>
  <c r="S5" i="7" s="1"/>
  <c r="BL884" i="5"/>
  <c r="CE658" i="5"/>
  <c r="BF66" i="2"/>
  <c r="BE69" i="2"/>
  <c r="BX841" i="5"/>
  <c r="BT711" i="5"/>
  <c r="BT754" i="5" s="1"/>
  <c r="CC784" i="5"/>
  <c r="CB794" i="5"/>
  <c r="BX488" i="5"/>
  <c r="BX708" i="5"/>
  <c r="BO879" i="5"/>
  <c r="BQ5" i="5"/>
  <c r="AB713" i="5"/>
  <c r="AB714" i="5" s="1"/>
  <c r="AA719" i="5"/>
  <c r="AA831" i="5"/>
  <c r="BQ884" i="5"/>
  <c r="AJ713" i="5"/>
  <c r="AJ714" i="5" s="1"/>
  <c r="AF713" i="5"/>
  <c r="AF714" i="5" s="1"/>
  <c r="AE719" i="5"/>
  <c r="BF55" i="2"/>
  <c r="BG22" i="2" s="1"/>
  <c r="BS879" i="5"/>
  <c r="BR879" i="5"/>
  <c r="BT888" i="5"/>
  <c r="BT483" i="5"/>
  <c r="BT444" i="5"/>
  <c r="BT259" i="5"/>
  <c r="BT410" i="5"/>
  <c r="BT402" i="5"/>
  <c r="BU5" i="5"/>
  <c r="BT485" i="5"/>
  <c r="BV740" i="5"/>
  <c r="BW737" i="5"/>
  <c r="T87" i="2"/>
  <c r="S45" i="7"/>
  <c r="S46" i="7" s="1"/>
  <c r="S55" i="7" s="1"/>
  <c r="S15" i="7"/>
  <c r="S16" i="7" l="1"/>
  <c r="S17" i="7" s="1"/>
  <c r="S41" i="7" s="1"/>
  <c r="S19" i="7"/>
  <c r="S20" i="7"/>
  <c r="T4" i="7"/>
  <c r="T14" i="7" s="1"/>
  <c r="R42" i="7"/>
  <c r="R8" i="7" s="1"/>
  <c r="R21" i="7"/>
  <c r="R9" i="7"/>
  <c r="R56" i="7"/>
  <c r="T88" i="2"/>
  <c r="T91" i="2"/>
  <c r="T85" i="2"/>
  <c r="T86" i="2" s="1"/>
  <c r="T94" i="2"/>
  <c r="U4" i="2"/>
  <c r="S96" i="2"/>
  <c r="BF44" i="2"/>
  <c r="AO713" i="5"/>
  <c r="AO714" i="5" s="1"/>
  <c r="AJ719" i="5"/>
  <c r="AK713" i="5"/>
  <c r="AK714" i="5" s="1"/>
  <c r="T719" i="5"/>
  <c r="BY888" i="5"/>
  <c r="BY483" i="5"/>
  <c r="BY485" i="5"/>
  <c r="BY410" i="5"/>
  <c r="BY259" i="5"/>
  <c r="BZ5" i="5"/>
  <c r="BY402" i="5"/>
  <c r="BY444" i="5"/>
  <c r="CC888" i="5"/>
  <c r="CC483" i="5"/>
  <c r="CC485" i="5"/>
  <c r="CC410" i="5"/>
  <c r="CC444" i="5"/>
  <c r="CD5" i="5"/>
  <c r="CC259" i="5"/>
  <c r="CC402" i="5"/>
  <c r="AB719" i="5"/>
  <c r="AC713" i="5"/>
  <c r="AC714" i="5" s="1"/>
  <c r="BX264" i="5"/>
  <c r="U1" i="3"/>
  <c r="T5" i="3"/>
  <c r="BR884" i="5"/>
  <c r="BP879" i="5"/>
  <c r="BR5" i="5"/>
  <c r="BQ879" i="5" s="1"/>
  <c r="BW738" i="5"/>
  <c r="BU888" i="5"/>
  <c r="BU483" i="5"/>
  <c r="BU485" i="5"/>
  <c r="BU259" i="5"/>
  <c r="BU410" i="5"/>
  <c r="BU402" i="5"/>
  <c r="BV5" i="5"/>
  <c r="BU444" i="5"/>
  <c r="Y713" i="5"/>
  <c r="Y714" i="5" s="1"/>
  <c r="X719" i="5"/>
  <c r="U1" i="2"/>
  <c r="T5" i="2"/>
  <c r="T5" i="7" s="1"/>
  <c r="BT765" i="5"/>
  <c r="BT779" i="5" s="1"/>
  <c r="BT819" i="5" s="1"/>
  <c r="BT505" i="5"/>
  <c r="CF472" i="5"/>
  <c r="CF455" i="5"/>
  <c r="CF465" i="5"/>
  <c r="CF475" i="5"/>
  <c r="CF437" i="5"/>
  <c r="BT264" i="5"/>
  <c r="CC506" i="5"/>
  <c r="CC508" i="5"/>
  <c r="CC794" i="5"/>
  <c r="BG55" i="2"/>
  <c r="BH22" i="2" s="1"/>
  <c r="U627" i="5"/>
  <c r="U628" i="5" s="1"/>
  <c r="T628" i="5"/>
  <c r="T831" i="5" s="1"/>
  <c r="BG66" i="2"/>
  <c r="BF69" i="2"/>
  <c r="BW412" i="5"/>
  <c r="BX732" i="5"/>
  <c r="BW768" i="5"/>
  <c r="AG713" i="5"/>
  <c r="AG714" i="5" s="1"/>
  <c r="AF719" i="5"/>
  <c r="T15" i="7"/>
  <c r="T45" i="7"/>
  <c r="T46" i="7" s="1"/>
  <c r="T55" i="7" s="1"/>
  <c r="U87" i="2"/>
  <c r="T20" i="7" l="1"/>
  <c r="T19" i="7"/>
  <c r="T16" i="7"/>
  <c r="T17" i="7" s="1"/>
  <c r="T41" i="7" s="1"/>
  <c r="R10" i="7"/>
  <c r="R11" i="7" s="1"/>
  <c r="R12" i="7" s="1"/>
  <c r="U4" i="7"/>
  <c r="U14" i="7" s="1"/>
  <c r="S42" i="7"/>
  <c r="S8" i="7" s="1"/>
  <c r="S21" i="7"/>
  <c r="S9" i="7"/>
  <c r="S56" i="7"/>
  <c r="U88" i="2"/>
  <c r="U85" i="2"/>
  <c r="U86" i="2" s="1"/>
  <c r="U91" i="2"/>
  <c r="U94" i="2"/>
  <c r="V4" i="2"/>
  <c r="T96" i="2"/>
  <c r="BG44" i="2"/>
  <c r="BU264" i="5"/>
  <c r="CD888" i="5"/>
  <c r="CD410" i="5"/>
  <c r="CD483" i="5"/>
  <c r="CD444" i="5"/>
  <c r="CD259" i="5"/>
  <c r="CE5" i="5"/>
  <c r="CD402" i="5"/>
  <c r="CD485" i="5"/>
  <c r="BW735" i="5"/>
  <c r="BW734" i="5" s="1"/>
  <c r="BX768" i="5"/>
  <c r="BW778" i="5"/>
  <c r="CC264" i="5"/>
  <c r="BX743" i="5"/>
  <c r="BX745" i="5"/>
  <c r="BZ888" i="5"/>
  <c r="BZ483" i="5"/>
  <c r="BZ485" i="5"/>
  <c r="BZ259" i="5"/>
  <c r="BZ410" i="5"/>
  <c r="CA5" i="5"/>
  <c r="BZ402" i="5"/>
  <c r="BZ444" i="5"/>
  <c r="BW413" i="5"/>
  <c r="BX738" i="5"/>
  <c r="BW777" i="5"/>
  <c r="BW748" i="5"/>
  <c r="BW636" i="5"/>
  <c r="BX636" i="5" s="1"/>
  <c r="BW266" i="5"/>
  <c r="BW415" i="5"/>
  <c r="BW254" i="5"/>
  <c r="BW255" i="5" s="1"/>
  <c r="BX412" i="5"/>
  <c r="BY264" i="5"/>
  <c r="BT824" i="5"/>
  <c r="BU514" i="5"/>
  <c r="BT510" i="5"/>
  <c r="BT526" i="5" s="1"/>
  <c r="BH66" i="2"/>
  <c r="BG69" i="2"/>
  <c r="BV888" i="5"/>
  <c r="BV483" i="5"/>
  <c r="BV485" i="5"/>
  <c r="BV259" i="5"/>
  <c r="BV410" i="5"/>
  <c r="BW5" i="5"/>
  <c r="BV402" i="5"/>
  <c r="BV444" i="5"/>
  <c r="Y719" i="5"/>
  <c r="BW746" i="5"/>
  <c r="CC825" i="5"/>
  <c r="CD512" i="5"/>
  <c r="CD508" i="5"/>
  <c r="AK719" i="5"/>
  <c r="AL713" i="5"/>
  <c r="AL714" i="5" s="1"/>
  <c r="BH55" i="2"/>
  <c r="BI22" i="2" s="1"/>
  <c r="V1" i="2"/>
  <c r="U5" i="2"/>
  <c r="U5" i="7" s="1"/>
  <c r="V1" i="3"/>
  <c r="U5" i="3"/>
  <c r="AG719" i="5"/>
  <c r="AH713" i="5"/>
  <c r="AH714" i="5" s="1"/>
  <c r="V627" i="5"/>
  <c r="W627" i="5" s="1"/>
  <c r="U831" i="5"/>
  <c r="AD713" i="5"/>
  <c r="AD714" i="5" s="1"/>
  <c r="AC719" i="5"/>
  <c r="AO719" i="5"/>
  <c r="AT713" i="5"/>
  <c r="AT714" i="5" s="1"/>
  <c r="AP713" i="5"/>
  <c r="AP714" i="5" s="1"/>
  <c r="U45" i="7"/>
  <c r="U46" i="7" s="1"/>
  <c r="U55" i="7" s="1"/>
  <c r="U15" i="7"/>
  <c r="V87" i="2"/>
  <c r="U20" i="7" l="1"/>
  <c r="U16" i="7"/>
  <c r="U17" i="7" s="1"/>
  <c r="U41" i="7" s="1"/>
  <c r="U19" i="7"/>
  <c r="T9" i="7"/>
  <c r="T56" i="7"/>
  <c r="T42" i="7"/>
  <c r="T8" i="7" s="1"/>
  <c r="T21" i="7"/>
  <c r="V4" i="7"/>
  <c r="V14" i="7" s="1"/>
  <c r="S10" i="7"/>
  <c r="S11" i="7" s="1"/>
  <c r="S12" i="7" s="1"/>
  <c r="V88" i="2"/>
  <c r="V94" i="2"/>
  <c r="V85" i="2"/>
  <c r="V86" i="2" s="1"/>
  <c r="V91" i="2"/>
  <c r="W4" i="2"/>
  <c r="U96" i="2"/>
  <c r="BI44" i="2"/>
  <c r="BH44" i="2"/>
  <c r="CD825" i="5"/>
  <c r="CD506" i="5"/>
  <c r="CD784" i="5" s="1"/>
  <c r="CD794" i="5" s="1"/>
  <c r="CE508" i="5"/>
  <c r="BU516" i="5"/>
  <c r="BX778" i="5"/>
  <c r="BX735" i="5"/>
  <c r="AD719" i="5"/>
  <c r="CE888" i="5"/>
  <c r="CE483" i="5"/>
  <c r="CE485" i="5"/>
  <c r="CE410" i="5"/>
  <c r="CE259" i="5"/>
  <c r="CF5" i="5"/>
  <c r="CE402" i="5"/>
  <c r="CE444" i="5"/>
  <c r="X627" i="5"/>
  <c r="W628" i="5"/>
  <c r="W831" i="5" s="1"/>
  <c r="BX748" i="5"/>
  <c r="BX266" i="5"/>
  <c r="BX254" i="5"/>
  <c r="BX255" i="5" s="1"/>
  <c r="BX415" i="5"/>
  <c r="BX269" i="5" s="1"/>
  <c r="BW888" i="5"/>
  <c r="BW483" i="5"/>
  <c r="BW259" i="5"/>
  <c r="BW410" i="5"/>
  <c r="BW402" i="5"/>
  <c r="BW485" i="5"/>
  <c r="BW444" i="5"/>
  <c r="BW637" i="5"/>
  <c r="BX637" i="5" s="1"/>
  <c r="BW267" i="5"/>
  <c r="BX413" i="5"/>
  <c r="BX267" i="5" s="1"/>
  <c r="BV264" i="5"/>
  <c r="CD264" i="5"/>
  <c r="BX777" i="5"/>
  <c r="BW741" i="5"/>
  <c r="BW740" i="5" s="1"/>
  <c r="W1" i="2"/>
  <c r="V5" i="2"/>
  <c r="V5" i="7" s="1"/>
  <c r="CA888" i="5"/>
  <c r="CA483" i="5"/>
  <c r="CA410" i="5"/>
  <c r="CB5" i="5"/>
  <c r="CA259" i="5"/>
  <c r="CA444" i="5"/>
  <c r="CA402" i="5"/>
  <c r="CA485" i="5"/>
  <c r="BI66" i="2"/>
  <c r="BI69" i="2" s="1"/>
  <c r="BH69" i="2"/>
  <c r="W1" i="3"/>
  <c r="V5" i="3"/>
  <c r="AP719" i="5"/>
  <c r="AQ713" i="5"/>
  <c r="AQ714" i="5" s="1"/>
  <c r="AL719" i="5"/>
  <c r="AM713" i="5"/>
  <c r="AM714" i="5" s="1"/>
  <c r="BZ264" i="5"/>
  <c r="AH719" i="5"/>
  <c r="AI713" i="5"/>
  <c r="AI714" i="5" s="1"/>
  <c r="BW416" i="5"/>
  <c r="BW269" i="5"/>
  <c r="BX744" i="5"/>
  <c r="BX746" i="5"/>
  <c r="BI55" i="2"/>
  <c r="AY713" i="5"/>
  <c r="AY714" i="5" s="1"/>
  <c r="AT719" i="5"/>
  <c r="AU713" i="5"/>
  <c r="AU714" i="5" s="1"/>
  <c r="V15" i="7"/>
  <c r="V45" i="7"/>
  <c r="V46" i="7" s="1"/>
  <c r="V55" i="7" s="1"/>
  <c r="W87" i="2"/>
  <c r="V16" i="7" l="1"/>
  <c r="V17" i="7" s="1"/>
  <c r="V41" i="7" s="1"/>
  <c r="V19" i="7"/>
  <c r="V20" i="7"/>
  <c r="U42" i="7"/>
  <c r="U8" i="7" s="1"/>
  <c r="U21" i="7"/>
  <c r="T10" i="7"/>
  <c r="T11" i="7" s="1"/>
  <c r="T12" i="7" s="1"/>
  <c r="W4" i="7"/>
  <c r="W14" i="7" s="1"/>
  <c r="U9" i="7"/>
  <c r="U56" i="7"/>
  <c r="V96" i="2"/>
  <c r="W88" i="2"/>
  <c r="W85" i="2"/>
  <c r="W86" i="2" s="1"/>
  <c r="W91" i="2"/>
  <c r="W94" i="2"/>
  <c r="X4" i="2"/>
  <c r="CE264" i="5"/>
  <c r="BW264" i="5"/>
  <c r="X1" i="3"/>
  <c r="W5" i="3"/>
  <c r="X1" i="2"/>
  <c r="W5" i="2"/>
  <c r="W5" i="7" s="1"/>
  <c r="BX741" i="5"/>
  <c r="BX734" i="5"/>
  <c r="CC731" i="5"/>
  <c r="BY731" i="5"/>
  <c r="CB888" i="5"/>
  <c r="CB483" i="5"/>
  <c r="CB410" i="5"/>
  <c r="CB259" i="5"/>
  <c r="CB402" i="5"/>
  <c r="CB485" i="5"/>
  <c r="CB444" i="5"/>
  <c r="CA264" i="5"/>
  <c r="CE825" i="5"/>
  <c r="CE506" i="5"/>
  <c r="CE784" i="5" s="1"/>
  <c r="CE794" i="5" s="1"/>
  <c r="CF508" i="5"/>
  <c r="CF512" i="5" s="1"/>
  <c r="AQ719" i="5"/>
  <c r="AR713" i="5"/>
  <c r="AR714" i="5" s="1"/>
  <c r="BW270" i="5"/>
  <c r="BX416" i="5"/>
  <c r="CF888" i="5"/>
  <c r="CF410" i="5"/>
  <c r="CF483" i="5"/>
  <c r="CF485" i="5"/>
  <c r="CF259" i="5"/>
  <c r="CF402" i="5"/>
  <c r="CF444" i="5"/>
  <c r="AZ713" i="5"/>
  <c r="AZ714" i="5" s="1"/>
  <c r="AY719" i="5"/>
  <c r="BD713" i="5"/>
  <c r="BD714" i="5" s="1"/>
  <c r="Y627" i="5"/>
  <c r="X628" i="5"/>
  <c r="X831" i="5" s="1"/>
  <c r="AN713" i="5"/>
  <c r="AN714" i="5" s="1"/>
  <c r="AM719" i="5"/>
  <c r="AU719" i="5"/>
  <c r="AV713" i="5"/>
  <c r="AV714" i="5" s="1"/>
  <c r="AI719" i="5"/>
  <c r="BU517" i="5"/>
  <c r="BU419" i="5"/>
  <c r="BU519" i="5"/>
  <c r="CE512" i="5"/>
  <c r="X87" i="2"/>
  <c r="W45" i="7"/>
  <c r="W46" i="7" s="1"/>
  <c r="W55" i="7" s="1"/>
  <c r="W15" i="7"/>
  <c r="W16" i="7" l="1"/>
  <c r="W17" i="7" s="1"/>
  <c r="W41" i="7" s="1"/>
  <c r="W19" i="7"/>
  <c r="W20" i="7"/>
  <c r="X4" i="7"/>
  <c r="X14" i="7" s="1"/>
  <c r="U10" i="7"/>
  <c r="U11" i="7" s="1"/>
  <c r="U12" i="7" s="1"/>
  <c r="V42" i="7"/>
  <c r="V21" i="7"/>
  <c r="V56" i="7"/>
  <c r="V9" i="7"/>
  <c r="X88" i="2"/>
  <c r="X85" i="2"/>
  <c r="X86" i="2" s="1"/>
  <c r="X91" i="2"/>
  <c r="X94" i="2"/>
  <c r="Y4" i="2"/>
  <c r="W96" i="2"/>
  <c r="CB264" i="5"/>
  <c r="CF264" i="5"/>
  <c r="BX270" i="5"/>
  <c r="BY732" i="5"/>
  <c r="BY745" i="5"/>
  <c r="AN719" i="5"/>
  <c r="AR719" i="5"/>
  <c r="AS713" i="5"/>
  <c r="AS714" i="5" s="1"/>
  <c r="BX740" i="5"/>
  <c r="BY737" i="5"/>
  <c r="CC737" i="5"/>
  <c r="Y1" i="2"/>
  <c r="X5" i="2"/>
  <c r="X5" i="7" s="1"/>
  <c r="AW713" i="5"/>
  <c r="AW714" i="5" s="1"/>
  <c r="AV719" i="5"/>
  <c r="Y1" i="3"/>
  <c r="X5" i="3"/>
  <c r="BE713" i="5"/>
  <c r="BE714" i="5" s="1"/>
  <c r="BD719" i="5"/>
  <c r="BI713" i="5"/>
  <c r="BI714" i="5" s="1"/>
  <c r="BA713" i="5"/>
  <c r="BA714" i="5" s="1"/>
  <c r="AZ719" i="5"/>
  <c r="BU422" i="5"/>
  <c r="Z627" i="5"/>
  <c r="Z628" i="5" s="1"/>
  <c r="Y628" i="5"/>
  <c r="Y831" i="5" s="1"/>
  <c r="CF825" i="5"/>
  <c r="CF506" i="5"/>
  <c r="CF784" i="5" s="1"/>
  <c r="CF794" i="5" s="1"/>
  <c r="X45" i="7"/>
  <c r="X46" i="7" s="1"/>
  <c r="X55" i="7" s="1"/>
  <c r="X15" i="7"/>
  <c r="Y87" i="2"/>
  <c r="X16" i="7" l="1"/>
  <c r="X17" i="7" s="1"/>
  <c r="X41" i="7" s="1"/>
  <c r="X19" i="7"/>
  <c r="X20" i="7"/>
  <c r="W56" i="7"/>
  <c r="W9" i="7"/>
  <c r="V8" i="7"/>
  <c r="V10" i="7" s="1"/>
  <c r="V11" i="7" s="1"/>
  <c r="V12" i="7" s="1"/>
  <c r="V43" i="7"/>
  <c r="Y4" i="7"/>
  <c r="Y14" i="7" s="1"/>
  <c r="W42" i="7"/>
  <c r="W21" i="7"/>
  <c r="X96" i="2"/>
  <c r="Y88" i="2"/>
  <c r="Y85" i="2"/>
  <c r="Y86" i="2" s="1"/>
  <c r="Y91" i="2"/>
  <c r="Y94" i="2"/>
  <c r="Z4" i="2"/>
  <c r="AX713" i="5"/>
  <c r="AX714" i="5" s="1"/>
  <c r="AW719" i="5"/>
  <c r="BU424" i="5"/>
  <c r="BU425" i="5"/>
  <c r="BY738" i="5"/>
  <c r="BN713" i="5"/>
  <c r="BN714" i="5" s="1"/>
  <c r="BJ713" i="5"/>
  <c r="BJ714" i="5" s="1"/>
  <c r="BI719" i="5"/>
  <c r="BY412" i="5"/>
  <c r="BY768" i="5"/>
  <c r="Z1" i="2"/>
  <c r="Y5" i="2"/>
  <c r="Y5" i="7" s="1"/>
  <c r="AA627" i="5"/>
  <c r="AB627" i="5" s="1"/>
  <c r="Z831" i="5"/>
  <c r="BA719" i="5"/>
  <c r="BB713" i="5"/>
  <c r="BB714" i="5" s="1"/>
  <c r="AS719" i="5"/>
  <c r="BF713" i="5"/>
  <c r="BF714" i="5" s="1"/>
  <c r="BE719" i="5"/>
  <c r="Z1" i="3"/>
  <c r="Y5" i="3"/>
  <c r="Y15" i="7"/>
  <c r="Y45" i="7"/>
  <c r="Y46" i="7" s="1"/>
  <c r="Y55" i="7" s="1"/>
  <c r="Z87" i="2"/>
  <c r="Y20" i="7" l="1"/>
  <c r="Y19" i="7"/>
  <c r="Y16" i="7"/>
  <c r="Y17" i="7" s="1"/>
  <c r="Y41" i="7" s="1"/>
  <c r="W8" i="7"/>
  <c r="W10" i="7" s="1"/>
  <c r="W11" i="7" s="1"/>
  <c r="W12" i="7" s="1"/>
  <c r="W43" i="7"/>
  <c r="X42" i="7"/>
  <c r="X21" i="7"/>
  <c r="Z4" i="7"/>
  <c r="Z14" i="7" s="1"/>
  <c r="X56" i="7"/>
  <c r="X9" i="7"/>
  <c r="Z88" i="2"/>
  <c r="Z94" i="2"/>
  <c r="Z91" i="2"/>
  <c r="Z85" i="2"/>
  <c r="Z86" i="2" s="1"/>
  <c r="Y96" i="2"/>
  <c r="AA4" i="2"/>
  <c r="BY413" i="5"/>
  <c r="BY777" i="5"/>
  <c r="BY746" i="5"/>
  <c r="BN719" i="5"/>
  <c r="BS713" i="5"/>
  <c r="BS714" i="5" s="1"/>
  <c r="BO713" i="5"/>
  <c r="BO714" i="5" s="1"/>
  <c r="AA1" i="2"/>
  <c r="Z5" i="2"/>
  <c r="Z5" i="7" s="1"/>
  <c r="BB719" i="5"/>
  <c r="BC713" i="5"/>
  <c r="BC714" i="5" s="1"/>
  <c r="BY778" i="5"/>
  <c r="BY735" i="5"/>
  <c r="AC627" i="5"/>
  <c r="AB628" i="5"/>
  <c r="AB831" i="5" s="1"/>
  <c r="BU640" i="5"/>
  <c r="BU426" i="5"/>
  <c r="BF719" i="5"/>
  <c r="BG713" i="5"/>
  <c r="BG714" i="5" s="1"/>
  <c r="BY748" i="5"/>
  <c r="BY636" i="5"/>
  <c r="BY266" i="5"/>
  <c r="BY254" i="5"/>
  <c r="BY255" i="5" s="1"/>
  <c r="BY415" i="5"/>
  <c r="BK713" i="5"/>
  <c r="BK714" i="5" s="1"/>
  <c r="BJ719" i="5"/>
  <c r="AA1" i="3"/>
  <c r="Z5" i="3"/>
  <c r="AX719" i="5"/>
  <c r="Z45" i="7"/>
  <c r="Z46" i="7" s="1"/>
  <c r="Z55" i="7" s="1"/>
  <c r="Z15" i="7"/>
  <c r="AA87" i="2"/>
  <c r="Z19" i="7" l="1"/>
  <c r="Z16" i="7"/>
  <c r="Z17" i="7" s="1"/>
  <c r="Z41" i="7" s="1"/>
  <c r="Z20" i="7"/>
  <c r="Y9" i="7"/>
  <c r="Y56" i="7"/>
  <c r="X8" i="7"/>
  <c r="X10" i="7" s="1"/>
  <c r="X11" i="7" s="1"/>
  <c r="X12" i="7" s="1"/>
  <c r="X43" i="7"/>
  <c r="Y42" i="7"/>
  <c r="Y21" i="7"/>
  <c r="AA4" i="7"/>
  <c r="AA14" i="7" s="1"/>
  <c r="Z96" i="2"/>
  <c r="AA88" i="2"/>
  <c r="AA85" i="2"/>
  <c r="AA86" i="2" s="1"/>
  <c r="AA91" i="2"/>
  <c r="AA94" i="2"/>
  <c r="AB4" i="2"/>
  <c r="AB1" i="3"/>
  <c r="AA5" i="3"/>
  <c r="BY269" i="5"/>
  <c r="BY416" i="5"/>
  <c r="BH713" i="5"/>
  <c r="BH714" i="5" s="1"/>
  <c r="BG719" i="5"/>
  <c r="AD627" i="5"/>
  <c r="AC628" i="5"/>
  <c r="AC831" i="5" s="1"/>
  <c r="BY741" i="5"/>
  <c r="BC719" i="5"/>
  <c r="BY637" i="5"/>
  <c r="BY267" i="5"/>
  <c r="AB1" i="2"/>
  <c r="AA5" i="2"/>
  <c r="AA5" i="7" s="1"/>
  <c r="BU635" i="5"/>
  <c r="BU429" i="5"/>
  <c r="BU431" i="5" s="1"/>
  <c r="BU823" i="5"/>
  <c r="BU797" i="5"/>
  <c r="BL713" i="5"/>
  <c r="BL714" i="5" s="1"/>
  <c r="BK719" i="5"/>
  <c r="BY734" i="5"/>
  <c r="BZ731" i="5"/>
  <c r="BO719" i="5"/>
  <c r="BP713" i="5"/>
  <c r="BP714" i="5" s="1"/>
  <c r="BX713" i="5"/>
  <c r="BT713" i="5"/>
  <c r="BT714" i="5" s="1"/>
  <c r="BS719" i="5"/>
  <c r="AA45" i="7"/>
  <c r="AA46" i="7" s="1"/>
  <c r="AA55" i="7" s="1"/>
  <c r="AA15" i="7"/>
  <c r="AB87" i="2"/>
  <c r="AA19" i="7" l="1"/>
  <c r="AA16" i="7"/>
  <c r="AA17" i="7" s="1"/>
  <c r="AA41" i="7" s="1"/>
  <c r="AA20" i="7"/>
  <c r="AB4" i="7"/>
  <c r="AB14" i="7" s="1"/>
  <c r="Y8" i="7"/>
  <c r="Y10" i="7" s="1"/>
  <c r="Y11" i="7" s="1"/>
  <c r="Y12" i="7" s="1"/>
  <c r="Y43" i="7"/>
  <c r="Z42" i="7"/>
  <c r="Z21" i="7"/>
  <c r="Z56" i="7"/>
  <c r="Z9" i="7"/>
  <c r="AB88" i="2"/>
  <c r="AB85" i="2"/>
  <c r="AB86" i="2" s="1"/>
  <c r="AB91" i="2"/>
  <c r="AB94" i="2"/>
  <c r="AC4" i="2"/>
  <c r="AA96" i="2"/>
  <c r="BP719" i="5"/>
  <c r="BQ713" i="5"/>
  <c r="BQ714" i="5" s="1"/>
  <c r="BY740" i="5"/>
  <c r="BZ737" i="5"/>
  <c r="AC1" i="2"/>
  <c r="AB5" i="2"/>
  <c r="AB5" i="7" s="1"/>
  <c r="BT831" i="5"/>
  <c r="BU713" i="5"/>
  <c r="BT719" i="5"/>
  <c r="BU803" i="5"/>
  <c r="BU804" i="5" s="1"/>
  <c r="BU817" i="5" s="1"/>
  <c r="AE627" i="5"/>
  <c r="AE628" i="5" s="1"/>
  <c r="AD628" i="5"/>
  <c r="AD831" i="5" s="1"/>
  <c r="BY270" i="5"/>
  <c r="BU430" i="5"/>
  <c r="BZ732" i="5"/>
  <c r="BZ745" i="5"/>
  <c r="BH719" i="5"/>
  <c r="BU822" i="5"/>
  <c r="BU657" i="5"/>
  <c r="BU292" i="5"/>
  <c r="BM713" i="5"/>
  <c r="BM714" i="5" s="1"/>
  <c r="BL719" i="5"/>
  <c r="AC1" i="3"/>
  <c r="AB5" i="3"/>
  <c r="AB15" i="7"/>
  <c r="AB45" i="7"/>
  <c r="AB46" i="7" s="1"/>
  <c r="AB55" i="7" s="1"/>
  <c r="AC87" i="2"/>
  <c r="AB16" i="7" l="1"/>
  <c r="AB17" i="7" s="1"/>
  <c r="AB41" i="7" s="1"/>
  <c r="AB19" i="7"/>
  <c r="AB20" i="7"/>
  <c r="Z8" i="7"/>
  <c r="Z10" i="7" s="1"/>
  <c r="Z11" i="7" s="1"/>
  <c r="Z12" i="7" s="1"/>
  <c r="Z43" i="7"/>
  <c r="AA42" i="7"/>
  <c r="AA21" i="7"/>
  <c r="AC4" i="7"/>
  <c r="AC14" i="7" s="1"/>
  <c r="AA56" i="7"/>
  <c r="AA9" i="7"/>
  <c r="AC88" i="2"/>
  <c r="AC85" i="2"/>
  <c r="AC86" i="2" s="1"/>
  <c r="AC94" i="2"/>
  <c r="AC91" i="2"/>
  <c r="AD4" i="2"/>
  <c r="AB96" i="2"/>
  <c r="AF627" i="5"/>
  <c r="AE831" i="5"/>
  <c r="AD1" i="2"/>
  <c r="AC5" i="2"/>
  <c r="AC5" i="7" s="1"/>
  <c r="AD1" i="3"/>
  <c r="AC5" i="3"/>
  <c r="BZ738" i="5"/>
  <c r="BZ746" i="5"/>
  <c r="BR713" i="5"/>
  <c r="BR714" i="5" s="1"/>
  <c r="BQ719" i="5"/>
  <c r="BM719" i="5"/>
  <c r="BU664" i="5"/>
  <c r="BU478" i="5"/>
  <c r="BZ412" i="5"/>
  <c r="BZ768" i="5"/>
  <c r="BU441" i="5"/>
  <c r="BU432" i="5"/>
  <c r="AD87" i="2"/>
  <c r="AC15" i="7"/>
  <c r="AC45" i="7"/>
  <c r="AC46" i="7" s="1"/>
  <c r="AC55" i="7" s="1"/>
  <c r="AC20" i="7" l="1"/>
  <c r="AC19" i="7"/>
  <c r="AC16" i="7"/>
  <c r="AC17" i="7" s="1"/>
  <c r="AC41" i="7" s="1"/>
  <c r="AB56" i="7"/>
  <c r="AB9" i="7"/>
  <c r="AD4" i="7"/>
  <c r="AD14" i="7" s="1"/>
  <c r="AA8" i="7"/>
  <c r="AA10" i="7" s="1"/>
  <c r="AA11" i="7" s="1"/>
  <c r="AA12" i="7" s="1"/>
  <c r="AA43" i="7"/>
  <c r="AB42" i="7"/>
  <c r="AB21" i="7"/>
  <c r="AC96" i="2"/>
  <c r="AD88" i="2"/>
  <c r="AD85" i="2"/>
  <c r="AD86" i="2" s="1"/>
  <c r="AD91" i="2"/>
  <c r="AD94" i="2"/>
  <c r="AE4" i="2"/>
  <c r="BZ735" i="5"/>
  <c r="BZ413" i="5"/>
  <c r="BZ777" i="5"/>
  <c r="AE1" i="3"/>
  <c r="AD5" i="3"/>
  <c r="BU480" i="5"/>
  <c r="AE1" i="2"/>
  <c r="AD5" i="2"/>
  <c r="AD5" i="7" s="1"/>
  <c r="BU481" i="5"/>
  <c r="BU495" i="5"/>
  <c r="BU496" i="5" s="1"/>
  <c r="BU497" i="5" s="1"/>
  <c r="BU498" i="5" s="1"/>
  <c r="AG627" i="5"/>
  <c r="AF628" i="5"/>
  <c r="AF831" i="5" s="1"/>
  <c r="BZ748" i="5"/>
  <c r="BZ636" i="5"/>
  <c r="BZ266" i="5"/>
  <c r="BZ254" i="5"/>
  <c r="BZ255" i="5" s="1"/>
  <c r="BZ415" i="5"/>
  <c r="BR719" i="5"/>
  <c r="BU447" i="5"/>
  <c r="BU488" i="5" s="1"/>
  <c r="BU699" i="5" s="1"/>
  <c r="BU442" i="5"/>
  <c r="BU435" i="5"/>
  <c r="AD45" i="7"/>
  <c r="AD46" i="7" s="1"/>
  <c r="AD55" i="7" s="1"/>
  <c r="AD15" i="7"/>
  <c r="AE87" i="2"/>
  <c r="AD20" i="7" l="1"/>
  <c r="AD19" i="7"/>
  <c r="AD16" i="7"/>
  <c r="AD17" i="7" s="1"/>
  <c r="AD41" i="7" s="1"/>
  <c r="AE4" i="7"/>
  <c r="AE14" i="7" s="1"/>
  <c r="AB8" i="7"/>
  <c r="AB10" i="7" s="1"/>
  <c r="AB11" i="7" s="1"/>
  <c r="AB12" i="7" s="1"/>
  <c r="AB43" i="7"/>
  <c r="AC42" i="7"/>
  <c r="AC21" i="7"/>
  <c r="AC56" i="7"/>
  <c r="AC9" i="7"/>
  <c r="AE88" i="2"/>
  <c r="AE85" i="2"/>
  <c r="AE86" i="2" s="1"/>
  <c r="AE91" i="2"/>
  <c r="AE94" i="2"/>
  <c r="AF4" i="2"/>
  <c r="AD96" i="2"/>
  <c r="AG628" i="5"/>
  <c r="AG831" i="5" s="1"/>
  <c r="AH627" i="5"/>
  <c r="BZ416" i="5"/>
  <c r="BZ269" i="5"/>
  <c r="BU479" i="5"/>
  <c r="BU499" i="5"/>
  <c r="BU500" i="5" s="1"/>
  <c r="BU501" i="5" s="1"/>
  <c r="BU502" i="5" s="1"/>
  <c r="BU482" i="5"/>
  <c r="BZ741" i="5"/>
  <c r="BU448" i="5"/>
  <c r="BU443" i="5" s="1"/>
  <c r="AF1" i="2"/>
  <c r="AE5" i="2"/>
  <c r="AE5" i="7" s="1"/>
  <c r="BZ637" i="5"/>
  <c r="BZ267" i="5"/>
  <c r="AF1" i="3"/>
  <c r="AE5" i="3"/>
  <c r="BU708" i="5"/>
  <c r="BU711" i="5" s="1"/>
  <c r="BU811" i="5"/>
  <c r="CA731" i="5"/>
  <c r="BZ734" i="5"/>
  <c r="BZ778" i="5"/>
  <c r="AE15" i="7"/>
  <c r="AE45" i="7"/>
  <c r="AE46" i="7" s="1"/>
  <c r="AE55" i="7" s="1"/>
  <c r="AF87" i="2"/>
  <c r="AE20" i="7" l="1"/>
  <c r="AE19" i="7"/>
  <c r="AE16" i="7"/>
  <c r="AE17" i="7" s="1"/>
  <c r="AE41" i="7" s="1"/>
  <c r="AC8" i="7"/>
  <c r="AC10" i="7" s="1"/>
  <c r="AC11" i="7" s="1"/>
  <c r="AC12" i="7" s="1"/>
  <c r="AC43" i="7"/>
  <c r="AF4" i="7"/>
  <c r="AF14" i="7" s="1"/>
  <c r="AD42" i="7"/>
  <c r="AD21" i="7"/>
  <c r="AD9" i="7"/>
  <c r="AD56" i="7"/>
  <c r="AF88" i="2"/>
  <c r="AF85" i="2"/>
  <c r="AF86" i="2" s="1"/>
  <c r="AF91" i="2"/>
  <c r="AF94" i="2"/>
  <c r="AG4" i="2"/>
  <c r="AE96" i="2"/>
  <c r="AG1" i="3"/>
  <c r="AF5" i="3"/>
  <c r="CA732" i="5"/>
  <c r="CA745" i="5"/>
  <c r="BZ740" i="5"/>
  <c r="CA737" i="5"/>
  <c r="BU754" i="5"/>
  <c r="BU714" i="5"/>
  <c r="BZ270" i="5"/>
  <c r="AG1" i="2"/>
  <c r="AF5" i="2"/>
  <c r="AF5" i="7" s="1"/>
  <c r="AI627" i="5"/>
  <c r="AH628" i="5"/>
  <c r="AH831" i="5" s="1"/>
  <c r="AG87" i="2"/>
  <c r="AF15" i="7"/>
  <c r="AF45" i="7"/>
  <c r="AF46" i="7" s="1"/>
  <c r="AF55" i="7" s="1"/>
  <c r="AF16" i="7" l="1"/>
  <c r="AF17" i="7" s="1"/>
  <c r="AF41" i="7" s="1"/>
  <c r="AF19" i="7"/>
  <c r="AF20" i="7"/>
  <c r="AG4" i="7"/>
  <c r="AG14" i="7" s="1"/>
  <c r="AD8" i="7"/>
  <c r="AD10" i="7" s="1"/>
  <c r="AD11" i="7" s="1"/>
  <c r="AD12" i="7" s="1"/>
  <c r="AD43" i="7"/>
  <c r="AE9" i="7"/>
  <c r="AE56" i="7"/>
  <c r="AE42" i="7"/>
  <c r="AE21" i="7"/>
  <c r="AF96" i="2"/>
  <c r="AG88" i="2"/>
  <c r="AG85" i="2"/>
  <c r="AG86" i="2" s="1"/>
  <c r="AG94" i="2"/>
  <c r="AG91" i="2"/>
  <c r="AH4" i="2"/>
  <c r="AJ627" i="5"/>
  <c r="AJ628" i="5" s="1"/>
  <c r="AI628" i="5"/>
  <c r="AI831" i="5" s="1"/>
  <c r="CA738" i="5"/>
  <c r="CA746" i="5"/>
  <c r="AH1" i="2"/>
  <c r="AG5" i="2"/>
  <c r="AG5" i="7" s="1"/>
  <c r="BU765" i="5"/>
  <c r="BU779" i="5" s="1"/>
  <c r="BU819" i="5" s="1"/>
  <c r="BU505" i="5"/>
  <c r="BU831" i="5"/>
  <c r="BV713" i="5"/>
  <c r="BU719" i="5"/>
  <c r="CA412" i="5"/>
  <c r="CA768" i="5"/>
  <c r="AH1" i="3"/>
  <c r="AG5" i="3"/>
  <c r="AG15" i="7"/>
  <c r="AG45" i="7"/>
  <c r="AG46" i="7" s="1"/>
  <c r="AG55" i="7" s="1"/>
  <c r="AH87" i="2"/>
  <c r="AG20" i="7" l="1"/>
  <c r="AG19" i="7"/>
  <c r="AG16" i="7"/>
  <c r="AG17" i="7" s="1"/>
  <c r="AG41" i="7" s="1"/>
  <c r="AH4" i="7"/>
  <c r="AH14" i="7" s="1"/>
  <c r="AE8" i="7"/>
  <c r="AE10" i="7" s="1"/>
  <c r="AE11" i="7" s="1"/>
  <c r="AE12" i="7" s="1"/>
  <c r="AE43" i="7"/>
  <c r="AF9" i="7"/>
  <c r="AF56" i="7"/>
  <c r="AF42" i="7"/>
  <c r="AF21" i="7"/>
  <c r="AG96" i="2"/>
  <c r="AH88" i="2"/>
  <c r="AH85" i="2"/>
  <c r="AH86" i="2" s="1"/>
  <c r="AH91" i="2"/>
  <c r="AH94" i="2"/>
  <c r="AI4" i="2"/>
  <c r="AI1" i="3"/>
  <c r="AH5" i="3"/>
  <c r="CA636" i="5"/>
  <c r="CA266" i="5"/>
  <c r="BU824" i="5"/>
  <c r="BV514" i="5"/>
  <c r="BU510" i="5"/>
  <c r="BU526" i="5" s="1"/>
  <c r="CA413" i="5"/>
  <c r="CA415" i="5" s="1"/>
  <c r="CA777" i="5"/>
  <c r="CA778" i="5"/>
  <c r="CA735" i="5"/>
  <c r="AI1" i="2"/>
  <c r="AH5" i="2"/>
  <c r="AH5" i="7" s="1"/>
  <c r="AK627" i="5"/>
  <c r="AJ831" i="5"/>
  <c r="AH45" i="7"/>
  <c r="AH46" i="7" s="1"/>
  <c r="AH55" i="7" s="1"/>
  <c r="AH15" i="7"/>
  <c r="AI87" i="2"/>
  <c r="AH20" i="7" l="1"/>
  <c r="AH19" i="7"/>
  <c r="AH16" i="7"/>
  <c r="AH17" i="7" s="1"/>
  <c r="AH41" i="7" s="1"/>
  <c r="AF8" i="7"/>
  <c r="AF10" i="7" s="1"/>
  <c r="AF11" i="7" s="1"/>
  <c r="AF12" i="7" s="1"/>
  <c r="AF43" i="7"/>
  <c r="AI4" i="7"/>
  <c r="AI14" i="7" s="1"/>
  <c r="AG42" i="7"/>
  <c r="AG21" i="7"/>
  <c r="AG9" i="7"/>
  <c r="AG56" i="7"/>
  <c r="AI88" i="2"/>
  <c r="AI91" i="2"/>
  <c r="AI94" i="2"/>
  <c r="AI85" i="2"/>
  <c r="AI86" i="2" s="1"/>
  <c r="AJ4" i="2"/>
  <c r="AH96" i="2"/>
  <c r="CA416" i="5"/>
  <c r="CA269" i="5"/>
  <c r="AL627" i="5"/>
  <c r="AK628" i="5"/>
  <c r="AK831" i="5" s="1"/>
  <c r="CB731" i="5"/>
  <c r="CA734" i="5"/>
  <c r="BV516" i="5"/>
  <c r="AJ1" i="2"/>
  <c r="AI5" i="2"/>
  <c r="AI5" i="7" s="1"/>
  <c r="CA741" i="5"/>
  <c r="AJ1" i="3"/>
  <c r="AI5" i="3"/>
  <c r="CA637" i="5"/>
  <c r="CA267" i="5"/>
  <c r="CA254" i="5"/>
  <c r="CA255" i="5" s="1"/>
  <c r="CA748" i="5"/>
  <c r="AI45" i="7"/>
  <c r="AI46" i="7" s="1"/>
  <c r="AI55" i="7" s="1"/>
  <c r="AI15" i="7"/>
  <c r="AJ87" i="2"/>
  <c r="AI20" i="7" l="1"/>
  <c r="AI19" i="7"/>
  <c r="AI16" i="7"/>
  <c r="AI17" i="7" s="1"/>
  <c r="AI41" i="7" s="1"/>
  <c r="AG8" i="7"/>
  <c r="AG10" i="7" s="1"/>
  <c r="AG11" i="7" s="1"/>
  <c r="AG12" i="7" s="1"/>
  <c r="AG43" i="7"/>
  <c r="AH42" i="7"/>
  <c r="AH21" i="7"/>
  <c r="AJ4" i="7"/>
  <c r="AJ14" i="7" s="1"/>
  <c r="AH9" i="7"/>
  <c r="AH56" i="7"/>
  <c r="AI96" i="2"/>
  <c r="AJ88" i="2"/>
  <c r="AJ85" i="2"/>
  <c r="AJ86" i="2" s="1"/>
  <c r="AJ91" i="2"/>
  <c r="AJ94" i="2"/>
  <c r="AK4" i="2"/>
  <c r="CA740" i="5"/>
  <c r="CB737" i="5"/>
  <c r="AK1" i="2"/>
  <c r="AJ5" i="2"/>
  <c r="AJ5" i="7" s="1"/>
  <c r="BV517" i="5"/>
  <c r="BV419" i="5"/>
  <c r="BV519" i="5"/>
  <c r="CB732" i="5"/>
  <c r="AK1" i="3"/>
  <c r="AJ5" i="3"/>
  <c r="AM627" i="5"/>
  <c r="AL628" i="5"/>
  <c r="AL831" i="5" s="1"/>
  <c r="CA270" i="5"/>
  <c r="AJ45" i="7"/>
  <c r="AJ46" i="7" s="1"/>
  <c r="AJ55" i="7" s="1"/>
  <c r="AJ15" i="7"/>
  <c r="AK87" i="2"/>
  <c r="AJ19" i="7" l="1"/>
  <c r="AJ16" i="7"/>
  <c r="AJ17" i="7" s="1"/>
  <c r="AJ41" i="7" s="1"/>
  <c r="AJ20" i="7"/>
  <c r="AK4" i="7"/>
  <c r="AK14" i="7" s="1"/>
  <c r="AH8" i="7"/>
  <c r="AH10" i="7" s="1"/>
  <c r="AH11" i="7" s="1"/>
  <c r="AH12" i="7" s="1"/>
  <c r="AH43" i="7"/>
  <c r="AI42" i="7"/>
  <c r="AI21" i="7"/>
  <c r="AI9" i="7"/>
  <c r="AI56" i="7"/>
  <c r="AK88" i="2"/>
  <c r="AK91" i="2"/>
  <c r="AK85" i="2"/>
  <c r="AK86" i="2" s="1"/>
  <c r="AK94" i="2"/>
  <c r="AL4" i="2"/>
  <c r="AJ96" i="2"/>
  <c r="CB412" i="5"/>
  <c r="CC732" i="5"/>
  <c r="CB768" i="5"/>
  <c r="AL1" i="3"/>
  <c r="AK5" i="3"/>
  <c r="AN627" i="5"/>
  <c r="AM628" i="5"/>
  <c r="AM831" i="5" s="1"/>
  <c r="CB745" i="5"/>
  <c r="BV422" i="5"/>
  <c r="CB738" i="5"/>
  <c r="AL1" i="2"/>
  <c r="AK5" i="2"/>
  <c r="AK5" i="7" s="1"/>
  <c r="AK45" i="7"/>
  <c r="AK46" i="7" s="1"/>
  <c r="AK55" i="7" s="1"/>
  <c r="AK15" i="7"/>
  <c r="AL87" i="2"/>
  <c r="AK19" i="7" l="1"/>
  <c r="AK16" i="7"/>
  <c r="AK17" i="7" s="1"/>
  <c r="AK41" i="7" s="1"/>
  <c r="AK20" i="7"/>
  <c r="AL4" i="7"/>
  <c r="AL14" i="7" s="1"/>
  <c r="AI8" i="7"/>
  <c r="AI10" i="7" s="1"/>
  <c r="AI11" i="7" s="1"/>
  <c r="AI12" i="7" s="1"/>
  <c r="AI43" i="7"/>
  <c r="AJ42" i="7"/>
  <c r="AJ21" i="7"/>
  <c r="AJ9" i="7"/>
  <c r="AJ56" i="7"/>
  <c r="AL88" i="2"/>
  <c r="AL85" i="2"/>
  <c r="AL86" i="2" s="1"/>
  <c r="AL91" i="2"/>
  <c r="AL94" i="2"/>
  <c r="AM4" i="2"/>
  <c r="AK96" i="2"/>
  <c r="CB413" i="5"/>
  <c r="CC738" i="5"/>
  <c r="CB777" i="5"/>
  <c r="BV424" i="5"/>
  <c r="BV426" i="5"/>
  <c r="BV425" i="5"/>
  <c r="CB746" i="5"/>
  <c r="AO627" i="5"/>
  <c r="AO628" i="5" s="1"/>
  <c r="AN628" i="5"/>
  <c r="AN831" i="5" s="1"/>
  <c r="CC768" i="5"/>
  <c r="CB778" i="5"/>
  <c r="CB735" i="5"/>
  <c r="CB734" i="5" s="1"/>
  <c r="AM1" i="2"/>
  <c r="AL5" i="2"/>
  <c r="AL5" i="7" s="1"/>
  <c r="CC743" i="5"/>
  <c r="CC745" i="5"/>
  <c r="AM1" i="3"/>
  <c r="AL5" i="3"/>
  <c r="CB748" i="5"/>
  <c r="CB636" i="5"/>
  <c r="CC636" i="5" s="1"/>
  <c r="CB266" i="5"/>
  <c r="CB254" i="5"/>
  <c r="CB255" i="5" s="1"/>
  <c r="CB415" i="5"/>
  <c r="CC412" i="5"/>
  <c r="AL45" i="7"/>
  <c r="AL46" i="7" s="1"/>
  <c r="AL55" i="7" s="1"/>
  <c r="AL15" i="7"/>
  <c r="AM87" i="2"/>
  <c r="AL20" i="7" l="1"/>
  <c r="AL19" i="7"/>
  <c r="AL16" i="7"/>
  <c r="AL17" i="7" s="1"/>
  <c r="AL41" i="7" s="1"/>
  <c r="AJ8" i="7"/>
  <c r="AJ10" i="7" s="1"/>
  <c r="AJ11" i="7" s="1"/>
  <c r="AJ12" i="7" s="1"/>
  <c r="AJ43" i="7"/>
  <c r="AK42" i="7"/>
  <c r="AK21" i="7"/>
  <c r="AM4" i="7"/>
  <c r="AM14" i="7" s="1"/>
  <c r="AK9" i="7"/>
  <c r="AK56" i="7"/>
  <c r="AL96" i="2"/>
  <c r="AM88" i="2"/>
  <c r="AM91" i="2"/>
  <c r="AM85" i="2"/>
  <c r="AM86" i="2" s="1"/>
  <c r="AM94" i="2"/>
  <c r="AN4" i="2"/>
  <c r="AN1" i="3"/>
  <c r="AM5" i="3"/>
  <c r="CB269" i="5"/>
  <c r="CB416" i="5"/>
  <c r="CC735" i="5"/>
  <c r="AN1" i="2"/>
  <c r="AM5" i="2"/>
  <c r="AM5" i="7" s="1"/>
  <c r="BV635" i="5"/>
  <c r="BV429" i="5"/>
  <c r="BV431" i="5" s="1"/>
  <c r="BV430" i="5"/>
  <c r="BV823" i="5"/>
  <c r="AP627" i="5"/>
  <c r="AO831" i="5"/>
  <c r="BV640" i="5"/>
  <c r="CC744" i="5"/>
  <c r="CC746" i="5"/>
  <c r="CC777" i="5"/>
  <c r="CB741" i="5"/>
  <c r="CB740" i="5" s="1"/>
  <c r="CC748" i="5"/>
  <c r="CC266" i="5"/>
  <c r="CB637" i="5"/>
  <c r="CC637" i="5" s="1"/>
  <c r="CB267" i="5"/>
  <c r="CC413" i="5"/>
  <c r="CC267" i="5" s="1"/>
  <c r="AM45" i="7"/>
  <c r="AM46" i="7" s="1"/>
  <c r="AM55" i="7" s="1"/>
  <c r="AM15" i="7"/>
  <c r="AN87" i="2"/>
  <c r="AM16" i="7" l="1"/>
  <c r="AM17" i="7" s="1"/>
  <c r="AM41" i="7" s="1"/>
  <c r="AM19" i="7"/>
  <c r="AM20" i="7"/>
  <c r="AN4" i="7"/>
  <c r="AN14" i="7" s="1"/>
  <c r="AK8" i="7"/>
  <c r="AK10" i="7" s="1"/>
  <c r="AK11" i="7" s="1"/>
  <c r="AK12" i="7" s="1"/>
  <c r="AK43" i="7"/>
  <c r="AL9" i="7"/>
  <c r="AL56" i="7"/>
  <c r="AL42" i="7"/>
  <c r="AL21" i="7"/>
  <c r="AN88" i="2"/>
  <c r="AN91" i="2"/>
  <c r="AN85" i="2"/>
  <c r="AN86" i="2" s="1"/>
  <c r="AN94" i="2"/>
  <c r="AM96" i="2"/>
  <c r="AO4" i="2"/>
  <c r="CC741" i="5"/>
  <c r="AQ627" i="5"/>
  <c r="AP628" i="5"/>
  <c r="AP831" i="5" s="1"/>
  <c r="BV822" i="5"/>
  <c r="BV657" i="5"/>
  <c r="BV292" i="5"/>
  <c r="CD731" i="5"/>
  <c r="CC734" i="5"/>
  <c r="BV432" i="5"/>
  <c r="BV441" i="5"/>
  <c r="BV797" i="5"/>
  <c r="AO1" i="2"/>
  <c r="AN5" i="2"/>
  <c r="AN5" i="7" s="1"/>
  <c r="CC778" i="5"/>
  <c r="CB270" i="5"/>
  <c r="CC416" i="5"/>
  <c r="CC415" i="5"/>
  <c r="CC269" i="5" s="1"/>
  <c r="CC254" i="5"/>
  <c r="CC255" i="5" s="1"/>
  <c r="AO1" i="3"/>
  <c r="AN5" i="3"/>
  <c r="AN15" i="7"/>
  <c r="AN45" i="7"/>
  <c r="AN46" i="7" s="1"/>
  <c r="AN55" i="7" s="1"/>
  <c r="AO87" i="2"/>
  <c r="AN20" i="7" l="1"/>
  <c r="AN16" i="7"/>
  <c r="AN17" i="7" s="1"/>
  <c r="AN41" i="7" s="1"/>
  <c r="AN19" i="7"/>
  <c r="AO4" i="7"/>
  <c r="AO14" i="7" s="1"/>
  <c r="AL8" i="7"/>
  <c r="AL10" i="7" s="1"/>
  <c r="AL11" i="7" s="1"/>
  <c r="AL12" i="7" s="1"/>
  <c r="AL43" i="7"/>
  <c r="AM9" i="7"/>
  <c r="AM56" i="7"/>
  <c r="AM42" i="7"/>
  <c r="AM21" i="7"/>
  <c r="AO88" i="2"/>
  <c r="AO91" i="2"/>
  <c r="AO85" i="2"/>
  <c r="AO86" i="2" s="1"/>
  <c r="AO94" i="2"/>
  <c r="AN96" i="2"/>
  <c r="AP4" i="2"/>
  <c r="AP1" i="3"/>
  <c r="AO5" i="3"/>
  <c r="CC270" i="5"/>
  <c r="AP1" i="2"/>
  <c r="AO5" i="2"/>
  <c r="AO5" i="7" s="1"/>
  <c r="BV803" i="5"/>
  <c r="BV804" i="5" s="1"/>
  <c r="BV817" i="5" s="1"/>
  <c r="BV664" i="5"/>
  <c r="BV478" i="5"/>
  <c r="BV447" i="5"/>
  <c r="BV488" i="5" s="1"/>
  <c r="BV699" i="5" s="1"/>
  <c r="BV435" i="5"/>
  <c r="BV442" i="5"/>
  <c r="CD732" i="5"/>
  <c r="CC740" i="5"/>
  <c r="CD737" i="5"/>
  <c r="AR627" i="5"/>
  <c r="AQ628" i="5"/>
  <c r="AQ831" i="5" s="1"/>
  <c r="AO15" i="7"/>
  <c r="AO45" i="7"/>
  <c r="AO46" i="7" s="1"/>
  <c r="AO55" i="7" s="1"/>
  <c r="AP87" i="2"/>
  <c r="AO20" i="7" l="1"/>
  <c r="AO16" i="7"/>
  <c r="AO17" i="7" s="1"/>
  <c r="AO41" i="7" s="1"/>
  <c r="AO19" i="7"/>
  <c r="AP4" i="7"/>
  <c r="AP14" i="7" s="1"/>
  <c r="AM8" i="7"/>
  <c r="AM10" i="7" s="1"/>
  <c r="AM11" i="7" s="1"/>
  <c r="AM12" i="7" s="1"/>
  <c r="AM43" i="7"/>
  <c r="AN42" i="7"/>
  <c r="AN21" i="7"/>
  <c r="AN56" i="7"/>
  <c r="AN9" i="7"/>
  <c r="AP91" i="2"/>
  <c r="AP85" i="2"/>
  <c r="AP86" i="2" s="1"/>
  <c r="AP94" i="2"/>
  <c r="AO96" i="2"/>
  <c r="AQ4" i="2"/>
  <c r="AS627" i="5"/>
  <c r="AR628" i="5"/>
  <c r="AR831" i="5" s="1"/>
  <c r="CD412" i="5"/>
  <c r="CD768" i="5"/>
  <c r="CD738" i="5"/>
  <c r="CD745" i="5"/>
  <c r="BV448" i="5"/>
  <c r="BV443" i="5" s="1"/>
  <c r="BV495" i="5"/>
  <c r="BV496" i="5" s="1"/>
  <c r="BV497" i="5" s="1"/>
  <c r="BV498" i="5" s="1"/>
  <c r="BV481" i="5"/>
  <c r="BV708" i="5"/>
  <c r="BV711" i="5" s="1"/>
  <c r="BV811" i="5"/>
  <c r="BV480" i="5"/>
  <c r="AQ1" i="2"/>
  <c r="AP5" i="2"/>
  <c r="AP5" i="7" s="1"/>
  <c r="AQ1" i="3"/>
  <c r="AP5" i="3"/>
  <c r="AP15" i="7"/>
  <c r="AP45" i="7"/>
  <c r="AP46" i="7" s="1"/>
  <c r="AP55" i="7" s="1"/>
  <c r="AQ87" i="2"/>
  <c r="AP20" i="7" l="1"/>
  <c r="AP19" i="7"/>
  <c r="AP16" i="7"/>
  <c r="AP17" i="7" s="1"/>
  <c r="AP41" i="7" s="1"/>
  <c r="AN8" i="7"/>
  <c r="AN10" i="7" s="1"/>
  <c r="AN11" i="7" s="1"/>
  <c r="AN12" i="7" s="1"/>
  <c r="AN43" i="7"/>
  <c r="AQ4" i="7"/>
  <c r="AQ14" i="7" s="1"/>
  <c r="AO9" i="7"/>
  <c r="AO56" i="7"/>
  <c r="AO42" i="7"/>
  <c r="AO21" i="7"/>
  <c r="AQ91" i="2"/>
  <c r="AQ85" i="2"/>
  <c r="AQ86" i="2" s="1"/>
  <c r="AQ94" i="2"/>
  <c r="AR4" i="2"/>
  <c r="AP96" i="2"/>
  <c r="BV754" i="5"/>
  <c r="BV714" i="5"/>
  <c r="AR1" i="2"/>
  <c r="AQ5" i="2"/>
  <c r="AQ5" i="7" s="1"/>
  <c r="BV479" i="5"/>
  <c r="BV499" i="5"/>
  <c r="BV500" i="5" s="1"/>
  <c r="BV501" i="5" s="1"/>
  <c r="BV502" i="5" s="1"/>
  <c r="BV482" i="5"/>
  <c r="CD636" i="5"/>
  <c r="CD266" i="5"/>
  <c r="CD413" i="5"/>
  <c r="CD777" i="5"/>
  <c r="CD746" i="5"/>
  <c r="AR1" i="3"/>
  <c r="AQ5" i="3"/>
  <c r="CD778" i="5"/>
  <c r="CD735" i="5"/>
  <c r="AT627" i="5"/>
  <c r="AT628" i="5" s="1"/>
  <c r="AS628" i="5"/>
  <c r="AS831" i="5" s="1"/>
  <c r="AQ45" i="7"/>
  <c r="AQ46" i="7" s="1"/>
  <c r="AQ55" i="7" s="1"/>
  <c r="AQ15" i="7"/>
  <c r="AR87" i="2"/>
  <c r="AQ19" i="7" l="1"/>
  <c r="AQ16" i="7"/>
  <c r="AQ17" i="7" s="1"/>
  <c r="AQ41" i="7" s="1"/>
  <c r="AQ20" i="7"/>
  <c r="AR4" i="7"/>
  <c r="AR14" i="7" s="1"/>
  <c r="AO8" i="7"/>
  <c r="AO10" i="7" s="1"/>
  <c r="AO11" i="7" s="1"/>
  <c r="AO12" i="7" s="1"/>
  <c r="AO43" i="7"/>
  <c r="AP9" i="7"/>
  <c r="AP56" i="7"/>
  <c r="AP42" i="7"/>
  <c r="AP21" i="7"/>
  <c r="AR91" i="2"/>
  <c r="AR85" i="2"/>
  <c r="AR86" i="2" s="1"/>
  <c r="AR94" i="2"/>
  <c r="AS4" i="2"/>
  <c r="AQ96" i="2"/>
  <c r="AS1" i="3"/>
  <c r="AR5" i="3"/>
  <c r="CD637" i="5"/>
  <c r="CD267" i="5"/>
  <c r="CD741" i="5"/>
  <c r="CD748" i="5"/>
  <c r="CD734" i="5"/>
  <c r="CE731" i="5"/>
  <c r="BV831" i="5"/>
  <c r="BW713" i="5"/>
  <c r="BV719" i="5"/>
  <c r="AU627" i="5"/>
  <c r="AT831" i="5"/>
  <c r="CD254" i="5"/>
  <c r="CD255" i="5" s="1"/>
  <c r="CD415" i="5"/>
  <c r="AS1" i="2"/>
  <c r="AR5" i="2"/>
  <c r="AR5" i="7" s="1"/>
  <c r="BV765" i="5"/>
  <c r="BV779" i="5" s="1"/>
  <c r="BV819" i="5" s="1"/>
  <c r="BV505" i="5"/>
  <c r="AR45" i="7"/>
  <c r="AR46" i="7" s="1"/>
  <c r="AR55" i="7" s="1"/>
  <c r="AR15" i="7"/>
  <c r="AS87" i="2"/>
  <c r="AR20" i="7" l="1"/>
  <c r="AR19" i="7"/>
  <c r="AR16" i="7"/>
  <c r="AR17" i="7" s="1"/>
  <c r="AR41" i="7" s="1"/>
  <c r="AS4" i="7"/>
  <c r="AS14" i="7" s="1"/>
  <c r="AP43" i="7"/>
  <c r="AP8" i="7"/>
  <c r="AP10" i="7" s="1"/>
  <c r="AP11" i="7" s="1"/>
  <c r="AQ42" i="7"/>
  <c r="AQ21" i="7"/>
  <c r="AQ9" i="7"/>
  <c r="AQ56" i="7"/>
  <c r="AS85" i="2"/>
  <c r="AS86" i="2" s="1"/>
  <c r="AS91" i="2"/>
  <c r="AS94" i="2"/>
  <c r="AT4" i="2"/>
  <c r="AR96" i="2"/>
  <c r="BV824" i="5"/>
  <c r="BW514" i="5"/>
  <c r="BV510" i="5"/>
  <c r="BV526" i="5" s="1"/>
  <c r="AV627" i="5"/>
  <c r="AU628" i="5"/>
  <c r="AU831" i="5" s="1"/>
  <c r="CE745" i="5"/>
  <c r="CE732" i="5"/>
  <c r="CD269" i="5"/>
  <c r="CD416" i="5"/>
  <c r="AT1" i="2"/>
  <c r="AS5" i="2"/>
  <c r="AS5" i="7" s="1"/>
  <c r="CE737" i="5"/>
  <c r="CD740" i="5"/>
  <c r="AT1" i="3"/>
  <c r="AS5" i="3"/>
  <c r="AS45" i="7"/>
  <c r="AS46" i="7" s="1"/>
  <c r="AS55" i="7" s="1"/>
  <c r="AS15" i="7"/>
  <c r="AS20" i="7" l="1"/>
  <c r="AS19" i="7"/>
  <c r="AS16" i="7"/>
  <c r="AS17" i="7" s="1"/>
  <c r="AS41" i="7" s="1"/>
  <c r="AU4" i="2"/>
  <c r="AT4" i="7"/>
  <c r="AT14" i="7" s="1"/>
  <c r="AQ8" i="7"/>
  <c r="AQ10" i="7" s="1"/>
  <c r="AQ11" i="7" s="1"/>
  <c r="AQ43" i="7"/>
  <c r="AT11" i="7"/>
  <c r="AP12" i="7"/>
  <c r="AR42" i="7"/>
  <c r="AR21" i="7"/>
  <c r="AR9" i="7"/>
  <c r="AR56" i="7"/>
  <c r="AS96" i="2"/>
  <c r="AT84" i="2" s="1"/>
  <c r="AT50" i="2" s="1"/>
  <c r="D8" i="1" s="1"/>
  <c r="CD270" i="5"/>
  <c r="AU1" i="3"/>
  <c r="AT5" i="3"/>
  <c r="CE738" i="5"/>
  <c r="AU1" i="2"/>
  <c r="AT5" i="2"/>
  <c r="AT5" i="7" s="1"/>
  <c r="CE412" i="5"/>
  <c r="CE768" i="5"/>
  <c r="BW516" i="5"/>
  <c r="BX514" i="5"/>
  <c r="BX515" i="5" s="1"/>
  <c r="AW627" i="5"/>
  <c r="AV628" i="5"/>
  <c r="AV831" i="5" s="1"/>
  <c r="AT15" i="7"/>
  <c r="AT45" i="7"/>
  <c r="AU45" i="7" l="1"/>
  <c r="AU46" i="7" s="1"/>
  <c r="AU55" i="7" s="1"/>
  <c r="AT46" i="7"/>
  <c r="AT55" i="7" s="1"/>
  <c r="D9" i="1"/>
  <c r="D14" i="1" s="1"/>
  <c r="K31" i="1" s="1"/>
  <c r="S19" i="1"/>
  <c r="AT16" i="7"/>
  <c r="AT17" i="7" s="1"/>
  <c r="AT41" i="7" s="1"/>
  <c r="AT19" i="7"/>
  <c r="AT20" i="7"/>
  <c r="AQ12" i="7"/>
  <c r="AU11" i="7"/>
  <c r="AR8" i="7"/>
  <c r="AR10" i="7" s="1"/>
  <c r="AR11" i="7" s="1"/>
  <c r="AR43" i="7"/>
  <c r="AX11" i="7"/>
  <c r="AT10" i="7"/>
  <c r="AV4" i="2"/>
  <c r="AU4" i="7"/>
  <c r="AU14" i="7" s="1"/>
  <c r="AS9" i="7"/>
  <c r="AS6" i="7" s="1"/>
  <c r="AS56" i="7"/>
  <c r="AS42" i="7"/>
  <c r="AS21" i="7"/>
  <c r="AX627" i="5"/>
  <c r="AW628" i="5"/>
  <c r="AW831" i="5" s="1"/>
  <c r="CE735" i="5"/>
  <c r="BW517" i="5"/>
  <c r="BW419" i="5"/>
  <c r="BW519" i="5"/>
  <c r="BX516" i="5"/>
  <c r="CE413" i="5"/>
  <c r="CE777" i="5"/>
  <c r="AV1" i="2"/>
  <c r="AU5" i="2"/>
  <c r="AU5" i="7" s="1"/>
  <c r="CE748" i="5"/>
  <c r="CE636" i="5"/>
  <c r="CE266" i="5"/>
  <c r="CE415" i="5"/>
  <c r="CE254" i="5"/>
  <c r="CE255" i="5" s="1"/>
  <c r="CE746" i="5"/>
  <c r="AV1" i="3"/>
  <c r="AU5" i="3"/>
  <c r="AU15" i="7"/>
  <c r="AV14" i="7" l="1"/>
  <c r="AU19" i="7"/>
  <c r="AU16" i="7"/>
  <c r="AU17" i="7" s="1"/>
  <c r="AU41" i="7" s="1"/>
  <c r="AU20" i="7"/>
  <c r="AV11" i="7"/>
  <c r="AR12" i="7"/>
  <c r="AS8" i="7"/>
  <c r="AS43" i="7"/>
  <c r="AW4" i="2"/>
  <c r="AV4" i="7"/>
  <c r="BB11" i="7"/>
  <c r="AX10" i="7"/>
  <c r="AY11" i="7"/>
  <c r="AU10" i="7"/>
  <c r="AT42" i="7"/>
  <c r="AT21" i="7"/>
  <c r="AS10" i="7"/>
  <c r="AS11" i="7" s="1"/>
  <c r="AT56" i="7"/>
  <c r="AT9" i="7"/>
  <c r="AV45" i="7"/>
  <c r="AV46" i="7" s="1"/>
  <c r="AV55" i="7" s="1"/>
  <c r="AW1" i="3"/>
  <c r="AV5" i="3"/>
  <c r="CE637" i="5"/>
  <c r="CE267" i="5"/>
  <c r="CE269" i="5"/>
  <c r="CE416" i="5"/>
  <c r="AW1" i="2"/>
  <c r="AV5" i="2"/>
  <c r="AV5" i="7" s="1"/>
  <c r="CE741" i="5"/>
  <c r="BX517" i="5"/>
  <c r="BX519" i="5"/>
  <c r="BW422" i="5"/>
  <c r="BX419" i="5"/>
  <c r="BX422" i="5" s="1"/>
  <c r="CF731" i="5"/>
  <c r="CE734" i="5"/>
  <c r="CE778" i="5"/>
  <c r="AY627" i="5"/>
  <c r="AY628" i="5" s="1"/>
  <c r="AX628" i="5"/>
  <c r="AX831" i="5" s="1"/>
  <c r="AU9" i="7" l="1"/>
  <c r="AU56" i="7"/>
  <c r="AT8" i="7"/>
  <c r="AT7" i="7" s="1"/>
  <c r="AT18" i="2" s="1"/>
  <c r="AT43" i="7"/>
  <c r="BC11" i="7"/>
  <c r="AY10" i="7"/>
  <c r="BF11" i="7"/>
  <c r="BF10" i="7" s="1"/>
  <c r="BB10" i="7"/>
  <c r="AW14" i="7"/>
  <c r="AX14" i="7" s="1"/>
  <c r="AV15" i="7"/>
  <c r="AV20" i="7" s="1"/>
  <c r="AV19" i="7"/>
  <c r="AW45" i="7"/>
  <c r="AW46" i="7" s="1"/>
  <c r="AW55" i="7" s="1"/>
  <c r="AW11" i="7"/>
  <c r="AS12" i="7"/>
  <c r="AX4" i="2"/>
  <c r="AW4" i="7"/>
  <c r="AZ11" i="7"/>
  <c r="AV10" i="7"/>
  <c r="AU21" i="7"/>
  <c r="AU42" i="7"/>
  <c r="CF732" i="5"/>
  <c r="CE740" i="5"/>
  <c r="CF737" i="5"/>
  <c r="AZ627" i="5"/>
  <c r="AY831" i="5"/>
  <c r="AX1" i="2"/>
  <c r="AW5" i="2"/>
  <c r="AW5" i="7" s="1"/>
  <c r="BW424" i="5"/>
  <c r="BX424" i="5" s="1"/>
  <c r="BX438" i="5" s="1"/>
  <c r="BW425" i="5"/>
  <c r="CE270" i="5"/>
  <c r="AX1" i="3"/>
  <c r="AW5" i="3"/>
  <c r="AX15" i="7" l="1"/>
  <c r="AX19" i="7"/>
  <c r="AY14" i="7"/>
  <c r="AV16" i="7"/>
  <c r="AV17" i="7" s="1"/>
  <c r="AV41" i="7" s="1"/>
  <c r="BA11" i="7"/>
  <c r="AW10" i="7"/>
  <c r="AX45" i="7"/>
  <c r="AX46" i="7" s="1"/>
  <c r="AX55" i="7" s="1"/>
  <c r="BG11" i="7"/>
  <c r="BG10" i="7" s="1"/>
  <c r="BC10" i="7"/>
  <c r="AY4" i="2"/>
  <c r="AX4" i="7"/>
  <c r="AT40" i="2"/>
  <c r="AT41" i="2" s="1"/>
  <c r="AT19" i="2"/>
  <c r="AT21" i="2" s="1"/>
  <c r="AV56" i="7"/>
  <c r="AV9" i="7"/>
  <c r="AW15" i="7"/>
  <c r="AW20" i="7" s="1"/>
  <c r="AW19" i="7"/>
  <c r="AU8" i="7"/>
  <c r="AU7" i="7" s="1"/>
  <c r="AU18" i="2" s="1"/>
  <c r="AU43" i="7"/>
  <c r="BD11" i="7"/>
  <c r="AZ10" i="7"/>
  <c r="AY1" i="3"/>
  <c r="AX5" i="3"/>
  <c r="BW426" i="5"/>
  <c r="AY1" i="2"/>
  <c r="AX5" i="2"/>
  <c r="AX5" i="7" s="1"/>
  <c r="CF738" i="5"/>
  <c r="BW640" i="5"/>
  <c r="BX425" i="5"/>
  <c r="BX439" i="5" s="1"/>
  <c r="BA627" i="5"/>
  <c r="AZ628" i="5"/>
  <c r="AZ831" i="5" s="1"/>
  <c r="CF412" i="5"/>
  <c r="CF768" i="5"/>
  <c r="CF745" i="5"/>
  <c r="AX20" i="7" l="1"/>
  <c r="AX16" i="7"/>
  <c r="AY15" i="7"/>
  <c r="AY19" i="7"/>
  <c r="AZ14" i="7"/>
  <c r="AV21" i="7"/>
  <c r="AV42" i="7"/>
  <c r="AT43" i="2"/>
  <c r="AT46" i="2" s="1"/>
  <c r="AT47" i="2" s="1"/>
  <c r="AT48" i="2" s="1"/>
  <c r="AW16" i="7"/>
  <c r="AW17" i="7" s="1"/>
  <c r="AW41" i="7" s="1"/>
  <c r="AT12" i="2"/>
  <c r="AT35" i="2"/>
  <c r="AT24" i="2"/>
  <c r="AT25" i="2" s="1"/>
  <c r="AT26" i="2" s="1"/>
  <c r="AU19" i="2"/>
  <c r="AU21" i="2" s="1"/>
  <c r="AU40" i="2"/>
  <c r="AU41" i="2" s="1"/>
  <c r="BE11" i="7"/>
  <c r="BA10" i="7"/>
  <c r="AZ4" i="2"/>
  <c r="AY4" i="7"/>
  <c r="BB45" i="7"/>
  <c r="BB46" i="7" s="1"/>
  <c r="BB55" i="7" s="1"/>
  <c r="AY45" i="7"/>
  <c r="AY46" i="7" s="1"/>
  <c r="AY55" i="7" s="1"/>
  <c r="BH11" i="7"/>
  <c r="BH10" i="7" s="1"/>
  <c r="BD10" i="7"/>
  <c r="AW56" i="7"/>
  <c r="AW9" i="7"/>
  <c r="BB627" i="5"/>
  <c r="BA628" i="5"/>
  <c r="BA831" i="5" s="1"/>
  <c r="BX640" i="5"/>
  <c r="BW797" i="5"/>
  <c r="CF735" i="5"/>
  <c r="CF734" i="5" s="1"/>
  <c r="CF413" i="5"/>
  <c r="CF777" i="5"/>
  <c r="CF741" i="5" s="1"/>
  <c r="CF740" i="5" s="1"/>
  <c r="CF748" i="5"/>
  <c r="CF636" i="5"/>
  <c r="CF266" i="5"/>
  <c r="CF254" i="5"/>
  <c r="CF255" i="5" s="1"/>
  <c r="CF415" i="5"/>
  <c r="CF746" i="5"/>
  <c r="AZ1" i="2"/>
  <c r="AY5" i="2"/>
  <c r="AY5" i="7" s="1"/>
  <c r="BW635" i="5"/>
  <c r="BW429" i="5"/>
  <c r="BW431" i="5" s="1"/>
  <c r="BW823" i="5"/>
  <c r="AZ1" i="3"/>
  <c r="AY5" i="3"/>
  <c r="BX426" i="5"/>
  <c r="AX21" i="7" l="1"/>
  <c r="AX17" i="7"/>
  <c r="AX41" i="7" s="1"/>
  <c r="AX42" i="7" s="1"/>
  <c r="AY20" i="7"/>
  <c r="AY16" i="7"/>
  <c r="AZ19" i="7"/>
  <c r="AZ15" i="7"/>
  <c r="BA14" i="7"/>
  <c r="AV43" i="7"/>
  <c r="AV8" i="7"/>
  <c r="AV7" i="7" s="1"/>
  <c r="AV18" i="2" s="1"/>
  <c r="AW21" i="7"/>
  <c r="AW42" i="7"/>
  <c r="AU43" i="2"/>
  <c r="AU46" i="2" s="1"/>
  <c r="AU47" i="2" s="1"/>
  <c r="AU48" i="2" s="1"/>
  <c r="AU24" i="2"/>
  <c r="AU25" i="2" s="1"/>
  <c r="AU26" i="2" s="1"/>
  <c r="AU12" i="2"/>
  <c r="AU35" i="2"/>
  <c r="BA4" i="2"/>
  <c r="AZ4" i="7"/>
  <c r="BI11" i="7"/>
  <c r="BI10" i="7" s="1"/>
  <c r="BE10" i="7"/>
  <c r="BF45" i="7"/>
  <c r="BF46" i="7" s="1"/>
  <c r="BF55" i="7" s="1"/>
  <c r="AT11" i="2"/>
  <c r="BC45" i="7"/>
  <c r="BC46" i="7" s="1"/>
  <c r="BC55" i="7" s="1"/>
  <c r="AZ45" i="7"/>
  <c r="AZ46" i="7" s="1"/>
  <c r="AZ55" i="7" s="1"/>
  <c r="AT29" i="2"/>
  <c r="AT60" i="2"/>
  <c r="AT65" i="2" s="1"/>
  <c r="AT79" i="2" s="1"/>
  <c r="AT80" i="2" s="1"/>
  <c r="AX9" i="7"/>
  <c r="AX56" i="7"/>
  <c r="BW430" i="5"/>
  <c r="CF416" i="5"/>
  <c r="CF269" i="5"/>
  <c r="A416" i="5"/>
  <c r="A417" i="5" s="1"/>
  <c r="BA1" i="3"/>
  <c r="AZ5" i="3"/>
  <c r="CF637" i="5"/>
  <c r="CF267" i="5"/>
  <c r="BX836" i="5"/>
  <c r="BX430" i="5"/>
  <c r="BX823" i="5"/>
  <c r="BX437" i="5"/>
  <c r="BW822" i="5"/>
  <c r="BW657" i="5"/>
  <c r="BW292" i="5"/>
  <c r="BX635" i="5"/>
  <c r="BA1" i="2"/>
  <c r="AZ5" i="2"/>
  <c r="AZ5" i="7" s="1"/>
  <c r="CF778" i="5"/>
  <c r="BW803" i="5"/>
  <c r="BW804" i="5" s="1"/>
  <c r="BW817" i="5" s="1"/>
  <c r="BX797" i="5"/>
  <c r="BC627" i="5"/>
  <c r="BB628" i="5"/>
  <c r="BB831" i="5" s="1"/>
  <c r="AX43" i="7" l="1"/>
  <c r="AX8" i="7"/>
  <c r="AX7" i="7" s="1"/>
  <c r="AX18" i="2" s="1"/>
  <c r="AY21" i="7"/>
  <c r="AY17" i="7"/>
  <c r="AY41" i="7" s="1"/>
  <c r="AY42" i="7" s="1"/>
  <c r="AZ20" i="7"/>
  <c r="AZ16" i="7"/>
  <c r="BA19" i="7"/>
  <c r="BA15" i="7"/>
  <c r="BB14" i="7"/>
  <c r="AW43" i="7"/>
  <c r="AW8" i="7"/>
  <c r="AW7" i="7" s="1"/>
  <c r="AW18" i="2" s="1"/>
  <c r="AV40" i="2"/>
  <c r="AV41" i="2" s="1"/>
  <c r="AV43" i="2" s="1"/>
  <c r="AV46" i="2" s="1"/>
  <c r="AV47" i="2" s="1"/>
  <c r="AV48" i="2" s="1"/>
  <c r="AV19" i="2"/>
  <c r="BB56" i="7"/>
  <c r="BB9" i="7"/>
  <c r="BA45" i="7"/>
  <c r="BA46" i="7" s="1"/>
  <c r="BA55" i="7" s="1"/>
  <c r="BD45" i="7"/>
  <c r="BD46" i="7" s="1"/>
  <c r="BD55" i="7" s="1"/>
  <c r="BB4" i="2"/>
  <c r="BA4" i="7"/>
  <c r="BF9" i="7"/>
  <c r="BF56" i="7"/>
  <c r="AT72" i="2"/>
  <c r="AT73" i="2"/>
  <c r="AY9" i="7"/>
  <c r="AY56" i="7"/>
  <c r="BG45" i="7"/>
  <c r="BG46" i="7" s="1"/>
  <c r="BG55" i="7" s="1"/>
  <c r="AU11" i="2"/>
  <c r="AU60" i="2"/>
  <c r="AU65" i="2" s="1"/>
  <c r="AU79" i="2" s="1"/>
  <c r="AU29" i="2"/>
  <c r="BD627" i="5"/>
  <c r="BD628" i="5" s="1"/>
  <c r="BC628" i="5"/>
  <c r="BC831" i="5" s="1"/>
  <c r="BW664" i="5"/>
  <c r="BW478" i="5"/>
  <c r="BX838" i="5"/>
  <c r="BX822" i="5"/>
  <c r="BX657" i="5"/>
  <c r="BX292" i="5"/>
  <c r="BX441" i="5"/>
  <c r="BX432" i="5"/>
  <c r="BX803" i="5"/>
  <c r="BX804" i="5" s="1"/>
  <c r="BX817" i="5" s="1"/>
  <c r="BB1" i="3"/>
  <c r="BA5" i="3"/>
  <c r="CF270" i="5"/>
  <c r="BB1" i="2"/>
  <c r="BA5" i="2"/>
  <c r="BA5" i="7" s="1"/>
  <c r="A893" i="5"/>
  <c r="BX417" i="5"/>
  <c r="BX271" i="5" s="1"/>
  <c r="CF417" i="5"/>
  <c r="CF271" i="5" s="1"/>
  <c r="CE417" i="5"/>
  <c r="CE271" i="5" s="1"/>
  <c r="CC417" i="5"/>
  <c r="CC271" i="5" s="1"/>
  <c r="BV417" i="5"/>
  <c r="BV271" i="5" s="1"/>
  <c r="CD417" i="5"/>
  <c r="CD271" i="5" s="1"/>
  <c r="CB417" i="5"/>
  <c r="CB271" i="5" s="1"/>
  <c r="CA417" i="5"/>
  <c r="CA271" i="5" s="1"/>
  <c r="BZ417" i="5"/>
  <c r="BZ271" i="5" s="1"/>
  <c r="BY417" i="5"/>
  <c r="BY271" i="5" s="1"/>
  <c r="BU417" i="5"/>
  <c r="BU271" i="5" s="1"/>
  <c r="BT417" i="5"/>
  <c r="BT271" i="5" s="1"/>
  <c r="BW417" i="5"/>
  <c r="BW271" i="5" s="1"/>
  <c r="BW441" i="5"/>
  <c r="BW432" i="5"/>
  <c r="AX40" i="2" l="1"/>
  <c r="AX41" i="2" s="1"/>
  <c r="AX43" i="2" s="1"/>
  <c r="AX46" i="2" s="1"/>
  <c r="AX47" i="2" s="1"/>
  <c r="AX48" i="2" s="1"/>
  <c r="AX19" i="2"/>
  <c r="AY43" i="7"/>
  <c r="AY8" i="7"/>
  <c r="AY7" i="7" s="1"/>
  <c r="AY18" i="2" s="1"/>
  <c r="AZ21" i="7"/>
  <c r="AZ17" i="7"/>
  <c r="AZ41" i="7" s="1"/>
  <c r="AZ42" i="7" s="1"/>
  <c r="BA20" i="7"/>
  <c r="BA16" i="7"/>
  <c r="BB19" i="7"/>
  <c r="BB15" i="7"/>
  <c r="BC14" i="7"/>
  <c r="AW19" i="2"/>
  <c r="AW40" i="2"/>
  <c r="AW41" i="2" s="1"/>
  <c r="AW43" i="2" s="1"/>
  <c r="AW46" i="2" s="1"/>
  <c r="AW47" i="2" s="1"/>
  <c r="AW48" i="2" s="1"/>
  <c r="AV21" i="2"/>
  <c r="AV12" i="2"/>
  <c r="AU73" i="2"/>
  <c r="AU72" i="2"/>
  <c r="BC4" i="2"/>
  <c r="BB4" i="7"/>
  <c r="AU80" i="2"/>
  <c r="BC56" i="7"/>
  <c r="BC9" i="7"/>
  <c r="AZ9" i="7"/>
  <c r="AZ56" i="7"/>
  <c r="AT90" i="2"/>
  <c r="AT75" i="2"/>
  <c r="AT77" i="2" s="1"/>
  <c r="AT54" i="2" s="1"/>
  <c r="BG56" i="7"/>
  <c r="BG9" i="7"/>
  <c r="BH45" i="7"/>
  <c r="BH46" i="7" s="1"/>
  <c r="BH55" i="7" s="1"/>
  <c r="BE45" i="7"/>
  <c r="BE46" i="7" s="1"/>
  <c r="BE55" i="7" s="1"/>
  <c r="BX664" i="5"/>
  <c r="BX478" i="5"/>
  <c r="BC1" i="3"/>
  <c r="BB5" i="3"/>
  <c r="BX435" i="5"/>
  <c r="BX447" i="5"/>
  <c r="BX442" i="5" s="1"/>
  <c r="BW495" i="5"/>
  <c r="BC1" i="2"/>
  <c r="BB5" i="2"/>
  <c r="BB5" i="7" s="1"/>
  <c r="BW480" i="5"/>
  <c r="BX839" i="5"/>
  <c r="BW447" i="5"/>
  <c r="BW488" i="5" s="1"/>
  <c r="BW699" i="5" s="1"/>
  <c r="BW435" i="5"/>
  <c r="BE627" i="5"/>
  <c r="BD831" i="5"/>
  <c r="AX21" i="2" l="1"/>
  <c r="AX12" i="2"/>
  <c r="AY40" i="2"/>
  <c r="AY41" i="2" s="1"/>
  <c r="AY43" i="2" s="1"/>
  <c r="AY46" i="2" s="1"/>
  <c r="AY47" i="2" s="1"/>
  <c r="AY48" i="2" s="1"/>
  <c r="AY19" i="2"/>
  <c r="AZ43" i="7"/>
  <c r="AZ8" i="7"/>
  <c r="AZ7" i="7" s="1"/>
  <c r="AZ18" i="2" s="1"/>
  <c r="BA21" i="7"/>
  <c r="BA17" i="7"/>
  <c r="BA41" i="7" s="1"/>
  <c r="BA42" i="7" s="1"/>
  <c r="BB20" i="7"/>
  <c r="BB16" i="7"/>
  <c r="BB21" i="7"/>
  <c r="BB17" i="7"/>
  <c r="BB41" i="7" s="1"/>
  <c r="BB42" i="7" s="1"/>
  <c r="BC19" i="7"/>
  <c r="BC15" i="7"/>
  <c r="BD14" i="7"/>
  <c r="AV24" i="2"/>
  <c r="AV25" i="2" s="1"/>
  <c r="AV26" i="2" s="1"/>
  <c r="AV35" i="2"/>
  <c r="AV11" i="2" s="1"/>
  <c r="AW21" i="2"/>
  <c r="AW12" i="2"/>
  <c r="BA9" i="7"/>
  <c r="BA56" i="7"/>
  <c r="AU90" i="2"/>
  <c r="AU75" i="2"/>
  <c r="AU77" i="2" s="1"/>
  <c r="AU54" i="2" s="1"/>
  <c r="BI45" i="7"/>
  <c r="BI46" i="7" s="1"/>
  <c r="BI55" i="7" s="1"/>
  <c r="BH56" i="7"/>
  <c r="BH9" i="7"/>
  <c r="BD56" i="7"/>
  <c r="BD9" i="7"/>
  <c r="BD4" i="2"/>
  <c r="BC4" i="7"/>
  <c r="AT58" i="2"/>
  <c r="AT57" i="2"/>
  <c r="BF627" i="5"/>
  <c r="BE628" i="5"/>
  <c r="BE831" i="5" s="1"/>
  <c r="BD1" i="2"/>
  <c r="BC5" i="2"/>
  <c r="BC5" i="7" s="1"/>
  <c r="BW496" i="5"/>
  <c r="BW497" i="5" s="1"/>
  <c r="BW498" i="5" s="1"/>
  <c r="BW448" i="5"/>
  <c r="BW443" i="5" s="1"/>
  <c r="BW442" i="5"/>
  <c r="BW482" i="5"/>
  <c r="BW479" i="5"/>
  <c r="BW499" i="5"/>
  <c r="BW500" i="5" s="1"/>
  <c r="BW501" i="5" s="1"/>
  <c r="BW502" i="5" s="1"/>
  <c r="BW481" i="5"/>
  <c r="BX448" i="5"/>
  <c r="BX443" i="5" s="1"/>
  <c r="BX528" i="5" s="1"/>
  <c r="BW708" i="5"/>
  <c r="BW711" i="5" s="1"/>
  <c r="BW811" i="5"/>
  <c r="BX811" i="5" s="1"/>
  <c r="BD1" i="3"/>
  <c r="BC5" i="3"/>
  <c r="BX495" i="5"/>
  <c r="BX496" i="5" s="1"/>
  <c r="BX497" i="5" s="1"/>
  <c r="BX498" i="5" s="1"/>
  <c r="BX481" i="5"/>
  <c r="BX480" i="5"/>
  <c r="BX711" i="5"/>
  <c r="BX714" i="5" s="1"/>
  <c r="AX35" i="2" l="1"/>
  <c r="AX11" i="2" s="1"/>
  <c r="AX24" i="2"/>
  <c r="AX25" i="2" s="1"/>
  <c r="AX26" i="2" s="1"/>
  <c r="AY21" i="2"/>
  <c r="AY35" i="2" s="1"/>
  <c r="AY11" i="2" s="1"/>
  <c r="AY12" i="2"/>
  <c r="BA8" i="7"/>
  <c r="BA7" i="7" s="1"/>
  <c r="BA18" i="2" s="1"/>
  <c r="BA43" i="7"/>
  <c r="AZ19" i="2"/>
  <c r="AZ40" i="2"/>
  <c r="AZ41" i="2" s="1"/>
  <c r="BC20" i="7"/>
  <c r="BC16" i="7"/>
  <c r="BB43" i="7"/>
  <c r="BB8" i="7"/>
  <c r="BB7" i="7" s="1"/>
  <c r="BB18" i="2" s="1"/>
  <c r="BC21" i="7"/>
  <c r="BC17" i="7"/>
  <c r="BC41" i="7" s="1"/>
  <c r="BC42" i="7" s="1"/>
  <c r="BD19" i="7"/>
  <c r="BD15" i="7"/>
  <c r="BE14" i="7"/>
  <c r="AW24" i="2"/>
  <c r="AW25" i="2" s="1"/>
  <c r="AW26" i="2" s="1"/>
  <c r="AW35" i="2"/>
  <c r="AW11" i="2" s="1"/>
  <c r="AV29" i="2"/>
  <c r="AV60" i="2"/>
  <c r="AV65" i="2" s="1"/>
  <c r="AV79" i="2" s="1"/>
  <c r="AZ43" i="2"/>
  <c r="AZ46" i="2" s="1"/>
  <c r="AZ47" i="2" s="1"/>
  <c r="AZ48" i="2" s="1"/>
  <c r="AY24" i="2"/>
  <c r="AY25" i="2" s="1"/>
  <c r="AY26" i="2" s="1"/>
  <c r="AY60" i="2" s="1"/>
  <c r="AY65" i="2" s="1"/>
  <c r="AY79" i="2" s="1"/>
  <c r="BE56" i="7"/>
  <c r="BE9" i="7"/>
  <c r="AU58" i="2"/>
  <c r="AU57" i="2"/>
  <c r="BI56" i="7"/>
  <c r="BI9" i="7"/>
  <c r="BE4" i="2"/>
  <c r="BD4" i="7"/>
  <c r="BX482" i="5"/>
  <c r="BX530" i="5" s="1"/>
  <c r="BX499" i="5"/>
  <c r="BX479" i="5"/>
  <c r="BE1" i="3"/>
  <c r="BD5" i="3"/>
  <c r="BY713" i="5"/>
  <c r="BX831" i="5"/>
  <c r="CC713" i="5"/>
  <c r="BW754" i="5"/>
  <c r="BW714" i="5"/>
  <c r="BE1" i="2"/>
  <c r="BD5" i="2"/>
  <c r="BD5" i="7" s="1"/>
  <c r="BG627" i="5"/>
  <c r="BF628" i="5"/>
  <c r="BF831" i="5" s="1"/>
  <c r="AX60" i="2" l="1"/>
  <c r="AX65" i="2" s="1"/>
  <c r="AX79" i="2" s="1"/>
  <c r="AX29" i="2"/>
  <c r="AX72" i="2"/>
  <c r="AZ21" i="2"/>
  <c r="AZ35" i="2" s="1"/>
  <c r="AZ11" i="2" s="1"/>
  <c r="AZ12" i="2"/>
  <c r="BA40" i="2"/>
  <c r="BA41" i="2" s="1"/>
  <c r="BA43" i="2" s="1"/>
  <c r="BA46" i="2" s="1"/>
  <c r="BA47" i="2" s="1"/>
  <c r="BA48" i="2" s="1"/>
  <c r="BA19" i="2"/>
  <c r="AZ24" i="2"/>
  <c r="AZ25" i="2" s="1"/>
  <c r="AZ26" i="2" s="1"/>
  <c r="BD20" i="7"/>
  <c r="BD16" i="7"/>
  <c r="BB40" i="2"/>
  <c r="BB41" i="2" s="1"/>
  <c r="BB43" i="2" s="1"/>
  <c r="BB46" i="2" s="1"/>
  <c r="BB47" i="2" s="1"/>
  <c r="BB48" i="2" s="1"/>
  <c r="BB19" i="2"/>
  <c r="BC8" i="7"/>
  <c r="BC7" i="7" s="1"/>
  <c r="BC18" i="2" s="1"/>
  <c r="BC43" i="7"/>
  <c r="BD21" i="7"/>
  <c r="BD17" i="7"/>
  <c r="BD41" i="7" s="1"/>
  <c r="BD42" i="7" s="1"/>
  <c r="BE19" i="7"/>
  <c r="BE15" i="7"/>
  <c r="BF14" i="7"/>
  <c r="AW60" i="2"/>
  <c r="AW65" i="2" s="1"/>
  <c r="AW79" i="2" s="1"/>
  <c r="AW80" i="2" s="1"/>
  <c r="AW29" i="2"/>
  <c r="AV72" i="2"/>
  <c r="AV73" i="2"/>
  <c r="AV80" i="2"/>
  <c r="AY29" i="2"/>
  <c r="AY73" i="2"/>
  <c r="AY72" i="2"/>
  <c r="BF4" i="2"/>
  <c r="BE4" i="7"/>
  <c r="AY80" i="2"/>
  <c r="BH627" i="5"/>
  <c r="BG628" i="5"/>
  <c r="BG831" i="5" s="1"/>
  <c r="BX531" i="5"/>
  <c r="BX500" i="5"/>
  <c r="BX501" i="5" s="1"/>
  <c r="BX502" i="5" s="1"/>
  <c r="BF1" i="2"/>
  <c r="BE5" i="2"/>
  <c r="BE5" i="7" s="1"/>
  <c r="BW719" i="5"/>
  <c r="BW831" i="5"/>
  <c r="BW765" i="5"/>
  <c r="BW779" i="5" s="1"/>
  <c r="BW819" i="5" s="1"/>
  <c r="BX754" i="5"/>
  <c r="BW505" i="5"/>
  <c r="BF1" i="3"/>
  <c r="BE5" i="3"/>
  <c r="AX73" i="2" l="1"/>
  <c r="AX75" i="2" s="1"/>
  <c r="AX77" i="2" s="1"/>
  <c r="AX80" i="2"/>
  <c r="AX90" i="2"/>
  <c r="BA21" i="2"/>
  <c r="BA12" i="2"/>
  <c r="AZ29" i="2"/>
  <c r="AZ60" i="2"/>
  <c r="AZ65" i="2" s="1"/>
  <c r="AZ79" i="2" s="1"/>
  <c r="BE20" i="7"/>
  <c r="BE16" i="7"/>
  <c r="BB12" i="2"/>
  <c r="BB21" i="2"/>
  <c r="BC19" i="2"/>
  <c r="BC40" i="2"/>
  <c r="BC41" i="2" s="1"/>
  <c r="BC43" i="2" s="1"/>
  <c r="BC46" i="2" s="1"/>
  <c r="BC47" i="2" s="1"/>
  <c r="BC48" i="2" s="1"/>
  <c r="BD8" i="7"/>
  <c r="BD7" i="7" s="1"/>
  <c r="BD18" i="2" s="1"/>
  <c r="BD43" i="7"/>
  <c r="BE21" i="7"/>
  <c r="BE17" i="7"/>
  <c r="BE41" i="7" s="1"/>
  <c r="BE42" i="7" s="1"/>
  <c r="BF19" i="7"/>
  <c r="BF15" i="7"/>
  <c r="BG14" i="7"/>
  <c r="AW72" i="2"/>
  <c r="AW73" i="2"/>
  <c r="BU73" i="2" s="1"/>
  <c r="AV90" i="2"/>
  <c r="AV75" i="2"/>
  <c r="AV77" i="2" s="1"/>
  <c r="AV54" i="2" s="1"/>
  <c r="AY90" i="2"/>
  <c r="AY75" i="2"/>
  <c r="AY77" i="2" s="1"/>
  <c r="BG4" i="2"/>
  <c r="BF4" i="7"/>
  <c r="BG1" i="3"/>
  <c r="BF5" i="3"/>
  <c r="BX765" i="5"/>
  <c r="BX779" i="5" s="1"/>
  <c r="BX819" i="5" s="1"/>
  <c r="BX505" i="5"/>
  <c r="BX719" i="5"/>
  <c r="BG1" i="2"/>
  <c r="BF5" i="2"/>
  <c r="BF5" i="7" s="1"/>
  <c r="BW824" i="5"/>
  <c r="BW510" i="5"/>
  <c r="BW526" i="5" s="1"/>
  <c r="BI627" i="5"/>
  <c r="BI628" i="5" s="1"/>
  <c r="BH628" i="5"/>
  <c r="BH831" i="5" s="1"/>
  <c r="AZ80" i="2" l="1"/>
  <c r="AZ72" i="2"/>
  <c r="AZ73" i="2"/>
  <c r="BA24" i="2"/>
  <c r="BA25" i="2" s="1"/>
  <c r="BA26" i="2" s="1"/>
  <c r="BA35" i="2"/>
  <c r="BF20" i="7"/>
  <c r="BF16" i="7"/>
  <c r="BB24" i="2"/>
  <c r="BB25" i="2" s="1"/>
  <c r="BB26" i="2" s="1"/>
  <c r="BB35" i="2"/>
  <c r="BB11" i="2" s="1"/>
  <c r="BC12" i="2"/>
  <c r="BC21" i="2"/>
  <c r="BD40" i="2"/>
  <c r="BD41" i="2" s="1"/>
  <c r="BD43" i="2" s="1"/>
  <c r="BD46" i="2" s="1"/>
  <c r="BD47" i="2" s="1"/>
  <c r="BD48" i="2" s="1"/>
  <c r="BD19" i="2"/>
  <c r="BE8" i="7"/>
  <c r="BE7" i="7" s="1"/>
  <c r="BE18" i="2" s="1"/>
  <c r="BE43" i="7"/>
  <c r="BF21" i="7"/>
  <c r="BF17" i="7"/>
  <c r="BF41" i="7" s="1"/>
  <c r="BF42" i="7" s="1"/>
  <c r="BG19" i="7"/>
  <c r="BG15" i="7"/>
  <c r="BH14" i="7"/>
  <c r="AW90" i="2"/>
  <c r="AW75" i="2"/>
  <c r="AW77" i="2" s="1"/>
  <c r="AW54" i="2" s="1"/>
  <c r="AV57" i="2"/>
  <c r="AV58" i="2"/>
  <c r="BH4" i="2"/>
  <c r="BG4" i="7"/>
  <c r="BJ627" i="5"/>
  <c r="BI831" i="5"/>
  <c r="BH1" i="2"/>
  <c r="BG5" i="2"/>
  <c r="BG5" i="7" s="1"/>
  <c r="BX824" i="5"/>
  <c r="BY514" i="5"/>
  <c r="BX510" i="5"/>
  <c r="BH1" i="3"/>
  <c r="BG5" i="3"/>
  <c r="AZ75" i="2" l="1"/>
  <c r="AZ77" i="2" s="1"/>
  <c r="AZ90" i="2"/>
  <c r="BA60" i="2"/>
  <c r="BA65" i="2" s="1"/>
  <c r="BA79" i="2" s="1"/>
  <c r="BA29" i="2"/>
  <c r="BA11" i="2"/>
  <c r="BA80" i="2"/>
  <c r="BG20" i="7"/>
  <c r="BG16" i="7"/>
  <c r="BB60" i="2"/>
  <c r="BB65" i="2" s="1"/>
  <c r="BB79" i="2" s="1"/>
  <c r="BB29" i="2"/>
  <c r="BC24" i="2"/>
  <c r="BC25" i="2" s="1"/>
  <c r="BC26" i="2" s="1"/>
  <c r="BC35" i="2"/>
  <c r="BD12" i="2"/>
  <c r="BD21" i="2"/>
  <c r="BE40" i="2"/>
  <c r="BE41" i="2" s="1"/>
  <c r="BE43" i="2" s="1"/>
  <c r="BE46" i="2" s="1"/>
  <c r="BE47" i="2" s="1"/>
  <c r="BE48" i="2" s="1"/>
  <c r="BE19" i="2"/>
  <c r="BF8" i="7"/>
  <c r="BF7" i="7" s="1"/>
  <c r="BF18" i="2" s="1"/>
  <c r="BF43" i="7"/>
  <c r="BG21" i="7"/>
  <c r="BG17" i="7"/>
  <c r="BG41" i="7" s="1"/>
  <c r="BG42" i="7" s="1"/>
  <c r="BH19" i="7"/>
  <c r="BH15" i="7"/>
  <c r="BI14" i="7"/>
  <c r="AW57" i="2"/>
  <c r="AX54" i="2"/>
  <c r="AW58" i="2"/>
  <c r="BI4" i="2"/>
  <c r="BI4" i="7" s="1"/>
  <c r="BH4" i="7"/>
  <c r="BX526" i="5"/>
  <c r="BX520" i="5"/>
  <c r="BX521" i="5"/>
  <c r="BI1" i="3"/>
  <c r="BH5" i="3"/>
  <c r="BY516" i="5"/>
  <c r="BI1" i="2"/>
  <c r="BK46" i="2" s="1"/>
  <c r="BH5" i="2"/>
  <c r="BH5" i="7" s="1"/>
  <c r="BK627" i="5"/>
  <c r="BJ628" i="5"/>
  <c r="BJ831" i="5" s="1"/>
  <c r="BA73" i="2" l="1"/>
  <c r="BV73" i="2" s="1"/>
  <c r="BA72" i="2"/>
  <c r="BV72" i="2" s="1"/>
  <c r="BH20" i="7"/>
  <c r="BH16" i="7"/>
  <c r="BB73" i="2"/>
  <c r="BB72" i="2"/>
  <c r="BB80" i="2"/>
  <c r="BC60" i="2"/>
  <c r="BC65" i="2" s="1"/>
  <c r="BC29" i="2"/>
  <c r="BC11" i="2"/>
  <c r="BD24" i="2"/>
  <c r="BD25" i="2" s="1"/>
  <c r="BD26" i="2" s="1"/>
  <c r="BD35" i="2"/>
  <c r="BE12" i="2"/>
  <c r="BE21" i="2"/>
  <c r="BF19" i="2"/>
  <c r="BF40" i="2"/>
  <c r="BG43" i="7"/>
  <c r="BG8" i="7"/>
  <c r="BG7" i="7" s="1"/>
  <c r="BG18" i="2" s="1"/>
  <c r="BH21" i="7"/>
  <c r="BH17" i="7"/>
  <c r="BH41" i="7" s="1"/>
  <c r="BH42" i="7" s="1"/>
  <c r="BI19" i="7"/>
  <c r="BI15" i="7"/>
  <c r="AX58" i="2"/>
  <c r="AX57" i="2"/>
  <c r="AY54" i="2"/>
  <c r="BK85" i="2"/>
  <c r="BK86" i="2"/>
  <c r="BL88" i="2"/>
  <c r="BK88" i="2"/>
  <c r="BL86" i="2"/>
  <c r="BL85" i="2"/>
  <c r="BL627" i="5"/>
  <c r="BK628" i="5"/>
  <c r="BK831" i="5" s="1"/>
  <c r="BK63" i="2"/>
  <c r="BK23" i="2"/>
  <c r="BK27" i="2"/>
  <c r="BK71" i="2"/>
  <c r="BK54" i="2"/>
  <c r="BM50" i="2"/>
  <c r="BK45" i="2"/>
  <c r="BR41" i="2"/>
  <c r="BK40" i="2"/>
  <c r="BK18" i="2"/>
  <c r="BK66" i="2"/>
  <c r="BQ22" i="2"/>
  <c r="BM19" i="2"/>
  <c r="BK93" i="2"/>
  <c r="BW61" i="2"/>
  <c r="BQ50" i="2"/>
  <c r="G36" i="1" s="1"/>
  <c r="BP93" i="2"/>
  <c r="BP62" i="2"/>
  <c r="BS48" i="2"/>
  <c r="BN63" i="2"/>
  <c r="BM67" i="2"/>
  <c r="BN68" i="2"/>
  <c r="BN91" i="2"/>
  <c r="BU19" i="2"/>
  <c r="BU46" i="2"/>
  <c r="BS91" i="2"/>
  <c r="BR28" i="2"/>
  <c r="BP20" i="2"/>
  <c r="BM33" i="2"/>
  <c r="BR69" i="2"/>
  <c r="BQ26" i="2"/>
  <c r="BN86" i="2"/>
  <c r="BP91" i="2"/>
  <c r="BU79" i="2"/>
  <c r="BO21" i="2"/>
  <c r="BW56" i="2"/>
  <c r="BM72" i="2"/>
  <c r="BU80" i="2"/>
  <c r="BQ69" i="2"/>
  <c r="BN24" i="2"/>
  <c r="BO60" i="2"/>
  <c r="BR87" i="2"/>
  <c r="BT50" i="2"/>
  <c r="J36" i="1" s="1"/>
  <c r="BX66" i="2"/>
  <c r="BK64" i="2"/>
  <c r="BO56" i="2"/>
  <c r="BO26" i="2"/>
  <c r="BU70" i="2"/>
  <c r="BT46" i="2"/>
  <c r="BP88" i="2"/>
  <c r="BL28" i="2"/>
  <c r="BO47" i="2"/>
  <c r="BR63" i="2"/>
  <c r="BK67" i="2"/>
  <c r="BU23" i="2"/>
  <c r="BW33" i="2"/>
  <c r="BV35" i="2"/>
  <c r="BU24" i="2"/>
  <c r="BO91" i="2"/>
  <c r="BP50" i="2"/>
  <c r="BW67" i="2"/>
  <c r="BQ71" i="2"/>
  <c r="BS65" i="2"/>
  <c r="BO94" i="2"/>
  <c r="BK56" i="2"/>
  <c r="BS87" i="2"/>
  <c r="BN35" i="2"/>
  <c r="BX44" i="2"/>
  <c r="BV79" i="2"/>
  <c r="BV69" i="2"/>
  <c r="BK60" i="2"/>
  <c r="BT39" i="2"/>
  <c r="BT19" i="2"/>
  <c r="BR45" i="2"/>
  <c r="BW63" i="2"/>
  <c r="BK50" i="2"/>
  <c r="BT54" i="2"/>
  <c r="BL63" i="2"/>
  <c r="BX70" i="2"/>
  <c r="BL18" i="2"/>
  <c r="BR61" i="2"/>
  <c r="BT91" i="2"/>
  <c r="BN45" i="2"/>
  <c r="BU54" i="2"/>
  <c r="BQ29" i="2"/>
  <c r="BS27" i="2"/>
  <c r="BK80" i="2"/>
  <c r="BL47" i="2"/>
  <c r="BN80" i="2"/>
  <c r="BS28" i="2"/>
  <c r="BN29" i="2"/>
  <c r="BR85" i="2"/>
  <c r="BO22" i="2"/>
  <c r="BU35" i="2"/>
  <c r="BQ20" i="2"/>
  <c r="BQ91" i="2"/>
  <c r="BP64" i="2"/>
  <c r="BU67" i="2"/>
  <c r="BR62" i="2"/>
  <c r="BL91" i="2"/>
  <c r="BN50" i="2"/>
  <c r="BU90" i="2"/>
  <c r="BU55" i="2"/>
  <c r="BL61" i="2"/>
  <c r="BN55" i="2"/>
  <c r="BL65" i="2"/>
  <c r="BK44" i="2"/>
  <c r="BN26" i="2"/>
  <c r="BL41" i="2"/>
  <c r="BX33" i="2"/>
  <c r="BQ86" i="2"/>
  <c r="BR40" i="2"/>
  <c r="BL94" i="2"/>
  <c r="BP32" i="2"/>
  <c r="BL96" i="2"/>
  <c r="BL80" i="2"/>
  <c r="BT61" i="2"/>
  <c r="BP46" i="2"/>
  <c r="BU41" i="2"/>
  <c r="BO39" i="2"/>
  <c r="BU69" i="2"/>
  <c r="BO71" i="2"/>
  <c r="BL45" i="2"/>
  <c r="BS42" i="2"/>
  <c r="BL70" i="2"/>
  <c r="BV44" i="2"/>
  <c r="BN60" i="2"/>
  <c r="BX34" i="2"/>
  <c r="BS24" i="2"/>
  <c r="BS62" i="2"/>
  <c r="BU66" i="2"/>
  <c r="BO64" i="2"/>
  <c r="BL54" i="2"/>
  <c r="BW74" i="2"/>
  <c r="BS85" i="2"/>
  <c r="BX55" i="2"/>
  <c r="BR90" i="2"/>
  <c r="BS33" i="2"/>
  <c r="BQ84" i="2"/>
  <c r="BO42" i="2"/>
  <c r="BL79" i="2"/>
  <c r="BU75" i="2"/>
  <c r="BO44" i="2"/>
  <c r="BX39" i="2"/>
  <c r="BV22" i="2"/>
  <c r="BN41" i="2"/>
  <c r="BU65" i="2"/>
  <c r="BL84" i="2"/>
  <c r="BL23" i="2"/>
  <c r="BL25" i="2"/>
  <c r="BQ28" i="2"/>
  <c r="BS23" i="2"/>
  <c r="BR86" i="2"/>
  <c r="BN44" i="2"/>
  <c r="BO79" i="2"/>
  <c r="BV55" i="2"/>
  <c r="BQ27" i="2"/>
  <c r="BT72" i="2"/>
  <c r="BX45" i="2"/>
  <c r="BW41" i="2"/>
  <c r="BW40" i="2"/>
  <c r="BM29" i="2"/>
  <c r="BN20" i="2"/>
  <c r="BP90" i="2"/>
  <c r="BR80" i="2"/>
  <c r="BU40" i="2"/>
  <c r="BT28" i="2"/>
  <c r="BS35" i="2"/>
  <c r="I12" i="1" s="1"/>
  <c r="BK69" i="2"/>
  <c r="BO27" i="2"/>
  <c r="BS41" i="2"/>
  <c r="BV71" i="2"/>
  <c r="BM56" i="2"/>
  <c r="BS64" i="2"/>
  <c r="BN42" i="2"/>
  <c r="BQ88" i="2"/>
  <c r="BK90" i="2"/>
  <c r="BT41" i="2"/>
  <c r="BP65" i="2"/>
  <c r="BV29" i="2"/>
  <c r="BK61" i="2"/>
  <c r="BR43" i="2"/>
  <c r="BW66" i="2"/>
  <c r="BQ68" i="2"/>
  <c r="BU60" i="2"/>
  <c r="BT44" i="2"/>
  <c r="BO68" i="2"/>
  <c r="BP29" i="2"/>
  <c r="BK55" i="2"/>
  <c r="BT60" i="2"/>
  <c r="BU39" i="2"/>
  <c r="BV67" i="2"/>
  <c r="BX56" i="2"/>
  <c r="BK79" i="2"/>
  <c r="BV45" i="2"/>
  <c r="BS96" i="2"/>
  <c r="BK72" i="2"/>
  <c r="BL24" i="2"/>
  <c r="BL62" i="2"/>
  <c r="BM28" i="2"/>
  <c r="BP63" i="2"/>
  <c r="BT62" i="2"/>
  <c r="BO63" i="2"/>
  <c r="BQ40" i="2"/>
  <c r="BO84" i="2"/>
  <c r="BW28" i="2"/>
  <c r="BS25" i="2"/>
  <c r="BM61" i="2"/>
  <c r="BS93" i="2"/>
  <c r="BV63" i="2"/>
  <c r="BK33" i="2"/>
  <c r="BV88" i="2"/>
  <c r="BM18" i="2"/>
  <c r="BM91" i="2"/>
  <c r="BW44" i="2"/>
  <c r="BK29" i="2"/>
  <c r="BR91" i="2"/>
  <c r="BW46" i="2"/>
  <c r="BP94" i="2"/>
  <c r="BL29" i="2"/>
  <c r="BR20" i="2"/>
  <c r="BP26" i="2"/>
  <c r="BP55" i="2"/>
  <c r="BL67" i="2"/>
  <c r="BU20" i="2"/>
  <c r="BL46" i="2"/>
  <c r="BP41" i="2"/>
  <c r="BR46" i="2"/>
  <c r="BM25" i="2"/>
  <c r="BU62" i="2"/>
  <c r="BQ41" i="2"/>
  <c r="BV62" i="2"/>
  <c r="BR79" i="2"/>
  <c r="BN71" i="2"/>
  <c r="BV42" i="2"/>
  <c r="BK84" i="2"/>
  <c r="BP23" i="2"/>
  <c r="BM24" i="2"/>
  <c r="BT43" i="2"/>
  <c r="BM71" i="2"/>
  <c r="BV64" i="2"/>
  <c r="BS19" i="2"/>
  <c r="BT35" i="2"/>
  <c r="J12" i="1" s="1"/>
  <c r="BL35" i="2"/>
  <c r="BO88" i="2"/>
  <c r="BR55" i="2"/>
  <c r="BQ65" i="2"/>
  <c r="BN28" i="2"/>
  <c r="BT93" i="2"/>
  <c r="BN79" i="2"/>
  <c r="BL27" i="2"/>
  <c r="BK28" i="2"/>
  <c r="BW45" i="2"/>
  <c r="BQ56" i="2"/>
  <c r="BM54" i="2"/>
  <c r="BL60" i="2"/>
  <c r="BR54" i="2"/>
  <c r="BO46" i="2"/>
  <c r="BR68" i="2"/>
  <c r="BS61" i="2"/>
  <c r="BM68" i="2"/>
  <c r="BM34" i="2"/>
  <c r="BS94" i="2"/>
  <c r="BN93" i="2"/>
  <c r="BU27" i="2"/>
  <c r="BU17" i="2"/>
  <c r="BM46" i="2"/>
  <c r="BS72" i="2"/>
  <c r="BN54" i="2"/>
  <c r="BX71" i="2"/>
  <c r="BV74" i="2"/>
  <c r="BQ45" i="2"/>
  <c r="BN62" i="2"/>
  <c r="BL48" i="2"/>
  <c r="BT27" i="2"/>
  <c r="BV48" i="2"/>
  <c r="BL44" i="2"/>
  <c r="BN32" i="2"/>
  <c r="BL64" i="2"/>
  <c r="BX93" i="2"/>
  <c r="BM20" i="2"/>
  <c r="BR22" i="2"/>
  <c r="BQ25" i="2"/>
  <c r="BN61" i="2"/>
  <c r="BT23" i="2"/>
  <c r="BO40" i="2"/>
  <c r="BS84" i="2"/>
  <c r="BT70" i="2"/>
  <c r="BT84" i="2"/>
  <c r="BM62" i="2"/>
  <c r="BU72" i="2"/>
  <c r="BV66" i="2"/>
  <c r="BO32" i="2"/>
  <c r="BQ96" i="2"/>
  <c r="BU63" i="2"/>
  <c r="BO96" i="2"/>
  <c r="BW64" i="2"/>
  <c r="BL69" i="2"/>
  <c r="BQ48" i="2"/>
  <c r="BU77" i="2"/>
  <c r="BM87" i="2"/>
  <c r="BR50" i="2"/>
  <c r="H36" i="1" s="1"/>
  <c r="BM64" i="2"/>
  <c r="BN65" i="2"/>
  <c r="BU28" i="2"/>
  <c r="BN48" i="2"/>
  <c r="BO55" i="2"/>
  <c r="BM79" i="2"/>
  <c r="BP80" i="2"/>
  <c r="BP34" i="2"/>
  <c r="BS18" i="2"/>
  <c r="BV24" i="2"/>
  <c r="BM39" i="2"/>
  <c r="BV33" i="2"/>
  <c r="BN96" i="2"/>
  <c r="BO41" i="2"/>
  <c r="BR65" i="2"/>
  <c r="BP24" i="2"/>
  <c r="BW62" i="2"/>
  <c r="BQ42" i="2"/>
  <c r="BV70" i="2"/>
  <c r="BV23" i="2"/>
  <c r="BS39" i="2"/>
  <c r="BP44" i="2"/>
  <c r="BO45" i="2"/>
  <c r="BW55" i="2"/>
  <c r="BQ64" i="2"/>
  <c r="BN88" i="2"/>
  <c r="BU64" i="2"/>
  <c r="BN21" i="2"/>
  <c r="BN85" i="2"/>
  <c r="BP33" i="2"/>
  <c r="BP60" i="2"/>
  <c r="BM86" i="2"/>
  <c r="BX68" i="2"/>
  <c r="BT56" i="2"/>
  <c r="BM23" i="2"/>
  <c r="BK91" i="2"/>
  <c r="BS67" i="2"/>
  <c r="BV40" i="2"/>
  <c r="BO33" i="2"/>
  <c r="BQ17" i="2"/>
  <c r="BU45" i="2"/>
  <c r="BO67" i="2"/>
  <c r="BR71" i="2"/>
  <c r="BN69" i="2"/>
  <c r="BO62" i="2"/>
  <c r="BR27" i="2"/>
  <c r="BV18" i="2"/>
  <c r="BW88" i="2"/>
  <c r="BQ93" i="2"/>
  <c r="BN84" i="2"/>
  <c r="BO17" i="2"/>
  <c r="BN66" i="2"/>
  <c r="BU32" i="2"/>
  <c r="BV20" i="2"/>
  <c r="BU42" i="2"/>
  <c r="BL40" i="2"/>
  <c r="BL39" i="2"/>
  <c r="BO72" i="2"/>
  <c r="BV61" i="2"/>
  <c r="BW69" i="2"/>
  <c r="BS17" i="2"/>
  <c r="BS79" i="2"/>
  <c r="BL33" i="2"/>
  <c r="BR42" i="2"/>
  <c r="BW71" i="2"/>
  <c r="BM60" i="2"/>
  <c r="BS80" i="2"/>
  <c r="BN94" i="2"/>
  <c r="BL71" i="2"/>
  <c r="BN33" i="2"/>
  <c r="BT69" i="2"/>
  <c r="BR19" i="2"/>
  <c r="BM90" i="2"/>
  <c r="BM93" i="2"/>
  <c r="BR70" i="2"/>
  <c r="BX27" i="2"/>
  <c r="BR67" i="2"/>
  <c r="BP22" i="2"/>
  <c r="BS86" i="2"/>
  <c r="BV60" i="2"/>
  <c r="BP17" i="2"/>
  <c r="BQ47" i="2"/>
  <c r="BP70" i="2"/>
  <c r="BM22" i="2"/>
  <c r="BQ44" i="2"/>
  <c r="BU88" i="2"/>
  <c r="BT67" i="2"/>
  <c r="BN47" i="2"/>
  <c r="BU74" i="2"/>
  <c r="BM55" i="2"/>
  <c r="BQ60" i="2"/>
  <c r="BV28" i="2"/>
  <c r="BM66" i="2"/>
  <c r="BR23" i="2"/>
  <c r="BT55" i="2"/>
  <c r="BS60" i="2"/>
  <c r="BN64" i="2"/>
  <c r="BU56" i="2"/>
  <c r="BR48" i="2"/>
  <c r="BW68" i="2"/>
  <c r="BL93" i="2"/>
  <c r="BP69" i="2"/>
  <c r="BQ62" i="2"/>
  <c r="BP18" i="2"/>
  <c r="BS66" i="2"/>
  <c r="BT96" i="2"/>
  <c r="BV21" i="2"/>
  <c r="BT94" i="2"/>
  <c r="BQ34" i="2"/>
  <c r="BM70" i="2"/>
  <c r="BM88" i="2"/>
  <c r="BW48" i="2"/>
  <c r="BP68" i="2"/>
  <c r="BM44" i="2"/>
  <c r="BO93" i="2"/>
  <c r="BR84" i="2"/>
  <c r="BL55" i="2"/>
  <c r="BT17" i="2"/>
  <c r="BW93" i="2"/>
  <c r="BQ94" i="2"/>
  <c r="BT71" i="2"/>
  <c r="BW17" i="2"/>
  <c r="BS70" i="2"/>
  <c r="BM42" i="2"/>
  <c r="BS22" i="2"/>
  <c r="BP27" i="2"/>
  <c r="BS29" i="2"/>
  <c r="BQ67" i="2"/>
  <c r="BP87" i="2"/>
  <c r="BW20" i="2"/>
  <c r="BS45" i="2"/>
  <c r="BX42" i="2"/>
  <c r="BO50" i="2"/>
  <c r="BX69" i="2"/>
  <c r="BN67" i="2"/>
  <c r="BV80" i="2"/>
  <c r="BS32" i="2"/>
  <c r="BQ80" i="2"/>
  <c r="BL87" i="2"/>
  <c r="BR26" i="2"/>
  <c r="BP45" i="2"/>
  <c r="BT87" i="2"/>
  <c r="BX88" i="2"/>
  <c r="BS46" i="2"/>
  <c r="BV25" i="2"/>
  <c r="BU71" i="2"/>
  <c r="BK20" i="2"/>
  <c r="BK65" i="2"/>
  <c r="BX17" i="2"/>
  <c r="BT32" i="2"/>
  <c r="BP71" i="2"/>
  <c r="BO65" i="2"/>
  <c r="BN56" i="2"/>
  <c r="BX61" i="2"/>
  <c r="BT48" i="2"/>
  <c r="BQ32" i="2"/>
  <c r="BT42" i="2"/>
  <c r="BU48" i="2"/>
  <c r="BV39" i="2"/>
  <c r="BL19" i="2"/>
  <c r="BP61" i="2"/>
  <c r="BS43" i="2"/>
  <c r="BN23" i="2"/>
  <c r="BQ72" i="2"/>
  <c r="BP42" i="2"/>
  <c r="BX64" i="2"/>
  <c r="BM85" i="2"/>
  <c r="BO86" i="2"/>
  <c r="BL42" i="2"/>
  <c r="BO48" i="2"/>
  <c r="BU61" i="2"/>
  <c r="BM84" i="2"/>
  <c r="BR44" i="2"/>
  <c r="BL20" i="2"/>
  <c r="BP47" i="2"/>
  <c r="BS69" i="2"/>
  <c r="BW43" i="2"/>
  <c r="BS90" i="2"/>
  <c r="BU33" i="2"/>
  <c r="BN70" i="2"/>
  <c r="BX62" i="2"/>
  <c r="BL43" i="2"/>
  <c r="BR24" i="2"/>
  <c r="BT63" i="2"/>
  <c r="BR33" i="2"/>
  <c r="BN18" i="2"/>
  <c r="BP54" i="2"/>
  <c r="BX67" i="2"/>
  <c r="BM63" i="2"/>
  <c r="BQ33" i="2"/>
  <c r="BK35" i="2"/>
  <c r="BL50" i="2"/>
  <c r="BS20" i="2"/>
  <c r="BT79" i="2"/>
  <c r="BV46" i="2"/>
  <c r="BL72" i="2"/>
  <c r="BL22" i="2"/>
  <c r="BO23" i="2"/>
  <c r="BS44" i="2"/>
  <c r="BS21" i="2"/>
  <c r="BW23" i="2"/>
  <c r="BN87" i="2"/>
  <c r="BR32" i="2"/>
  <c r="BW21" i="2"/>
  <c r="BO90" i="2"/>
  <c r="BT29" i="2"/>
  <c r="BQ54" i="2"/>
  <c r="BO80" i="2"/>
  <c r="BT66" i="2"/>
  <c r="BQ23" i="2"/>
  <c r="BL56" i="2"/>
  <c r="BO70" i="2"/>
  <c r="BT68" i="2"/>
  <c r="BK70" i="2"/>
  <c r="BO61" i="2"/>
  <c r="BP40" i="2"/>
  <c r="BN90" i="2"/>
  <c r="BM45" i="2"/>
  <c r="BQ90" i="2"/>
  <c r="BX23" i="2"/>
  <c r="BK87" i="2"/>
  <c r="BU21" i="2"/>
  <c r="BM96" i="2"/>
  <c r="BW39" i="2"/>
  <c r="BP84" i="2"/>
  <c r="BR56" i="2"/>
  <c r="BP43" i="2"/>
  <c r="BO69" i="2"/>
  <c r="BS88" i="2"/>
  <c r="BR93" i="2"/>
  <c r="BL21" i="2"/>
  <c r="BL26" i="2"/>
  <c r="BV65" i="2"/>
  <c r="BX20" i="2"/>
  <c r="BT24" i="2"/>
  <c r="BQ55" i="2"/>
  <c r="BN19" i="2"/>
  <c r="BN34" i="2"/>
  <c r="BP85" i="2"/>
  <c r="BQ63" i="2"/>
  <c r="BR17" i="2"/>
  <c r="BS63" i="2"/>
  <c r="BQ85" i="2"/>
  <c r="BQ24" i="2"/>
  <c r="BP67" i="2"/>
  <c r="BM47" i="2"/>
  <c r="BO25" i="2"/>
  <c r="BN46" i="2"/>
  <c r="BR88" i="2"/>
  <c r="BM35" i="2"/>
  <c r="BR64" i="2"/>
  <c r="BN22" i="2"/>
  <c r="BW27" i="2"/>
  <c r="BQ21" i="2"/>
  <c r="BM43" i="2"/>
  <c r="BO20" i="2"/>
  <c r="BL90" i="2"/>
  <c r="BS68" i="2"/>
  <c r="BO85" i="2"/>
  <c r="BO87" i="2"/>
  <c r="BU43" i="2"/>
  <c r="BR39" i="2"/>
  <c r="BK17" i="2"/>
  <c r="BL66" i="2"/>
  <c r="BM69" i="2"/>
  <c r="BM26" i="2"/>
  <c r="BM80" i="2"/>
  <c r="BT80" i="2"/>
  <c r="BO43" i="2"/>
  <c r="BV93" i="2"/>
  <c r="BQ70" i="2"/>
  <c r="BW70" i="2"/>
  <c r="BS56" i="2"/>
  <c r="BP56" i="2"/>
  <c r="BR29" i="2"/>
  <c r="BW34" i="2"/>
  <c r="BK62" i="2"/>
  <c r="BM94" i="2"/>
  <c r="BO54" i="2"/>
  <c r="BQ87" i="2"/>
  <c r="BO28" i="2"/>
  <c r="BX74" i="2"/>
  <c r="BP96" i="2"/>
  <c r="BP72" i="2"/>
  <c r="BP86" i="2"/>
  <c r="BM41" i="2"/>
  <c r="BT86" i="2"/>
  <c r="BO24" i="2"/>
  <c r="BT45" i="2"/>
  <c r="BS55" i="2"/>
  <c r="BR21" i="2"/>
  <c r="BP25" i="2"/>
  <c r="BM40" i="2"/>
  <c r="BR34" i="2"/>
  <c r="BM65" i="2"/>
  <c r="BR66" i="2"/>
  <c r="BU18" i="2"/>
  <c r="BW47" i="2"/>
  <c r="BK25" i="2"/>
  <c r="BO18" i="2"/>
  <c r="BS50" i="2"/>
  <c r="I36" i="1" s="1"/>
  <c r="BK26" i="2"/>
  <c r="BU25" i="2"/>
  <c r="BU44" i="2"/>
  <c r="BQ19" i="2"/>
  <c r="BP19" i="2"/>
  <c r="BV47" i="2"/>
  <c r="BT90" i="2"/>
  <c r="BQ43" i="2"/>
  <c r="BV26" i="2"/>
  <c r="BV19" i="2"/>
  <c r="BL32" i="2"/>
  <c r="BT22" i="2"/>
  <c r="BV43" i="2"/>
  <c r="BP66" i="2"/>
  <c r="BV27" i="2"/>
  <c r="BN72" i="2"/>
  <c r="BR72" i="2"/>
  <c r="BP79" i="2"/>
  <c r="BO29" i="2"/>
  <c r="BV34" i="2"/>
  <c r="BQ39" i="2"/>
  <c r="BN25" i="2"/>
  <c r="BM21" i="2"/>
  <c r="BP28" i="2"/>
  <c r="BK21" i="2"/>
  <c r="BW22" i="2"/>
  <c r="BW32" i="2"/>
  <c r="BS34" i="2"/>
  <c r="BS26" i="2"/>
  <c r="BK32" i="2"/>
  <c r="BU29" i="2"/>
  <c r="BQ35" i="2"/>
  <c r="G12" i="1" s="1"/>
  <c r="BN43" i="2"/>
  <c r="BK39" i="2"/>
  <c r="BK22" i="2"/>
  <c r="BU47" i="2"/>
  <c r="BU93" i="2"/>
  <c r="BP48" i="2"/>
  <c r="BO34" i="2"/>
  <c r="BT25" i="2"/>
  <c r="BO66" i="2"/>
  <c r="BR96" i="2"/>
  <c r="BN40" i="2"/>
  <c r="BM17" i="2"/>
  <c r="BS47" i="2"/>
  <c r="BP35" i="2"/>
  <c r="BT64" i="2"/>
  <c r="BT65" i="2"/>
  <c r="BK41" i="2"/>
  <c r="BW19" i="2"/>
  <c r="BX32" i="2"/>
  <c r="BT85" i="2"/>
  <c r="BP39" i="2"/>
  <c r="BM48" i="2"/>
  <c r="BR25" i="2"/>
  <c r="BK68" i="2"/>
  <c r="BR35" i="2"/>
  <c r="H12" i="1" s="1"/>
  <c r="BR47" i="2"/>
  <c r="BX28" i="2"/>
  <c r="BK94" i="2"/>
  <c r="BV56" i="2"/>
  <c r="BK96" i="2"/>
  <c r="BX22" i="2"/>
  <c r="BQ79" i="2"/>
  <c r="BV17" i="2"/>
  <c r="BQ61" i="2"/>
  <c r="BV41" i="2"/>
  <c r="BP21" i="2"/>
  <c r="BM27" i="2"/>
  <c r="BT40" i="2"/>
  <c r="BQ46" i="2"/>
  <c r="BS71" i="2"/>
  <c r="BU68" i="2"/>
  <c r="BR60" i="2"/>
  <c r="BV68" i="2"/>
  <c r="BU26" i="2"/>
  <c r="BO35" i="2"/>
  <c r="BO19" i="2"/>
  <c r="BT33" i="2"/>
  <c r="BX63" i="2"/>
  <c r="BK42" i="2"/>
  <c r="BL17" i="2"/>
  <c r="BK19" i="2"/>
  <c r="BN27" i="2"/>
  <c r="BW18" i="2"/>
  <c r="BU22" i="2"/>
  <c r="BQ18" i="2"/>
  <c r="BR18" i="2"/>
  <c r="BS40" i="2"/>
  <c r="BT20" i="2"/>
  <c r="BQ66" i="2"/>
  <c r="BT18" i="2"/>
  <c r="BS54" i="2"/>
  <c r="BU34" i="2"/>
  <c r="BV32" i="2"/>
  <c r="BL68" i="2"/>
  <c r="BN39" i="2"/>
  <c r="BT34" i="2"/>
  <c r="BM32" i="2"/>
  <c r="BK34" i="2"/>
  <c r="BR94" i="2"/>
  <c r="BN17" i="2"/>
  <c r="BW42" i="2"/>
  <c r="BT47" i="2"/>
  <c r="BT26" i="2"/>
  <c r="BL34" i="2"/>
  <c r="BI5" i="2"/>
  <c r="BI5" i="7" s="1"/>
  <c r="BK24" i="2"/>
  <c r="BT21" i="2"/>
  <c r="BK43" i="2"/>
  <c r="BK47" i="2"/>
  <c r="BK48" i="2"/>
  <c r="BY517" i="5"/>
  <c r="BY419" i="5"/>
  <c r="BY519" i="5"/>
  <c r="BQ38" i="3"/>
  <c r="BV8" i="3"/>
  <c r="BK17" i="3"/>
  <c r="BK8" i="3"/>
  <c r="BS26" i="3"/>
  <c r="BP13" i="3"/>
  <c r="BS8" i="3"/>
  <c r="BL30" i="3"/>
  <c r="BL17" i="3"/>
  <c r="BM30" i="3"/>
  <c r="BM31" i="3" s="1"/>
  <c r="BQ42" i="3"/>
  <c r="BQ8" i="3"/>
  <c r="BX42" i="3"/>
  <c r="BW38" i="3"/>
  <c r="BU17" i="3"/>
  <c r="BO26" i="3"/>
  <c r="BN8" i="3"/>
  <c r="BP42" i="3"/>
  <c r="BN13" i="3"/>
  <c r="BR17" i="3"/>
  <c r="BR18" i="3" s="1"/>
  <c r="BX38" i="3"/>
  <c r="BR13" i="3"/>
  <c r="BU42" i="3"/>
  <c r="BM26" i="3"/>
  <c r="BV38" i="3"/>
  <c r="BO42" i="3"/>
  <c r="BW17" i="3"/>
  <c r="BS42" i="3"/>
  <c r="BN38" i="3"/>
  <c r="BO38" i="3"/>
  <c r="BP26" i="3"/>
  <c r="BT38" i="3"/>
  <c r="BN42" i="3"/>
  <c r="BM8" i="3"/>
  <c r="BK38" i="3"/>
  <c r="BQ30" i="3"/>
  <c r="BQ31" i="3" s="1"/>
  <c r="BN30" i="3"/>
  <c r="BN31" i="3" s="1"/>
  <c r="BV30" i="3"/>
  <c r="BR30" i="3"/>
  <c r="BR31" i="3" s="1"/>
  <c r="BR26" i="3"/>
  <c r="BS17" i="3"/>
  <c r="BS18" i="3" s="1"/>
  <c r="BO30" i="3"/>
  <c r="BO31" i="3" s="1"/>
  <c r="BK30" i="3"/>
  <c r="BW8" i="3"/>
  <c r="BN26" i="3"/>
  <c r="BL38" i="3"/>
  <c r="BT42" i="3"/>
  <c r="BP30" i="3"/>
  <c r="BP31" i="3" s="1"/>
  <c r="BU30" i="3"/>
  <c r="BV42" i="3"/>
  <c r="BS13" i="3"/>
  <c r="BN17" i="3"/>
  <c r="BN18" i="3" s="1"/>
  <c r="BT30" i="3"/>
  <c r="BT31" i="3" s="1"/>
  <c r="BW42" i="3"/>
  <c r="BM17" i="3"/>
  <c r="BM18" i="3" s="1"/>
  <c r="BL8" i="3"/>
  <c r="BP8" i="3"/>
  <c r="BM13" i="3"/>
  <c r="BQ17" i="3"/>
  <c r="BQ18" i="3" s="1"/>
  <c r="BM42" i="3"/>
  <c r="BS30" i="3"/>
  <c r="BS31" i="3" s="1"/>
  <c r="BO13" i="3"/>
  <c r="BP17" i="3"/>
  <c r="BP18" i="3" s="1"/>
  <c r="BM38" i="3"/>
  <c r="BL42" i="3"/>
  <c r="BR8" i="3"/>
  <c r="BS38" i="3"/>
  <c r="BP38" i="3"/>
  <c r="BT26" i="3"/>
  <c r="BO17" i="3"/>
  <c r="BO18" i="3" s="1"/>
  <c r="BT13" i="3"/>
  <c r="BX30" i="3"/>
  <c r="BR42" i="3"/>
  <c r="BO8" i="3"/>
  <c r="BU38" i="3"/>
  <c r="BK42" i="3"/>
  <c r="BU26" i="3"/>
  <c r="BR38" i="3"/>
  <c r="BW30" i="3"/>
  <c r="BT17" i="3"/>
  <c r="BT18" i="3" s="1"/>
  <c r="BV17" i="3"/>
  <c r="BU8" i="3"/>
  <c r="BX17" i="3"/>
  <c r="BI5" i="3"/>
  <c r="BX8" i="3"/>
  <c r="BT8" i="3"/>
  <c r="BX529" i="5"/>
  <c r="BX532" i="5"/>
  <c r="BA75" i="2" l="1"/>
  <c r="BA90" i="2"/>
  <c r="BV90" i="2" s="1"/>
  <c r="BC79" i="2"/>
  <c r="BC80" i="2" s="1"/>
  <c r="BI20" i="7"/>
  <c r="BI16" i="7"/>
  <c r="BF41" i="2"/>
  <c r="BF43" i="2" s="1"/>
  <c r="BB75" i="2"/>
  <c r="BB90" i="2"/>
  <c r="BC73" i="2"/>
  <c r="BC72" i="2"/>
  <c r="BD29" i="2"/>
  <c r="BD60" i="2"/>
  <c r="BD11" i="2"/>
  <c r="BE24" i="2"/>
  <c r="BE35" i="2"/>
  <c r="BF12" i="2"/>
  <c r="BF21" i="2"/>
  <c r="BG40" i="2"/>
  <c r="BG19" i="2"/>
  <c r="BH8" i="7"/>
  <c r="BH7" i="7" s="1"/>
  <c r="BH18" i="2" s="1"/>
  <c r="BH43" i="7"/>
  <c r="BI21" i="7"/>
  <c r="BI17" i="7"/>
  <c r="BI41" i="7" s="1"/>
  <c r="BI42" i="7" s="1"/>
  <c r="BV13" i="3"/>
  <c r="BW31" i="3"/>
  <c r="BU18" i="3"/>
  <c r="BV26" i="3"/>
  <c r="BX26" i="3"/>
  <c r="BV31" i="3"/>
  <c r="BU31" i="3"/>
  <c r="BU13" i="3"/>
  <c r="BX31" i="3"/>
  <c r="G4" i="1"/>
  <c r="BQ12" i="2"/>
  <c r="BQ9" i="2"/>
  <c r="BQ8" i="2"/>
  <c r="BQ10" i="2"/>
  <c r="BQ11" i="2"/>
  <c r="BQ13" i="2"/>
  <c r="BO8" i="2"/>
  <c r="BO13" i="2"/>
  <c r="BO10" i="2"/>
  <c r="BO11" i="2"/>
  <c r="BO9" i="2"/>
  <c r="BO12" i="2"/>
  <c r="I4" i="1"/>
  <c r="BS12" i="2"/>
  <c r="BS10" i="2"/>
  <c r="BS8" i="2"/>
  <c r="BS11" i="2"/>
  <c r="BS9" i="2"/>
  <c r="BS13" i="2"/>
  <c r="BP10" i="2"/>
  <c r="BP12" i="2"/>
  <c r="BP8" i="2"/>
  <c r="BP13" i="2"/>
  <c r="BP11" i="2"/>
  <c r="BP9" i="2"/>
  <c r="J4" i="1"/>
  <c r="BT12" i="2"/>
  <c r="BT10" i="2"/>
  <c r="BT8" i="2"/>
  <c r="BT11" i="2"/>
  <c r="BT13" i="2"/>
  <c r="BT9" i="2"/>
  <c r="H4" i="1"/>
  <c r="BR12" i="2"/>
  <c r="BR10" i="2"/>
  <c r="BR8" i="2"/>
  <c r="BR11" i="2"/>
  <c r="BR9" i="2"/>
  <c r="BR13" i="2"/>
  <c r="BK9" i="2"/>
  <c r="BK11" i="2"/>
  <c r="BK13" i="2"/>
  <c r="BK12" i="2"/>
  <c r="BK8" i="2"/>
  <c r="BK10" i="2"/>
  <c r="BM13" i="2"/>
  <c r="BM12" i="2"/>
  <c r="BM8" i="2"/>
  <c r="BM10" i="2"/>
  <c r="BM9" i="2"/>
  <c r="BM11" i="2"/>
  <c r="BL10" i="2"/>
  <c r="BL12" i="2"/>
  <c r="BL8" i="2"/>
  <c r="BL13" i="2"/>
  <c r="BL11" i="2"/>
  <c r="BL9" i="2"/>
  <c r="BN8" i="2"/>
  <c r="BN10" i="2"/>
  <c r="BN9" i="2"/>
  <c r="BN11" i="2"/>
  <c r="BN13" i="2"/>
  <c r="BN12" i="2"/>
  <c r="BV18" i="3"/>
  <c r="BW26" i="3"/>
  <c r="BX18" i="3"/>
  <c r="BW18" i="3"/>
  <c r="BW13" i="3"/>
  <c r="BX13" i="3"/>
  <c r="BV12" i="2"/>
  <c r="BU12" i="2"/>
  <c r="K4" i="1"/>
  <c r="BU13" i="2"/>
  <c r="M4" i="1"/>
  <c r="BW13" i="2"/>
  <c r="N4" i="1"/>
  <c r="N30" i="1" s="1"/>
  <c r="BX13" i="2"/>
  <c r="L4" i="1"/>
  <c r="BV13" i="2"/>
  <c r="BW12" i="2"/>
  <c r="BX10" i="2"/>
  <c r="BW9" i="2"/>
  <c r="BX9" i="2"/>
  <c r="BV10" i="2"/>
  <c r="BW10" i="2"/>
  <c r="BU10" i="2"/>
  <c r="BU9" i="2"/>
  <c r="BV9" i="2"/>
  <c r="BW8" i="2"/>
  <c r="BU8" i="2"/>
  <c r="L12" i="1"/>
  <c r="BV11" i="2"/>
  <c r="K12" i="1"/>
  <c r="BU11" i="2"/>
  <c r="BX8" i="2"/>
  <c r="BV8" i="2"/>
  <c r="BU7" i="2"/>
  <c r="BV7" i="2"/>
  <c r="AZ54" i="2"/>
  <c r="AY58" i="2"/>
  <c r="AY57" i="2"/>
  <c r="BQ58" i="2"/>
  <c r="BQ57" i="2"/>
  <c r="G37" i="1" s="1"/>
  <c r="G38" i="1" s="1"/>
  <c r="BN57" i="2"/>
  <c r="BN58" i="2"/>
  <c r="BS57" i="2"/>
  <c r="I37" i="1" s="1"/>
  <c r="I38" i="1" s="1"/>
  <c r="BS58" i="2"/>
  <c r="BK58" i="2"/>
  <c r="BK57" i="2"/>
  <c r="BL57" i="2"/>
  <c r="BL58" i="2"/>
  <c r="BT57" i="2"/>
  <c r="J37" i="1" s="1"/>
  <c r="J38" i="1" s="1"/>
  <c r="BT58" i="2"/>
  <c r="BO57" i="2"/>
  <c r="BO58" i="2"/>
  <c r="BR57" i="2"/>
  <c r="H37" i="1" s="1"/>
  <c r="H38" i="1" s="1"/>
  <c r="BR58" i="2"/>
  <c r="BM57" i="2"/>
  <c r="BM58" i="2"/>
  <c r="BP58" i="2"/>
  <c r="BP57" i="2"/>
  <c r="BU57" i="2"/>
  <c r="K37" i="1" s="1"/>
  <c r="K38" i="1" s="1"/>
  <c r="BU58" i="2"/>
  <c r="BU14" i="2" s="1"/>
  <c r="BN51" i="2"/>
  <c r="BM81" i="2"/>
  <c r="BN81" i="2"/>
  <c r="BP81" i="2"/>
  <c r="BP51" i="2"/>
  <c r="BM51" i="2"/>
  <c r="BT51" i="2"/>
  <c r="J22" i="1" s="1"/>
  <c r="J34" i="1" s="1"/>
  <c r="BT81" i="2"/>
  <c r="BK51" i="2"/>
  <c r="BS51" i="2"/>
  <c r="I22" i="1" s="1"/>
  <c r="I34" i="1" s="1"/>
  <c r="BK81" i="2"/>
  <c r="BR51" i="2"/>
  <c r="H22" i="1" s="1"/>
  <c r="H24" i="1" s="1"/>
  <c r="BQ51" i="2"/>
  <c r="G22" i="1" s="1"/>
  <c r="G34" i="1" s="1"/>
  <c r="BQ81" i="2"/>
  <c r="BS81" i="2"/>
  <c r="I9" i="1"/>
  <c r="I13" i="1"/>
  <c r="I30" i="1"/>
  <c r="J5" i="1"/>
  <c r="BR81" i="2"/>
  <c r="I5" i="1"/>
  <c r="H9" i="1"/>
  <c r="H30" i="1"/>
  <c r="H13" i="1"/>
  <c r="BL81" i="2"/>
  <c r="BO51" i="2"/>
  <c r="H5" i="1"/>
  <c r="G13" i="1"/>
  <c r="G30" i="1"/>
  <c r="G9" i="1"/>
  <c r="G18" i="1"/>
  <c r="H14" i="1"/>
  <c r="G33" i="1"/>
  <c r="BO81" i="2"/>
  <c r="J18" i="1"/>
  <c r="J33" i="1"/>
  <c r="BY422" i="5"/>
  <c r="I18" i="1"/>
  <c r="J14" i="1"/>
  <c r="I33" i="1"/>
  <c r="BL51" i="2"/>
  <c r="H18" i="1"/>
  <c r="I14" i="1"/>
  <c r="H33" i="1"/>
  <c r="J30" i="1"/>
  <c r="J13" i="1"/>
  <c r="J9" i="1"/>
  <c r="BM627" i="5"/>
  <c r="BL628" i="5"/>
  <c r="BL831" i="5" s="1"/>
  <c r="BA77" i="2" l="1"/>
  <c r="BV77" i="2" s="1"/>
  <c r="BV75" i="2"/>
  <c r="BE25" i="2"/>
  <c r="BW24" i="2"/>
  <c r="BE11" i="2"/>
  <c r="BW35" i="2"/>
  <c r="BD65" i="2"/>
  <c r="BW60" i="2"/>
  <c r="BG41" i="2"/>
  <c r="BB77" i="2"/>
  <c r="BF46" i="2"/>
  <c r="BC75" i="2"/>
  <c r="BC90" i="2"/>
  <c r="BE60" i="2"/>
  <c r="BE65" i="2" s="1"/>
  <c r="BE79" i="2" s="1"/>
  <c r="BE29" i="2"/>
  <c r="BW29" i="2" s="1"/>
  <c r="BF35" i="2"/>
  <c r="BF24" i="2"/>
  <c r="BG12" i="2"/>
  <c r="BG21" i="2"/>
  <c r="BH19" i="2"/>
  <c r="BH40" i="2"/>
  <c r="BI8" i="7"/>
  <c r="BI7" i="7" s="1"/>
  <c r="BI18" i="2" s="1"/>
  <c r="BX18" i="2" s="1"/>
  <c r="BI43" i="7"/>
  <c r="L13" i="1"/>
  <c r="K13" i="1"/>
  <c r="K30" i="1"/>
  <c r="L5" i="1"/>
  <c r="K5" i="1"/>
  <c r="M30" i="1"/>
  <c r="N5" i="1"/>
  <c r="M5" i="1"/>
  <c r="L30" i="1"/>
  <c r="L33" i="1"/>
  <c r="L14" i="1"/>
  <c r="K33" i="1"/>
  <c r="K14" i="1"/>
  <c r="AZ58" i="2"/>
  <c r="AZ57" i="2"/>
  <c r="BA54" i="2"/>
  <c r="J24" i="1"/>
  <c r="J35" i="1" s="1"/>
  <c r="I24" i="1"/>
  <c r="J23" i="1"/>
  <c r="H34" i="1"/>
  <c r="I23" i="1"/>
  <c r="G24" i="1"/>
  <c r="H25" i="1" s="1"/>
  <c r="H23" i="1"/>
  <c r="J32" i="1"/>
  <c r="H32" i="1"/>
  <c r="I20" i="1"/>
  <c r="G32" i="1"/>
  <c r="H20" i="1"/>
  <c r="I10" i="1"/>
  <c r="H31" i="1"/>
  <c r="H19" i="1"/>
  <c r="H10" i="1"/>
  <c r="G31" i="1"/>
  <c r="G19" i="1"/>
  <c r="I32" i="1"/>
  <c r="J20" i="1"/>
  <c r="H35" i="1"/>
  <c r="J10" i="1"/>
  <c r="I31" i="1"/>
  <c r="I19" i="1"/>
  <c r="BN627" i="5"/>
  <c r="BN628" i="5" s="1"/>
  <c r="BM628" i="5"/>
  <c r="BM831" i="5" s="1"/>
  <c r="J31" i="1"/>
  <c r="J19" i="1"/>
  <c r="BY425" i="5"/>
  <c r="BY424" i="5"/>
  <c r="BY426" i="5" s="1"/>
  <c r="BW25" i="2" l="1"/>
  <c r="BW7" i="2" s="1"/>
  <c r="BE26" i="2"/>
  <c r="BW26" i="2" s="1"/>
  <c r="BW11" i="2"/>
  <c r="M12" i="1"/>
  <c r="BW65" i="2"/>
  <c r="BD79" i="2"/>
  <c r="BH41" i="2"/>
  <c r="BG43" i="2"/>
  <c r="BC77" i="2"/>
  <c r="BF47" i="2"/>
  <c r="BE73" i="2"/>
  <c r="BE72" i="2"/>
  <c r="BE80" i="2"/>
  <c r="BF11" i="2"/>
  <c r="BF25" i="2"/>
  <c r="BG35" i="2"/>
  <c r="BG24" i="2"/>
  <c r="BG25" i="2" s="1"/>
  <c r="BG26" i="2" s="1"/>
  <c r="BH12" i="2"/>
  <c r="BH21" i="2"/>
  <c r="BI19" i="2"/>
  <c r="BX19" i="2" s="1"/>
  <c r="BI40" i="2"/>
  <c r="J25" i="1"/>
  <c r="BA58" i="2"/>
  <c r="BB54" i="2"/>
  <c r="BA57" i="2"/>
  <c r="BV54" i="2"/>
  <c r="I25" i="1"/>
  <c r="I35" i="1"/>
  <c r="G35" i="1"/>
  <c r="BY635" i="5"/>
  <c r="BY429" i="5"/>
  <c r="BY823" i="5"/>
  <c r="BY640" i="5"/>
  <c r="BO627" i="5"/>
  <c r="BN831" i="5"/>
  <c r="M14" i="1" l="1"/>
  <c r="M33" i="1"/>
  <c r="M13" i="1"/>
  <c r="BW79" i="2"/>
  <c r="BD80" i="2"/>
  <c r="BW80" i="2" s="1"/>
  <c r="BD72" i="2"/>
  <c r="BD73" i="2"/>
  <c r="BW73" i="2" s="1"/>
  <c r="BH43" i="2"/>
  <c r="BH46" i="2" s="1"/>
  <c r="BH47" i="2" s="1"/>
  <c r="BH48" i="2" s="1"/>
  <c r="BX41" i="2"/>
  <c r="BX12" i="2" s="1"/>
  <c r="BI41" i="2"/>
  <c r="BI43" i="2" s="1"/>
  <c r="BI46" i="2" s="1"/>
  <c r="BI47" i="2" s="1"/>
  <c r="BI48" i="2" s="1"/>
  <c r="BX40" i="2"/>
  <c r="BG46" i="2"/>
  <c r="BX43" i="2"/>
  <c r="BF48" i="2"/>
  <c r="BX48" i="2" s="1"/>
  <c r="BX47" i="2"/>
  <c r="BE90" i="2"/>
  <c r="BE75" i="2"/>
  <c r="BE77" i="2" s="1"/>
  <c r="BF26" i="2"/>
  <c r="BG11" i="2"/>
  <c r="BG60" i="2"/>
  <c r="BG65" i="2" s="1"/>
  <c r="BG79" i="2" s="1"/>
  <c r="BG80" i="2" s="1"/>
  <c r="BG29" i="2"/>
  <c r="BH24" i="2"/>
  <c r="BH35" i="2"/>
  <c r="BI12" i="2"/>
  <c r="BI21" i="2"/>
  <c r="BX21" i="2" s="1"/>
  <c r="BB58" i="2"/>
  <c r="BB57" i="2"/>
  <c r="BC54" i="2"/>
  <c r="BV58" i="2"/>
  <c r="BV14" i="2" s="1"/>
  <c r="BV57" i="2"/>
  <c r="L37" i="1" s="1"/>
  <c r="L38" i="1" s="1"/>
  <c r="BP627" i="5"/>
  <c r="BO628" i="5"/>
  <c r="BO831" i="5" s="1"/>
  <c r="BY797" i="5"/>
  <c r="CC429" i="5"/>
  <c r="BY431" i="5"/>
  <c r="CC431" i="5" s="1"/>
  <c r="BY430" i="5"/>
  <c r="BY822" i="5"/>
  <c r="BY657" i="5"/>
  <c r="BY292" i="5"/>
  <c r="BD90" i="2" l="1"/>
  <c r="BW90" i="2" s="1"/>
  <c r="BD75" i="2"/>
  <c r="BW72" i="2"/>
  <c r="BG47" i="2"/>
  <c r="BG48" i="2" s="1"/>
  <c r="BX46" i="2"/>
  <c r="BH25" i="2"/>
  <c r="BH11" i="2"/>
  <c r="BX26" i="2"/>
  <c r="BF29" i="2"/>
  <c r="BF60" i="2"/>
  <c r="BG73" i="2"/>
  <c r="BG72" i="2"/>
  <c r="BH60" i="2"/>
  <c r="BH65" i="2" s="1"/>
  <c r="BH79" i="2" s="1"/>
  <c r="BH29" i="2"/>
  <c r="BI35" i="2"/>
  <c r="BX35" i="2" s="1"/>
  <c r="BI24" i="2"/>
  <c r="BC58" i="2"/>
  <c r="BC57" i="2"/>
  <c r="BY664" i="5"/>
  <c r="BY478" i="5"/>
  <c r="BY441" i="5"/>
  <c r="BY432" i="5"/>
  <c r="BY803" i="5"/>
  <c r="BY804" i="5" s="1"/>
  <c r="BY817" i="5" s="1"/>
  <c r="BQ627" i="5"/>
  <c r="BP628" i="5"/>
  <c r="BP831" i="5" s="1"/>
  <c r="BW75" i="2" l="1"/>
  <c r="BD77" i="2"/>
  <c r="BH26" i="2"/>
  <c r="BX25" i="2"/>
  <c r="BI25" i="2"/>
  <c r="BI26" i="2" s="1"/>
  <c r="BX24" i="2"/>
  <c r="BX7" i="2" s="1"/>
  <c r="BX11" i="2"/>
  <c r="N12" i="1"/>
  <c r="N14" i="1" s="1"/>
  <c r="BX60" i="2"/>
  <c r="BF65" i="2"/>
  <c r="BG90" i="2"/>
  <c r="BG75" i="2"/>
  <c r="BG77" i="2" s="1"/>
  <c r="BH72" i="2"/>
  <c r="BH73" i="2"/>
  <c r="BH80" i="2"/>
  <c r="BI11" i="2"/>
  <c r="BI60" i="2"/>
  <c r="BI65" i="2" s="1"/>
  <c r="BI29" i="2"/>
  <c r="BX29" i="2" s="1"/>
  <c r="BY447" i="5"/>
  <c r="BY488" i="5" s="1"/>
  <c r="BY435" i="5"/>
  <c r="BY495" i="5"/>
  <c r="BY496" i="5" s="1"/>
  <c r="BY497" i="5" s="1"/>
  <c r="BY498" i="5" s="1"/>
  <c r="BY481" i="5"/>
  <c r="BR627" i="5"/>
  <c r="BQ628" i="5"/>
  <c r="BQ831" i="5" s="1"/>
  <c r="BY480" i="5"/>
  <c r="BD54" i="2" l="1"/>
  <c r="BW77" i="2"/>
  <c r="N33" i="1"/>
  <c r="N13" i="1"/>
  <c r="BX65" i="2"/>
  <c r="BF79" i="2"/>
  <c r="BF80" i="2" s="1"/>
  <c r="BX80" i="2" s="1"/>
  <c r="BH90" i="2"/>
  <c r="BH75" i="2"/>
  <c r="BH77" i="2" s="1"/>
  <c r="BI79" i="2"/>
  <c r="BI80" i="2" s="1"/>
  <c r="BY482" i="5"/>
  <c r="BY479" i="5"/>
  <c r="BY499" i="5"/>
  <c r="BY500" i="5" s="1"/>
  <c r="BY501" i="5" s="1"/>
  <c r="BY502" i="5" s="1"/>
  <c r="BS627" i="5"/>
  <c r="BS628" i="5" s="1"/>
  <c r="BS831" i="5" s="1"/>
  <c r="BR628" i="5"/>
  <c r="BR831" i="5" s="1"/>
  <c r="CC837" i="5"/>
  <c r="BY448" i="5"/>
  <c r="BY443" i="5"/>
  <c r="CC842" i="5"/>
  <c r="BY699" i="5"/>
  <c r="BY442" i="5"/>
  <c r="BD58" i="2" l="1"/>
  <c r="BE54" i="2"/>
  <c r="BD57" i="2"/>
  <c r="BX79" i="2"/>
  <c r="BF72" i="2"/>
  <c r="BF73" i="2"/>
  <c r="BI73" i="2"/>
  <c r="BX73" i="2" s="1"/>
  <c r="BI72" i="2"/>
  <c r="CC699" i="5"/>
  <c r="BY708" i="5"/>
  <c r="BY811" i="5"/>
  <c r="BW54" i="2" l="1"/>
  <c r="BE57" i="2"/>
  <c r="BE58" i="2"/>
  <c r="BX72" i="2"/>
  <c r="BF75" i="2"/>
  <c r="BF90" i="2"/>
  <c r="BI75" i="2"/>
  <c r="BI77" i="2" s="1"/>
  <c r="BI90" i="2"/>
  <c r="BX90" i="2" s="1"/>
  <c r="CC841" i="5"/>
  <c r="BY711" i="5"/>
  <c r="CC488" i="5"/>
  <c r="CC708" i="5"/>
  <c r="BW58" i="2" l="1"/>
  <c r="BW14" i="2" s="1"/>
  <c r="BW57" i="2"/>
  <c r="BX75" i="2"/>
  <c r="BF77" i="2"/>
  <c r="BY714" i="5"/>
  <c r="BY754" i="5"/>
  <c r="BX77" i="2" l="1"/>
  <c r="BF54" i="2"/>
  <c r="BY765" i="5"/>
  <c r="BY779" i="5" s="1"/>
  <c r="BY819" i="5" s="1"/>
  <c r="BY505" i="5"/>
  <c r="BZ713" i="5"/>
  <c r="BY719" i="5"/>
  <c r="BY831" i="5"/>
  <c r="BF57" i="2" l="1"/>
  <c r="BG54" i="2"/>
  <c r="BF58" i="2"/>
  <c r="BY824" i="5"/>
  <c r="BZ514" i="5"/>
  <c r="BY510" i="5"/>
  <c r="BY526" i="5" s="1"/>
  <c r="BG57" i="2" l="1"/>
  <c r="BH54" i="2"/>
  <c r="BG58" i="2"/>
  <c r="BZ516" i="5"/>
  <c r="BH58" i="2" l="1"/>
  <c r="BH57" i="2"/>
  <c r="BI54" i="2"/>
  <c r="BX54" i="2" s="1"/>
  <c r="BZ517" i="5"/>
  <c r="BZ419" i="5"/>
  <c r="BZ519" i="5"/>
  <c r="BX58" i="2" l="1"/>
  <c r="BX14" i="2" s="1"/>
  <c r="BX57" i="2"/>
  <c r="N37" i="1" s="1"/>
  <c r="N38" i="1" s="1"/>
  <c r="BI57" i="2"/>
  <c r="M37" i="1" s="1"/>
  <c r="M38" i="1" s="1"/>
  <c r="BI58" i="2"/>
  <c r="BZ422" i="5"/>
  <c r="BZ425" i="5" l="1"/>
  <c r="BZ424" i="5"/>
  <c r="BZ426" i="5"/>
  <c r="BZ635" i="5" l="1"/>
  <c r="BZ429" i="5"/>
  <c r="BZ431" i="5" s="1"/>
  <c r="BZ823" i="5"/>
  <c r="BZ640" i="5"/>
  <c r="BZ797" i="5" l="1"/>
  <c r="BZ430" i="5"/>
  <c r="BZ822" i="5"/>
  <c r="BZ657" i="5"/>
  <c r="BZ292" i="5"/>
  <c r="BZ664" i="5" l="1"/>
  <c r="BZ478" i="5"/>
  <c r="BZ803" i="5"/>
  <c r="BZ804" i="5" s="1"/>
  <c r="BZ817" i="5" s="1"/>
  <c r="BZ441" i="5"/>
  <c r="BZ432" i="5"/>
  <c r="BZ447" i="5" l="1"/>
  <c r="BZ488" i="5" s="1"/>
  <c r="BZ699" i="5" s="1"/>
  <c r="BZ435" i="5"/>
  <c r="BZ481" i="5"/>
  <c r="BZ495" i="5"/>
  <c r="BZ496" i="5" s="1"/>
  <c r="BZ497" i="5" s="1"/>
  <c r="BZ498" i="5" s="1"/>
  <c r="BZ480" i="5"/>
  <c r="BZ448" i="5" l="1"/>
  <c r="BZ443" i="5" s="1"/>
  <c r="BZ482" i="5"/>
  <c r="BZ479" i="5"/>
  <c r="BZ499" i="5"/>
  <c r="BZ500" i="5" s="1"/>
  <c r="BZ501" i="5" s="1"/>
  <c r="BZ502" i="5" s="1"/>
  <c r="BZ708" i="5"/>
  <c r="BZ711" i="5" s="1"/>
  <c r="BZ811" i="5"/>
  <c r="BZ442" i="5"/>
  <c r="BZ754" i="5" l="1"/>
  <c r="BZ714" i="5"/>
  <c r="BZ831" i="5" l="1"/>
  <c r="BZ719" i="5"/>
  <c r="CA713" i="5"/>
  <c r="BZ765" i="5"/>
  <c r="BZ779" i="5" s="1"/>
  <c r="BZ819" i="5" s="1"/>
  <c r="BZ505" i="5"/>
  <c r="BZ824" i="5" l="1"/>
  <c r="CA514" i="5"/>
  <c r="BZ510" i="5"/>
  <c r="BZ526" i="5" s="1"/>
  <c r="CA516" i="5" l="1"/>
  <c r="CA517" i="5" l="1"/>
  <c r="CA419" i="5"/>
  <c r="CA519" i="5"/>
  <c r="CA422" i="5" l="1"/>
  <c r="CA425" i="5" l="1"/>
  <c r="CA424" i="5"/>
  <c r="CA640" i="5" l="1"/>
  <c r="CA426" i="5"/>
  <c r="CA635" i="5" l="1"/>
  <c r="CA430" i="5"/>
  <c r="CA429" i="5"/>
  <c r="CA431" i="5" s="1"/>
  <c r="CA823" i="5"/>
  <c r="CA797" i="5"/>
  <c r="CA803" i="5" l="1"/>
  <c r="CA804" i="5" s="1"/>
  <c r="CA817" i="5" s="1"/>
  <c r="CA441" i="5"/>
  <c r="CA432" i="5"/>
  <c r="CA822" i="5"/>
  <c r="CA657" i="5"/>
  <c r="CA292" i="5"/>
  <c r="CA664" i="5" l="1"/>
  <c r="CA478" i="5"/>
  <c r="CA447" i="5"/>
  <c r="CA488" i="5" s="1"/>
  <c r="CA699" i="5" s="1"/>
  <c r="CA435" i="5"/>
  <c r="CA708" i="5" l="1"/>
  <c r="CA711" i="5" s="1"/>
  <c r="CA811" i="5"/>
  <c r="CA448" i="5"/>
  <c r="CA443" i="5" s="1"/>
  <c r="CA442" i="5"/>
  <c r="CA481" i="5"/>
  <c r="CA495" i="5"/>
  <c r="CA496" i="5" s="1"/>
  <c r="CA497" i="5" s="1"/>
  <c r="CA498" i="5" s="1"/>
  <c r="CA480" i="5"/>
  <c r="CA499" i="5" l="1"/>
  <c r="CA500" i="5" s="1"/>
  <c r="CA501" i="5" s="1"/>
  <c r="CA502" i="5" s="1"/>
  <c r="CA482" i="5"/>
  <c r="CA479" i="5"/>
  <c r="CA754" i="5"/>
  <c r="CA714" i="5"/>
  <c r="CA831" i="5" l="1"/>
  <c r="CB713" i="5"/>
  <c r="CA719" i="5"/>
  <c r="CA765" i="5"/>
  <c r="CA779" i="5" s="1"/>
  <c r="CA819" i="5" s="1"/>
  <c r="CA505" i="5"/>
  <c r="CA824" i="5" l="1"/>
  <c r="CB514" i="5"/>
  <c r="CA510" i="5"/>
  <c r="CA526" i="5" s="1"/>
  <c r="CB516" i="5" l="1"/>
  <c r="CC514" i="5"/>
  <c r="CC515" i="5" s="1"/>
  <c r="CB517" i="5" l="1"/>
  <c r="CB419" i="5"/>
  <c r="CB519" i="5"/>
  <c r="CC516" i="5"/>
  <c r="CC517" i="5" l="1"/>
  <c r="CC519" i="5"/>
  <c r="CB422" i="5"/>
  <c r="CC419" i="5"/>
  <c r="CC422" i="5" s="1"/>
  <c r="CB424" i="5" l="1"/>
  <c r="CC424" i="5" s="1"/>
  <c r="CC438" i="5" s="1"/>
  <c r="CB425" i="5"/>
  <c r="CB640" i="5" l="1"/>
  <c r="CC425" i="5"/>
  <c r="CC439" i="5" s="1"/>
  <c r="CB426" i="5"/>
  <c r="CC426" i="5"/>
  <c r="CB635" i="5" l="1"/>
  <c r="CB429" i="5"/>
  <c r="CB431" i="5" s="1"/>
  <c r="CB823" i="5"/>
  <c r="CC836" i="5"/>
  <c r="CC430" i="5"/>
  <c r="CC823" i="5"/>
  <c r="CC437" i="5"/>
  <c r="CC640" i="5"/>
  <c r="CB797" i="5"/>
  <c r="CC441" i="5" l="1"/>
  <c r="CC432" i="5"/>
  <c r="CC797" i="5"/>
  <c r="CB803" i="5"/>
  <c r="CB804" i="5" s="1"/>
  <c r="CB817" i="5" s="1"/>
  <c r="CB430" i="5"/>
  <c r="CB822" i="5"/>
  <c r="CB657" i="5"/>
  <c r="CB292" i="5"/>
  <c r="CC635" i="5"/>
  <c r="CC822" i="5" l="1"/>
  <c r="CC657" i="5"/>
  <c r="CC292" i="5"/>
  <c r="CB441" i="5"/>
  <c r="CB432" i="5"/>
  <c r="CC447" i="5"/>
  <c r="CC442" i="5" s="1"/>
  <c r="CC435" i="5"/>
  <c r="CB664" i="5"/>
  <c r="CB478" i="5"/>
  <c r="CC838" i="5"/>
  <c r="CC803" i="5"/>
  <c r="CC804" i="5" s="1"/>
  <c r="CC817" i="5" s="1"/>
  <c r="CB495" i="5" l="1"/>
  <c r="CB480" i="5"/>
  <c r="CC839" i="5"/>
  <c r="CB435" i="5"/>
  <c r="CB447" i="5"/>
  <c r="CB488" i="5" s="1"/>
  <c r="CB699" i="5" s="1"/>
  <c r="CC664" i="5"/>
  <c r="CC478" i="5"/>
  <c r="CC448" i="5"/>
  <c r="CC443" i="5" s="1"/>
  <c r="CC528" i="5" s="1"/>
  <c r="CC495" i="5" l="1"/>
  <c r="CC496" i="5" s="1"/>
  <c r="CC497" i="5" s="1"/>
  <c r="CC498" i="5" s="1"/>
  <c r="CC481" i="5"/>
  <c r="CB708" i="5"/>
  <c r="CB711" i="5" s="1"/>
  <c r="CB811" i="5"/>
  <c r="CC811" i="5" s="1"/>
  <c r="CC480" i="5"/>
  <c r="CC711" i="5"/>
  <c r="CC714" i="5" s="1"/>
  <c r="CB448" i="5"/>
  <c r="CB443" i="5"/>
  <c r="CB442" i="5"/>
  <c r="CB481" i="5"/>
  <c r="CB482" i="5"/>
  <c r="CB499" i="5"/>
  <c r="CB500" i="5" s="1"/>
  <c r="CB501" i="5" s="1"/>
  <c r="CB502" i="5" s="1"/>
  <c r="CB479" i="5"/>
  <c r="CB496" i="5"/>
  <c r="CB497" i="5" s="1"/>
  <c r="CB498" i="5" s="1"/>
  <c r="CB754" i="5" l="1"/>
  <c r="CB714" i="5"/>
  <c r="CC499" i="5"/>
  <c r="CC482" i="5"/>
  <c r="CC530" i="5" s="1"/>
  <c r="CC479" i="5"/>
  <c r="CC831" i="5"/>
  <c r="CD713" i="5"/>
  <c r="CB831" i="5" l="1"/>
  <c r="CB719" i="5"/>
  <c r="CC531" i="5"/>
  <c r="CC500" i="5"/>
  <c r="CC501" i="5" s="1"/>
  <c r="CC502" i="5" s="1"/>
  <c r="CB765" i="5"/>
  <c r="CB779" i="5" s="1"/>
  <c r="CB819" i="5" s="1"/>
  <c r="CC754" i="5"/>
  <c r="CB505" i="5"/>
  <c r="CB824" i="5" l="1"/>
  <c r="CB510" i="5"/>
  <c r="CB526" i="5" s="1"/>
  <c r="CC765" i="5"/>
  <c r="CC779" i="5" s="1"/>
  <c r="CC819" i="5" s="1"/>
  <c r="CC505" i="5"/>
  <c r="CC719" i="5"/>
  <c r="CC824" i="5" l="1"/>
  <c r="CD514" i="5"/>
  <c r="CD516" i="5" s="1"/>
  <c r="CC510" i="5"/>
  <c r="CC526" i="5" l="1"/>
  <c r="CC520" i="5"/>
  <c r="CC521" i="5"/>
  <c r="CD517" i="5"/>
  <c r="CD419" i="5"/>
  <c r="CD422" i="5" s="1"/>
  <c r="CD519" i="5"/>
  <c r="CD424" i="5" l="1"/>
  <c r="CD425" i="5"/>
  <c r="CD640" i="5" s="1"/>
  <c r="CD797" i="5" s="1"/>
  <c r="CC529" i="5"/>
  <c r="CC532" i="5"/>
  <c r="CD803" i="5" l="1"/>
  <c r="CD804" i="5" s="1"/>
  <c r="CD817" i="5" s="1"/>
  <c r="CD426" i="5"/>
  <c r="CD635" i="5" l="1"/>
  <c r="CD429" i="5"/>
  <c r="CD431" i="5" s="1"/>
  <c r="CD430" i="5"/>
  <c r="CD823" i="5"/>
  <c r="CD441" i="5" l="1"/>
  <c r="CD432" i="5"/>
  <c r="CD822" i="5"/>
  <c r="CD657" i="5"/>
  <c r="CD292" i="5"/>
  <c r="CD664" i="5" l="1"/>
  <c r="CD480" i="5" s="1"/>
  <c r="CD478" i="5"/>
  <c r="CD435" i="5"/>
  <c r="CD447" i="5"/>
  <c r="CD488" i="5" s="1"/>
  <c r="CD699" i="5" s="1"/>
  <c r="CD442" i="5"/>
  <c r="CD481" i="5" l="1"/>
  <c r="CD495" i="5"/>
  <c r="CD496" i="5" s="1"/>
  <c r="CD497" i="5" s="1"/>
  <c r="CD498" i="5" s="1"/>
  <c r="CD708" i="5"/>
  <c r="CD711" i="5" s="1"/>
  <c r="CD811" i="5"/>
  <c r="CD448" i="5"/>
  <c r="CD443" i="5" s="1"/>
  <c r="CD528" i="5" s="1"/>
  <c r="CD499" i="5"/>
  <c r="CD482" i="5"/>
  <c r="CD530" i="5" s="1"/>
  <c r="CD479" i="5"/>
  <c r="CD500" i="5" l="1"/>
  <c r="CD501" i="5" s="1"/>
  <c r="CD502" i="5" s="1"/>
  <c r="CD531" i="5"/>
  <c r="CD714" i="5"/>
  <c r="CD754" i="5"/>
  <c r="CD765" i="5" l="1"/>
  <c r="CD779" i="5" s="1"/>
  <c r="CD819" i="5" s="1"/>
  <c r="CD505" i="5"/>
  <c r="CD719" i="5"/>
  <c r="CD831" i="5"/>
  <c r="CE713" i="5"/>
  <c r="CD824" i="5" l="1"/>
  <c r="CE514" i="5"/>
  <c r="CE516" i="5" s="1"/>
  <c r="CD510" i="5"/>
  <c r="CD526" i="5" l="1"/>
  <c r="CD520" i="5"/>
  <c r="CD521" i="5"/>
  <c r="CE517" i="5"/>
  <c r="CE419" i="5"/>
  <c r="CE422" i="5" s="1"/>
  <c r="CE519" i="5"/>
  <c r="CE425" i="5" l="1"/>
  <c r="CE640" i="5" s="1"/>
  <c r="CE797" i="5" s="1"/>
  <c r="CE424" i="5"/>
  <c r="CE426" i="5" s="1"/>
  <c r="CD529" i="5"/>
  <c r="CD532" i="5"/>
  <c r="CE635" i="5" l="1"/>
  <c r="CE429" i="5"/>
  <c r="CE431" i="5" s="1"/>
  <c r="CE823" i="5"/>
  <c r="CE803" i="5"/>
  <c r="CE804" i="5" s="1"/>
  <c r="CE817" i="5" s="1"/>
  <c r="CE430" i="5" l="1"/>
  <c r="CE822" i="5"/>
  <c r="CE657" i="5"/>
  <c r="CE292" i="5"/>
  <c r="CE664" i="5" l="1"/>
  <c r="CE480" i="5" s="1"/>
  <c r="CE478" i="5"/>
  <c r="CE441" i="5"/>
  <c r="CE432" i="5"/>
  <c r="CE447" i="5" l="1"/>
  <c r="CE488" i="5" s="1"/>
  <c r="CE699" i="5" s="1"/>
  <c r="CE435" i="5"/>
  <c r="CE442" i="5"/>
  <c r="CE495" i="5"/>
  <c r="CE496" i="5" s="1"/>
  <c r="CE497" i="5" s="1"/>
  <c r="CE498" i="5" s="1"/>
  <c r="CE481" i="5"/>
  <c r="CE479" i="5"/>
  <c r="CE482" i="5"/>
  <c r="CE530" i="5" s="1"/>
  <c r="CE499" i="5"/>
  <c r="CE500" i="5" l="1"/>
  <c r="CE501" i="5" s="1"/>
  <c r="CE502" i="5" s="1"/>
  <c r="CE531" i="5"/>
  <c r="CE448" i="5"/>
  <c r="CE443" i="5"/>
  <c r="CE528" i="5" s="1"/>
  <c r="CE708" i="5"/>
  <c r="CE711" i="5" s="1"/>
  <c r="CE811" i="5"/>
  <c r="CE754" i="5" l="1"/>
  <c r="CE714" i="5"/>
  <c r="CE831" i="5" l="1"/>
  <c r="CE719" i="5"/>
  <c r="CF713" i="5"/>
  <c r="CE765" i="5"/>
  <c r="CE779" i="5" s="1"/>
  <c r="CE819" i="5" s="1"/>
  <c r="CE505" i="5"/>
  <c r="CE824" i="5" l="1"/>
  <c r="CF514" i="5"/>
  <c r="CF516" i="5" s="1"/>
  <c r="CE510" i="5"/>
  <c r="CE526" i="5" l="1"/>
  <c r="CE520" i="5"/>
  <c r="CE521" i="5"/>
  <c r="CF517" i="5"/>
  <c r="CF419" i="5"/>
  <c r="CF422" i="5" s="1"/>
  <c r="CF519" i="5"/>
  <c r="CF424" i="5" l="1"/>
  <c r="CF426" i="5" s="1"/>
  <c r="CF425" i="5"/>
  <c r="CF640" i="5" s="1"/>
  <c r="CF797" i="5" s="1"/>
  <c r="CF803" i="5" s="1"/>
  <c r="CF804" i="5" s="1"/>
  <c r="CF817" i="5" s="1"/>
  <c r="CE529" i="5"/>
  <c r="CE532" i="5"/>
  <c r="CF635" i="5" l="1"/>
  <c r="CF429" i="5"/>
  <c r="CF431" i="5" s="1"/>
  <c r="CF823" i="5"/>
  <c r="CF430" i="5" l="1"/>
  <c r="CF822" i="5"/>
  <c r="CF657" i="5"/>
  <c r="CF292" i="5"/>
  <c r="CF664" i="5" l="1"/>
  <c r="CF480" i="5" s="1"/>
  <c r="CF478" i="5"/>
  <c r="CF441" i="5"/>
  <c r="CF432" i="5"/>
  <c r="CF495" i="5" l="1"/>
  <c r="CF435" i="5"/>
  <c r="CF447" i="5"/>
  <c r="CF488" i="5" s="1"/>
  <c r="CF699" i="5" s="1"/>
  <c r="CF479" i="5"/>
  <c r="CF482" i="5"/>
  <c r="CF530" i="5" s="1"/>
  <c r="CF499" i="5"/>
  <c r="CF481" i="5" l="1"/>
  <c r="CF500" i="5"/>
  <c r="CF501" i="5" s="1"/>
  <c r="CF502" i="5" s="1"/>
  <c r="CF531" i="5"/>
  <c r="CF708" i="5"/>
  <c r="CF711" i="5" s="1"/>
  <c r="CF811" i="5"/>
  <c r="CF448" i="5"/>
  <c r="CF443" i="5" s="1"/>
  <c r="CF528" i="5" s="1"/>
  <c r="CF442" i="5"/>
  <c r="CF496" i="5"/>
  <c r="CF497" i="5" s="1"/>
  <c r="CF498" i="5" s="1"/>
  <c r="CF754" i="5" l="1"/>
  <c r="CF714" i="5"/>
  <c r="CF831" i="5" l="1"/>
  <c r="CF719" i="5"/>
  <c r="CF765" i="5"/>
  <c r="CF779" i="5" s="1"/>
  <c r="CF819" i="5" s="1"/>
  <c r="CF505" i="5"/>
  <c r="CF824" i="5" l="1"/>
  <c r="CF510" i="5"/>
  <c r="CF520" i="5" l="1"/>
  <c r="CF521" i="5"/>
  <c r="CF526" i="5"/>
  <c r="CF529" i="5" l="1"/>
  <c r="CF532" i="5"/>
  <c r="F77" i="2" l="1"/>
  <c r="AI77" i="2"/>
  <c r="Z77" i="2"/>
  <c r="AR77" i="2"/>
  <c r="R77" i="2"/>
  <c r="V77" i="2"/>
  <c r="M77" i="2"/>
  <c r="AA77" i="2"/>
  <c r="BR74" i="2"/>
  <c r="AJ77" i="2"/>
  <c r="BM75" i="2"/>
  <c r="BP75" i="2"/>
  <c r="AO77" i="2"/>
  <c r="I77" i="2"/>
  <c r="AK77" i="2"/>
  <c r="AH77" i="2"/>
  <c r="N77" i="2"/>
  <c r="BQ75" i="2"/>
  <c r="AG77" i="2"/>
  <c r="AD77" i="2"/>
  <c r="J77" i="2"/>
  <c r="AN77" i="2"/>
  <c r="BR75" i="2"/>
  <c r="AQ77" i="2"/>
  <c r="BN75" i="2"/>
  <c r="AB77" i="2"/>
  <c r="U77" i="2"/>
  <c r="G77" i="2"/>
  <c r="Y77" i="2"/>
  <c r="T77" i="2"/>
  <c r="AL77" i="2"/>
  <c r="BS75" i="2"/>
  <c r="K77" i="2"/>
  <c r="AS77" i="2"/>
  <c r="BN74" i="2"/>
  <c r="S77" i="2"/>
  <c r="BT75" i="2"/>
  <c r="X77" i="2"/>
  <c r="H77" i="2"/>
  <c r="BK77" i="2" s="1"/>
  <c r="AE77" i="2"/>
  <c r="BK75" i="2"/>
  <c r="BL75" i="2"/>
  <c r="AP77" i="2"/>
  <c r="BO75" i="2"/>
  <c r="P77" i="2"/>
  <c r="O77" i="2"/>
  <c r="Q77" i="2"/>
  <c r="L77" i="2"/>
  <c r="AC77" i="2"/>
  <c r="AF77" i="2"/>
  <c r="AM77" i="2"/>
  <c r="W77" i="2"/>
  <c r="BK74" i="2" l="1"/>
  <c r="BL74" i="2"/>
  <c r="BM77" i="2"/>
  <c r="BN77" i="2"/>
  <c r="BQ74" i="2"/>
  <c r="BS77" i="2"/>
  <c r="BP77" i="2"/>
  <c r="BT77" i="2"/>
  <c r="BO77" i="2"/>
  <c r="BL77" i="2"/>
  <c r="BR77" i="2"/>
  <c r="BQ77" i="2"/>
  <c r="BT74" i="2"/>
  <c r="BP74" i="2"/>
  <c r="BS74" i="2"/>
  <c r="BM74" i="2"/>
  <c r="BO74" i="2"/>
  <c r="AT51" i="2"/>
  <c r="AP88" i="2" l="1"/>
  <c r="AT81" i="2"/>
  <c r="Q12" i="1" l="1"/>
  <c r="Q5" i="1" l="1"/>
  <c r="S5" i="1"/>
  <c r="T5" i="1"/>
  <c r="U5" i="1"/>
  <c r="V5" i="1"/>
  <c r="Q6" i="1"/>
  <c r="S6" i="1"/>
  <c r="T6" i="1"/>
  <c r="U6" i="1"/>
  <c r="V6" i="1"/>
  <c r="Q7" i="1"/>
  <c r="S7" i="1"/>
  <c r="T7" i="1"/>
  <c r="U7" i="1"/>
  <c r="V7" i="1"/>
  <c r="Q11" i="1"/>
  <c r="S11" i="1"/>
  <c r="T11" i="1"/>
  <c r="U11" i="1"/>
  <c r="V11" i="1"/>
  <c r="S12" i="1"/>
  <c r="T12" i="1"/>
  <c r="U12" i="1"/>
  <c r="V12" i="1"/>
  <c r="Q13" i="1"/>
  <c r="S13" i="1"/>
  <c r="T13" i="1"/>
  <c r="U13" i="1"/>
  <c r="V13" i="1"/>
  <c r="K22" i="1"/>
  <c r="L22" i="1"/>
  <c r="M22" i="1"/>
  <c r="N22" i="1"/>
  <c r="K23" i="1"/>
  <c r="L23" i="1"/>
  <c r="M23" i="1"/>
  <c r="N23" i="1"/>
  <c r="K34" i="1"/>
  <c r="L34" i="1"/>
  <c r="M34" i="1"/>
  <c r="N34" i="1"/>
  <c r="K36" i="1"/>
  <c r="L36" i="1"/>
  <c r="M36" i="1"/>
  <c r="N36" i="1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U50" i="2"/>
  <c r="BV50" i="2"/>
  <c r="BW50" i="2"/>
  <c r="BX50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U51" i="2"/>
  <c r="BV51" i="2"/>
  <c r="BW51" i="2"/>
  <c r="BX5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U81" i="2"/>
  <c r="BV81" i="2"/>
  <c r="BW81" i="2"/>
  <c r="BX81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U84" i="2"/>
  <c r="BV84" i="2"/>
  <c r="BW84" i="2"/>
  <c r="BX84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U85" i="2"/>
  <c r="BV85" i="2"/>
  <c r="BW85" i="2"/>
  <c r="BX85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U86" i="2"/>
  <c r="BV86" i="2"/>
  <c r="BW86" i="2"/>
  <c r="BX86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U87" i="2"/>
  <c r="BV87" i="2"/>
  <c r="BW87" i="2"/>
  <c r="BX87" i="2"/>
  <c r="AQ88" i="2"/>
  <c r="AR88" i="2"/>
  <c r="AS88" i="2"/>
  <c r="BT88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U91" i="2"/>
  <c r="BV91" i="2"/>
  <c r="BW91" i="2"/>
  <c r="BX91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U94" i="2"/>
  <c r="BV94" i="2"/>
  <c r="BW94" i="2"/>
  <c r="BX94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U96" i="2"/>
  <c r="BV96" i="2"/>
  <c r="BW96" i="2"/>
  <c r="BX9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<sst xmlns="http://schemas.openxmlformats.org/spreadsheetml/2006/main" count="2553" uniqueCount="882">
  <si>
    <t>COKE</t>
  </si>
  <si>
    <t>COKE US Equity</t>
  </si>
  <si>
    <t>Scenario</t>
  </si>
  <si>
    <t>2 - Base</t>
  </si>
  <si>
    <t>WH Revenue</t>
  </si>
  <si>
    <t>EPS</t>
  </si>
  <si>
    <t>P/E</t>
  </si>
  <si>
    <t>Target</t>
  </si>
  <si>
    <t>NPV</t>
  </si>
  <si>
    <t>% Return</t>
  </si>
  <si>
    <t>IRR</t>
  </si>
  <si>
    <t>Last Updated</t>
  </si>
  <si>
    <t>% yoy</t>
  </si>
  <si>
    <t>Bull</t>
  </si>
  <si>
    <t>Cap Table (USD)</t>
  </si>
  <si>
    <t>Expected Delta</t>
  </si>
  <si>
    <t>Base</t>
  </si>
  <si>
    <t>Bear</t>
  </si>
  <si>
    <t>Diluted Shares</t>
  </si>
  <si>
    <t>Market Cap</t>
  </si>
  <si>
    <t>Street Revenue</t>
  </si>
  <si>
    <t>Total Debt</t>
  </si>
  <si>
    <t>EBITDA</t>
  </si>
  <si>
    <t>EV/EBITDA</t>
  </si>
  <si>
    <t>Cash</t>
  </si>
  <si>
    <t>Net Debt</t>
  </si>
  <si>
    <t>WH EBITDA</t>
  </si>
  <si>
    <t>NCI</t>
  </si>
  <si>
    <t>% margin</t>
  </si>
  <si>
    <t>Enterprise Value</t>
  </si>
  <si>
    <t>Quick Valuation</t>
  </si>
  <si>
    <t>Metric</t>
  </si>
  <si>
    <t>Multiple</t>
  </si>
  <si>
    <t>Implied Price</t>
  </si>
  <si>
    <t>Street EBITDA</t>
  </si>
  <si>
    <t>WH EPS</t>
  </si>
  <si>
    <t>Street EPS</t>
  </si>
  <si>
    <t>Valuation</t>
  </si>
  <si>
    <t>EV/Sales</t>
  </si>
  <si>
    <t>Street EV/Sales</t>
  </si>
  <si>
    <t>Street EV/EBITDA</t>
  </si>
  <si>
    <t>WH EV/EBITDA</t>
  </si>
  <si>
    <t>WH P/E</t>
  </si>
  <si>
    <t>Street P/E</t>
  </si>
  <si>
    <t>Shares Outstanding</t>
  </si>
  <si>
    <t>Adj. TEV</t>
  </si>
  <si>
    <t>Coca-Cola Consolidated, Inc.</t>
  </si>
  <si>
    <t>Q1</t>
  </si>
  <si>
    <t>Q2</t>
  </si>
  <si>
    <t>Q3</t>
  </si>
  <si>
    <t>Q4</t>
  </si>
  <si>
    <t>($ in mm, except per share values)</t>
  </si>
  <si>
    <t>Q1 16</t>
  </si>
  <si>
    <t>x</t>
  </si>
  <si>
    <t>Drivers</t>
  </si>
  <si>
    <t>Tax Rate</t>
  </si>
  <si>
    <t>SBC % of Rev</t>
  </si>
  <si>
    <t>D&amp;A % of Rev</t>
  </si>
  <si>
    <t>Change in NWC % of Rev</t>
  </si>
  <si>
    <t>Adj. EBITDA Margins %</t>
  </si>
  <si>
    <t>GAAP P&amp;L</t>
  </si>
  <si>
    <t>Revenue</t>
  </si>
  <si>
    <t>COGS</t>
  </si>
  <si>
    <t>Gross Profit</t>
  </si>
  <si>
    <t>SG&amp;A</t>
  </si>
  <si>
    <t>Other</t>
  </si>
  <si>
    <t>EBIT</t>
  </si>
  <si>
    <t>Interest Expense / (Income)</t>
  </si>
  <si>
    <t>EBT</t>
  </si>
  <si>
    <t>Taxes</t>
  </si>
  <si>
    <t>Net Income</t>
  </si>
  <si>
    <t>discontinued operations</t>
  </si>
  <si>
    <t>Net Income to Common</t>
  </si>
  <si>
    <t>Adjustments / D&amp;A / EBITDA</t>
  </si>
  <si>
    <t>SBC</t>
  </si>
  <si>
    <t>D&amp;A</t>
  </si>
  <si>
    <t>Adj. EBITDA</t>
  </si>
  <si>
    <t>non-GAAP P&amp;L</t>
  </si>
  <si>
    <t>Adj. EBIT</t>
  </si>
  <si>
    <t>Adj. Net Income</t>
  </si>
  <si>
    <t>FDSO</t>
  </si>
  <si>
    <t>Adj. EPS</t>
  </si>
  <si>
    <t>Balance Sheet / Cash Flow</t>
  </si>
  <si>
    <t>Debt</t>
  </si>
  <si>
    <t>Operating Lease Liabilities</t>
  </si>
  <si>
    <t>Net Debt (incl. lease liabilities)</t>
  </si>
  <si>
    <t>Net Debt (ex. Lease liabilities)</t>
  </si>
  <si>
    <t>Change in NWC</t>
  </si>
  <si>
    <t>CFO</t>
  </si>
  <si>
    <t>Capex</t>
  </si>
  <si>
    <t>Acquisitions</t>
  </si>
  <si>
    <t>CFI</t>
  </si>
  <si>
    <t>Debt Issuance</t>
  </si>
  <si>
    <t>Debt Paydown</t>
  </si>
  <si>
    <t>Share Repurchases</t>
  </si>
  <si>
    <t>CFF</t>
  </si>
  <si>
    <t>Net Change in Cash</t>
  </si>
  <si>
    <t>Free Cash Flow</t>
  </si>
  <si>
    <t>EBITDA Conversion %</t>
  </si>
  <si>
    <t>FCFPS</t>
  </si>
  <si>
    <t>Share Dilution / Buybacks</t>
  </si>
  <si>
    <t>Mkt Cap</t>
  </si>
  <si>
    <t>TEV</t>
  </si>
  <si>
    <t>Share Price</t>
  </si>
  <si>
    <t>Share Buybacks</t>
  </si>
  <si>
    <t>Implied Shares Bought</t>
  </si>
  <si>
    <t>Implied Shares Issued</t>
  </si>
  <si>
    <t>Net Share Impact</t>
  </si>
  <si>
    <t>Segments</t>
  </si>
  <si>
    <t>Total Revenue</t>
  </si>
  <si>
    <t>Total COGS</t>
  </si>
  <si>
    <t>Sparkling Beverages</t>
  </si>
  <si>
    <t>Case Volume (mm cases)</t>
  </si>
  <si>
    <t>YoY Growth %</t>
  </si>
  <si>
    <t>Avg Sales / Case ($)</t>
  </si>
  <si>
    <t>Still Beverages</t>
  </si>
  <si>
    <t>Sales to Other Bottlers</t>
  </si>
  <si>
    <t>Post-Mix and Other</t>
  </si>
  <si>
    <t>Coca-Cola Consolidated</t>
  </si>
  <si>
    <t>COKE US</t>
  </si>
  <si>
    <t>Unrestated</t>
  </si>
  <si>
    <t>Restated</t>
  </si>
  <si>
    <t>USD</t>
  </si>
  <si>
    <t>Bloomberg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</si>
  <si>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</si>
  <si>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</si>
  <si>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</si>
  <si>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</si>
  <si>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</si>
  <si>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</si>
  <si>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</si>
  <si>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</si>
  <si>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</si>
  <si>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</si>
  <si>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</si>
  <si>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</si>
  <si>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</si>
  <si>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</si>
  <si>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</si>
  <si>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</si>
  <si>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</si>
  <si>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</si>
  <si>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</si>
  <si>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</si>
  <si>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</si>
  <si>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</si>
  <si>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</si>
  <si>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</si>
  <si>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</si>
  <si>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</si>
  <si>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</si>
  <si>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</si>
  <si>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</si>
  <si>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</si>
  <si>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</si>
  <si>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</si>
  <si>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</si>
  <si>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</si>
  <si>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</si>
  <si>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</si>
  <si>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</si>
  <si>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</si>
  <si>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</si>
  <si>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</si>
  <si>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Growth Analysis</t>
  </si>
  <si>
    <t>Sparkling beverages revenue growth, %</t>
  </si>
  <si>
    <t>Still beverage revenue growth, %</t>
  </si>
  <si>
    <t>Total Bottle/Can Revenue Growth, %</t>
  </si>
  <si>
    <t>Sales to other Coca-Cola bottlers revenue growth, %</t>
  </si>
  <si>
    <t>Post-mix and other revenue growth, %</t>
  </si>
  <si>
    <t>Total Other Revenue Growth, %</t>
  </si>
  <si>
    <t>Total Revenue Growth, %</t>
  </si>
  <si>
    <t>Comparable Net Sales, %</t>
  </si>
  <si>
    <t>Organic Net Sales Growth, %</t>
  </si>
  <si>
    <t>Segmented Results - Revenue Breakdown (FS)</t>
  </si>
  <si>
    <t>Sparkling beverages revenue, mm</t>
  </si>
  <si>
    <t>Still beverage revenue, mm</t>
  </si>
  <si>
    <t>Total Bottle/Can Sales, mm</t>
  </si>
  <si>
    <t>Sales to other Coca-Cola bottlers revenue, mm</t>
  </si>
  <si>
    <t>Post-mix and other revenue, mm</t>
  </si>
  <si>
    <t>Total Other Sales, mm</t>
  </si>
  <si>
    <t>Total Net Sales, mm</t>
  </si>
  <si>
    <t>Fountain sales, mm</t>
  </si>
  <si>
    <t>Sparkling beverages revenue as of total, %</t>
  </si>
  <si>
    <t>Still beverage revenue as of total, %</t>
  </si>
  <si>
    <t>Total Bottle/Can Sales as of Total, %</t>
  </si>
  <si>
    <t>Sales to other Coca-Cola bottlers revenue as of total, %</t>
  </si>
  <si>
    <t>Post-mix and other revenue as of total, %</t>
  </si>
  <si>
    <t>Total Other Sales as of Total, %</t>
  </si>
  <si>
    <t>Total Net Sales as of Total, %</t>
  </si>
  <si>
    <t>Operating Stats - Bottle/Can Volume Price Analysis (PR/10Q)</t>
  </si>
  <si>
    <t>Sparkling category volume growth, %</t>
  </si>
  <si>
    <t>NMF</t>
  </si>
  <si>
    <t>Still beverages volume growth, %</t>
  </si>
  <si>
    <t>Physical Case Volume Growth, %</t>
  </si>
  <si>
    <t>Sparkling beverages case volume, mm</t>
  </si>
  <si>
    <t>Still beverages case volume, mm</t>
  </si>
  <si>
    <t>Physical Case Volume, mm</t>
  </si>
  <si>
    <t>Acquisition/divestiture related physical case volume, mm</t>
  </si>
  <si>
    <t>Volume related to extra days in fiscal year, mm</t>
  </si>
  <si>
    <t>Comparable Physical Case Volume, mm</t>
  </si>
  <si>
    <t>Sparkling beverages as % of total case volume, %</t>
  </si>
  <si>
    <t>Still beverages as % of total case volume, %</t>
  </si>
  <si>
    <t>Total Case Volume, %</t>
  </si>
  <si>
    <t>Sparkling category average sales per case growth, %</t>
  </si>
  <si>
    <t>Still beverages average sales per case growth, %</t>
  </si>
  <si>
    <t>Total Bottle/can Average Sales per Case Growth, %</t>
  </si>
  <si>
    <t>Sparkling beverages average sales per case, $/case</t>
  </si>
  <si>
    <t>Still beverages average sales per case, $/case</t>
  </si>
  <si>
    <t>Average Sales per Case, $/case</t>
  </si>
  <si>
    <t>Segmented Results - Alternative Results Breakdown (FS)</t>
  </si>
  <si>
    <t>Nonalcoholic Beverages - point in time revenue, mm</t>
  </si>
  <si>
    <t>Nonalcoholic Beverages - over time revenue, mm</t>
  </si>
  <si>
    <t>All Other - over time revenue, mm</t>
  </si>
  <si>
    <t>Total over time net sales, mm</t>
  </si>
  <si>
    <t>Total Net Sales by Contracts with Customers, mm</t>
  </si>
  <si>
    <t>Nonalcoholic Beverages revenue, mm</t>
  </si>
  <si>
    <t>All Other revenue, mm</t>
  </si>
  <si>
    <t>Eliminations in net sales, mm</t>
  </si>
  <si>
    <t>Consolidated Net Sales, mm</t>
  </si>
  <si>
    <t>Nonalcoholic Beverages gross profit, mm</t>
  </si>
  <si>
    <t>All Other gross profit, mm</t>
  </si>
  <si>
    <t>Eliminations in gross profit, mm</t>
  </si>
  <si>
    <t>Consolidated Gross Profit, mm</t>
  </si>
  <si>
    <t>Nonalcoholic Beverages operating income, mm</t>
  </si>
  <si>
    <t>All Other operating income, mm</t>
  </si>
  <si>
    <t>Consolidated Operating Income, mm</t>
  </si>
  <si>
    <t>Nonalcoholic Beverages operating margin, %</t>
  </si>
  <si>
    <t>All Other operating margin, %</t>
  </si>
  <si>
    <t>Consolidated Operating Margin, %</t>
  </si>
  <si>
    <t>Key Metrics - Revenue Walk (FS)</t>
  </si>
  <si>
    <t>Prior Period Net Sales, mm</t>
  </si>
  <si>
    <t>Net sales increase related to the Expansion Territories, mm</t>
  </si>
  <si>
    <t>Increase in external transportation revenue, mm</t>
  </si>
  <si>
    <t>Increase in sales of the Company's own brand products, mm</t>
  </si>
  <si>
    <t>Increase sales volume impact, mm</t>
  </si>
  <si>
    <t>Increase in bottle/can sales volume to retail customers, mm</t>
  </si>
  <si>
    <t>Increase average bottle/can sales price per unit and product mix impact, mm</t>
  </si>
  <si>
    <t>Increase in post-mix sales volume, mm</t>
  </si>
  <si>
    <t>Increase in post-mix sales price per unit, mm</t>
  </si>
  <si>
    <t>Increase in sales price per unit to other Coca-Cola bottlers, mm</t>
  </si>
  <si>
    <t>Increase in sales volume to other Coca-Cola bottlers, mm</t>
  </si>
  <si>
    <t>Increase in volume of external freight revenue to external customers, mm</t>
  </si>
  <si>
    <t>Increase in fountain syrup sales due to COVID-19, mm</t>
  </si>
  <si>
    <t>Increase in data analysis and consulting services, mm</t>
  </si>
  <si>
    <t>Increase in supply chain and logistics solutions consulting, mm</t>
  </si>
  <si>
    <t>Refund in 2013 of 2012 cooperative trade marketing funds, mm</t>
  </si>
  <si>
    <t>Increase in fees to facilitate distribution of certain brands, mm</t>
  </si>
  <si>
    <t>Increase in freight revenue, mm</t>
  </si>
  <si>
    <t>Other impact, mm</t>
  </si>
  <si>
    <t>Current Period Net Sales, mm</t>
  </si>
  <si>
    <t>Key Metrics - COGS Walk (FS)</t>
  </si>
  <si>
    <t>Prior Period COGS, mm</t>
  </si>
  <si>
    <t>Increase in raw material costs and increased purchases of finished products, mm</t>
  </si>
  <si>
    <t>Increase in marketing funding support received for the Legacy Territories, mm</t>
  </si>
  <si>
    <t>Increase in manufacturing cost, mm</t>
  </si>
  <si>
    <t>Increase in cost of sales of the Company’s own brand products, mm</t>
  </si>
  <si>
    <t>Decrease in fountain syrup sales due to COVID-19, mm</t>
  </si>
  <si>
    <t>Increase in cost of sales to other Coca-Cola bottlers, mm</t>
  </si>
  <si>
    <t>Increase product mix impact, mm</t>
  </si>
  <si>
    <t>Increased volume of freight services provided to external customers, mm</t>
  </si>
  <si>
    <t>Increase in freight cost of sales, mm</t>
  </si>
  <si>
    <t>Gain on the replacement of flood damaged production equipment in 2010, mm</t>
  </si>
  <si>
    <t>Changes in the fair value adjustments on commodity hedges, mm</t>
  </si>
  <si>
    <t>Increase in marketing funding</t>
  </si>
  <si>
    <t>Current Period COGS, mm</t>
  </si>
  <si>
    <t>Key Metrics - SD&amp;A Walk (FS)</t>
  </si>
  <si>
    <t>Prior Period SD&amp;A, mm</t>
  </si>
  <si>
    <t>Increase in payroll and employee benefit costs, mm</t>
  </si>
  <si>
    <t>Increase in employee salaries, mm</t>
  </si>
  <si>
    <t>Increase D&amp;A of PP&amp;E, mm</t>
  </si>
  <si>
    <t>Decrease in impairment/accelerated D&amp;A of PP&amp;E, mm</t>
  </si>
  <si>
    <t>Payments to employees participating in Company auto allowance program, mm</t>
  </si>
  <si>
    <t>Increase due to loss recorded for voluntary lump-sum pension settlement, mm</t>
  </si>
  <si>
    <t>Increase in bad debt expense, mm</t>
  </si>
  <si>
    <t>Severance and outplacement expenses incurred, mm</t>
  </si>
  <si>
    <t>Increase in fuel costs related to the movement of finished goods, mm</t>
  </si>
  <si>
    <t>Decrease due to a loss on a voluntary pension settlement completed in 2013, mm</t>
  </si>
  <si>
    <t>Decrease in gain (loss) on sales of property, plant and equipment, mm</t>
  </si>
  <si>
    <t>Increase in incentive compensation expense, mm</t>
  </si>
  <si>
    <t>One-time special charitable contribution, mm</t>
  </si>
  <si>
    <t>Increase in expenses related to the Expansion Territories, mm</t>
  </si>
  <si>
    <t>Increase in marketing expense, mm</t>
  </si>
  <si>
    <t>Increase in communication expense, mm</t>
  </si>
  <si>
    <t>Increase in employer payroll taxes, mm</t>
  </si>
  <si>
    <t>Increase in employee travel expenses, mm</t>
  </si>
  <si>
    <t>Increase in temporary labor, mm</t>
  </si>
  <si>
    <t>Increase in property and casualty insurance expense, mm</t>
  </si>
  <si>
    <t>Increase in vending and fountain parts, mm</t>
  </si>
  <si>
    <t>Increase in professional fees, mm</t>
  </si>
  <si>
    <t>Increase in software expenses, mm</t>
  </si>
  <si>
    <t>Increase in a number of expense categories due to reductions in discretionary spending, mm</t>
  </si>
  <si>
    <t>Increase in System Transformation transaction expenses, mm</t>
  </si>
  <si>
    <t>Increase in property, vehicle and other taxes, mm</t>
  </si>
  <si>
    <t>Increase in rental expense, mm</t>
  </si>
  <si>
    <t>Increase in facilities non-rent expenses, mm</t>
  </si>
  <si>
    <t>Increase in charitable contributions, mm</t>
  </si>
  <si>
    <t>Other individually immaterial expense increases primarily related to the Expansion Territories, mm</t>
  </si>
  <si>
    <t>Increase in relocation expense, mm</t>
  </si>
  <si>
    <t>Increase in cash donations to various charities and donor-advised funds in light of the Company’s financial performance</t>
  </si>
  <si>
    <t>Current Period SD&amp;A, mm</t>
  </si>
  <si>
    <t>Key Metrics - Related Party Transactions (FS)</t>
  </si>
  <si>
    <t>Concentrate, syrup, sweetener and other purchases, mm</t>
  </si>
  <si>
    <t>Customer marketing programs, mm</t>
  </si>
  <si>
    <t>Purchase of noncontrolling interest in Piedmont, mm</t>
  </si>
  <si>
    <t>Cold drink equipment parts, mm</t>
  </si>
  <si>
    <t>Glacéau distribution agreement consideration, mm</t>
  </si>
  <si>
    <t>Brand investment programs, mm</t>
  </si>
  <si>
    <t>Payments Made by the Company to The Coca‑Cola Company, mm</t>
  </si>
  <si>
    <t>Conversion of bottling agreements, mm</t>
  </si>
  <si>
    <t>Marketing funding support payments, mm</t>
  </si>
  <si>
    <t>Fountain delivery and equipment repair fees, mm</t>
  </si>
  <si>
    <t>Facilitating the distribution of certain brands and packages to other Coca‑Cola bottlers, mm</t>
  </si>
  <si>
    <t>Presence marketing funding support on the Company’s behalf, mm</t>
  </si>
  <si>
    <t>Cold drink equipment, mm</t>
  </si>
  <si>
    <t>Portion of Legacy Facilities Credit related to Mobile, Alabama facility, mm</t>
  </si>
  <si>
    <t>Legacy Facilities Credit, mm</t>
  </si>
  <si>
    <t>Payments Made by The Coca‑Cola Company to the Company, mm</t>
  </si>
  <si>
    <t>Cumulative sub-bottling payments to CCR, mm</t>
  </si>
  <si>
    <t>Sub-bottling Payments to CCR, mm</t>
  </si>
  <si>
    <t>Purchases from Southeastern, mm</t>
  </si>
  <si>
    <t>Purchases from SAC, mm</t>
  </si>
  <si>
    <t>Total Purchases from Manufacturing Cooperatives, mm</t>
  </si>
  <si>
    <t>Cumulative cases purchased from SAC, mm cases</t>
  </si>
  <si>
    <t>Cases purchased from SAC, mm cases</t>
  </si>
  <si>
    <t>Average purchase price per case from SAC, $/case</t>
  </si>
  <si>
    <t>Key Metrics - Rental Payments (FS)</t>
  </si>
  <si>
    <t>Company headquarters rental payments, mm</t>
  </si>
  <si>
    <t>Snyder Production Center rental payments, mm</t>
  </si>
  <si>
    <t>Total Rental Payments, mm</t>
  </si>
  <si>
    <t>Key Metrics - Major Customers (FS)</t>
  </si>
  <si>
    <t>Wal-Mart Stores, Inc. as % of company's total bottle/can sales volume (cumulative), %</t>
  </si>
  <si>
    <t>The Kroger Company as % of company's total bottle/can sales volume (cumulative), %</t>
  </si>
  <si>
    <t>Food Lion, LLC as % of company's total bottle/can sales volume (cumulative), %</t>
  </si>
  <si>
    <t>Major customers as % of company's total bottle/can sales volume (cumulative), %</t>
  </si>
  <si>
    <t>Wal-Mart Stores, Inc. as % of company's total net sales (cumulative), %</t>
  </si>
  <si>
    <t>The Kroger Company as % of company's total net sales (cumulative), %</t>
  </si>
  <si>
    <t>Food Lion, LLC as % of company's total net sales (cumulative), %</t>
  </si>
  <si>
    <t>Major customers as % of company's total net sales (cumulative), %</t>
  </si>
  <si>
    <t>Key Metrics - Markets Served and Facilities (10-K)</t>
  </si>
  <si>
    <t>Carolinas distribution centers, # of distribution centers</t>
  </si>
  <si>
    <t>Central distribution centers, # of distribution centers</t>
  </si>
  <si>
    <t>Indiana distribution centers, # of distribution centers</t>
  </si>
  <si>
    <t>Kentucky / West Virginia distribution centers, # of distribution centers</t>
  </si>
  <si>
    <t>Mid-Atlantic distribution centers, # of distribution centers</t>
  </si>
  <si>
    <t>Mid-South distribution centers, # of distribution centers</t>
  </si>
  <si>
    <t>Ohio distribution centers, # of distribution centers</t>
  </si>
  <si>
    <t>Tennessee distribution centers, # of distribution centers</t>
  </si>
  <si>
    <t>Mid-West distribution centers, # of distribution centers</t>
  </si>
  <si>
    <t>Total Distribution Centers, # of distribution centers</t>
  </si>
  <si>
    <t>Key Metrics - Employees (10-K)</t>
  </si>
  <si>
    <t>Full-time employees, # of people</t>
  </si>
  <si>
    <t>Part-time employees, # of people</t>
  </si>
  <si>
    <t>Total Employees, # of people</t>
  </si>
  <si>
    <t>Key Metrics - Lease Cost and Rent Expense (FS)</t>
  </si>
  <si>
    <t>Operating lease costs - cost of sales, mm</t>
  </si>
  <si>
    <t>Operating lease costs - SD&amp;A expenses, mm</t>
  </si>
  <si>
    <t>Total fixed operating lease costs, mm</t>
  </si>
  <si>
    <t>Short-term and variable leases - cost of sales, mm</t>
  </si>
  <si>
    <t>Short-term and variable leases - SD&amp;A expenses, mm</t>
  </si>
  <si>
    <t>Total short-term and variable leases, mm</t>
  </si>
  <si>
    <t>Total operating lease costs (calculated), mm</t>
  </si>
  <si>
    <t>Depreciation expense from financing leases - cost of sales, mm</t>
  </si>
  <si>
    <t>Depreciation expense from financing leases - SD&amp;A expenses, mm</t>
  </si>
  <si>
    <t>Total depreciation expense from financing leases, mm</t>
  </si>
  <si>
    <t>Interest expenses on financing lease obligations, mm</t>
  </si>
  <si>
    <t>Total finance lease cost (calculated), mm</t>
  </si>
  <si>
    <t>Total lease cost, mm</t>
  </si>
  <si>
    <t>Depreciation expense from capital leases - cost of sales, mm</t>
  </si>
  <si>
    <t>Depreciation expense from capital leases - SD&amp;A expenses, mm</t>
  </si>
  <si>
    <t>Total depreciation expense from capital leases, mm</t>
  </si>
  <si>
    <t>Interest expense on capital lease obligations, mm</t>
  </si>
  <si>
    <t>Total capital lease expense (calculated), mm</t>
  </si>
  <si>
    <t>Rental expense, mm</t>
  </si>
  <si>
    <t>Margin Analysis</t>
  </si>
  <si>
    <t>COGS Margin (Excluding D&amp;A), %</t>
  </si>
  <si>
    <t>Gross Margin (Excluding D&amp;A), %</t>
  </si>
  <si>
    <t>COGS Margin, %</t>
  </si>
  <si>
    <t>Gross Margin, %</t>
  </si>
  <si>
    <t>Consensus Estimates - Gross Margin, %</t>
  </si>
  <si>
    <t>SG&amp;A Margin, %</t>
  </si>
  <si>
    <t>EBIT Margin, %</t>
  </si>
  <si>
    <t>Adjusted EBIT Margin, %</t>
  </si>
  <si>
    <t>Consensus Estimates - Adjusted EBIT Margin, %</t>
  </si>
  <si>
    <t>Add back: D&amp;A Margin, %</t>
  </si>
  <si>
    <t>Add back: Amortization of Intangibles Margin, %</t>
  </si>
  <si>
    <t>Add back: SBC Margin, %</t>
  </si>
  <si>
    <t>EBITDA Margin, %</t>
  </si>
  <si>
    <t>Adjusted EBITDA Margin (No Adjustments), %</t>
  </si>
  <si>
    <t>Consensus Estimates - Adjusted EBITDA Margin, %</t>
  </si>
  <si>
    <t>Income Statement - As Reported</t>
  </si>
  <si>
    <t>Net Sales</t>
  </si>
  <si>
    <t>Cost of sales</t>
  </si>
  <si>
    <t>Gross Margin</t>
  </si>
  <si>
    <t>Selling, delivery and administrative expenses</t>
  </si>
  <si>
    <t>Total Operating Expenses</t>
  </si>
  <si>
    <t>Income from Operations</t>
  </si>
  <si>
    <t>Interest expense, net</t>
  </si>
  <si>
    <t>Other income (expense), net</t>
  </si>
  <si>
    <t>Pension plan settlement expense</t>
  </si>
  <si>
    <t>Gain on exchange of franchise territory</t>
  </si>
  <si>
    <t>Gain on sale of business</t>
  </si>
  <si>
    <t>Bargain purchase gain, net of tax of $1,265</t>
  </si>
  <si>
    <t>Income (Loss) before Income Taxes</t>
  </si>
  <si>
    <t>Income tax expense (benefit)</t>
  </si>
  <si>
    <t>Net Income (Loss)</t>
  </si>
  <si>
    <t>Less: Net income attributable to noncontrolling interest</t>
  </si>
  <si>
    <t>Net Income (Loss) attributable to Coca-Cola Bottling Co. Consolidated</t>
  </si>
  <si>
    <t>IS Check</t>
  </si>
  <si>
    <t>Adjusted Numbers - As Reported</t>
  </si>
  <si>
    <t>Reported Net Sales (GAAP)</t>
  </si>
  <si>
    <t>Acquisitions results of operations</t>
  </si>
  <si>
    <t>Divestitures results of operations</t>
  </si>
  <si>
    <t>Results of 53rd week</t>
  </si>
  <si>
    <t>Reported Net Sales (non-GAAP)</t>
  </si>
  <si>
    <t>Reported Gross Profit (GAAP)</t>
  </si>
  <si>
    <t>System transformation expenses</t>
  </si>
  <si>
    <t>Results of extra days in fiscal year</t>
  </si>
  <si>
    <t>Fair value adjustments for commodity derivative instruments</t>
  </si>
  <si>
    <t>Supply chain and asset optimization</t>
  </si>
  <si>
    <t>Adjusted Gross Profit (Non-GAAP)</t>
  </si>
  <si>
    <t>Reported SD&amp;A Expenses (GAAP)</t>
  </si>
  <si>
    <t>Workforce optimization expenses</t>
  </si>
  <si>
    <t>Capitalization threshold change for certain assets</t>
  </si>
  <si>
    <t>Adjusted SD&amp;A Expenses (Non-GAAP)</t>
  </si>
  <si>
    <t>Reported Income from Operations (GAAP)</t>
  </si>
  <si>
    <t>Expansion transaction expenses</t>
  </si>
  <si>
    <t>Special charitable contribution</t>
  </si>
  <si>
    <t>Impact of changes in product supply governance</t>
  </si>
  <si>
    <t>Amortization of converted distribution rights</t>
  </si>
  <si>
    <t>Adjusted Income from Operations (Non-GAAP)</t>
  </si>
  <si>
    <t>Reported Income before Income Taxes (GAAP)</t>
  </si>
  <si>
    <t>System Transformation transactions settlements</t>
  </si>
  <si>
    <t>Gain on exchange transactions</t>
  </si>
  <si>
    <t>Portion of Legacy Facilities Credit related to Mobile, Alabama facility</t>
  </si>
  <si>
    <t>Gain on acquisition of Southeastern Container preferred shares in CCR redistribution</t>
  </si>
  <si>
    <t>Bargain purchase gain</t>
  </si>
  <si>
    <t>Exchange of franchise territories</t>
  </si>
  <si>
    <t>Fair value adjustment of acquisition related contingent consideration</t>
  </si>
  <si>
    <t>Pension plan settlement</t>
  </si>
  <si>
    <t>Other tax adjustments</t>
  </si>
  <si>
    <t>Adjusted Income before Income Taxes (Non-GAAP)</t>
  </si>
  <si>
    <t>Reported Net Income (Loss) (GAAP)</t>
  </si>
  <si>
    <t>Gain on sale of business, net of tax</t>
  </si>
  <si>
    <t>Fair value adjustments for commodity hedges</t>
  </si>
  <si>
    <t>Acquisitions impact</t>
  </si>
  <si>
    <t>Territory expansion expenses</t>
  </si>
  <si>
    <t>System Transformation transactions expenses</t>
  </si>
  <si>
    <t>Tax Cuts and Jobs Act estimated impact</t>
  </si>
  <si>
    <t>Change in reserves for uncertain tax positions due to lapse of statue of limitations</t>
  </si>
  <si>
    <t>Gain on exchange of franchise territories, net of tax</t>
  </si>
  <si>
    <t>One-time special charitable contribution, net of tax</t>
  </si>
  <si>
    <t>Acquired distribution territory operating income, net of tax</t>
  </si>
  <si>
    <t>Settlement charge for lump-sum pension buy-out, net of tax</t>
  </si>
  <si>
    <t>Results of 53rd week, net of tax</t>
  </si>
  <si>
    <t>Jackson / BYB operating income, net of tax</t>
  </si>
  <si>
    <t>(Gain) loss on commodity hedges, net of tax</t>
  </si>
  <si>
    <t>Expansion transaction settlement</t>
  </si>
  <si>
    <t>Change in deferred tax liabilities due to state rate reduction</t>
  </si>
  <si>
    <t>Fair value adjustment of acquisition related continent consideration, net of tax</t>
  </si>
  <si>
    <t>Memphis-area manufacturing plants consolidation</t>
  </si>
  <si>
    <t>Exchanged distribution territories and sold operating entities operating income, net of tax</t>
  </si>
  <si>
    <t>Supply chain optimization and consolidation</t>
  </si>
  <si>
    <t>Change in valuation allowance due to sale of business</t>
  </si>
  <si>
    <t>Bargain purchase gain, net of tax</t>
  </si>
  <si>
    <t>Other income tax changes</t>
  </si>
  <si>
    <t>Other changes</t>
  </si>
  <si>
    <t>Adjusted Net Income (Non-GAAP)</t>
  </si>
  <si>
    <t>Net Income attributable to Coca-Cola Bottling Co. Consolidated</t>
  </si>
  <si>
    <t>Class B Common Stock dividend</t>
  </si>
  <si>
    <t>Class B Common Stock undistributed earnings – basic</t>
  </si>
  <si>
    <t>Numerator for Basic Net Income Per Common Stock Share</t>
  </si>
  <si>
    <t>Revised Income Statement</t>
  </si>
  <si>
    <t>Net Revenue</t>
  </si>
  <si>
    <t>Consensus Estimates - Net Revenue</t>
  </si>
  <si>
    <t>Adjusted EBIT</t>
  </si>
  <si>
    <t>Consensus Estimates - Adjusted EBIT</t>
  </si>
  <si>
    <t>Add back: D&amp;A</t>
  </si>
  <si>
    <t>Add back: Amortization of Intangibles</t>
  </si>
  <si>
    <t>Add back: SBC</t>
  </si>
  <si>
    <t>Adjusted EBITDA (No Adjustments)</t>
  </si>
  <si>
    <t>Consensus Estimates - Adjusted EBITDA</t>
  </si>
  <si>
    <t>Other items</t>
  </si>
  <si>
    <t>One-time item</t>
  </si>
  <si>
    <t>Current tax</t>
  </si>
  <si>
    <t>Deferred tax</t>
  </si>
  <si>
    <t>Net Income from Continued Operation</t>
  </si>
  <si>
    <t>Discontinued Operations</t>
  </si>
  <si>
    <t>Net Income to NCI</t>
  </si>
  <si>
    <t>Earnings to preferred and other securities</t>
  </si>
  <si>
    <t>Net Income to Common Shareholders</t>
  </si>
  <si>
    <t>Adjustments for Convertible Securities</t>
  </si>
  <si>
    <t>Diluted Net Income to Common Shareholders</t>
  </si>
  <si>
    <t>Non-GAAP Adjustments</t>
  </si>
  <si>
    <t>Non-GAAP Adjustments for Dilutive Securities</t>
  </si>
  <si>
    <t>Adjusted Net Income</t>
  </si>
  <si>
    <t>Earnings to Class B stock as % of Net Income, %</t>
  </si>
  <si>
    <t>Current tax rate</t>
  </si>
  <si>
    <t>Deferred tax rate</t>
  </si>
  <si>
    <t>Earnings Per Share - WAB</t>
  </si>
  <si>
    <t>Earnings Per Share - WAD</t>
  </si>
  <si>
    <t>Adjusted Earnings Per Share - WAD</t>
  </si>
  <si>
    <t>Consensus Estimates - Adjusted Earnings Per Share - WAD</t>
  </si>
  <si>
    <t>Common Shares Outstanding - WAB</t>
  </si>
  <si>
    <t>Common Shares Outstanding - WAD</t>
  </si>
  <si>
    <t>Common Adjusted Shares Outstanding - WAD</t>
  </si>
  <si>
    <t>Share Count Analysis</t>
  </si>
  <si>
    <t>Class B common stock to common stock conversion ratio, x</t>
  </si>
  <si>
    <t>Common stock issued - EoP, mm shares</t>
  </si>
  <si>
    <t>Treasury stock - EoP, mm shares</t>
  </si>
  <si>
    <t>Common stock outstanding (calculated) - EoP, mm shares</t>
  </si>
  <si>
    <t>Class B common stock issued - EoP, mm shares</t>
  </si>
  <si>
    <t>Class B treasury stock - EoP, mm shares</t>
  </si>
  <si>
    <t>Class B common stock outstanding (calculated) - EoP, mm shares</t>
  </si>
  <si>
    <t>Equivalent common stock outstanding (calculated) - EoP, mm shares</t>
  </si>
  <si>
    <t>Q/Q basic share expansion from dilutive securities, %</t>
  </si>
  <si>
    <t>Y/Y basic share expansion from dilutive securities, %</t>
  </si>
  <si>
    <t>Q/Q basic share expansion from share issuance (buyback), %</t>
  </si>
  <si>
    <t>Y/Y basic share expansion from share issuance (buyback), %</t>
  </si>
  <si>
    <t>Q/Q basic share expansion - EoP, %</t>
  </si>
  <si>
    <t>Y/Y basic share expansion - EoP, %</t>
  </si>
  <si>
    <t>Cover page common stock outstanding, mm shares</t>
  </si>
  <si>
    <t>Cover page Class B common stock outstanding, mm shares</t>
  </si>
  <si>
    <t>Cover page equivalent common stock outstanding (calculated), mm shares</t>
  </si>
  <si>
    <t>Date of cover page share count, date</t>
  </si>
  <si>
    <t>Dilutive shares, mm shares</t>
  </si>
  <si>
    <t>Diluted share count to basic share count ratio, x</t>
  </si>
  <si>
    <t>Total diluted common stock outstanding - EoP, mm shares</t>
  </si>
  <si>
    <t>Cash Flow Summary</t>
  </si>
  <si>
    <t>Operating Cash Flow before WC</t>
  </si>
  <si>
    <t>Change in Working Capital</t>
  </si>
  <si>
    <t>Operating Cash Flow after WC</t>
  </si>
  <si>
    <t>Cash Flow Per Diluted Share before WC</t>
  </si>
  <si>
    <t>Cash Flow Per Diluted Share</t>
  </si>
  <si>
    <t>Consensus Estimates - Cash Flow Per Diluted Share</t>
  </si>
  <si>
    <t>Consensus Estimates - Capex</t>
  </si>
  <si>
    <t>Divestiture</t>
  </si>
  <si>
    <t>Dividend Paid</t>
  </si>
  <si>
    <t>Dividend Per Share</t>
  </si>
  <si>
    <t>Net Debt Issuance (Repayment)</t>
  </si>
  <si>
    <t>Net Share Issuance (Buybacks)</t>
  </si>
  <si>
    <t>Estimated Share Price for Issuance/Buybacks, USD</t>
  </si>
  <si>
    <t>FCF (before WC), Pre Div</t>
  </si>
  <si>
    <t>FCF (before WC), Post Div, Pre A/D</t>
  </si>
  <si>
    <t>FCF (before WC), Post Div, Post A/D</t>
  </si>
  <si>
    <t>FCF (before WC), Post Div, Debt, Buyback, A/D</t>
  </si>
  <si>
    <t>FCF, Pre Div</t>
  </si>
  <si>
    <t>FCF, Post Div, Pre A/D</t>
  </si>
  <si>
    <t>FCF, Post Div, Post A/D</t>
  </si>
  <si>
    <t>FCF, Post Div, Debt, Buyback, A/D</t>
  </si>
  <si>
    <t>Balance Sheet Summary</t>
  </si>
  <si>
    <t>ST Debt</t>
  </si>
  <si>
    <t>LT Debt</t>
  </si>
  <si>
    <t>Interest Expense</t>
  </si>
  <si>
    <t>Effective Interest Rate on Debt</t>
  </si>
  <si>
    <t>Interest Income</t>
  </si>
  <si>
    <t>Effective Interest Rate on Cash</t>
  </si>
  <si>
    <t>Net Interest Expense (Income)</t>
  </si>
  <si>
    <t>Effective Net Interest Rate on Debt</t>
  </si>
  <si>
    <t>n/a</t>
  </si>
  <si>
    <t>EBITDA / Net Interest Expense</t>
  </si>
  <si>
    <t>Net Debt / EBITDA</t>
  </si>
  <si>
    <t>Net Debt / Cash Flow</t>
  </si>
  <si>
    <t>Stock Price (Reporting Cur.) - EoP, USD</t>
  </si>
  <si>
    <t>Market Cap - EoP</t>
  </si>
  <si>
    <t>Enterprise Value - EoP</t>
  </si>
  <si>
    <t>P/E - EoP</t>
  </si>
  <si>
    <t>EV/EBITDA - EoP</t>
  </si>
  <si>
    <t>P/CF - EoP</t>
  </si>
  <si>
    <t>FCF Yield % to EoP Market Cap</t>
  </si>
  <si>
    <t>FCF Yield % to EoP Enterprise Value</t>
  </si>
  <si>
    <t>Stock High, USD</t>
  </si>
  <si>
    <t>Stock Low, USD</t>
  </si>
  <si>
    <t>Stock Average, USD</t>
  </si>
  <si>
    <t>Stock EoP, USD</t>
  </si>
  <si>
    <t>Average FX Rate, USD/USD</t>
  </si>
  <si>
    <t>EoP FX Rate, USD/USD</t>
  </si>
  <si>
    <t>Stock Price (Trading Cur.) - EoP, USD</t>
  </si>
  <si>
    <t>Enterprise Value Components</t>
  </si>
  <si>
    <t>Noncontrolling Interest</t>
  </si>
  <si>
    <t>Preferred Shares</t>
  </si>
  <si>
    <t>Other EV Components</t>
  </si>
  <si>
    <t>Cumulative Cash Flow Statement</t>
  </si>
  <si>
    <t>Net income</t>
  </si>
  <si>
    <t>Depreciation expense</t>
  </si>
  <si>
    <t>Amortization of intangibles</t>
  </si>
  <si>
    <t>Deferred payroll taxes under CARES Act</t>
  </si>
  <si>
    <t>Deferred income taxes</t>
  </si>
  <si>
    <t>Loss on sale of property, plant and equipment</t>
  </si>
  <si>
    <t>Proceeds from conversion of Legacy Territory bottling agreements</t>
  </si>
  <si>
    <t>Proceeds from Legacy Facilities Credit</t>
  </si>
  <si>
    <t>Impairment of property, plant and equipment</t>
  </si>
  <si>
    <t>Amortization of debt costs</t>
  </si>
  <si>
    <t>Stock compensation expense</t>
  </si>
  <si>
    <t>Amortization of deferred gains related to terminated interest rate agreements</t>
  </si>
  <si>
    <t>Insurance proceeds received for flood damage</t>
  </si>
  <si>
    <t>Loss on voluntary pension settlement</t>
  </si>
  <si>
    <t>System Transformation Transactions settlements</t>
  </si>
  <si>
    <t>CFO before WC</t>
  </si>
  <si>
    <t>Change in account receivable</t>
  </si>
  <si>
    <t>Change in inventory</t>
  </si>
  <si>
    <t>Change in account payable</t>
  </si>
  <si>
    <t>Change in current assets less current liabilities (exclusive of acquisitions)</t>
  </si>
  <si>
    <t>Change in other noncurrent assets (exclusive of acquisitions)</t>
  </si>
  <si>
    <t>Change in other noncurrent liabilities (exclusive of acquisitions)</t>
  </si>
  <si>
    <t>Net CFO</t>
  </si>
  <si>
    <t>Additions to property, plant and equipment (exclusive of acquisitions)</t>
  </si>
  <si>
    <t>Purchases of short-term investments</t>
  </si>
  <si>
    <t>Proceeds from the disposal of short-term investments</t>
  </si>
  <si>
    <t>Other distribution agreements</t>
  </si>
  <si>
    <t>Proceeds from the sale of property, plant and equipment</t>
  </si>
  <si>
    <t>Proceeds from cold drink equipment</t>
  </si>
  <si>
    <t>Net cash paid for exchange transactions</t>
  </si>
  <si>
    <t>Proceeds from the sale of BYB Brands, Inc.</t>
  </si>
  <si>
    <t>Prepayment of funds for expansion transaction</t>
  </si>
  <si>
    <t>Glacéau distribution agreement consideration</t>
  </si>
  <si>
    <t>Investment in CONA Services LLC</t>
  </si>
  <si>
    <t>Acquisition of new territories, net of cash acquired</t>
  </si>
  <si>
    <t>Change in restricted cash</t>
  </si>
  <si>
    <t>Net CFI</t>
  </si>
  <si>
    <t>Proceeds from issuance of long-term debt, net of discount</t>
  </si>
  <si>
    <t>Borrowings under Term Loan Facility</t>
  </si>
  <si>
    <t>Borrowing under revolving credit facility</t>
  </si>
  <si>
    <t>Payment on revolving credit facility</t>
  </si>
  <si>
    <t>Payment of current portion of long-term debt</t>
  </si>
  <si>
    <t>Payment on Term Loan Facility</t>
  </si>
  <si>
    <t>Purchase of noncontrolling interest in Piedmont Coca-Cola Bottling Partnership</t>
  </si>
  <si>
    <t>Proceeds from senior notes</t>
  </si>
  <si>
    <t>Payment of senior notes</t>
  </si>
  <si>
    <t>Repayment of lines of credit</t>
  </si>
  <si>
    <t>Proceeds from bridge loan</t>
  </si>
  <si>
    <t>Proceeds from term loan facility upon modification</t>
  </si>
  <si>
    <t>Repayment of bridge loan upon extinguishment</t>
  </si>
  <si>
    <t>Repayment of senior bonds</t>
  </si>
  <si>
    <t>Proceeds from bond issuance</t>
  </si>
  <si>
    <t>Cash dividends paid</t>
  </si>
  <si>
    <t>Excess tax expense/(benefit) from stock-based compensation</t>
  </si>
  <si>
    <t>Payment of acquisition related contingent consideration</t>
  </si>
  <si>
    <t>Principal payments on capital lease obligations</t>
  </si>
  <si>
    <t>Payments for the termination of interest rate lock agreements</t>
  </si>
  <si>
    <t>Debt issuance costs</t>
  </si>
  <si>
    <t>Payments related to share repurchases</t>
  </si>
  <si>
    <t>Repurchase of common stock</t>
  </si>
  <si>
    <t>Net CFF</t>
  </si>
  <si>
    <t>FX</t>
  </si>
  <si>
    <t>Net Change in Cash Balance</t>
  </si>
  <si>
    <t>Beginning Cash Balance</t>
  </si>
  <si>
    <t>Ending Cash Balance</t>
  </si>
  <si>
    <t>Net cash payments (refunds) for income taxes</t>
  </si>
  <si>
    <t>Net cash payments (refunds) for interest</t>
  </si>
  <si>
    <t>Cash Flow Statement</t>
  </si>
  <si>
    <t>CF Check</t>
  </si>
  <si>
    <t>Working Capital Forecasting</t>
  </si>
  <si>
    <t>Total accounts receivable, % of LTM Sales</t>
  </si>
  <si>
    <t>Inventories, % of LTM Sales</t>
  </si>
  <si>
    <t>Total accounts payable, % of LTM Sales</t>
  </si>
  <si>
    <t>Total accounts receivable, Y/Y Change, %</t>
  </si>
  <si>
    <t>Inventories, Y/Y Change, %</t>
  </si>
  <si>
    <t>Total accounts payable, Y/Y Change, %</t>
  </si>
  <si>
    <t>D&amp;A Forecasting</t>
  </si>
  <si>
    <t>PP&amp;E BoP, mm</t>
  </si>
  <si>
    <t>Depreciation of fixed assets, mm</t>
  </si>
  <si>
    <t>Capex of PP&amp;E, mm</t>
  </si>
  <si>
    <t>Other net additions to PP&amp;E, mm</t>
  </si>
  <si>
    <t>PP&amp;E EoP, mm</t>
  </si>
  <si>
    <t>Intangibles BoP, mm</t>
  </si>
  <si>
    <t>Amortization of intangibles, mm</t>
  </si>
  <si>
    <t>Capex of intangibles, mm</t>
  </si>
  <si>
    <t>Other net additions to intangibles, mm</t>
  </si>
  <si>
    <t>Intangibles EoP, mm</t>
  </si>
  <si>
    <t>Depreciation as percentage of PP&amp;E BoP, %</t>
  </si>
  <si>
    <t>Amortization as percentage of Intangibles BoP, %</t>
  </si>
  <si>
    <t>Implied life of fixed assets, yr</t>
  </si>
  <si>
    <t>Implied life of intangibles, yr</t>
  </si>
  <si>
    <t>Total D&amp;A, mm</t>
  </si>
  <si>
    <t>Total Capex, mm</t>
  </si>
  <si>
    <t>Percentage of capex allocated to intangible assets, %</t>
  </si>
  <si>
    <t>Balance Sheet</t>
  </si>
  <si>
    <t>Current Assets</t>
  </si>
  <si>
    <t>Cash and cash equivalents</t>
  </si>
  <si>
    <t>Short-term investments</t>
  </si>
  <si>
    <t>Restricted cash</t>
  </si>
  <si>
    <t>Accounts receivable, trade</t>
  </si>
  <si>
    <t>Allowance for doubtful account</t>
  </si>
  <si>
    <t>Accounts receivable from The Coca-Cola Company</t>
  </si>
  <si>
    <t>Accounts receivable, other</t>
  </si>
  <si>
    <t>Total accounts receivable</t>
  </si>
  <si>
    <t>Inventories</t>
  </si>
  <si>
    <t>Prepaid expenses and other current assets</t>
  </si>
  <si>
    <t>Assets held for sale</t>
  </si>
  <si>
    <t>Total Current Assets</t>
  </si>
  <si>
    <t>Non-Current Assets</t>
  </si>
  <si>
    <t>Property, plant and equipment, net</t>
  </si>
  <si>
    <t>Right of use assets - operating leases</t>
  </si>
  <si>
    <t>Leased property under capital leases, net</t>
  </si>
  <si>
    <t>Other assets</t>
  </si>
  <si>
    <t>Goodwill</t>
  </si>
  <si>
    <t>Distribution agreements, net</t>
  </si>
  <si>
    <t>Franchise rights</t>
  </si>
  <si>
    <t>Customer lists and other identifiable intangible assets, net</t>
  </si>
  <si>
    <t>Other identifiable intangible assets, net</t>
  </si>
  <si>
    <t>Total Intangible Assets</t>
  </si>
  <si>
    <t>Total Non-Current Assets</t>
  </si>
  <si>
    <t>Total Assets</t>
  </si>
  <si>
    <t>Current Liabilities</t>
  </si>
  <si>
    <t>Current portion of debt</t>
  </si>
  <si>
    <t>Current portion of obligations under operating leases</t>
  </si>
  <si>
    <t>Current portion of obligations under capital leases</t>
  </si>
  <si>
    <t>Accounts payable, trade</t>
  </si>
  <si>
    <t>Accounts payable to The Coca-Cola Company</t>
  </si>
  <si>
    <t>Total accounts payable</t>
  </si>
  <si>
    <t>Share repurchase obligation to The Coca-Cola Company</t>
  </si>
  <si>
    <t>Other accrued liabilities</t>
  </si>
  <si>
    <t>Accrued compensation</t>
  </si>
  <si>
    <t>Accrued interest payable</t>
  </si>
  <si>
    <t>Dividends payable</t>
  </si>
  <si>
    <t>Liabilities held for sale</t>
  </si>
  <si>
    <t>Total Current Liabilities</t>
  </si>
  <si>
    <t>Non-Current Liabilities</t>
  </si>
  <si>
    <t>Pension and postretirement benefit obligations</t>
  </si>
  <si>
    <t>Other liabilities</t>
  </si>
  <si>
    <t>Obligations under operating leases</t>
  </si>
  <si>
    <t>Obligations under capital leases</t>
  </si>
  <si>
    <t>Long-term debt</t>
  </si>
  <si>
    <t>Total Non-Current liabilities</t>
  </si>
  <si>
    <t>Total Liabilities</t>
  </si>
  <si>
    <t>Shareholders' Equity</t>
  </si>
  <si>
    <t>Preferred Stock</t>
  </si>
  <si>
    <t>Common Stock</t>
  </si>
  <si>
    <t>Class B Common Stock</t>
  </si>
  <si>
    <t>Capital in excess of par value</t>
  </si>
  <si>
    <t>Retained earnings</t>
  </si>
  <si>
    <t>Accumulated other comprehensive loss</t>
  </si>
  <si>
    <t>Treasury stock, common stock</t>
  </si>
  <si>
    <t>Treasury stock, Class B common stock</t>
  </si>
  <si>
    <t>Total SE</t>
  </si>
  <si>
    <t>Total Liabilities &amp; SE</t>
  </si>
  <si>
    <t>BS Check</t>
  </si>
  <si>
    <t>Model Checks</t>
  </si>
  <si>
    <t>Net Income on Revised IS = NI on CF statement</t>
  </si>
  <si>
    <t>Net Income on Reported IS = NI on Revised</t>
  </si>
  <si>
    <t>Cash is Positive</t>
  </si>
  <si>
    <t>Debt is Positive</t>
  </si>
  <si>
    <t>Segmented Revenue = Revenue</t>
  </si>
  <si>
    <t>Cash Flow is not Repeated</t>
  </si>
  <si>
    <t>SSS is not Repeated</t>
  </si>
  <si>
    <t>CHECK</t>
  </si>
  <si>
    <t>Income Statement is not Repeated</t>
  </si>
  <si>
    <t>Balance Sheet is not Repeated</t>
  </si>
  <si>
    <t>Ending CF = Ending Cumulative CF</t>
  </si>
  <si>
    <t>Capex is Updated</t>
  </si>
  <si>
    <t>Margin is Updated</t>
  </si>
  <si>
    <t>Adjusted Numbers FY = Sum of Qs</t>
  </si>
  <si>
    <t>*Cash Flow Summary Signs are Correct</t>
  </si>
  <si>
    <t>*RIS NI FY = Sum of Qs</t>
  </si>
  <si>
    <t>*RIS Adjusted NI FY = Sum of Qs</t>
  </si>
  <si>
    <t>*CFO Before WC subtotal FY = Sum of Qs</t>
  </si>
  <si>
    <t>*CFO subtotal FY = Sum of Qs</t>
  </si>
  <si>
    <t>*CFI subtotal FY = Sum of Qs</t>
  </si>
  <si>
    <t>*CFF subtotal FY = Sum of Qs</t>
  </si>
  <si>
    <t>*CF Summary FY = Sum of Qs</t>
  </si>
  <si>
    <t>Other Tables</t>
  </si>
  <si>
    <t>Ticker Symbol</t>
  </si>
  <si>
    <t>COKE_US</t>
  </si>
  <si>
    <t>NASDAQ:COKE</t>
  </si>
  <si>
    <t>COKE-US</t>
  </si>
  <si>
    <t>COKE.OQ</t>
  </si>
  <si>
    <t>Valuation Toggle Table</t>
  </si>
  <si>
    <t>High</t>
  </si>
  <si>
    <t>Low</t>
  </si>
  <si>
    <t>Avg</t>
  </si>
  <si>
    <t>EoP</t>
  </si>
  <si>
    <t>Key Outputs</t>
  </si>
  <si>
    <t>KPI Data</t>
  </si>
  <si>
    <t>MO_RIS_REV</t>
  </si>
  <si>
    <t>MO_RIS_NI_NONGAAP_Diluted</t>
  </si>
  <si>
    <t>MO_RIS_EPS_WAD_Adj</t>
  </si>
  <si>
    <t>MO_RIS_EBITDA_Adj</t>
  </si>
  <si>
    <t>MO_MA_EBITDA_Adj</t>
  </si>
  <si>
    <t>MO_OS_EmployeeCount</t>
  </si>
  <si>
    <t>Quarterly Guidance Table</t>
  </si>
  <si>
    <t>Reporting Date</t>
  </si>
  <si>
    <t>Applicable Period</t>
  </si>
  <si>
    <t>Q1-2026</t>
  </si>
  <si>
    <t>Annual Guidance Table</t>
  </si>
  <si>
    <t>Is Latest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</si>
  <si>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</si>
  <si>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</si>
  <si>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</si>
  <si>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</si>
  <si>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</si>
  <si>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</si>
  <si>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</si>
  <si>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</si>
  <si>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Consensus Estimate Table</t>
  </si>
  <si>
    <t>FY or FQ</t>
  </si>
  <si>
    <t>Period</t>
  </si>
  <si>
    <t>Stock Price Table</t>
  </si>
  <si>
    <t>Fiscal Period Start Date</t>
  </si>
  <si>
    <t>Is Historical Period</t>
  </si>
  <si>
    <t>Stock High: Real-Time Off Source</t>
  </si>
  <si>
    <t>Real-Time Off Source</t>
  </si>
  <si>
    <t>Capital IQ</t>
  </si>
  <si>
    <t>N/A</t>
  </si>
  <si>
    <t>FactSet</t>
  </si>
  <si>
    <t>Refinitiv</t>
  </si>
  <si>
    <t>Stock Low: Real-Time Off Source</t>
  </si>
  <si>
    <t>Stock Average: Real-Time Off Source</t>
  </si>
  <si>
    <t>FX Average: Real-Time Off Source</t>
  </si>
  <si>
    <t>#N/A Invalid Security</t>
  </si>
  <si>
    <t>Last Working Day In Period</t>
  </si>
  <si>
    <t>Stock Price EoP</t>
  </si>
  <si>
    <t>FX EoP</t>
  </si>
  <si>
    <t>General Table</t>
  </si>
  <si>
    <t>Last Price</t>
  </si>
  <si>
    <t>Last Price Date</t>
  </si>
  <si>
    <t>Real-Time Stock Price</t>
  </si>
  <si>
    <t>Last Price Formula</t>
  </si>
  <si>
    <t>Apply Trade Currency Scaling</t>
  </si>
  <si>
    <t>Trade Currency</t>
  </si>
  <si>
    <t>Trade Currency Hardcoded</t>
  </si>
  <si>
    <t>Model Sheet Currency Hardcoded</t>
  </si>
  <si>
    <t>Most Recent FX</t>
  </si>
  <si>
    <t>Most Recent FX Hardcoded</t>
  </si>
  <si>
    <t>MRFP Column Number</t>
  </si>
  <si>
    <t>Most Recent Fiscal Period (MRFP)</t>
  </si>
  <si>
    <t>Current Fiscal Year</t>
  </si>
  <si>
    <t>First Forecast Fiscal Year</t>
  </si>
  <si>
    <t>KPI Count</t>
  </si>
  <si>
    <t>Data Source Index</t>
  </si>
  <si>
    <t>Tegus</t>
  </si>
  <si>
    <t>FY2009</t>
  </si>
  <si>
    <t>Dividends</t>
  </si>
  <si>
    <t>COKE — Aluminum Sensitivity</t>
  </si>
  <si>
    <t>($ in mm except where noted)</t>
  </si>
  <si>
    <t>Bloomberg Quarterly Historical Pulls</t>
  </si>
  <si>
    <t>LME Aluminum ($/MT)</t>
  </si>
  <si>
    <t>LMAHDS03 Comdty</t>
  </si>
  <si>
    <t>PUL1 Comdty</t>
  </si>
  <si>
    <t>Y/Y Change — LME</t>
  </si>
  <si>
    <t>Y/Y Change — MWP</t>
  </si>
  <si>
    <t>Y/Y Change — Combined ($/lb)</t>
  </si>
  <si>
    <t>Volume Mix &amp; Aluminum Demand</t>
  </si>
  <si>
    <t>Total Physical Case Volume (mm cases)</t>
  </si>
  <si>
    <t>% Volume in Aluminum Cans</t>
  </si>
  <si>
    <t>% Volume in Plastic Bottles</t>
  </si>
  <si>
    <t>Cases in Cans (mm)</t>
  </si>
  <si>
    <t>Cases in Bottles (mm)</t>
  </si>
  <si>
    <t>Aluminum Content per Case</t>
  </si>
  <si>
    <t>Standard Physical Case (fl oz)</t>
  </si>
  <si>
    <t>Standard Can Size (fl oz)</t>
  </si>
  <si>
    <t>Cans per physical case (all-can basis)</t>
  </si>
  <si>
    <t>Aluminum per 12 oz can (g)</t>
  </si>
  <si>
    <t>Aluminum Demand &amp; Cost</t>
  </si>
  <si>
    <t>Aluminum Spend ($M)</t>
  </si>
  <si>
    <t>Y/Y Change in Spend ($M)</t>
  </si>
  <si>
    <t>Midwest Premium ($/MT)</t>
  </si>
  <si>
    <t>All in US Price ($/MT)</t>
  </si>
  <si>
    <t>Aluminum per all-can case (KG)</t>
  </si>
  <si>
    <t>Aluminum KG per total case (mix-adj.)</t>
  </si>
  <si>
    <t>All-in Cost ($/KG)</t>
  </si>
  <si>
    <t>Aluminum Volume (mm KG)</t>
  </si>
  <si>
    <t>PET Resin Cost ($ / MT)</t>
  </si>
  <si>
    <t>PET Resin Content per Case</t>
  </si>
  <si>
    <t>PET Resin per all-bottle case (KG)</t>
  </si>
  <si>
    <t>PET Resin g / oz</t>
  </si>
  <si>
    <t>PET Resin Demand &amp; Cost</t>
  </si>
  <si>
    <t>PET Resin Volume (mm KG)</t>
  </si>
  <si>
    <t>PET Resin Spend ($M)</t>
  </si>
  <si>
    <t>Aluminum COGS</t>
  </si>
  <si>
    <t>PET Resin COGS</t>
  </si>
  <si>
    <t>Other COGS</t>
  </si>
  <si>
    <t>Gross Profit Margin %</t>
  </si>
  <si>
    <t>Interest Rate %</t>
  </si>
  <si>
    <t>street --&gt;</t>
  </si>
  <si>
    <t>MTM on acquisition related</t>
  </si>
  <si>
    <t>SD&amp;A</t>
  </si>
  <si>
    <t>SD&amp;A % of Rev</t>
  </si>
  <si>
    <t>2026 YE return scenarios</t>
  </si>
  <si>
    <t>Total Cases</t>
  </si>
  <si>
    <t>CCK Markup --&gt;</t>
  </si>
  <si>
    <t>Markup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</si>
</sst>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5" formatCode="&quot;$&quot;#,##0_);\(&quot;$&quot;#,##0\)"/>
    <numFmt numFmtId="7" formatCode="&quot;$&quot;#,##0.00_);\(&quot;$&quot;#,##0.00\)"/>
    <numFmt numFmtId="164" formatCode="0_);\(0\)"/>
    <numFmt numFmtId="165" formatCode="#,##0.0%;\(#,##0.0%\);&quot;0.0%&quot;;@"/>
    <numFmt numFmtId="166" formatCode="#,##0.0\x"/>
    <numFmt numFmtId="167" formatCode="#,##0.0_);\(#,##0.0\)"/>
    <numFmt numFmtId="168" formatCode="0.00%\ ;\ \(0.00%\)\ ;\ \-\-\ "/>
    <numFmt numFmtId="169" formatCode="0.00\x\ ;\ \(0.00\x\)\ ;\ \-\-\ "/>
    <numFmt numFmtId="170" formatCode="_(* #,##0.0_);_(* \(#,##0.0\);_(* &quot;-&quot;??_);_(@_)"/>
    <numFmt numFmtId="171" formatCode="_(* #,##0.0_);_(* \(#,##0.0\);_(* &quot;-&quot;??_);_(&quot;Ticker :   &quot;@_)"/>
    <numFmt numFmtId="172" formatCode="_(* #,##0.0_);_(* \(#,##0.0\);_(* &quot;-&quot;??_);@"/>
    <numFmt numFmtId="173" formatCode="_(* #,##0.0_);_(* \(#,##0.0\);_(* &quot; - &quot;??_);_(&quot;Last Price (&quot;@&quot;) &quot;_)"/>
    <numFmt numFmtId="174" formatCode="_(&quot;$&quot;* 0.00_);_(&quot;$&quot;* \(0.00\);_(&quot;$&quot;* &quot;-&quot;??_);_(@_)"/>
    <numFmt numFmtId="175" formatCode="_(* #,##0.0_);_(* \(#,##0.0\);_(* &quot;-&quot;??_);_(&quot;Real-Time Stock Price :   &quot;@_)"/>
    <numFmt numFmtId="176" formatCode="_(* #,##0.0_);_(* \(#,##0.0\);_(* &quot;-&quot;??_);_(&quot;Model Sheet Currency :   &quot;@_)"/>
    <numFmt numFmtId="177" formatCode="_(* 0.0%_);_(* \-0.0%_);_(* &quot;-&quot;??_);_(@_)"/>
    <numFmt numFmtId="178" formatCode="_(* #,##0_);_(* \(#,##0\);_(* &quot;-&quot;??_);_(@_)"/>
    <numFmt numFmtId="179" formatCode="_(* 0.0\ \x_);\ _(* &quot;n/a&quot;_);_(* &quot;-&quot;??_);_(@_)"/>
    <numFmt numFmtId="180" formatCode="m\-d\-yy"/>
    <numFmt numFmtId="181" formatCode="_(* 0.00\ \x_);\ _(* &quot;n/a&quot;_);_(* &quot;-&quot;??_);_(@_)"/>
    <numFmt numFmtId="182" formatCode="_(&quot;$&quot;* 0.000_);_(&quot;$&quot;* \(0.000\);_(&quot;$&quot;* &quot;-&quot;??_);_(@_)"/>
    <numFmt numFmtId="183" formatCode="_(\$* 0.00_);_(\$* \(0.00\);_(\$* &quot;-&quot;??_);_(@\ * \ &quot;Toggle  &gt;&gt;&gt;&quot;_)"/>
    <numFmt numFmtId="184" formatCode="_(&quot;$&quot;* 0.00_);_(&quot;$&quot;* \(0.00\);_(&quot;$&quot;* &quot; - &quot;??_);_(@_)"/>
    <numFmt numFmtId="185" formatCode="_(\$* 0.00_);_(\$* \(0.00\);_(\$* &quot; - &quot;??_);_(@_)"/>
    <numFmt numFmtId="186" formatCode="_(* #,##0.000_);_(* \(#,##0.000\);_(* &quot;-&quot;??_);_(@_)"/>
    <numFmt numFmtId="187" formatCode="_(* #,##0.0_);_(* \(#,##0.0\);_(* &quot;-&quot;??_);_(&quot;Tegus Ticker &gt;&gt; &quot;@_)"/>
    <numFmt numFmtId="188" formatCode="_(* #,##0.0_);_(* \(#,##0.0\);_(* &quot;-&quot;??_);_(&quot;Bloomberg &gt;&gt; &quot;@_)"/>
    <numFmt numFmtId="189" formatCode="_(* #,##0.0_);_(* \(#,##0.0\);_(* &quot;-&quot;??_);_(&quot;Capital IQ &gt;&gt; &quot;@_)"/>
    <numFmt numFmtId="190" formatCode="_(* #,##0.0_);_(* \(#,##0.0\);_(* &quot;-&quot;??_);_(&quot;FactSet &gt;&gt; &quot;@_)"/>
    <numFmt numFmtId="191" formatCode="_(* #,##0.0_);_(* \(#,##0.0\);_(* &quot; -&quot;??_);_(&quot;Refinitiv &gt;&gt; &quot;@_)"/>
    <numFmt numFmtId="192" formatCode="_(&quot;$&quot;* #,##0_);_(&quot;$&quot;* \(#,##0\);_(&quot;$&quot;* &quot;-&quot;??_);_(@_)"/>
    <numFmt numFmtId="193" formatCode="yyyy\-mm\-dd"/>
    <numFmt numFmtId="194" formatCode=";;;"/>
    <numFmt numFmtId="195" formatCode="_(&quot;$&quot;* #,##0.000_);_(&quot;$&quot;* \(#,##0.000\);_(&quot;$&quot;* &quot;-&quot;??_);_(@_)"/>
    <numFmt numFmtId="196" formatCode="0.000"/>
    <numFmt numFmtId="197" formatCode="0.0%;\(0.0%\)"/>
    <numFmt numFmtId="198" formatCode="0.0"/>
    <numFmt numFmtId="199" formatCode="0.0%"/>
    <numFmt numFmtId="200" formatCode="#,##0.0"/>
    <numFmt numFmtId="201" formatCode="#,##0.0;\(#,##0.0\)"/>
  </numFmts>
  <fonts count="51" x14ac:knownFonts="1">
    <font>
      <sz val="11"/>
      <color theme="1"/>
      <name val="Calibri"/>
      <family val="2"/>
      <scheme val="minor"/>
    </font>
    <font>
      <sz val="11"/>
      <name val="Aptos"/>
      <family val="2"/>
    </font>
    <font>
      <u/>
      <sz val="24"/>
      <color rgb="FF0000FF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i/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00FC"/>
      <name val="Calibri"/>
      <family val="2"/>
    </font>
    <font>
      <b/>
      <i/>
      <sz val="11"/>
      <color rgb="FF000000"/>
      <name val="Calibri"/>
      <family val="2"/>
    </font>
    <font>
      <sz val="11"/>
      <color rgb="FF0000FC"/>
      <name val="Calibri"/>
      <family val="2"/>
      <scheme val="minor"/>
    </font>
    <font>
      <sz val="11"/>
      <color rgb="FF0000FC"/>
      <name val="Calibri"/>
      <family val="2"/>
    </font>
    <font>
      <sz val="11"/>
      <color rgb="FFFFFFFF"/>
      <name val="Calibri"/>
      <family val="2"/>
    </font>
    <font>
      <i/>
      <sz val="11"/>
      <color rgb="FF0000FC"/>
      <name val="Calibri"/>
      <family val="2"/>
    </font>
    <font>
      <b/>
      <sz val="11"/>
      <name val="Calibri"/>
      <family val="2"/>
      <scheme val="minor"/>
    </font>
    <font>
      <b/>
      <i/>
      <sz val="11"/>
      <color rgb="FFFFFFFF"/>
      <name val="Calibri"/>
      <family val="2"/>
    </font>
    <font>
      <b/>
      <i/>
      <sz val="11"/>
      <color rgb="FF0000FC"/>
      <name val="Calibri"/>
      <family val="2"/>
    </font>
    <font>
      <sz val="11"/>
      <color rgb="FF008E00"/>
      <name val="Aptos"/>
      <family val="2"/>
    </font>
    <font>
      <i/>
      <sz val="11"/>
      <color rgb="FF008E00"/>
      <name val="Aptos"/>
      <family val="2"/>
    </font>
    <font>
      <sz val="11"/>
      <color rgb="FF0000FF"/>
      <name val="Aptos"/>
      <family val="2"/>
    </font>
    <font>
      <b/>
      <sz val="11"/>
      <name val="Aptos"/>
      <family val="2"/>
    </font>
    <font>
      <b/>
      <u/>
      <sz val="11"/>
      <name val="Aptos"/>
      <family val="2"/>
    </font>
    <font>
      <b/>
      <i/>
      <sz val="11"/>
      <name val="Aptos"/>
      <family val="2"/>
    </font>
    <font>
      <b/>
      <i/>
      <sz val="11"/>
      <color rgb="FF0000FF"/>
      <name val="Aptos"/>
      <family val="2"/>
    </font>
    <font>
      <i/>
      <sz val="11"/>
      <name val="Aptos"/>
      <family val="2"/>
    </font>
    <font>
      <sz val="11"/>
      <color rgb="FF00B050"/>
      <name val="Aptos"/>
      <family val="2"/>
    </font>
    <font>
      <b/>
      <sz val="11"/>
      <color rgb="FF00B050"/>
      <name val="Aptos"/>
      <family val="2"/>
    </font>
    <font>
      <sz val="11"/>
      <color rgb="FFC00000"/>
      <name val="Aptos"/>
      <family val="2"/>
    </font>
    <font>
      <sz val="11"/>
      <color rgb="FF7030A0"/>
      <name val="Aptos"/>
      <family val="2"/>
    </font>
    <font>
      <b/>
      <sz val="11"/>
      <color rgb="FFFFFFFF"/>
      <name val="Aptos"/>
      <family val="2"/>
    </font>
    <font>
      <i/>
      <sz val="11"/>
      <color rgb="FF0000FF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i/>
      <sz val="11"/>
      <color theme="1"/>
      <name val="Aptos"/>
      <family val="2"/>
    </font>
    <font>
      <i/>
      <sz val="11"/>
      <color rgb="FF0000FF"/>
      <name val="Aptos"/>
      <family val="2"/>
    </font>
    <font>
      <sz val="11"/>
      <color rgb="FF7030A0"/>
      <name val="Aptos"/>
      <family val="2"/>
    </font>
    <font>
      <b/>
      <i/>
      <sz val="11"/>
      <color theme="1"/>
      <name val="Aptos"/>
      <family val="2"/>
    </font>
    <font>
      <sz val="11"/>
      <color rgb="FF00B000"/>
      <name val="Aptos"/>
      <family val="2"/>
    </font>
    <font>
      <i/>
      <sz val="11"/>
      <color rgb="FFC00000"/>
      <name val="Aptos"/>
      <family val="2"/>
    </font>
    <font>
      <b/>
      <sz val="11"/>
      <color rgb="FF7030A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262F4C"/>
        <bgColor rgb="FF262F4C"/>
      </patternFill>
    </fill>
    <fill>
      <patternFill patternType="solid">
        <fgColor rgb="FF8CB7E2"/>
        <bgColor rgb="FF8CB7E2"/>
      </patternFill>
    </fill>
    <fill>
      <patternFill patternType="solid">
        <fgColor rgb="FFC5E0B4"/>
        <bgColor rgb="FFC5E0B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rgb="FF000000"/>
      </bottom>
      <diagonal/>
    </border>
    <border>
      <left/>
      <right style="thick">
        <color auto="1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5">
    <xf numFmtId="0" fontId="0" fillId="0" borderId="0" xfId="0"/>
    <xf numFmtId="0" fontId="39" fillId="0" borderId="0" xfId="0" applyFont="1"/>
    <xf numFmtId="14" fontId="1" fillId="0" borderId="0" xfId="0" applyNumberFormat="1" applyFont="1"/>
    <xf numFmtId="0" fontId="28" fillId="0" borderId="0" xfId="0" applyFont="1"/>
    <xf numFmtId="0" fontId="1" fillId="6" borderId="0" xfId="0" applyFont="1" applyFill="1"/>
    <xf numFmtId="0" fontId="37" fillId="7" borderId="0" xfId="0" applyFont="1" applyFill="1"/>
    <xf numFmtId="0" fontId="39" fillId="7" borderId="0" xfId="0" applyFont="1" applyFill="1"/>
    <xf numFmtId="0" fontId="28" fillId="6" borderId="0" xfId="0" applyFont="1" applyFill="1"/>
    <xf numFmtId="5" fontId="33" fillId="0" borderId="0" xfId="0" applyNumberFormat="1" applyFont="1"/>
    <xf numFmtId="0" fontId="28" fillId="8" borderId="0" xfId="0" applyFont="1" applyFill="1"/>
    <xf numFmtId="14" fontId="39" fillId="6" borderId="0" xfId="0" applyNumberFormat="1" applyFont="1" applyFill="1"/>
    <xf numFmtId="0" fontId="1" fillId="0" borderId="0" xfId="0" applyFont="1"/>
    <xf numFmtId="165" fontId="39" fillId="0" borderId="0" xfId="0" applyNumberFormat="1" applyFont="1"/>
    <xf numFmtId="7" fontId="39" fillId="6" borderId="0" xfId="0" applyNumberFormat="1" applyFont="1" applyFill="1"/>
    <xf numFmtId="166" fontId="27" fillId="0" borderId="0" xfId="0" applyNumberFormat="1" applyFont="1"/>
    <xf numFmtId="7" fontId="39" fillId="0" borderId="0" xfId="0" applyNumberFormat="1" applyFont="1"/>
    <xf numFmtId="7" fontId="39" fillId="9" borderId="0" xfId="0" applyNumberFormat="1" applyFont="1" applyFill="1"/>
    <xf numFmtId="165" fontId="39" fillId="6" borderId="0" xfId="0" applyNumberFormat="1" applyFont="1" applyFill="1"/>
    <xf numFmtId="0" fontId="28" fillId="8" borderId="29" xfId="0" applyFont="1" applyFill="1" applyBorder="1"/>
    <xf numFmtId="0" fontId="39" fillId="0" borderId="30" xfId="0" applyFont="1" applyBorder="1"/>
    <xf numFmtId="166" fontId="28" fillId="0" borderId="0" xfId="0" applyNumberFormat="1" applyFont="1"/>
    <xf numFmtId="7" fontId="28" fillId="0" borderId="0" xfId="0" applyNumberFormat="1" applyFont="1"/>
    <xf numFmtId="0" fontId="28" fillId="0" borderId="31" xfId="0" applyFont="1" applyBorder="1"/>
    <xf numFmtId="0" fontId="1" fillId="0" borderId="31" xfId="0" applyFont="1" applyBorder="1"/>
    <xf numFmtId="5" fontId="1" fillId="0" borderId="32" xfId="0" applyNumberFormat="1" applyFont="1" applyBorder="1"/>
    <xf numFmtId="5" fontId="36" fillId="0" borderId="0" xfId="0" applyNumberFormat="1" applyFont="1"/>
    <xf numFmtId="37" fontId="39" fillId="0" borderId="32" xfId="0" applyNumberFormat="1" applyFont="1" applyBorder="1"/>
    <xf numFmtId="37" fontId="39" fillId="6" borderId="0" xfId="0" applyNumberFormat="1" applyFont="1" applyFill="1"/>
    <xf numFmtId="0" fontId="28" fillId="0" borderId="33" xfId="0" applyFont="1" applyBorder="1"/>
    <xf numFmtId="5" fontId="28" fillId="0" borderId="34" xfId="0" applyNumberFormat="1" applyFont="1" applyBorder="1"/>
    <xf numFmtId="7" fontId="27" fillId="0" borderId="0" xfId="0" applyNumberFormat="1" applyFont="1"/>
    <xf numFmtId="37" fontId="27" fillId="0" borderId="0" xfId="0" applyNumberFormat="1" applyFont="1"/>
    <xf numFmtId="7" fontId="33" fillId="0" borderId="0" xfId="0" applyNumberFormat="1" applyFont="1"/>
    <xf numFmtId="7" fontId="36" fillId="0" borderId="0" xfId="0" applyNumberFormat="1" applyFont="1"/>
    <xf numFmtId="167" fontId="39" fillId="0" borderId="0" xfId="0" applyNumberFormat="1" applyFont="1"/>
    <xf numFmtId="37" fontId="39" fillId="0" borderId="0" xfId="0" applyNumberFormat="1" applyFont="1"/>
    <xf numFmtId="0" fontId="25" fillId="0" borderId="0" xfId="0" applyFont="1"/>
    <xf numFmtId="0" fontId="26" fillId="0" borderId="0" xfId="0" applyFont="1"/>
    <xf numFmtId="37" fontId="1" fillId="0" borderId="0" xfId="0" applyNumberFormat="1" applyFont="1"/>
    <xf numFmtId="14" fontId="27" fillId="0" borderId="0" xfId="0" applyNumberFormat="1" applyFont="1"/>
    <xf numFmtId="0" fontId="28" fillId="0" borderId="0" xfId="0" applyFont="1" applyAlignment="1">
      <alignment horizontal="center"/>
    </xf>
    <xf numFmtId="0" fontId="29" fillId="0" borderId="0" xfId="0" applyFont="1"/>
    <xf numFmtId="168" fontId="30" fillId="0" borderId="0" xfId="0" applyNumberFormat="1" applyFont="1"/>
    <xf numFmtId="168" fontId="31" fillId="0" borderId="0" xfId="0" applyNumberFormat="1" applyFont="1"/>
    <xf numFmtId="168" fontId="32" fillId="0" borderId="0" xfId="0" applyNumberFormat="1" applyFont="1"/>
    <xf numFmtId="37" fontId="34" fillId="0" borderId="0" xfId="0" applyNumberFormat="1" applyFont="1"/>
    <xf numFmtId="37" fontId="28" fillId="0" borderId="0" xfId="0" applyNumberFormat="1" applyFont="1"/>
    <xf numFmtId="37" fontId="33" fillId="0" borderId="0" xfId="0" applyNumberFormat="1" applyFont="1"/>
    <xf numFmtId="37" fontId="35" fillId="0" borderId="0" xfId="0" applyNumberFormat="1" applyFont="1"/>
    <xf numFmtId="39" fontId="34" fillId="0" borderId="0" xfId="0" applyNumberFormat="1" applyFont="1"/>
    <xf numFmtId="39" fontId="28" fillId="0" borderId="0" xfId="0" applyNumberFormat="1" applyFont="1"/>
    <xf numFmtId="39" fontId="1" fillId="0" borderId="0" xfId="0" applyNumberFormat="1" applyFont="1"/>
    <xf numFmtId="7" fontId="1" fillId="0" borderId="0" xfId="0" applyNumberFormat="1" applyFont="1"/>
    <xf numFmtId="39" fontId="33" fillId="0" borderId="0" xfId="0" applyNumberFormat="1" applyFont="1"/>
    <xf numFmtId="169" fontId="1" fillId="0" borderId="0" xfId="0" applyNumberFormat="1" applyFont="1"/>
    <xf numFmtId="169" fontId="27" fillId="0" borderId="0" xfId="0" applyNumberFormat="1" applyFont="1"/>
    <xf numFmtId="39" fontId="39" fillId="0" borderId="0" xfId="0" applyNumberFormat="1" applyFont="1"/>
    <xf numFmtId="0" fontId="32" fillId="0" borderId="0" xfId="0" applyFont="1"/>
    <xf numFmtId="168" fontId="39" fillId="0" borderId="0" xfId="0" applyNumberFormat="1" applyFont="1"/>
    <xf numFmtId="168" fontId="40" fillId="0" borderId="0" xfId="0" applyNumberFormat="1" applyFont="1"/>
    <xf numFmtId="168" fontId="27" fillId="0" borderId="0" xfId="0" applyNumberFormat="1" applyFont="1"/>
    <xf numFmtId="168" fontId="38" fillId="0" borderId="0" xfId="0" applyNumberFormat="1" applyFont="1"/>
    <xf numFmtId="0" fontId="2" fillId="2" borderId="0" xfId="0" applyFont="1" applyFill="1"/>
    <xf numFmtId="170" fontId="9" fillId="2" borderId="0" xfId="0" applyNumberFormat="1" applyFont="1" applyFill="1"/>
    <xf numFmtId="171" fontId="0" fillId="2" borderId="0" xfId="0" applyNumberFormat="1" applyFill="1" applyAlignment="1">
      <alignment horizontal="left"/>
    </xf>
    <xf numFmtId="172" fontId="10" fillId="2" borderId="0" xfId="0" applyNumberFormat="1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/>
    <xf numFmtId="14" fontId="9" fillId="2" borderId="0" xfId="0" applyNumberFormat="1" applyFont="1" applyFill="1"/>
    <xf numFmtId="173" fontId="3" fillId="2" borderId="0" xfId="0" applyNumberFormat="1" applyFont="1" applyFill="1" applyAlignment="1">
      <alignment horizontal="left"/>
    </xf>
    <xf numFmtId="174" fontId="3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/>
    </xf>
    <xf numFmtId="175" fontId="3" fillId="2" borderId="0" xfId="0" applyNumberFormat="1" applyFont="1" applyFill="1"/>
    <xf numFmtId="0" fontId="8" fillId="2" borderId="0" xfId="0" applyFont="1" applyFill="1" applyAlignment="1">
      <alignment horizontal="center"/>
    </xf>
    <xf numFmtId="17" fontId="18" fillId="2" borderId="0" xfId="0" applyNumberFormat="1" applyFont="1" applyFill="1" applyAlignment="1">
      <alignment horizontal="center"/>
    </xf>
    <xf numFmtId="176" fontId="4" fillId="2" borderId="0" xfId="0" applyNumberFormat="1" applyFont="1" applyFill="1"/>
    <xf numFmtId="0" fontId="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177" fontId="5" fillId="3" borderId="0" xfId="0" applyNumberFormat="1" applyFont="1" applyFill="1"/>
    <xf numFmtId="177" fontId="6" fillId="2" borderId="0" xfId="0" applyNumberFormat="1" applyFont="1" applyFill="1" applyAlignment="1">
      <alignment horizontal="left" indent="2"/>
    </xf>
    <xf numFmtId="177" fontId="10" fillId="2" borderId="0" xfId="0" applyNumberFormat="1" applyFont="1" applyFill="1"/>
    <xf numFmtId="177" fontId="6" fillId="2" borderId="0" xfId="0" applyNumberFormat="1" applyFont="1" applyFill="1" applyAlignment="1">
      <alignment horizontal="right"/>
    </xf>
    <xf numFmtId="177" fontId="7" fillId="2" borderId="1" xfId="0" applyNumberFormat="1" applyFont="1" applyFill="1" applyBorder="1" applyAlignment="1">
      <alignment horizontal="left" indent="1"/>
    </xf>
    <xf numFmtId="177" fontId="3" fillId="2" borderId="1" xfId="0" applyNumberFormat="1" applyFont="1" applyFill="1" applyBorder="1"/>
    <xf numFmtId="177" fontId="7" fillId="2" borderId="1" xfId="0" applyNumberFormat="1" applyFont="1" applyFill="1" applyBorder="1" applyAlignment="1">
      <alignment horizontal="right"/>
    </xf>
    <xf numFmtId="177" fontId="6" fillId="2" borderId="2" xfId="0" applyNumberFormat="1" applyFont="1" applyFill="1" applyBorder="1" applyAlignment="1">
      <alignment horizontal="left" indent="2"/>
    </xf>
    <xf numFmtId="177" fontId="10" fillId="2" borderId="2" xfId="0" applyNumberFormat="1" applyFont="1" applyFill="1" applyBorder="1"/>
    <xf numFmtId="177" fontId="6" fillId="2" borderId="2" xfId="0" applyNumberFormat="1" applyFont="1" applyFill="1" applyBorder="1" applyAlignment="1">
      <alignment horizontal="right"/>
    </xf>
    <xf numFmtId="177" fontId="8" fillId="2" borderId="1" xfId="0" applyNumberFormat="1" applyFont="1" applyFill="1" applyBorder="1" applyAlignment="1">
      <alignment horizontal="left" indent="1"/>
    </xf>
    <xf numFmtId="177" fontId="3" fillId="2" borderId="0" xfId="0" applyNumberFormat="1" applyFont="1" applyFill="1"/>
    <xf numFmtId="177" fontId="8" fillId="2" borderId="0" xfId="0" applyNumberFormat="1" applyFont="1" applyFill="1" applyAlignment="1">
      <alignment horizontal="right"/>
    </xf>
    <xf numFmtId="177" fontId="7" fillId="2" borderId="1" xfId="0" applyNumberFormat="1" applyFont="1" applyFill="1" applyBorder="1" applyAlignment="1">
      <alignment horizontal="left"/>
    </xf>
    <xf numFmtId="177" fontId="8" fillId="2" borderId="0" xfId="0" applyNumberFormat="1" applyFont="1" applyFill="1" applyAlignment="1">
      <alignment horizontal="left"/>
    </xf>
    <xf numFmtId="177" fontId="7" fillId="2" borderId="0" xfId="0" applyNumberFormat="1" applyFont="1" applyFill="1" applyAlignment="1">
      <alignment horizontal="left"/>
    </xf>
    <xf numFmtId="177" fontId="16" fillId="2" borderId="0" xfId="0" applyNumberFormat="1" applyFont="1" applyFill="1" applyAlignment="1">
      <alignment horizontal="right"/>
    </xf>
    <xf numFmtId="170" fontId="5" fillId="3" borderId="0" xfId="0" applyNumberFormat="1" applyFont="1" applyFill="1"/>
    <xf numFmtId="170" fontId="6" fillId="2" borderId="0" xfId="0" applyNumberFormat="1" applyFont="1" applyFill="1" applyAlignment="1">
      <alignment horizontal="left" indent="2"/>
    </xf>
    <xf numFmtId="170" fontId="9" fillId="2" borderId="0" xfId="0" applyNumberFormat="1" applyFont="1" applyFill="1" applyAlignment="1">
      <alignment horizontal="left" indent="4"/>
    </xf>
    <xf numFmtId="170" fontId="19" fillId="2" borderId="0" xfId="0" applyNumberFormat="1" applyFont="1" applyFill="1"/>
    <xf numFmtId="170" fontId="6" fillId="2" borderId="0" xfId="0" applyNumberFormat="1" applyFont="1" applyFill="1"/>
    <xf numFmtId="170" fontId="6" fillId="2" borderId="2" xfId="0" applyNumberFormat="1" applyFont="1" applyFill="1" applyBorder="1" applyAlignment="1">
      <alignment horizontal="left" indent="2"/>
    </xf>
    <xf numFmtId="170" fontId="9" fillId="2" borderId="2" xfId="0" applyNumberFormat="1" applyFont="1" applyFill="1" applyBorder="1" applyAlignment="1">
      <alignment horizontal="left" indent="4"/>
    </xf>
    <xf numFmtId="170" fontId="19" fillId="2" borderId="2" xfId="0" applyNumberFormat="1" applyFont="1" applyFill="1" applyBorder="1"/>
    <xf numFmtId="170" fontId="6" fillId="2" borderId="2" xfId="0" applyNumberFormat="1" applyFont="1" applyFill="1" applyBorder="1"/>
    <xf numFmtId="170" fontId="7" fillId="2" borderId="1" xfId="0" applyNumberFormat="1" applyFont="1" applyFill="1" applyBorder="1" applyAlignment="1">
      <alignment horizontal="left" indent="1"/>
    </xf>
    <xf numFmtId="170" fontId="8" fillId="2" borderId="1" xfId="0" applyNumberFormat="1" applyFont="1" applyFill="1" applyBorder="1" applyAlignment="1">
      <alignment horizontal="left" indent="4"/>
    </xf>
    <xf numFmtId="170" fontId="7" fillId="2" borderId="1" xfId="0" applyNumberFormat="1" applyFont="1" applyFill="1" applyBorder="1"/>
    <xf numFmtId="170" fontId="7" fillId="2" borderId="0" xfId="0" applyNumberFormat="1" applyFont="1" applyFill="1" applyAlignment="1">
      <alignment horizontal="left" indent="1"/>
    </xf>
    <xf numFmtId="170" fontId="8" fillId="2" borderId="0" xfId="0" applyNumberFormat="1" applyFont="1" applyFill="1" applyAlignment="1">
      <alignment horizontal="left" indent="4"/>
    </xf>
    <xf numFmtId="170" fontId="7" fillId="2" borderId="0" xfId="0" applyNumberFormat="1" applyFont="1" applyFill="1"/>
    <xf numFmtId="170" fontId="7" fillId="2" borderId="1" xfId="0" applyNumberFormat="1" applyFont="1" applyFill="1" applyBorder="1" applyAlignment="1">
      <alignment horizontal="left"/>
    </xf>
    <xf numFmtId="170" fontId="8" fillId="2" borderId="0" xfId="0" applyNumberFormat="1" applyFont="1" applyFill="1" applyAlignment="1">
      <alignment horizontal="left"/>
    </xf>
    <xf numFmtId="170" fontId="8" fillId="2" borderId="0" xfId="0" applyNumberFormat="1" applyFont="1" applyFill="1"/>
    <xf numFmtId="170" fontId="6" fillId="2" borderId="0" xfId="0" applyNumberFormat="1" applyFont="1" applyFill="1" applyAlignment="1">
      <alignment horizontal="left"/>
    </xf>
    <xf numFmtId="177" fontId="9" fillId="2" borderId="0" xfId="0" applyNumberFormat="1" applyFont="1" applyFill="1" applyAlignment="1">
      <alignment horizontal="left" indent="4"/>
    </xf>
    <xf numFmtId="177" fontId="6" fillId="2" borderId="0" xfId="0" applyNumberFormat="1" applyFont="1" applyFill="1"/>
    <xf numFmtId="177" fontId="8" fillId="2" borderId="1" xfId="0" applyNumberFormat="1" applyFont="1" applyFill="1" applyBorder="1" applyAlignment="1">
      <alignment horizontal="left" indent="4"/>
    </xf>
    <xf numFmtId="177" fontId="7" fillId="2" borderId="1" xfId="0" applyNumberFormat="1" applyFont="1" applyFill="1" applyBorder="1"/>
    <xf numFmtId="177" fontId="7" fillId="2" borderId="3" xfId="0" applyNumberFormat="1" applyFont="1" applyFill="1" applyBorder="1" applyAlignment="1">
      <alignment horizontal="left" indent="1"/>
    </xf>
    <xf numFmtId="177" fontId="8" fillId="2" borderId="3" xfId="0" applyNumberFormat="1" applyFont="1" applyFill="1" applyBorder="1" applyAlignment="1">
      <alignment horizontal="left" indent="4"/>
    </xf>
    <xf numFmtId="177" fontId="7" fillId="2" borderId="3" xfId="0" applyNumberFormat="1" applyFont="1" applyFill="1" applyBorder="1"/>
    <xf numFmtId="170" fontId="23" fillId="3" borderId="0" xfId="0" applyNumberFormat="1" applyFont="1" applyFill="1"/>
    <xf numFmtId="177" fontId="9" fillId="2" borderId="0" xfId="0" applyNumberFormat="1" applyFont="1" applyFill="1" applyAlignment="1">
      <alignment horizontal="left" indent="1"/>
    </xf>
    <xf numFmtId="177" fontId="9" fillId="2" borderId="0" xfId="0" applyNumberFormat="1" applyFont="1" applyFill="1" applyAlignment="1">
      <alignment horizontal="right"/>
    </xf>
    <xf numFmtId="177" fontId="8" fillId="2" borderId="1" xfId="0" applyNumberFormat="1" applyFont="1" applyFill="1" applyBorder="1" applyAlignment="1">
      <alignment horizontal="right"/>
    </xf>
    <xf numFmtId="170" fontId="6" fillId="2" borderId="0" xfId="0" applyNumberFormat="1" applyFont="1" applyFill="1" applyAlignment="1">
      <alignment horizontal="left" indent="1"/>
    </xf>
    <xf numFmtId="170" fontId="10" fillId="2" borderId="0" xfId="0" applyNumberFormat="1" applyFont="1" applyFill="1"/>
    <xf numFmtId="170" fontId="9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170" fontId="19" fillId="2" borderId="0" xfId="0" applyNumberFormat="1" applyFont="1" applyFill="1" applyAlignment="1">
      <alignment horizontal="right"/>
    </xf>
    <xf numFmtId="170" fontId="6" fillId="2" borderId="2" xfId="0" applyNumberFormat="1" applyFont="1" applyFill="1" applyBorder="1" applyAlignment="1">
      <alignment horizontal="left" indent="1"/>
    </xf>
    <xf numFmtId="170" fontId="10" fillId="2" borderId="2" xfId="0" applyNumberFormat="1" applyFont="1" applyFill="1" applyBorder="1"/>
    <xf numFmtId="170" fontId="9" fillId="2" borderId="2" xfId="0" applyNumberFormat="1" applyFont="1" applyFill="1" applyBorder="1" applyAlignment="1">
      <alignment horizontal="right"/>
    </xf>
    <xf numFmtId="170" fontId="6" fillId="2" borderId="2" xfId="0" applyNumberFormat="1" applyFont="1" applyFill="1" applyBorder="1" applyAlignment="1">
      <alignment horizontal="right"/>
    </xf>
    <xf numFmtId="170" fontId="19" fillId="2" borderId="2" xfId="0" applyNumberFormat="1" applyFont="1" applyFill="1" applyBorder="1" applyAlignment="1">
      <alignment horizontal="right"/>
    </xf>
    <xf numFmtId="170" fontId="7" fillId="2" borderId="0" xfId="0" applyNumberFormat="1" applyFont="1" applyFill="1" applyAlignment="1">
      <alignment horizontal="left"/>
    </xf>
    <xf numFmtId="170" fontId="3" fillId="2" borderId="0" xfId="0" applyNumberFormat="1" applyFont="1" applyFill="1"/>
    <xf numFmtId="170" fontId="8" fillId="2" borderId="0" xfId="0" applyNumberFormat="1" applyFont="1" applyFill="1" applyAlignment="1">
      <alignment horizontal="right"/>
    </xf>
    <xf numFmtId="170" fontId="16" fillId="2" borderId="0" xfId="0" applyNumberFormat="1" applyFont="1" applyFill="1" applyAlignment="1">
      <alignment horizontal="right"/>
    </xf>
    <xf numFmtId="170" fontId="7" fillId="2" borderId="0" xfId="0" applyNumberFormat="1" applyFont="1" applyFill="1" applyAlignment="1">
      <alignment horizontal="right"/>
    </xf>
    <xf numFmtId="170" fontId="3" fillId="2" borderId="1" xfId="0" applyNumberFormat="1" applyFont="1" applyFill="1" applyBorder="1"/>
    <xf numFmtId="170" fontId="8" fillId="2" borderId="1" xfId="0" applyNumberFormat="1" applyFont="1" applyFill="1" applyBorder="1" applyAlignment="1">
      <alignment horizontal="right"/>
    </xf>
    <xf numFmtId="170" fontId="7" fillId="2" borderId="1" xfId="0" applyNumberFormat="1" applyFont="1" applyFill="1" applyBorder="1" applyAlignment="1">
      <alignment horizontal="right"/>
    </xf>
    <xf numFmtId="177" fontId="6" fillId="2" borderId="0" xfId="0" applyNumberFormat="1" applyFont="1" applyFill="1" applyAlignment="1">
      <alignment horizontal="left" indent="1"/>
    </xf>
    <xf numFmtId="177" fontId="19" fillId="2" borderId="0" xfId="0" applyNumberFormat="1" applyFont="1" applyFill="1" applyAlignment="1">
      <alignment horizontal="right"/>
    </xf>
    <xf numFmtId="177" fontId="6" fillId="2" borderId="2" xfId="0" applyNumberFormat="1" applyFont="1" applyFill="1" applyBorder="1" applyAlignment="1">
      <alignment horizontal="left" indent="1"/>
    </xf>
    <xf numFmtId="177" fontId="9" fillId="2" borderId="2" xfId="0" applyNumberFormat="1" applyFont="1" applyFill="1" applyBorder="1" applyAlignment="1">
      <alignment horizontal="right"/>
    </xf>
    <xf numFmtId="177" fontId="7" fillId="2" borderId="0" xfId="0" applyNumberFormat="1" applyFont="1" applyFill="1" applyAlignment="1">
      <alignment horizontal="right"/>
    </xf>
    <xf numFmtId="174" fontId="10" fillId="2" borderId="0" xfId="0" applyNumberFormat="1" applyFont="1" applyFill="1" applyAlignment="1">
      <alignment horizontal="left" indent="1"/>
    </xf>
    <xf numFmtId="174" fontId="9" fillId="2" borderId="0" xfId="0" applyNumberFormat="1" applyFont="1" applyFill="1" applyAlignment="1">
      <alignment horizontal="left" indent="3"/>
    </xf>
    <xf numFmtId="174" fontId="9" fillId="2" borderId="0" xfId="0" applyNumberFormat="1" applyFont="1" applyFill="1"/>
    <xf numFmtId="174" fontId="10" fillId="2" borderId="2" xfId="0" applyNumberFormat="1" applyFont="1" applyFill="1" applyBorder="1" applyAlignment="1">
      <alignment horizontal="left" indent="1"/>
    </xf>
    <xf numFmtId="174" fontId="9" fillId="2" borderId="2" xfId="0" applyNumberFormat="1" applyFont="1" applyFill="1" applyBorder="1" applyAlignment="1">
      <alignment horizontal="left" indent="3"/>
    </xf>
    <xf numFmtId="174" fontId="9" fillId="2" borderId="2" xfId="0" applyNumberFormat="1" applyFont="1" applyFill="1" applyBorder="1"/>
    <xf numFmtId="174" fontId="4" fillId="2" borderId="1" xfId="0" applyNumberFormat="1" applyFont="1" applyFill="1" applyBorder="1" applyAlignment="1">
      <alignment horizontal="left"/>
    </xf>
    <xf numFmtId="174" fontId="8" fillId="2" borderId="1" xfId="0" applyNumberFormat="1" applyFont="1" applyFill="1" applyBorder="1" applyAlignment="1">
      <alignment horizontal="left" indent="3"/>
    </xf>
    <xf numFmtId="174" fontId="8" fillId="2" borderId="1" xfId="0" applyNumberFormat="1" applyFont="1" applyFill="1" applyBorder="1"/>
    <xf numFmtId="174" fontId="7" fillId="2" borderId="1" xfId="0" applyNumberFormat="1" applyFont="1" applyFill="1" applyBorder="1"/>
    <xf numFmtId="170" fontId="9" fillId="2" borderId="2" xfId="0" applyNumberFormat="1" applyFont="1" applyFill="1" applyBorder="1"/>
    <xf numFmtId="170" fontId="8" fillId="2" borderId="1" xfId="0" applyNumberFormat="1" applyFont="1" applyFill="1" applyBorder="1"/>
    <xf numFmtId="177" fontId="9" fillId="2" borderId="0" xfId="0" applyNumberFormat="1" applyFont="1" applyFill="1"/>
    <xf numFmtId="177" fontId="8" fillId="2" borderId="1" xfId="0" applyNumberFormat="1" applyFont="1" applyFill="1" applyBorder="1"/>
    <xf numFmtId="170" fontId="9" fillId="2" borderId="0" xfId="0" applyNumberFormat="1" applyFont="1" applyFill="1" applyAlignment="1">
      <alignment horizontal="left"/>
    </xf>
    <xf numFmtId="170" fontId="16" fillId="2" borderId="0" xfId="0" applyNumberFormat="1" applyFont="1" applyFill="1"/>
    <xf numFmtId="170" fontId="16" fillId="2" borderId="1" xfId="0" applyNumberFormat="1" applyFont="1" applyFill="1" applyBorder="1"/>
    <xf numFmtId="174" fontId="4" fillId="2" borderId="0" xfId="0" applyNumberFormat="1" applyFont="1" applyFill="1"/>
    <xf numFmtId="174" fontId="8" fillId="2" borderId="0" xfId="0" applyNumberFormat="1" applyFont="1" applyFill="1" applyAlignment="1">
      <alignment horizontal="left" indent="3"/>
    </xf>
    <xf numFmtId="174" fontId="7" fillId="2" borderId="0" xfId="0" applyNumberFormat="1" applyFont="1" applyFill="1"/>
    <xf numFmtId="174" fontId="8" fillId="2" borderId="0" xfId="0" applyNumberFormat="1" applyFont="1" applyFill="1"/>
    <xf numFmtId="177" fontId="19" fillId="2" borderId="0" xfId="0" applyNumberFormat="1" applyFont="1" applyFill="1"/>
    <xf numFmtId="177" fontId="9" fillId="2" borderId="0" xfId="0" applyNumberFormat="1" applyFont="1" applyFill="1" applyAlignment="1">
      <alignment horizontal="left"/>
    </xf>
    <xf numFmtId="178" fontId="6" fillId="2" borderId="0" xfId="0" applyNumberFormat="1" applyFont="1" applyFill="1" applyAlignment="1">
      <alignment horizontal="left" indent="1"/>
    </xf>
    <xf numFmtId="178" fontId="9" fillId="2" borderId="0" xfId="0" applyNumberFormat="1" applyFont="1" applyFill="1" applyAlignment="1">
      <alignment horizontal="left" indent="4"/>
    </xf>
    <xf numFmtId="178" fontId="9" fillId="2" borderId="0" xfId="0" applyNumberFormat="1" applyFont="1" applyFill="1"/>
    <xf numFmtId="178" fontId="6" fillId="2" borderId="2" xfId="0" applyNumberFormat="1" applyFont="1" applyFill="1" applyBorder="1" applyAlignment="1">
      <alignment horizontal="left" indent="1"/>
    </xf>
    <xf numFmtId="178" fontId="9" fillId="2" borderId="2" xfId="0" applyNumberFormat="1" applyFont="1" applyFill="1" applyBorder="1" applyAlignment="1">
      <alignment horizontal="left" indent="4"/>
    </xf>
    <xf numFmtId="178" fontId="9" fillId="2" borderId="2" xfId="0" applyNumberFormat="1" applyFont="1" applyFill="1" applyBorder="1"/>
    <xf numFmtId="178" fontId="7" fillId="2" borderId="0" xfId="0" applyNumberFormat="1" applyFont="1" applyFill="1" applyAlignment="1">
      <alignment horizontal="left"/>
    </xf>
    <xf numFmtId="178" fontId="8" fillId="2" borderId="0" xfId="0" applyNumberFormat="1" applyFont="1" applyFill="1" applyAlignment="1">
      <alignment horizontal="left" indent="4"/>
    </xf>
    <xf numFmtId="178" fontId="8" fillId="2" borderId="0" xfId="0" applyNumberFormat="1" applyFont="1" applyFill="1"/>
    <xf numFmtId="170" fontId="9" fillId="2" borderId="0" xfId="0" applyNumberFormat="1" applyFont="1" applyFill="1" applyAlignment="1">
      <alignment horizontal="left" indent="3"/>
    </xf>
    <xf numFmtId="170" fontId="9" fillId="2" borderId="1" xfId="0" applyNumberFormat="1" applyFont="1" applyFill="1" applyBorder="1" applyAlignment="1">
      <alignment horizontal="left" indent="2"/>
    </xf>
    <xf numFmtId="170" fontId="9" fillId="2" borderId="1" xfId="0" applyNumberFormat="1" applyFont="1" applyFill="1" applyBorder="1" applyAlignment="1">
      <alignment horizontal="left" indent="4"/>
    </xf>
    <xf numFmtId="170" fontId="9" fillId="2" borderId="1" xfId="0" applyNumberFormat="1" applyFont="1" applyFill="1" applyBorder="1"/>
    <xf numFmtId="170" fontId="19" fillId="2" borderId="1" xfId="0" applyNumberFormat="1" applyFont="1" applyFill="1" applyBorder="1"/>
    <xf numFmtId="170" fontId="9" fillId="2" borderId="3" xfId="0" applyNumberFormat="1" applyFont="1" applyFill="1" applyBorder="1" applyAlignment="1">
      <alignment horizontal="left" indent="2"/>
    </xf>
    <xf numFmtId="170" fontId="9" fillId="2" borderId="3" xfId="0" applyNumberFormat="1" applyFont="1" applyFill="1" applyBorder="1" applyAlignment="1">
      <alignment horizontal="left" indent="4"/>
    </xf>
    <xf numFmtId="170" fontId="9" fillId="2" borderId="3" xfId="0" applyNumberFormat="1" applyFont="1" applyFill="1" applyBorder="1"/>
    <xf numFmtId="170" fontId="19" fillId="2" borderId="3" xfId="0" applyNumberFormat="1" applyFont="1" applyFill="1" applyBorder="1"/>
    <xf numFmtId="170" fontId="9" fillId="2" borderId="0" xfId="0" applyNumberFormat="1" applyFont="1" applyFill="1" applyAlignment="1">
      <alignment horizontal="left" indent="1"/>
    </xf>
    <xf numFmtId="170" fontId="9" fillId="2" borderId="2" xfId="0" applyNumberFormat="1" applyFont="1" applyFill="1" applyBorder="1" applyAlignment="1">
      <alignment horizontal="left" indent="3"/>
    </xf>
    <xf numFmtId="170" fontId="9" fillId="2" borderId="0" xfId="0" applyNumberFormat="1" applyFont="1" applyFill="1" applyAlignment="1">
      <alignment horizontal="left" indent="2"/>
    </xf>
    <xf numFmtId="170" fontId="9" fillId="2" borderId="3" xfId="0" applyNumberFormat="1" applyFont="1" applyFill="1" applyBorder="1" applyAlignment="1">
      <alignment horizontal="left" indent="1"/>
    </xf>
    <xf numFmtId="170" fontId="9" fillId="2" borderId="1" xfId="0" applyNumberFormat="1" applyFont="1" applyFill="1" applyBorder="1" applyAlignment="1">
      <alignment horizontal="left" indent="1"/>
    </xf>
    <xf numFmtId="170" fontId="9" fillId="2" borderId="2" xfId="0" applyNumberFormat="1" applyFont="1" applyFill="1" applyBorder="1" applyAlignment="1">
      <alignment horizontal="left" indent="1"/>
    </xf>
    <xf numFmtId="177" fontId="9" fillId="2" borderId="0" xfId="0" applyNumberFormat="1" applyFont="1" applyFill="1" applyAlignment="1">
      <alignment horizontal="left" indent="2"/>
    </xf>
    <xf numFmtId="177" fontId="9" fillId="2" borderId="1" xfId="0" applyNumberFormat="1" applyFont="1" applyFill="1" applyBorder="1" applyAlignment="1">
      <alignment horizontal="left" indent="1"/>
    </xf>
    <xf numFmtId="177" fontId="10" fillId="2" borderId="1" xfId="0" applyNumberFormat="1" applyFont="1" applyFill="1" applyBorder="1"/>
    <xf numFmtId="177" fontId="9" fillId="2" borderId="1" xfId="0" applyNumberFormat="1" applyFont="1" applyFill="1" applyBorder="1" applyAlignment="1">
      <alignment horizontal="right"/>
    </xf>
    <xf numFmtId="177" fontId="8" fillId="2" borderId="2" xfId="0" applyNumberFormat="1" applyFont="1" applyFill="1" applyBorder="1" applyAlignment="1">
      <alignment horizontal="left" indent="2"/>
    </xf>
    <xf numFmtId="177" fontId="3" fillId="2" borderId="2" xfId="0" applyNumberFormat="1" applyFont="1" applyFill="1" applyBorder="1"/>
    <xf numFmtId="177" fontId="8" fillId="2" borderId="2" xfId="0" applyNumberFormat="1" applyFont="1" applyFill="1" applyBorder="1" applyAlignment="1">
      <alignment horizontal="right"/>
    </xf>
    <xf numFmtId="177" fontId="8" fillId="2" borderId="0" xfId="0" applyNumberFormat="1" applyFont="1" applyFill="1" applyAlignment="1">
      <alignment horizontal="left" indent="1"/>
    </xf>
    <xf numFmtId="177" fontId="11" fillId="2" borderId="0" xfId="0" applyNumberFormat="1" applyFont="1" applyFill="1" applyAlignment="1">
      <alignment horizontal="left" indent="1"/>
    </xf>
    <xf numFmtId="177" fontId="13" fillId="2" borderId="0" xfId="0" applyNumberFormat="1" applyFont="1" applyFill="1" applyAlignment="1">
      <alignment horizontal="left" indent="3"/>
    </xf>
    <xf numFmtId="177" fontId="13" fillId="2" borderId="0" xfId="0" applyNumberFormat="1" applyFont="1" applyFill="1"/>
    <xf numFmtId="177" fontId="7" fillId="2" borderId="0" xfId="0" applyNumberFormat="1" applyFont="1" applyFill="1" applyAlignment="1">
      <alignment horizontal="left" indent="1"/>
    </xf>
    <xf numFmtId="177" fontId="12" fillId="2" borderId="0" xfId="0" applyNumberFormat="1" applyFont="1" applyFill="1" applyAlignment="1">
      <alignment horizontal="left" indent="1"/>
    </xf>
    <xf numFmtId="177" fontId="11" fillId="2" borderId="0" xfId="0" applyNumberFormat="1" applyFont="1" applyFill="1"/>
    <xf numFmtId="177" fontId="13" fillId="2" borderId="0" xfId="0" applyNumberFormat="1" applyFont="1" applyFill="1" applyAlignment="1">
      <alignment horizontal="right"/>
    </xf>
    <xf numFmtId="177" fontId="13" fillId="2" borderId="0" xfId="0" applyNumberFormat="1" applyFont="1" applyFill="1" applyAlignment="1">
      <alignment horizontal="left" indent="1"/>
    </xf>
    <xf numFmtId="170" fontId="8" fillId="2" borderId="0" xfId="0" applyNumberFormat="1" applyFont="1" applyFill="1" applyAlignment="1">
      <alignment horizontal="left" indent="3"/>
    </xf>
    <xf numFmtId="170" fontId="8" fillId="2" borderId="1" xfId="0" applyNumberFormat="1" applyFont="1" applyFill="1" applyBorder="1" applyAlignment="1">
      <alignment horizontal="left" indent="3"/>
    </xf>
    <xf numFmtId="170" fontId="7" fillId="2" borderId="3" xfId="0" applyNumberFormat="1" applyFont="1" applyFill="1" applyBorder="1" applyAlignment="1">
      <alignment horizontal="left"/>
    </xf>
    <xf numFmtId="170" fontId="8" fillId="2" borderId="3" xfId="0" applyNumberFormat="1" applyFont="1" applyFill="1" applyBorder="1" applyAlignment="1">
      <alignment horizontal="left" indent="3"/>
    </xf>
    <xf numFmtId="170" fontId="7" fillId="2" borderId="3" xfId="0" applyNumberFormat="1" applyFont="1" applyFill="1" applyBorder="1"/>
    <xf numFmtId="170" fontId="8" fillId="2" borderId="3" xfId="0" applyNumberFormat="1" applyFont="1" applyFill="1" applyBorder="1"/>
    <xf numFmtId="170" fontId="10" fillId="4" borderId="0" xfId="0" applyNumberFormat="1" applyFont="1" applyFill="1"/>
    <xf numFmtId="170" fontId="10" fillId="4" borderId="0" xfId="0" applyNumberFormat="1" applyFont="1" applyFill="1" applyAlignment="1">
      <alignment horizontal="right"/>
    </xf>
    <xf numFmtId="170" fontId="4" fillId="2" borderId="0" xfId="0" applyNumberFormat="1" applyFont="1" applyFill="1"/>
    <xf numFmtId="170" fontId="11" fillId="2" borderId="0" xfId="0" applyNumberFormat="1" applyFont="1" applyFill="1" applyAlignment="1">
      <alignment horizontal="left" indent="1"/>
    </xf>
    <xf numFmtId="170" fontId="13" fillId="2" borderId="0" xfId="0" applyNumberFormat="1" applyFont="1" applyFill="1" applyAlignment="1">
      <alignment horizontal="left" indent="3"/>
    </xf>
    <xf numFmtId="170" fontId="13" fillId="2" borderId="0" xfId="0" applyNumberFormat="1" applyFont="1" applyFill="1"/>
    <xf numFmtId="170" fontId="12" fillId="2" borderId="0" xfId="0" applyNumberFormat="1" applyFont="1" applyFill="1" applyAlignment="1">
      <alignment horizontal="left" indent="1"/>
    </xf>
    <xf numFmtId="170" fontId="6" fillId="2" borderId="3" xfId="0" applyNumberFormat="1" applyFont="1" applyFill="1" applyBorder="1" applyAlignment="1">
      <alignment horizontal="left" indent="1"/>
    </xf>
    <xf numFmtId="170" fontId="9" fillId="2" borderId="3" xfId="0" applyNumberFormat="1" applyFont="1" applyFill="1" applyBorder="1" applyAlignment="1">
      <alignment horizontal="left" indent="3"/>
    </xf>
    <xf numFmtId="170" fontId="6" fillId="2" borderId="3" xfId="0" applyNumberFormat="1" applyFont="1" applyFill="1" applyBorder="1"/>
    <xf numFmtId="170" fontId="6" fillId="2" borderId="1" xfId="0" applyNumberFormat="1" applyFont="1" applyFill="1" applyBorder="1" applyAlignment="1">
      <alignment horizontal="left" indent="1"/>
    </xf>
    <xf numFmtId="170" fontId="9" fillId="2" borderId="1" xfId="0" applyNumberFormat="1" applyFont="1" applyFill="1" applyBorder="1" applyAlignment="1">
      <alignment horizontal="left" indent="3"/>
    </xf>
    <xf numFmtId="170" fontId="6" fillId="2" borderId="1" xfId="0" applyNumberFormat="1" applyFont="1" applyFill="1" applyBorder="1"/>
    <xf numFmtId="170" fontId="11" fillId="2" borderId="1" xfId="0" applyNumberFormat="1" applyFont="1" applyFill="1" applyBorder="1" applyAlignment="1">
      <alignment horizontal="left" indent="1"/>
    </xf>
    <xf numFmtId="170" fontId="13" fillId="2" borderId="1" xfId="0" applyNumberFormat="1" applyFont="1" applyFill="1" applyBorder="1" applyAlignment="1">
      <alignment horizontal="left" indent="3"/>
    </xf>
    <xf numFmtId="170" fontId="13" fillId="2" borderId="1" xfId="0" applyNumberFormat="1" applyFont="1" applyFill="1" applyBorder="1"/>
    <xf numFmtId="177" fontId="3" fillId="2" borderId="0" xfId="0" applyNumberFormat="1" applyFont="1" applyFill="1" applyAlignment="1">
      <alignment horizontal="left"/>
    </xf>
    <xf numFmtId="177" fontId="8" fillId="2" borderId="0" xfId="0" applyNumberFormat="1" applyFont="1" applyFill="1" applyAlignment="1">
      <alignment horizontal="left" indent="3"/>
    </xf>
    <xf numFmtId="177" fontId="8" fillId="2" borderId="0" xfId="0" applyNumberFormat="1" applyFont="1" applyFill="1"/>
    <xf numFmtId="177" fontId="7" fillId="2" borderId="0" xfId="0" applyNumberFormat="1" applyFont="1" applyFill="1"/>
    <xf numFmtId="174" fontId="11" fillId="2" borderId="0" xfId="0" applyNumberFormat="1" applyFont="1" applyFill="1" applyAlignment="1">
      <alignment horizontal="left" indent="1"/>
    </xf>
    <xf numFmtId="174" fontId="13" fillId="2" borderId="0" xfId="0" applyNumberFormat="1" applyFont="1" applyFill="1" applyAlignment="1">
      <alignment horizontal="left" indent="3"/>
    </xf>
    <xf numFmtId="174" fontId="13" fillId="2" borderId="0" xfId="0" applyNumberFormat="1" applyFont="1" applyFill="1"/>
    <xf numFmtId="174" fontId="11" fillId="2" borderId="0" xfId="0" applyNumberFormat="1" applyFont="1" applyFill="1"/>
    <xf numFmtId="178" fontId="5" fillId="3" borderId="0" xfId="0" applyNumberFormat="1" applyFont="1" applyFill="1" applyAlignment="1">
      <alignment horizontal="left"/>
    </xf>
    <xf numFmtId="178" fontId="5" fillId="3" borderId="0" xfId="0" applyNumberFormat="1" applyFont="1" applyFill="1" applyAlignment="1">
      <alignment horizontal="left" indent="3"/>
    </xf>
    <xf numFmtId="178" fontId="5" fillId="3" borderId="0" xfId="0" applyNumberFormat="1" applyFont="1" applyFill="1"/>
    <xf numFmtId="178" fontId="13" fillId="2" borderId="0" xfId="0" applyNumberFormat="1" applyFont="1" applyFill="1" applyAlignment="1">
      <alignment horizontal="left"/>
    </xf>
    <xf numFmtId="179" fontId="21" fillId="2" borderId="0" xfId="0" applyNumberFormat="1" applyFont="1" applyFill="1"/>
    <xf numFmtId="179" fontId="13" fillId="2" borderId="0" xfId="0" applyNumberFormat="1" applyFont="1" applyFill="1"/>
    <xf numFmtId="178" fontId="9" fillId="2" borderId="0" xfId="0" applyNumberFormat="1" applyFont="1" applyFill="1" applyAlignment="1">
      <alignment horizontal="left"/>
    </xf>
    <xf numFmtId="170" fontId="9" fillId="2" borderId="2" xfId="0" applyNumberFormat="1" applyFont="1" applyFill="1" applyBorder="1" applyAlignment="1">
      <alignment horizontal="left" indent="2"/>
    </xf>
    <xf numFmtId="170" fontId="9" fillId="2" borderId="4" xfId="0" applyNumberFormat="1" applyFont="1" applyFill="1" applyBorder="1" applyAlignment="1">
      <alignment horizontal="left" indent="1"/>
    </xf>
    <xf numFmtId="170" fontId="9" fillId="2" borderId="4" xfId="0" applyNumberFormat="1" applyFont="1" applyFill="1" applyBorder="1" applyAlignment="1">
      <alignment horizontal="left" indent="3"/>
    </xf>
    <xf numFmtId="170" fontId="9" fillId="2" borderId="4" xfId="0" applyNumberFormat="1" applyFont="1" applyFill="1" applyBorder="1"/>
    <xf numFmtId="170" fontId="9" fillId="2" borderId="5" xfId="0" applyNumberFormat="1" applyFont="1" applyFill="1" applyBorder="1" applyAlignment="1">
      <alignment horizontal="left"/>
    </xf>
    <xf numFmtId="170" fontId="9" fillId="2" borderId="5" xfId="0" applyNumberFormat="1" applyFont="1" applyFill="1" applyBorder="1" applyAlignment="1">
      <alignment horizontal="left" indent="3"/>
    </xf>
    <xf numFmtId="170" fontId="9" fillId="2" borderId="5" xfId="0" applyNumberFormat="1" applyFont="1" applyFill="1" applyBorder="1"/>
    <xf numFmtId="170" fontId="13" fillId="2" borderId="0" xfId="0" applyNumberFormat="1" applyFont="1" applyFill="1" applyAlignment="1">
      <alignment horizontal="left" indent="1"/>
    </xf>
    <xf numFmtId="170" fontId="13" fillId="2" borderId="2" xfId="0" applyNumberFormat="1" applyFont="1" applyFill="1" applyBorder="1" applyAlignment="1">
      <alignment horizontal="left" indent="1"/>
    </xf>
    <xf numFmtId="170" fontId="13" fillId="2" borderId="2" xfId="0" applyNumberFormat="1" applyFont="1" applyFill="1" applyBorder="1" applyAlignment="1">
      <alignment horizontal="left" indent="3"/>
    </xf>
    <xf numFmtId="177" fontId="13" fillId="2" borderId="2" xfId="0" applyNumberFormat="1" applyFont="1" applyFill="1" applyBorder="1"/>
    <xf numFmtId="170" fontId="13" fillId="2" borderId="0" xfId="0" applyNumberFormat="1" applyFont="1" applyFill="1" applyAlignment="1">
      <alignment horizontal="left"/>
    </xf>
    <xf numFmtId="170" fontId="19" fillId="2" borderId="4" xfId="0" applyNumberFormat="1" applyFont="1" applyFill="1" applyBorder="1"/>
    <xf numFmtId="180" fontId="19" fillId="2" borderId="0" xfId="0" applyNumberFormat="1" applyFont="1" applyFill="1"/>
    <xf numFmtId="180" fontId="9" fillId="2" borderId="0" xfId="0" applyNumberFormat="1" applyFont="1" applyFill="1"/>
    <xf numFmtId="178" fontId="13" fillId="2" borderId="0" xfId="0" applyNumberFormat="1" applyFont="1" applyFill="1" applyAlignment="1">
      <alignment horizontal="left" indent="1"/>
    </xf>
    <xf numFmtId="181" fontId="13" fillId="2" borderId="0" xfId="0" applyNumberFormat="1" applyFont="1" applyFill="1"/>
    <xf numFmtId="174" fontId="3" fillId="2" borderId="0" xfId="0" applyNumberFormat="1" applyFont="1" applyFill="1" applyAlignment="1">
      <alignment horizontal="left"/>
    </xf>
    <xf numFmtId="182" fontId="0" fillId="2" borderId="0" xfId="0" applyNumberFormat="1" applyFill="1"/>
    <xf numFmtId="182" fontId="9" fillId="2" borderId="0" xfId="0" applyNumberFormat="1" applyFont="1" applyFill="1" applyAlignment="1">
      <alignment horizontal="left" indent="3"/>
    </xf>
    <xf numFmtId="182" fontId="19" fillId="2" borderId="0" xfId="0" applyNumberFormat="1" applyFont="1" applyFill="1"/>
    <xf numFmtId="182" fontId="10" fillId="2" borderId="0" xfId="0" applyNumberFormat="1" applyFont="1" applyFill="1"/>
    <xf numFmtId="182" fontId="9" fillId="2" borderId="0" xfId="0" applyNumberFormat="1" applyFont="1" applyFill="1"/>
    <xf numFmtId="182" fontId="3" fillId="2" borderId="0" xfId="0" applyNumberFormat="1" applyFont="1" applyFill="1"/>
    <xf numFmtId="182" fontId="8" fillId="2" borderId="0" xfId="0" applyNumberFormat="1" applyFont="1" applyFill="1" applyAlignment="1">
      <alignment horizontal="left" indent="3"/>
    </xf>
    <xf numFmtId="170" fontId="6" fillId="2" borderId="4" xfId="0" applyNumberFormat="1" applyFont="1" applyFill="1" applyBorder="1" applyAlignment="1">
      <alignment horizontal="left" indent="1"/>
    </xf>
    <xf numFmtId="170" fontId="6" fillId="2" borderId="4" xfId="0" applyNumberFormat="1" applyFont="1" applyFill="1" applyBorder="1"/>
    <xf numFmtId="179" fontId="8" fillId="2" borderId="0" xfId="0" applyNumberFormat="1" applyFont="1" applyFill="1" applyAlignment="1">
      <alignment horizontal="right"/>
    </xf>
    <xf numFmtId="179" fontId="4" fillId="2" borderId="0" xfId="0" applyNumberFormat="1" applyFont="1" applyFill="1"/>
    <xf numFmtId="179" fontId="8" fillId="2" borderId="0" xfId="0" applyNumberFormat="1" applyFont="1" applyFill="1" applyAlignment="1">
      <alignment horizontal="left" indent="3"/>
    </xf>
    <xf numFmtId="179" fontId="8" fillId="2" borderId="0" xfId="0" applyNumberFormat="1" applyFont="1" applyFill="1"/>
    <xf numFmtId="0" fontId="9" fillId="2" borderId="0" xfId="0" applyFont="1" applyFill="1" applyAlignment="1">
      <alignment horizontal="left" indent="3"/>
    </xf>
    <xf numFmtId="183" fontId="7" fillId="2" borderId="0" xfId="0" applyNumberFormat="1" applyFont="1" applyFill="1" applyAlignment="1">
      <alignment horizontal="left"/>
    </xf>
    <xf numFmtId="184" fontId="16" fillId="2" borderId="0" xfId="0" applyNumberFormat="1" applyFont="1" applyFill="1" applyAlignment="1">
      <alignment horizontal="left"/>
    </xf>
    <xf numFmtId="184" fontId="7" fillId="2" borderId="0" xfId="0" applyNumberFormat="1" applyFont="1" applyFill="1" applyAlignment="1">
      <alignment horizontal="right"/>
    </xf>
    <xf numFmtId="179" fontId="10" fillId="2" borderId="0" xfId="0" applyNumberFormat="1" applyFont="1" applyFill="1"/>
    <xf numFmtId="179" fontId="9" fillId="2" borderId="0" xfId="0" applyNumberFormat="1" applyFont="1" applyFill="1" applyAlignment="1">
      <alignment horizontal="left" indent="3"/>
    </xf>
    <xf numFmtId="179" fontId="9" fillId="2" borderId="0" xfId="0" applyNumberFormat="1" applyFont="1" applyFill="1" applyAlignment="1">
      <alignment horizontal="right"/>
    </xf>
    <xf numFmtId="179" fontId="9" fillId="2" borderId="0" xfId="0" applyNumberFormat="1" applyFont="1" applyFill="1"/>
    <xf numFmtId="179" fontId="0" fillId="2" borderId="0" xfId="0" applyNumberFormat="1" applyFill="1"/>
    <xf numFmtId="177" fontId="6" fillId="2" borderId="0" xfId="0" applyNumberFormat="1" applyFont="1" applyFill="1" applyAlignment="1">
      <alignment horizontal="left"/>
    </xf>
    <xf numFmtId="184" fontId="6" fillId="2" borderId="0" xfId="0" applyNumberFormat="1" applyFont="1" applyFill="1" applyAlignment="1">
      <alignment horizontal="left" indent="1"/>
    </xf>
    <xf numFmtId="184" fontId="10" fillId="2" borderId="0" xfId="0" applyNumberFormat="1" applyFont="1" applyFill="1"/>
    <xf numFmtId="184" fontId="6" fillId="2" borderId="0" xfId="0" applyNumberFormat="1" applyFont="1" applyFill="1" applyAlignment="1">
      <alignment horizontal="right"/>
    </xf>
    <xf numFmtId="185" fontId="6" fillId="2" borderId="0" xfId="0" applyNumberFormat="1" applyFont="1" applyFill="1" applyAlignment="1">
      <alignment horizontal="right"/>
    </xf>
    <xf numFmtId="186" fontId="6" fillId="2" borderId="0" xfId="0" applyNumberFormat="1" applyFont="1" applyFill="1" applyAlignment="1">
      <alignment horizontal="left" indent="1"/>
    </xf>
    <xf numFmtId="186" fontId="10" fillId="2" borderId="0" xfId="0" applyNumberFormat="1" applyFont="1" applyFill="1"/>
    <xf numFmtId="186" fontId="6" fillId="2" borderId="0" xfId="0" applyNumberFormat="1" applyFont="1" applyFill="1" applyAlignment="1">
      <alignment horizontal="right"/>
    </xf>
    <xf numFmtId="186" fontId="6" fillId="2" borderId="0" xfId="0" applyNumberFormat="1" applyFont="1" applyFill="1" applyAlignment="1">
      <alignment horizontal="left"/>
    </xf>
    <xf numFmtId="170" fontId="5" fillId="3" borderId="0" xfId="0" applyNumberFormat="1" applyFont="1" applyFill="1" applyAlignment="1">
      <alignment horizontal="left"/>
    </xf>
    <xf numFmtId="170" fontId="5" fillId="3" borderId="0" xfId="0" applyNumberFormat="1" applyFont="1" applyFill="1" applyAlignment="1">
      <alignment horizontal="left" indent="3"/>
    </xf>
    <xf numFmtId="177" fontId="14" fillId="2" borderId="0" xfId="0" applyNumberFormat="1" applyFont="1" applyFill="1" applyAlignment="1">
      <alignment horizontal="left" indent="1"/>
    </xf>
    <xf numFmtId="177" fontId="17" fillId="2" borderId="0" xfId="0" applyNumberFormat="1" applyFont="1" applyFill="1" applyAlignment="1">
      <alignment horizontal="left" indent="3"/>
    </xf>
    <xf numFmtId="177" fontId="14" fillId="2" borderId="0" xfId="0" applyNumberFormat="1" applyFont="1" applyFill="1"/>
    <xf numFmtId="177" fontId="9" fillId="2" borderId="0" xfId="0" applyNumberFormat="1" applyFont="1" applyFill="1" applyAlignment="1">
      <alignment horizontal="left" indent="3"/>
    </xf>
    <xf numFmtId="177" fontId="5" fillId="3" borderId="0" xfId="0" applyNumberFormat="1" applyFont="1" applyFill="1" applyAlignment="1">
      <alignment horizontal="left"/>
    </xf>
    <xf numFmtId="177" fontId="5" fillId="3" borderId="0" xfId="0" applyNumberFormat="1" applyFont="1" applyFill="1" applyAlignment="1">
      <alignment horizontal="left" indent="3"/>
    </xf>
    <xf numFmtId="170" fontId="5" fillId="3" borderId="0" xfId="0" applyNumberFormat="1" applyFont="1" applyFill="1" applyAlignment="1">
      <alignment horizontal="right"/>
    </xf>
    <xf numFmtId="170" fontId="7" fillId="2" borderId="5" xfId="0" applyNumberFormat="1" applyFont="1" applyFill="1" applyBorder="1" applyAlignment="1">
      <alignment horizontal="left"/>
    </xf>
    <xf numFmtId="170" fontId="8" fillId="2" borderId="5" xfId="0" applyNumberFormat="1" applyFont="1" applyFill="1" applyBorder="1" applyAlignment="1">
      <alignment horizontal="left" indent="3"/>
    </xf>
    <xf numFmtId="170" fontId="7" fillId="2" borderId="5" xfId="0" applyNumberFormat="1" applyFont="1" applyFill="1" applyBorder="1" applyAlignment="1">
      <alignment horizontal="right"/>
    </xf>
    <xf numFmtId="177" fontId="12" fillId="2" borderId="0" xfId="0" applyNumberFormat="1" applyFont="1" applyFill="1" applyAlignment="1">
      <alignment horizontal="left"/>
    </xf>
    <xf numFmtId="177" fontId="12" fillId="2" borderId="0" xfId="0" applyNumberFormat="1" applyFont="1" applyFill="1" applyAlignment="1">
      <alignment horizontal="right"/>
    </xf>
    <xf numFmtId="178" fontId="8" fillId="2" borderId="0" xfId="0" applyNumberFormat="1" applyFont="1" applyFill="1" applyAlignment="1">
      <alignment horizontal="left" indent="3"/>
    </xf>
    <xf numFmtId="178" fontId="7" fillId="2" borderId="0" xfId="0" applyNumberFormat="1" applyFont="1" applyFill="1" applyAlignment="1">
      <alignment horizontal="right"/>
    </xf>
    <xf numFmtId="170" fontId="15" fillId="3" borderId="0" xfId="0" applyNumberFormat="1" applyFont="1" applyFill="1"/>
    <xf numFmtId="170" fontId="10" fillId="2" borderId="4" xfId="0" applyNumberFormat="1" applyFont="1" applyFill="1" applyBorder="1" applyAlignment="1">
      <alignment horizontal="left" indent="1"/>
    </xf>
    <xf numFmtId="170" fontId="3" fillId="2" borderId="6" xfId="0" applyNumberFormat="1" applyFont="1" applyFill="1" applyBorder="1"/>
    <xf numFmtId="178" fontId="8" fillId="2" borderId="17" xfId="0" applyNumberFormat="1" applyFont="1" applyFill="1" applyBorder="1"/>
    <xf numFmtId="187" fontId="10" fillId="2" borderId="7" xfId="0" applyNumberFormat="1" applyFont="1" applyFill="1" applyBorder="1" applyAlignment="1">
      <alignment horizontal="left" indent="1"/>
    </xf>
    <xf numFmtId="178" fontId="9" fillId="2" borderId="17" xfId="0" applyNumberFormat="1" applyFont="1" applyFill="1" applyBorder="1"/>
    <xf numFmtId="188" fontId="10" fillId="2" borderId="7" xfId="0" applyNumberFormat="1" applyFont="1" applyFill="1" applyBorder="1" applyAlignment="1">
      <alignment horizontal="left" indent="1"/>
    </xf>
    <xf numFmtId="189" fontId="10" fillId="2" borderId="7" xfId="0" applyNumberFormat="1" applyFont="1" applyFill="1" applyBorder="1" applyAlignment="1">
      <alignment horizontal="left" indent="1"/>
    </xf>
    <xf numFmtId="190" fontId="10" fillId="2" borderId="7" xfId="0" applyNumberFormat="1" applyFont="1" applyFill="1" applyBorder="1" applyAlignment="1">
      <alignment horizontal="left" indent="1"/>
    </xf>
    <xf numFmtId="191" fontId="10" fillId="2" borderId="8" xfId="0" applyNumberFormat="1" applyFont="1" applyFill="1" applyBorder="1" applyAlignment="1">
      <alignment horizontal="left" indent="1"/>
    </xf>
    <xf numFmtId="170" fontId="10" fillId="2" borderId="9" xfId="0" applyNumberFormat="1" applyFont="1" applyFill="1" applyBorder="1" applyAlignment="1">
      <alignment horizontal="left" indent="1"/>
    </xf>
    <xf numFmtId="178" fontId="9" fillId="2" borderId="4" xfId="0" applyNumberFormat="1" applyFont="1" applyFill="1" applyBorder="1"/>
    <xf numFmtId="170" fontId="3" fillId="2" borderId="10" xfId="0" applyNumberFormat="1" applyFont="1" applyFill="1" applyBorder="1"/>
    <xf numFmtId="0" fontId="8" fillId="2" borderId="13" xfId="0" applyFont="1" applyFill="1" applyBorder="1"/>
    <xf numFmtId="0" fontId="8" fillId="2" borderId="0" xfId="0" applyFont="1" applyFill="1"/>
    <xf numFmtId="170" fontId="10" fillId="2" borderId="11" xfId="0" applyNumberFormat="1" applyFont="1" applyFill="1" applyBorder="1" applyAlignment="1">
      <alignment horizontal="left" indent="1"/>
    </xf>
    <xf numFmtId="178" fontId="18" fillId="2" borderId="14" xfId="0" applyNumberFormat="1" applyFont="1" applyFill="1" applyBorder="1"/>
    <xf numFmtId="170" fontId="10" fillId="2" borderId="12" xfId="0" applyNumberFormat="1" applyFont="1" applyFill="1" applyBorder="1" applyAlignment="1">
      <alignment horizontal="left" indent="1"/>
    </xf>
    <xf numFmtId="178" fontId="18" fillId="2" borderId="15" xfId="0" applyNumberFormat="1" applyFont="1" applyFill="1" applyBorder="1"/>
    <xf numFmtId="170" fontId="10" fillId="2" borderId="5" xfId="0" applyNumberFormat="1" applyFont="1" applyFill="1" applyBorder="1" applyAlignment="1">
      <alignment horizontal="left" indent="1"/>
    </xf>
    <xf numFmtId="178" fontId="9" fillId="2" borderId="5" xfId="0" applyNumberFormat="1" applyFont="1" applyFill="1" applyBorder="1"/>
    <xf numFmtId="170" fontId="4" fillId="2" borderId="13" xfId="0" applyNumberFormat="1" applyFont="1" applyFill="1" applyBorder="1" applyAlignment="1">
      <alignment horizontal="left"/>
    </xf>
    <xf numFmtId="170" fontId="0" fillId="2" borderId="14" xfId="0" applyNumberFormat="1" applyFill="1" applyBorder="1" applyAlignment="1">
      <alignment horizontal="left" indent="1"/>
    </xf>
    <xf numFmtId="170" fontId="10" fillId="2" borderId="15" xfId="0" applyNumberFormat="1" applyFont="1" applyFill="1" applyBorder="1" applyAlignment="1">
      <alignment horizontal="left" indent="1"/>
    </xf>
    <xf numFmtId="170" fontId="10" fillId="2" borderId="0" xfId="0" applyNumberFormat="1" applyFont="1" applyFill="1" applyAlignment="1">
      <alignment horizontal="left" indent="1"/>
    </xf>
    <xf numFmtId="170" fontId="3" fillId="2" borderId="13" xfId="0" applyNumberFormat="1" applyFont="1" applyFill="1" applyBorder="1" applyAlignment="1">
      <alignment horizontal="left"/>
    </xf>
    <xf numFmtId="170" fontId="10" fillId="2" borderId="14" xfId="0" applyNumberFormat="1" applyFont="1" applyFill="1" applyBorder="1" applyAlignment="1">
      <alignment horizontal="left" indent="1"/>
    </xf>
    <xf numFmtId="170" fontId="3" fillId="2" borderId="1" xfId="0" applyNumberFormat="1" applyFont="1" applyFill="1" applyBorder="1" applyAlignment="1">
      <alignment horizontal="left"/>
    </xf>
    <xf numFmtId="178" fontId="9" fillId="2" borderId="1" xfId="0" applyNumberFormat="1" applyFont="1" applyFill="1" applyBorder="1"/>
    <xf numFmtId="170" fontId="3" fillId="2" borderId="0" xfId="0" applyNumberFormat="1" applyFont="1" applyFill="1" applyAlignment="1">
      <alignment horizontal="left"/>
    </xf>
    <xf numFmtId="14" fontId="8" fillId="2" borderId="0" xfId="0" applyNumberFormat="1" applyFont="1" applyFill="1" applyAlignment="1">
      <alignment horizontal="right"/>
    </xf>
    <xf numFmtId="14" fontId="16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70" fontId="3" fillId="2" borderId="2" xfId="0" applyNumberFormat="1" applyFont="1" applyFill="1" applyBorder="1" applyAlignment="1">
      <alignment horizontal="left"/>
    </xf>
    <xf numFmtId="170" fontId="8" fillId="2" borderId="10" xfId="0" applyNumberFormat="1" applyFont="1" applyFill="1" applyBorder="1"/>
    <xf numFmtId="170" fontId="8" fillId="2" borderId="11" xfId="0" applyNumberFormat="1" applyFont="1" applyFill="1" applyBorder="1"/>
    <xf numFmtId="170" fontId="9" fillId="2" borderId="9" xfId="0" applyNumberFormat="1" applyFont="1" applyFill="1" applyBorder="1"/>
    <xf numFmtId="192" fontId="3" fillId="2" borderId="16" xfId="0" applyNumberFormat="1" applyFont="1" applyFill="1" applyBorder="1" applyAlignment="1">
      <alignment horizontal="left"/>
    </xf>
    <xf numFmtId="192" fontId="10" fillId="2" borderId="17" xfId="0" applyNumberFormat="1" applyFont="1" applyFill="1" applyBorder="1" applyAlignment="1">
      <alignment horizontal="left"/>
    </xf>
    <xf numFmtId="17" fontId="9" fillId="2" borderId="0" xfId="0" applyNumberFormat="1" applyFont="1" applyFill="1"/>
    <xf numFmtId="184" fontId="10" fillId="2" borderId="17" xfId="0" applyNumberFormat="1" applyFont="1" applyFill="1" applyBorder="1" applyAlignment="1">
      <alignment horizontal="left" indent="1"/>
    </xf>
    <xf numFmtId="184" fontId="9" fillId="2" borderId="0" xfId="0" applyNumberFormat="1" applyFont="1" applyFill="1"/>
    <xf numFmtId="184" fontId="10" fillId="2" borderId="17" xfId="0" applyNumberFormat="1" applyFont="1" applyFill="1" applyBorder="1" applyAlignment="1">
      <alignment horizontal="left" indent="2"/>
    </xf>
    <xf numFmtId="184" fontId="19" fillId="2" borderId="0" xfId="0" applyNumberFormat="1" applyFont="1" applyFill="1"/>
    <xf numFmtId="170" fontId="10" fillId="2" borderId="17" xfId="0" applyNumberFormat="1" applyFont="1" applyFill="1" applyBorder="1" applyAlignment="1">
      <alignment horizontal="left" indent="1"/>
    </xf>
    <xf numFmtId="186" fontId="10" fillId="2" borderId="17" xfId="0" applyNumberFormat="1" applyFont="1" applyFill="1" applyBorder="1" applyAlignment="1">
      <alignment horizontal="left" indent="1"/>
    </xf>
    <xf numFmtId="186" fontId="9" fillId="2" borderId="0" xfId="0" applyNumberFormat="1" applyFont="1" applyFill="1"/>
    <xf numFmtId="186" fontId="10" fillId="2" borderId="17" xfId="0" applyNumberFormat="1" applyFont="1" applyFill="1" applyBorder="1" applyAlignment="1">
      <alignment horizontal="left" indent="2"/>
    </xf>
    <xf numFmtId="186" fontId="19" fillId="2" borderId="0" xfId="0" applyNumberFormat="1" applyFont="1" applyFill="1"/>
    <xf numFmtId="185" fontId="19" fillId="2" borderId="0" xfId="0" applyNumberFormat="1" applyFont="1" applyFill="1"/>
    <xf numFmtId="170" fontId="10" fillId="2" borderId="18" xfId="0" applyNumberFormat="1" applyFont="1" applyFill="1" applyBorder="1" applyAlignment="1">
      <alignment horizontal="left" indent="1"/>
    </xf>
    <xf numFmtId="186" fontId="9" fillId="2" borderId="2" xfId="0" applyNumberFormat="1" applyFont="1" applyFill="1" applyBorder="1"/>
    <xf numFmtId="170" fontId="7" fillId="2" borderId="5" xfId="0" applyNumberFormat="1" applyFont="1" applyFill="1" applyBorder="1"/>
    <xf numFmtId="193" fontId="9" fillId="2" borderId="0" xfId="0" applyNumberFormat="1" applyFont="1" applyFill="1"/>
    <xf numFmtId="0" fontId="6" fillId="2" borderId="0" xfId="0" applyFont="1" applyFill="1"/>
    <xf numFmtId="184" fontId="6" fillId="2" borderId="0" xfId="0" applyNumberFormat="1" applyFont="1" applyFill="1"/>
    <xf numFmtId="186" fontId="6" fillId="2" borderId="0" xfId="0" applyNumberFormat="1" applyFont="1" applyFill="1"/>
    <xf numFmtId="178" fontId="6" fillId="2" borderId="0" xfId="0" applyNumberFormat="1" applyFont="1" applyFill="1"/>
    <xf numFmtId="178" fontId="19" fillId="2" borderId="0" xfId="0" applyNumberFormat="1" applyFont="1" applyFill="1"/>
    <xf numFmtId="178" fontId="6" fillId="2" borderId="4" xfId="0" applyNumberFormat="1" applyFont="1" applyFill="1" applyBorder="1" applyAlignment="1">
      <alignment horizontal="left" indent="1"/>
    </xf>
    <xf numFmtId="178" fontId="6" fillId="2" borderId="4" xfId="0" applyNumberFormat="1" applyFont="1" applyFill="1" applyBorder="1"/>
    <xf numFmtId="0" fontId="9" fillId="2" borderId="5" xfId="0" applyFont="1" applyFill="1" applyBorder="1"/>
    <xf numFmtId="0" fontId="20" fillId="3" borderId="0" xfId="0" applyFont="1" applyFill="1"/>
    <xf numFmtId="170" fontId="9" fillId="2" borderId="19" xfId="0" applyNumberFormat="1" applyFont="1" applyFill="1" applyBorder="1"/>
    <xf numFmtId="194" fontId="9" fillId="2" borderId="0" xfId="0" applyNumberFormat="1" applyFont="1" applyFill="1"/>
    <xf numFmtId="14" fontId="9" fillId="2" borderId="19" xfId="0" applyNumberFormat="1" applyFont="1" applyFill="1" applyBorder="1"/>
    <xf numFmtId="0" fontId="7" fillId="2" borderId="0" xfId="0" applyFont="1" applyFill="1"/>
    <xf numFmtId="1" fontId="16" fillId="5" borderId="0" xfId="0" applyNumberFormat="1" applyFont="1" applyFill="1" applyAlignment="1">
      <alignment horizontal="center"/>
    </xf>
    <xf numFmtId="1" fontId="8" fillId="5" borderId="0" xfId="0" applyNumberFormat="1" applyFont="1" applyFill="1" applyAlignment="1">
      <alignment horizontal="center"/>
    </xf>
    <xf numFmtId="1" fontId="8" fillId="5" borderId="19" xfId="0" applyNumberFormat="1" applyFont="1" applyFill="1" applyBorder="1" applyAlignment="1">
      <alignment horizontal="center"/>
    </xf>
    <xf numFmtId="1" fontId="16" fillId="2" borderId="0" xfId="0" applyNumberFormat="1" applyFont="1" applyFill="1" applyAlignment="1">
      <alignment horizontal="center"/>
    </xf>
    <xf numFmtId="170" fontId="7" fillId="2" borderId="0" xfId="0" applyNumberFormat="1" applyFont="1" applyFill="1" applyAlignment="1">
      <alignment horizontal="center"/>
    </xf>
    <xf numFmtId="17" fontId="19" fillId="5" borderId="0" xfId="0" applyNumberFormat="1" applyFont="1" applyFill="1" applyAlignment="1">
      <alignment horizontal="center"/>
    </xf>
    <xf numFmtId="17" fontId="18" fillId="5" borderId="0" xfId="0" applyNumberFormat="1" applyFont="1" applyFill="1" applyAlignment="1">
      <alignment horizontal="center"/>
    </xf>
    <xf numFmtId="17" fontId="10" fillId="5" borderId="0" xfId="0" applyNumberFormat="1" applyFont="1" applyFill="1" applyAlignment="1">
      <alignment horizontal="center"/>
    </xf>
    <xf numFmtId="17" fontId="10" fillId="5" borderId="19" xfId="0" applyNumberFormat="1" applyFont="1" applyFill="1" applyBorder="1" applyAlignment="1">
      <alignment horizontal="center"/>
    </xf>
    <xf numFmtId="17" fontId="10" fillId="2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9" xfId="0" applyFont="1" applyFill="1" applyBorder="1" applyAlignment="1">
      <alignment horizontal="center"/>
    </xf>
    <xf numFmtId="177" fontId="5" fillId="3" borderId="19" xfId="0" applyNumberFormat="1" applyFont="1" applyFill="1" applyBorder="1"/>
    <xf numFmtId="177" fontId="9" fillId="5" borderId="0" xfId="0" applyNumberFormat="1" applyFont="1" applyFill="1" applyAlignment="1">
      <alignment horizontal="right"/>
    </xf>
    <xf numFmtId="177" fontId="6" fillId="5" borderId="0" xfId="0" applyNumberFormat="1" applyFont="1" applyFill="1" applyAlignment="1">
      <alignment horizontal="right"/>
    </xf>
    <xf numFmtId="177" fontId="6" fillId="5" borderId="19" xfId="0" applyNumberFormat="1" applyFont="1" applyFill="1" applyBorder="1" applyAlignment="1">
      <alignment horizontal="right"/>
    </xf>
    <xf numFmtId="177" fontId="8" fillId="5" borderId="1" xfId="0" applyNumberFormat="1" applyFont="1" applyFill="1" applyBorder="1" applyAlignment="1">
      <alignment horizontal="right"/>
    </xf>
    <xf numFmtId="177" fontId="7" fillId="5" borderId="1" xfId="0" applyNumberFormat="1" applyFont="1" applyFill="1" applyBorder="1" applyAlignment="1">
      <alignment horizontal="right"/>
    </xf>
    <xf numFmtId="177" fontId="7" fillId="5" borderId="20" xfId="0" applyNumberFormat="1" applyFont="1" applyFill="1" applyBorder="1" applyAlignment="1">
      <alignment horizontal="right"/>
    </xf>
    <xf numFmtId="177" fontId="19" fillId="5" borderId="0" xfId="0" applyNumberFormat="1" applyFont="1" applyFill="1" applyAlignment="1">
      <alignment horizontal="right"/>
    </xf>
    <xf numFmtId="177" fontId="9" fillId="5" borderId="2" xfId="0" applyNumberFormat="1" applyFont="1" applyFill="1" applyBorder="1" applyAlignment="1">
      <alignment horizontal="right"/>
    </xf>
    <xf numFmtId="177" fontId="6" fillId="5" borderId="2" xfId="0" applyNumberFormat="1" applyFont="1" applyFill="1" applyBorder="1" applyAlignment="1">
      <alignment horizontal="right"/>
    </xf>
    <xf numFmtId="177" fontId="6" fillId="5" borderId="21" xfId="0" applyNumberFormat="1" applyFont="1" applyFill="1" applyBorder="1" applyAlignment="1">
      <alignment horizontal="right"/>
    </xf>
    <xf numFmtId="177" fontId="19" fillId="2" borderId="2" xfId="0" applyNumberFormat="1" applyFont="1" applyFill="1" applyBorder="1" applyAlignment="1">
      <alignment horizontal="right"/>
    </xf>
    <xf numFmtId="177" fontId="19" fillId="5" borderId="2" xfId="0" applyNumberFormat="1" applyFont="1" applyFill="1" applyBorder="1" applyAlignment="1">
      <alignment horizontal="right"/>
    </xf>
    <xf numFmtId="177" fontId="8" fillId="5" borderId="0" xfId="0" applyNumberFormat="1" applyFont="1" applyFill="1" applyAlignment="1">
      <alignment horizontal="right"/>
    </xf>
    <xf numFmtId="177" fontId="8" fillId="5" borderId="19" xfId="0" applyNumberFormat="1" applyFont="1" applyFill="1" applyBorder="1" applyAlignment="1">
      <alignment horizontal="right"/>
    </xf>
    <xf numFmtId="177" fontId="16" fillId="5" borderId="0" xfId="0" applyNumberFormat="1" applyFont="1" applyFill="1" applyAlignment="1">
      <alignment horizontal="right"/>
    </xf>
    <xf numFmtId="170" fontId="5" fillId="3" borderId="19" xfId="0" applyNumberFormat="1" applyFont="1" applyFill="1" applyBorder="1"/>
    <xf numFmtId="170" fontId="19" fillId="5" borderId="0" xfId="0" applyNumberFormat="1" applyFont="1" applyFill="1"/>
    <xf numFmtId="170" fontId="19" fillId="5" borderId="0" xfId="0" applyNumberFormat="1" applyFont="1" applyFill="1" applyAlignment="1">
      <alignment horizontal="right"/>
    </xf>
    <xf numFmtId="170" fontId="19" fillId="5" borderId="19" xfId="0" applyNumberFormat="1" applyFont="1" applyFill="1" applyBorder="1" applyAlignment="1">
      <alignment horizontal="right"/>
    </xf>
    <xf numFmtId="170" fontId="9" fillId="5" borderId="0" xfId="0" applyNumberFormat="1" applyFont="1" applyFill="1"/>
    <xf numFmtId="170" fontId="19" fillId="5" borderId="2" xfId="0" applyNumberFormat="1" applyFont="1" applyFill="1" applyBorder="1"/>
    <xf numFmtId="170" fontId="9" fillId="5" borderId="2" xfId="0" applyNumberFormat="1" applyFont="1" applyFill="1" applyBorder="1"/>
    <xf numFmtId="170" fontId="7" fillId="5" borderId="1" xfId="0" applyNumberFormat="1" applyFont="1" applyFill="1" applyBorder="1"/>
    <xf numFmtId="170" fontId="7" fillId="5" borderId="20" xfId="0" applyNumberFormat="1" applyFont="1" applyFill="1" applyBorder="1"/>
    <xf numFmtId="170" fontId="8" fillId="5" borderId="1" xfId="0" applyNumberFormat="1" applyFont="1" applyFill="1" applyBorder="1"/>
    <xf numFmtId="170" fontId="19" fillId="5" borderId="19" xfId="0" applyNumberFormat="1" applyFont="1" applyFill="1" applyBorder="1"/>
    <xf numFmtId="170" fontId="19" fillId="5" borderId="21" xfId="0" applyNumberFormat="1" applyFont="1" applyFill="1" applyBorder="1"/>
    <xf numFmtId="170" fontId="7" fillId="5" borderId="0" xfId="0" applyNumberFormat="1" applyFont="1" applyFill="1"/>
    <xf numFmtId="170" fontId="7" fillId="5" borderId="19" xfId="0" applyNumberFormat="1" applyFont="1" applyFill="1" applyBorder="1"/>
    <xf numFmtId="170" fontId="8" fillId="5" borderId="0" xfId="0" applyNumberFormat="1" applyFont="1" applyFill="1"/>
    <xf numFmtId="170" fontId="8" fillId="5" borderId="19" xfId="0" applyNumberFormat="1" applyFont="1" applyFill="1" applyBorder="1"/>
    <xf numFmtId="170" fontId="9" fillId="5" borderId="19" xfId="0" applyNumberFormat="1" applyFont="1" applyFill="1" applyBorder="1"/>
    <xf numFmtId="177" fontId="6" fillId="5" borderId="0" xfId="0" applyNumberFormat="1" applyFont="1" applyFill="1"/>
    <xf numFmtId="177" fontId="6" fillId="5" borderId="19" xfId="0" applyNumberFormat="1" applyFont="1" applyFill="1" applyBorder="1"/>
    <xf numFmtId="177" fontId="9" fillId="5" borderId="0" xfId="0" applyNumberFormat="1" applyFont="1" applyFill="1"/>
    <xf numFmtId="177" fontId="7" fillId="5" borderId="1" xfId="0" applyNumberFormat="1" applyFont="1" applyFill="1" applyBorder="1"/>
    <xf numFmtId="177" fontId="7" fillId="5" borderId="20" xfId="0" applyNumberFormat="1" applyFont="1" applyFill="1" applyBorder="1"/>
    <xf numFmtId="177" fontId="8" fillId="5" borderId="1" xfId="0" applyNumberFormat="1" applyFont="1" applyFill="1" applyBorder="1"/>
    <xf numFmtId="177" fontId="7" fillId="5" borderId="3" xfId="0" applyNumberFormat="1" applyFont="1" applyFill="1" applyBorder="1"/>
    <xf numFmtId="177" fontId="7" fillId="5" borderId="22" xfId="0" applyNumberFormat="1" applyFont="1" applyFill="1" applyBorder="1"/>
    <xf numFmtId="177" fontId="8" fillId="2" borderId="3" xfId="0" applyNumberFormat="1" applyFont="1" applyFill="1" applyBorder="1"/>
    <xf numFmtId="177" fontId="8" fillId="5" borderId="3" xfId="0" applyNumberFormat="1" applyFont="1" applyFill="1" applyBorder="1"/>
    <xf numFmtId="170" fontId="23" fillId="3" borderId="19" xfId="0" applyNumberFormat="1" applyFont="1" applyFill="1" applyBorder="1"/>
    <xf numFmtId="177" fontId="9" fillId="5" borderId="19" xfId="0" applyNumberFormat="1" applyFont="1" applyFill="1" applyBorder="1" applyAlignment="1">
      <alignment horizontal="right"/>
    </xf>
    <xf numFmtId="170" fontId="9" fillId="5" borderId="0" xfId="0" applyNumberFormat="1" applyFont="1" applyFill="1" applyAlignment="1">
      <alignment horizontal="right"/>
    </xf>
    <xf numFmtId="170" fontId="6" fillId="5" borderId="0" xfId="0" applyNumberFormat="1" applyFont="1" applyFill="1" applyAlignment="1">
      <alignment horizontal="right"/>
    </xf>
    <xf numFmtId="170" fontId="9" fillId="5" borderId="2" xfId="0" applyNumberFormat="1" applyFont="1" applyFill="1" applyBorder="1" applyAlignment="1">
      <alignment horizontal="right"/>
    </xf>
    <xf numFmtId="170" fontId="6" fillId="5" borderId="2" xfId="0" applyNumberFormat="1" applyFont="1" applyFill="1" applyBorder="1" applyAlignment="1">
      <alignment horizontal="right"/>
    </xf>
    <xf numFmtId="170" fontId="19" fillId="5" borderId="2" xfId="0" applyNumberFormat="1" applyFont="1" applyFill="1" applyBorder="1" applyAlignment="1">
      <alignment horizontal="right"/>
    </xf>
    <xf numFmtId="170" fontId="19" fillId="5" borderId="21" xfId="0" applyNumberFormat="1" applyFont="1" applyFill="1" applyBorder="1" applyAlignment="1">
      <alignment horizontal="right"/>
    </xf>
    <xf numFmtId="170" fontId="8" fillId="5" borderId="0" xfId="0" applyNumberFormat="1" applyFont="1" applyFill="1" applyAlignment="1">
      <alignment horizontal="right"/>
    </xf>
    <xf numFmtId="170" fontId="16" fillId="5" borderId="0" xfId="0" applyNumberFormat="1" applyFont="1" applyFill="1" applyAlignment="1">
      <alignment horizontal="right"/>
    </xf>
    <xf numFmtId="170" fontId="7" fillId="5" borderId="0" xfId="0" applyNumberFormat="1" applyFont="1" applyFill="1" applyAlignment="1">
      <alignment horizontal="right"/>
    </xf>
    <xf numFmtId="170" fontId="7" fillId="5" borderId="19" xfId="0" applyNumberFormat="1" applyFont="1" applyFill="1" applyBorder="1" applyAlignment="1">
      <alignment horizontal="right"/>
    </xf>
    <xf numFmtId="170" fontId="9" fillId="5" borderId="19" xfId="0" applyNumberFormat="1" applyFont="1" applyFill="1" applyBorder="1" applyAlignment="1">
      <alignment horizontal="right"/>
    </xf>
    <xf numFmtId="170" fontId="8" fillId="5" borderId="1" xfId="0" applyNumberFormat="1" applyFont="1" applyFill="1" applyBorder="1" applyAlignment="1">
      <alignment horizontal="right"/>
    </xf>
    <xf numFmtId="170" fontId="7" fillId="5" borderId="1" xfId="0" applyNumberFormat="1" applyFont="1" applyFill="1" applyBorder="1" applyAlignment="1">
      <alignment horizontal="right"/>
    </xf>
    <xf numFmtId="170" fontId="7" fillId="5" borderId="20" xfId="0" applyNumberFormat="1" applyFont="1" applyFill="1" applyBorder="1" applyAlignment="1">
      <alignment horizontal="right"/>
    </xf>
    <xf numFmtId="177" fontId="7" fillId="5" borderId="0" xfId="0" applyNumberFormat="1" applyFont="1" applyFill="1" applyAlignment="1">
      <alignment horizontal="right"/>
    </xf>
    <xf numFmtId="177" fontId="7" fillId="5" borderId="19" xfId="0" applyNumberFormat="1" applyFont="1" applyFill="1" applyBorder="1" applyAlignment="1">
      <alignment horizontal="right"/>
    </xf>
    <xf numFmtId="170" fontId="8" fillId="5" borderId="19" xfId="0" applyNumberFormat="1" applyFont="1" applyFill="1" applyBorder="1" applyAlignment="1">
      <alignment horizontal="right"/>
    </xf>
    <xf numFmtId="174" fontId="9" fillId="5" borderId="0" xfId="0" applyNumberFormat="1" applyFont="1" applyFill="1"/>
    <xf numFmtId="174" fontId="9" fillId="5" borderId="19" xfId="0" applyNumberFormat="1" applyFont="1" applyFill="1" applyBorder="1"/>
    <xf numFmtId="174" fontId="19" fillId="2" borderId="0" xfId="0" applyNumberFormat="1" applyFont="1" applyFill="1"/>
    <xf numFmtId="174" fontId="19" fillId="5" borderId="0" xfId="0" applyNumberFormat="1" applyFont="1" applyFill="1"/>
    <xf numFmtId="174" fontId="6" fillId="2" borderId="0" xfId="0" applyNumberFormat="1" applyFont="1" applyFill="1"/>
    <xf numFmtId="174" fontId="9" fillId="5" borderId="2" xfId="0" applyNumberFormat="1" applyFont="1" applyFill="1" applyBorder="1"/>
    <xf numFmtId="174" fontId="9" fillId="5" borderId="21" xfId="0" applyNumberFormat="1" applyFont="1" applyFill="1" applyBorder="1"/>
    <xf numFmtId="174" fontId="19" fillId="2" borderId="2" xfId="0" applyNumberFormat="1" applyFont="1" applyFill="1" applyBorder="1"/>
    <xf numFmtId="174" fontId="19" fillId="5" borderId="2" xfId="0" applyNumberFormat="1" applyFont="1" applyFill="1" applyBorder="1"/>
    <xf numFmtId="174" fontId="8" fillId="5" borderId="1" xfId="0" applyNumberFormat="1" applyFont="1" applyFill="1" applyBorder="1"/>
    <xf numFmtId="174" fontId="7" fillId="5" borderId="1" xfId="0" applyNumberFormat="1" applyFont="1" applyFill="1" applyBorder="1"/>
    <xf numFmtId="174" fontId="7" fillId="5" borderId="20" xfId="0" applyNumberFormat="1" applyFont="1" applyFill="1" applyBorder="1"/>
    <xf numFmtId="170" fontId="6" fillId="5" borderId="0" xfId="0" applyNumberFormat="1" applyFont="1" applyFill="1"/>
    <xf numFmtId="170" fontId="6" fillId="5" borderId="19" xfId="0" applyNumberFormat="1" applyFont="1" applyFill="1" applyBorder="1"/>
    <xf numFmtId="170" fontId="8" fillId="5" borderId="20" xfId="0" applyNumberFormat="1" applyFont="1" applyFill="1" applyBorder="1"/>
    <xf numFmtId="170" fontId="9" fillId="5" borderId="21" xfId="0" applyNumberFormat="1" applyFont="1" applyFill="1" applyBorder="1"/>
    <xf numFmtId="170" fontId="16" fillId="5" borderId="0" xfId="0" applyNumberFormat="1" applyFont="1" applyFill="1"/>
    <xf numFmtId="170" fontId="16" fillId="5" borderId="19" xfId="0" applyNumberFormat="1" applyFont="1" applyFill="1" applyBorder="1"/>
    <xf numFmtId="170" fontId="16" fillId="5" borderId="1" xfId="0" applyNumberFormat="1" applyFont="1" applyFill="1" applyBorder="1"/>
    <xf numFmtId="170" fontId="16" fillId="5" borderId="20" xfId="0" applyNumberFormat="1" applyFont="1" applyFill="1" applyBorder="1"/>
    <xf numFmtId="174" fontId="8" fillId="5" borderId="0" xfId="0" applyNumberFormat="1" applyFont="1" applyFill="1"/>
    <xf numFmtId="174" fontId="7" fillId="5" borderId="0" xfId="0" applyNumberFormat="1" applyFont="1" applyFill="1"/>
    <xf numFmtId="174" fontId="7" fillId="5" borderId="19" xfId="0" applyNumberFormat="1" applyFont="1" applyFill="1" applyBorder="1"/>
    <xf numFmtId="177" fontId="19" fillId="5" borderId="0" xfId="0" applyNumberFormat="1" applyFont="1" applyFill="1"/>
    <xf numFmtId="177" fontId="19" fillId="5" borderId="19" xfId="0" applyNumberFormat="1" applyFont="1" applyFill="1" applyBorder="1"/>
    <xf numFmtId="177" fontId="9" fillId="5" borderId="19" xfId="0" applyNumberFormat="1" applyFont="1" applyFill="1" applyBorder="1"/>
    <xf numFmtId="178" fontId="9" fillId="5" borderId="0" xfId="0" applyNumberFormat="1" applyFont="1" applyFill="1"/>
    <xf numFmtId="178" fontId="19" fillId="5" borderId="0" xfId="0" applyNumberFormat="1" applyFont="1" applyFill="1"/>
    <xf numFmtId="178" fontId="19" fillId="5" borderId="19" xfId="0" applyNumberFormat="1" applyFont="1" applyFill="1" applyBorder="1"/>
    <xf numFmtId="178" fontId="9" fillId="5" borderId="19" xfId="0" applyNumberFormat="1" applyFont="1" applyFill="1" applyBorder="1"/>
    <xf numFmtId="178" fontId="9" fillId="5" borderId="2" xfId="0" applyNumberFormat="1" applyFont="1" applyFill="1" applyBorder="1"/>
    <xf numFmtId="178" fontId="19" fillId="5" borderId="2" xfId="0" applyNumberFormat="1" applyFont="1" applyFill="1" applyBorder="1"/>
    <xf numFmtId="178" fontId="19" fillId="5" borderId="21" xfId="0" applyNumberFormat="1" applyFont="1" applyFill="1" applyBorder="1"/>
    <xf numFmtId="178" fontId="8" fillId="5" borderId="0" xfId="0" applyNumberFormat="1" applyFont="1" applyFill="1"/>
    <xf numFmtId="178" fontId="7" fillId="5" borderId="0" xfId="0" applyNumberFormat="1" applyFont="1" applyFill="1"/>
    <xf numFmtId="178" fontId="7" fillId="5" borderId="19" xfId="0" applyNumberFormat="1" applyFont="1" applyFill="1" applyBorder="1"/>
    <xf numFmtId="178" fontId="7" fillId="2" borderId="0" xfId="0" applyNumberFormat="1" applyFont="1" applyFill="1"/>
    <xf numFmtId="170" fontId="9" fillId="5" borderId="1" xfId="0" applyNumberFormat="1" applyFont="1" applyFill="1" applyBorder="1"/>
    <xf numFmtId="170" fontId="19" fillId="5" borderId="1" xfId="0" applyNumberFormat="1" applyFont="1" applyFill="1" applyBorder="1"/>
    <xf numFmtId="170" fontId="19" fillId="5" borderId="20" xfId="0" applyNumberFormat="1" applyFont="1" applyFill="1" applyBorder="1"/>
    <xf numFmtId="170" fontId="9" fillId="5" borderId="3" xfId="0" applyNumberFormat="1" applyFont="1" applyFill="1" applyBorder="1"/>
    <xf numFmtId="170" fontId="19" fillId="5" borderId="3" xfId="0" applyNumberFormat="1" applyFont="1" applyFill="1" applyBorder="1"/>
    <xf numFmtId="170" fontId="19" fillId="5" borderId="22" xfId="0" applyNumberFormat="1" applyFont="1" applyFill="1" applyBorder="1"/>
    <xf numFmtId="170" fontId="9" fillId="5" borderId="22" xfId="0" applyNumberFormat="1" applyFont="1" applyFill="1" applyBorder="1"/>
    <xf numFmtId="170" fontId="9" fillId="5" borderId="20" xfId="0" applyNumberFormat="1" applyFont="1" applyFill="1" applyBorder="1"/>
    <xf numFmtId="177" fontId="9" fillId="5" borderId="1" xfId="0" applyNumberFormat="1" applyFont="1" applyFill="1" applyBorder="1" applyAlignment="1">
      <alignment horizontal="right"/>
    </xf>
    <xf numFmtId="177" fontId="9" fillId="5" borderId="20" xfId="0" applyNumberFormat="1" applyFont="1" applyFill="1" applyBorder="1" applyAlignment="1">
      <alignment horizontal="right"/>
    </xf>
    <xf numFmtId="177" fontId="8" fillId="5" borderId="2" xfId="0" applyNumberFormat="1" applyFont="1" applyFill="1" applyBorder="1" applyAlignment="1">
      <alignment horizontal="right"/>
    </xf>
    <xf numFmtId="177" fontId="8" fillId="5" borderId="21" xfId="0" applyNumberFormat="1" applyFont="1" applyFill="1" applyBorder="1" applyAlignment="1">
      <alignment horizontal="right"/>
    </xf>
    <xf numFmtId="177" fontId="13" fillId="5" borderId="0" xfId="0" applyNumberFormat="1" applyFont="1" applyFill="1"/>
    <xf numFmtId="177" fontId="13" fillId="5" borderId="19" xfId="0" applyNumberFormat="1" applyFont="1" applyFill="1" applyBorder="1"/>
    <xf numFmtId="177" fontId="13" fillId="5" borderId="0" xfId="0" applyNumberFormat="1" applyFont="1" applyFill="1" applyAlignment="1">
      <alignment horizontal="right"/>
    </xf>
    <xf numFmtId="177" fontId="13" fillId="5" borderId="19" xfId="0" applyNumberFormat="1" applyFont="1" applyFill="1" applyBorder="1" applyAlignment="1">
      <alignment horizontal="right"/>
    </xf>
    <xf numFmtId="177" fontId="13" fillId="5" borderId="0" xfId="0" applyNumberFormat="1" applyFont="1" applyFill="1" applyAlignment="1">
      <alignment horizontal="left" indent="1"/>
    </xf>
    <xf numFmtId="177" fontId="13" fillId="5" borderId="19" xfId="0" applyNumberFormat="1" applyFont="1" applyFill="1" applyBorder="1" applyAlignment="1">
      <alignment horizontal="left" indent="1"/>
    </xf>
    <xf numFmtId="177" fontId="13" fillId="2" borderId="0" xfId="0" applyNumberFormat="1" applyFont="1" applyFill="1" applyAlignment="1">
      <alignment horizontal="right" indent="1"/>
    </xf>
    <xf numFmtId="177" fontId="13" fillId="5" borderId="0" xfId="0" applyNumberFormat="1" applyFont="1" applyFill="1" applyAlignment="1">
      <alignment horizontal="right" indent="1"/>
    </xf>
    <xf numFmtId="170" fontId="7" fillId="5" borderId="3" xfId="0" applyNumberFormat="1" applyFont="1" applyFill="1" applyBorder="1"/>
    <xf numFmtId="170" fontId="8" fillId="5" borderId="3" xfId="0" applyNumberFormat="1" applyFont="1" applyFill="1" applyBorder="1"/>
    <xf numFmtId="170" fontId="8" fillId="5" borderId="22" xfId="0" applyNumberFormat="1" applyFont="1" applyFill="1" applyBorder="1"/>
    <xf numFmtId="170" fontId="10" fillId="4" borderId="19" xfId="0" applyNumberFormat="1" applyFont="1" applyFill="1" applyBorder="1" applyAlignment="1">
      <alignment horizontal="right"/>
    </xf>
    <xf numFmtId="170" fontId="13" fillId="5" borderId="0" xfId="0" applyNumberFormat="1" applyFont="1" applyFill="1"/>
    <xf numFmtId="170" fontId="13" fillId="5" borderId="19" xfId="0" applyNumberFormat="1" applyFont="1" applyFill="1" applyBorder="1"/>
    <xf numFmtId="170" fontId="13" fillId="2" borderId="0" xfId="0" applyNumberFormat="1" applyFont="1" applyFill="1" applyAlignment="1">
      <alignment horizontal="right"/>
    </xf>
    <xf numFmtId="170" fontId="13" fillId="5" borderId="0" xfId="0" applyNumberFormat="1" applyFont="1" applyFill="1" applyAlignment="1">
      <alignment horizontal="right"/>
    </xf>
    <xf numFmtId="170" fontId="6" fillId="5" borderId="2" xfId="0" applyNumberFormat="1" applyFont="1" applyFill="1" applyBorder="1"/>
    <xf numFmtId="170" fontId="6" fillId="5" borderId="21" xfId="0" applyNumberFormat="1" applyFont="1" applyFill="1" applyBorder="1"/>
    <xf numFmtId="170" fontId="11" fillId="5" borderId="0" xfId="0" applyNumberFormat="1" applyFont="1" applyFill="1"/>
    <xf numFmtId="170" fontId="12" fillId="2" borderId="0" xfId="0" applyNumberFormat="1" applyFont="1" applyFill="1"/>
    <xf numFmtId="170" fontId="6" fillId="5" borderId="3" xfId="0" applyNumberFormat="1" applyFont="1" applyFill="1" applyBorder="1"/>
    <xf numFmtId="170" fontId="6" fillId="5" borderId="22" xfId="0" applyNumberFormat="1" applyFont="1" applyFill="1" applyBorder="1"/>
    <xf numFmtId="170" fontId="6" fillId="5" borderId="1" xfId="0" applyNumberFormat="1" applyFont="1" applyFill="1" applyBorder="1"/>
    <xf numFmtId="170" fontId="6" fillId="5" borderId="20" xfId="0" applyNumberFormat="1" applyFont="1" applyFill="1" applyBorder="1"/>
    <xf numFmtId="170" fontId="13" fillId="5" borderId="1" xfId="0" applyNumberFormat="1" applyFont="1" applyFill="1" applyBorder="1"/>
    <xf numFmtId="170" fontId="13" fillId="5" borderId="20" xfId="0" applyNumberFormat="1" applyFont="1" applyFill="1" applyBorder="1"/>
    <xf numFmtId="177" fontId="8" fillId="5" borderId="0" xfId="0" applyNumberFormat="1" applyFont="1" applyFill="1"/>
    <xf numFmtId="177" fontId="8" fillId="5" borderId="19" xfId="0" applyNumberFormat="1" applyFont="1" applyFill="1" applyBorder="1"/>
    <xf numFmtId="177" fontId="7" fillId="5" borderId="0" xfId="0" applyNumberFormat="1" applyFont="1" applyFill="1"/>
    <xf numFmtId="177" fontId="7" fillId="5" borderId="19" xfId="0" applyNumberFormat="1" applyFont="1" applyFill="1" applyBorder="1"/>
    <xf numFmtId="177" fontId="16" fillId="2" borderId="0" xfId="0" applyNumberFormat="1" applyFont="1" applyFill="1"/>
    <xf numFmtId="177" fontId="16" fillId="5" borderId="0" xfId="0" applyNumberFormat="1" applyFont="1" applyFill="1"/>
    <xf numFmtId="174" fontId="13" fillId="5" borderId="0" xfId="0" applyNumberFormat="1" applyFont="1" applyFill="1"/>
    <xf numFmtId="174" fontId="13" fillId="5" borderId="0" xfId="0" applyNumberFormat="1" applyFont="1" applyFill="1" applyAlignment="1">
      <alignment horizontal="right"/>
    </xf>
    <xf numFmtId="174" fontId="13" fillId="5" borderId="19" xfId="0" applyNumberFormat="1" applyFont="1" applyFill="1" applyBorder="1" applyAlignment="1">
      <alignment horizontal="right"/>
    </xf>
    <xf numFmtId="174" fontId="13" fillId="2" borderId="0" xfId="0" applyNumberFormat="1" applyFont="1" applyFill="1" applyAlignment="1">
      <alignment horizontal="right"/>
    </xf>
    <xf numFmtId="178" fontId="5" fillId="3" borderId="19" xfId="0" applyNumberFormat="1" applyFont="1" applyFill="1" applyBorder="1"/>
    <xf numFmtId="179" fontId="21" fillId="5" borderId="0" xfId="0" applyNumberFormat="1" applyFont="1" applyFill="1"/>
    <xf numFmtId="179" fontId="21" fillId="5" borderId="19" xfId="0" applyNumberFormat="1" applyFont="1" applyFill="1" applyBorder="1"/>
    <xf numFmtId="179" fontId="13" fillId="5" borderId="0" xfId="0" applyNumberFormat="1" applyFont="1" applyFill="1"/>
    <xf numFmtId="170" fontId="9" fillId="5" borderId="4" xfId="0" applyNumberFormat="1" applyFont="1" applyFill="1" applyBorder="1"/>
    <xf numFmtId="170" fontId="9" fillId="5" borderId="23" xfId="0" applyNumberFormat="1" applyFont="1" applyFill="1" applyBorder="1"/>
    <xf numFmtId="170" fontId="9" fillId="5" borderId="5" xfId="0" applyNumberFormat="1" applyFont="1" applyFill="1" applyBorder="1"/>
    <xf numFmtId="170" fontId="9" fillId="5" borderId="24" xfId="0" applyNumberFormat="1" applyFont="1" applyFill="1" applyBorder="1"/>
    <xf numFmtId="177" fontId="21" fillId="2" borderId="0" xfId="0" applyNumberFormat="1" applyFont="1" applyFill="1"/>
    <xf numFmtId="177" fontId="21" fillId="5" borderId="0" xfId="0" applyNumberFormat="1" applyFont="1" applyFill="1"/>
    <xf numFmtId="177" fontId="13" fillId="5" borderId="2" xfId="0" applyNumberFormat="1" applyFont="1" applyFill="1" applyBorder="1"/>
    <xf numFmtId="177" fontId="13" fillId="5" borderId="21" xfId="0" applyNumberFormat="1" applyFont="1" applyFill="1" applyBorder="1"/>
    <xf numFmtId="180" fontId="19" fillId="5" borderId="0" xfId="0" applyNumberFormat="1" applyFont="1" applyFill="1"/>
    <xf numFmtId="180" fontId="19" fillId="5" borderId="19" xfId="0" applyNumberFormat="1" applyFont="1" applyFill="1" applyBorder="1"/>
    <xf numFmtId="180" fontId="9" fillId="5" borderId="0" xfId="0" applyNumberFormat="1" applyFont="1" applyFill="1"/>
    <xf numFmtId="180" fontId="9" fillId="5" borderId="19" xfId="0" applyNumberFormat="1" applyFont="1" applyFill="1" applyBorder="1"/>
    <xf numFmtId="181" fontId="13" fillId="5" borderId="0" xfId="0" applyNumberFormat="1" applyFont="1" applyFill="1"/>
    <xf numFmtId="181" fontId="13" fillId="5" borderId="19" xfId="0" applyNumberFormat="1" applyFont="1" applyFill="1" applyBorder="1"/>
    <xf numFmtId="181" fontId="21" fillId="2" borderId="0" xfId="0" applyNumberFormat="1" applyFont="1" applyFill="1"/>
    <xf numFmtId="181" fontId="21" fillId="5" borderId="0" xfId="0" applyNumberFormat="1" applyFont="1" applyFill="1"/>
    <xf numFmtId="174" fontId="8" fillId="5" borderId="0" xfId="0" applyNumberFormat="1" applyFont="1" applyFill="1" applyAlignment="1">
      <alignment horizontal="right" indent="1"/>
    </xf>
    <xf numFmtId="174" fontId="8" fillId="5" borderId="19" xfId="0" applyNumberFormat="1" applyFont="1" applyFill="1" applyBorder="1"/>
    <xf numFmtId="174" fontId="13" fillId="5" borderId="19" xfId="0" applyNumberFormat="1" applyFont="1" applyFill="1" applyBorder="1"/>
    <xf numFmtId="174" fontId="11" fillId="5" borderId="0" xfId="0" applyNumberFormat="1" applyFont="1" applyFill="1" applyAlignment="1">
      <alignment horizontal="right"/>
    </xf>
    <xf numFmtId="170" fontId="11" fillId="5" borderId="0" xfId="0" applyNumberFormat="1" applyFont="1" applyFill="1" applyAlignment="1">
      <alignment horizontal="right"/>
    </xf>
    <xf numFmtId="182" fontId="19" fillId="5" borderId="0" xfId="0" applyNumberFormat="1" applyFont="1" applyFill="1"/>
    <xf numFmtId="182" fontId="6" fillId="5" borderId="0" xfId="0" applyNumberFormat="1" applyFont="1" applyFill="1"/>
    <xf numFmtId="182" fontId="6" fillId="5" borderId="19" xfId="0" applyNumberFormat="1" applyFont="1" applyFill="1" applyBorder="1"/>
    <xf numFmtId="182" fontId="9" fillId="5" borderId="0" xfId="0" applyNumberFormat="1" applyFont="1" applyFill="1"/>
    <xf numFmtId="182" fontId="6" fillId="2" borderId="0" xfId="0" applyNumberFormat="1" applyFont="1" applyFill="1"/>
    <xf numFmtId="182" fontId="9" fillId="5" borderId="19" xfId="0" applyNumberFormat="1" applyFont="1" applyFill="1" applyBorder="1"/>
    <xf numFmtId="174" fontId="16" fillId="2" borderId="0" xfId="0" applyNumberFormat="1" applyFont="1" applyFill="1"/>
    <xf numFmtId="174" fontId="16" fillId="5" borderId="0" xfId="0" applyNumberFormat="1" applyFont="1" applyFill="1"/>
    <xf numFmtId="170" fontId="6" fillId="5" borderId="4" xfId="0" applyNumberFormat="1" applyFont="1" applyFill="1" applyBorder="1"/>
    <xf numFmtId="179" fontId="8" fillId="5" borderId="0" xfId="0" applyNumberFormat="1" applyFont="1" applyFill="1" applyAlignment="1">
      <alignment horizontal="right"/>
    </xf>
    <xf numFmtId="179" fontId="8" fillId="5" borderId="19" xfId="0" applyNumberFormat="1" applyFont="1" applyFill="1" applyBorder="1" applyAlignment="1">
      <alignment horizontal="right"/>
    </xf>
    <xf numFmtId="179" fontId="7" fillId="5" borderId="0" xfId="0" applyNumberFormat="1" applyFont="1" applyFill="1" applyAlignment="1">
      <alignment horizontal="right"/>
    </xf>
    <xf numFmtId="179" fontId="7" fillId="2" borderId="0" xfId="0" applyNumberFormat="1" applyFont="1" applyFill="1"/>
    <xf numFmtId="0" fontId="9" fillId="5" borderId="0" xfId="0" applyFont="1" applyFill="1"/>
    <xf numFmtId="0" fontId="9" fillId="5" borderId="19" xfId="0" applyFont="1" applyFill="1" applyBorder="1"/>
    <xf numFmtId="184" fontId="7" fillId="5" borderId="0" xfId="0" applyNumberFormat="1" applyFont="1" applyFill="1" applyAlignment="1">
      <alignment horizontal="right"/>
    </xf>
    <xf numFmtId="184" fontId="8" fillId="5" borderId="0" xfId="0" applyNumberFormat="1" applyFont="1" applyFill="1"/>
    <xf numFmtId="184" fontId="8" fillId="5" borderId="19" xfId="0" applyNumberFormat="1" applyFont="1" applyFill="1" applyBorder="1"/>
    <xf numFmtId="184" fontId="8" fillId="2" borderId="0" xfId="0" applyNumberFormat="1" applyFont="1" applyFill="1" applyAlignment="1">
      <alignment horizontal="right"/>
    </xf>
    <xf numFmtId="184" fontId="7" fillId="2" borderId="0" xfId="0" applyNumberFormat="1" applyFont="1" applyFill="1"/>
    <xf numFmtId="179" fontId="9" fillId="5" borderId="0" xfId="0" applyNumberFormat="1" applyFont="1" applyFill="1" applyAlignment="1">
      <alignment horizontal="right"/>
    </xf>
    <xf numFmtId="179" fontId="9" fillId="5" borderId="19" xfId="0" applyNumberFormat="1" applyFont="1" applyFill="1" applyBorder="1" applyAlignment="1">
      <alignment horizontal="right"/>
    </xf>
    <xf numFmtId="179" fontId="6" fillId="2" borderId="0" xfId="0" applyNumberFormat="1" applyFont="1" applyFill="1"/>
    <xf numFmtId="179" fontId="6" fillId="5" borderId="0" xfId="0" applyNumberFormat="1" applyFont="1" applyFill="1" applyAlignment="1">
      <alignment horizontal="right"/>
    </xf>
    <xf numFmtId="184" fontId="6" fillId="5" borderId="0" xfId="0" applyNumberFormat="1" applyFont="1" applyFill="1" applyAlignment="1">
      <alignment horizontal="right"/>
    </xf>
    <xf numFmtId="184" fontId="9" fillId="5" borderId="0" xfId="0" applyNumberFormat="1" applyFont="1" applyFill="1"/>
    <xf numFmtId="184" fontId="9" fillId="5" borderId="19" xfId="0" applyNumberFormat="1" applyFont="1" applyFill="1" applyBorder="1"/>
    <xf numFmtId="184" fontId="9" fillId="2" borderId="0" xfId="0" applyNumberFormat="1" applyFont="1" applyFill="1" applyAlignment="1">
      <alignment horizontal="right"/>
    </xf>
    <xf numFmtId="185" fontId="6" fillId="5" borderId="0" xfId="0" applyNumberFormat="1" applyFont="1" applyFill="1" applyAlignment="1">
      <alignment horizontal="right"/>
    </xf>
    <xf numFmtId="185" fontId="9" fillId="5" borderId="0" xfId="0" applyNumberFormat="1" applyFont="1" applyFill="1"/>
    <xf numFmtId="185" fontId="9" fillId="5" borderId="19" xfId="0" applyNumberFormat="1" applyFont="1" applyFill="1" applyBorder="1"/>
    <xf numFmtId="185" fontId="9" fillId="2" borderId="0" xfId="0" applyNumberFormat="1" applyFont="1" applyFill="1" applyAlignment="1">
      <alignment horizontal="right"/>
    </xf>
    <xf numFmtId="186" fontId="6" fillId="5" borderId="0" xfId="0" applyNumberFormat="1" applyFont="1" applyFill="1" applyAlignment="1">
      <alignment horizontal="right"/>
    </xf>
    <xf numFmtId="186" fontId="9" fillId="5" borderId="0" xfId="0" applyNumberFormat="1" applyFont="1" applyFill="1"/>
    <xf numFmtId="186" fontId="9" fillId="5" borderId="19" xfId="0" applyNumberFormat="1" applyFont="1" applyFill="1" applyBorder="1"/>
    <xf numFmtId="186" fontId="9" fillId="2" borderId="0" xfId="0" applyNumberFormat="1" applyFont="1" applyFill="1" applyAlignment="1">
      <alignment horizontal="right"/>
    </xf>
    <xf numFmtId="177" fontId="17" fillId="5" borderId="0" xfId="0" applyNumberFormat="1" applyFont="1" applyFill="1"/>
    <xf numFmtId="177" fontId="14" fillId="5" borderId="0" xfId="0" applyNumberFormat="1" applyFont="1" applyFill="1"/>
    <xf numFmtId="177" fontId="17" fillId="2" borderId="0" xfId="0" applyNumberFormat="1" applyFont="1" applyFill="1"/>
    <xf numFmtId="177" fontId="14" fillId="5" borderId="19" xfId="0" applyNumberFormat="1" applyFont="1" applyFill="1" applyBorder="1"/>
    <xf numFmtId="177" fontId="24" fillId="2" borderId="0" xfId="0" applyNumberFormat="1" applyFont="1" applyFill="1"/>
    <xf numFmtId="177" fontId="24" fillId="5" borderId="0" xfId="0" applyNumberFormat="1" applyFont="1" applyFill="1"/>
    <xf numFmtId="170" fontId="5" fillId="3" borderId="19" xfId="0" applyNumberFormat="1" applyFont="1" applyFill="1" applyBorder="1" applyAlignment="1">
      <alignment horizontal="right"/>
    </xf>
    <xf numFmtId="170" fontId="6" fillId="5" borderId="19" xfId="0" applyNumberFormat="1" applyFont="1" applyFill="1" applyBorder="1" applyAlignment="1">
      <alignment horizontal="right"/>
    </xf>
    <xf numFmtId="170" fontId="7" fillId="5" borderId="5" xfId="0" applyNumberFormat="1" applyFont="1" applyFill="1" applyBorder="1" applyAlignment="1">
      <alignment horizontal="right"/>
    </xf>
    <xf numFmtId="170" fontId="7" fillId="5" borderId="24" xfId="0" applyNumberFormat="1" applyFont="1" applyFill="1" applyBorder="1" applyAlignment="1">
      <alignment horizontal="right"/>
    </xf>
    <xf numFmtId="170" fontId="8" fillId="2" borderId="5" xfId="0" applyNumberFormat="1" applyFont="1" applyFill="1" applyBorder="1" applyAlignment="1">
      <alignment horizontal="right"/>
    </xf>
    <xf numFmtId="170" fontId="8" fillId="5" borderId="5" xfId="0" applyNumberFormat="1" applyFont="1" applyFill="1" applyBorder="1" applyAlignment="1">
      <alignment horizontal="right"/>
    </xf>
    <xf numFmtId="177" fontId="12" fillId="5" borderId="0" xfId="0" applyNumberFormat="1" applyFont="1" applyFill="1" applyAlignment="1">
      <alignment horizontal="right"/>
    </xf>
    <xf numFmtId="177" fontId="12" fillId="5" borderId="19" xfId="0" applyNumberFormat="1" applyFont="1" applyFill="1" applyBorder="1" applyAlignment="1">
      <alignment horizontal="right"/>
    </xf>
    <xf numFmtId="177" fontId="21" fillId="2" borderId="0" xfId="0" applyNumberFormat="1" applyFont="1" applyFill="1" applyAlignment="1">
      <alignment horizontal="right"/>
    </xf>
    <xf numFmtId="177" fontId="21" fillId="5" borderId="0" xfId="0" applyNumberFormat="1" applyFont="1" applyFill="1" applyAlignment="1">
      <alignment horizontal="right"/>
    </xf>
    <xf numFmtId="178" fontId="8" fillId="5" borderId="0" xfId="0" applyNumberFormat="1" applyFont="1" applyFill="1" applyAlignment="1">
      <alignment horizontal="right"/>
    </xf>
    <xf numFmtId="178" fontId="7" fillId="5" borderId="0" xfId="0" applyNumberFormat="1" applyFont="1" applyFill="1" applyAlignment="1">
      <alignment horizontal="right"/>
    </xf>
    <xf numFmtId="178" fontId="7" fillId="5" borderId="19" xfId="0" applyNumberFormat="1" applyFont="1" applyFill="1" applyBorder="1" applyAlignment="1">
      <alignment horizontal="right"/>
    </xf>
    <xf numFmtId="178" fontId="8" fillId="2" borderId="0" xfId="0" applyNumberFormat="1" applyFont="1" applyFill="1" applyAlignment="1">
      <alignment horizontal="right"/>
    </xf>
    <xf numFmtId="170" fontId="15" fillId="3" borderId="19" xfId="0" applyNumberFormat="1" applyFont="1" applyFill="1" applyBorder="1"/>
    <xf numFmtId="178" fontId="3" fillId="2" borderId="0" xfId="0" applyNumberFormat="1" applyFont="1" applyFill="1"/>
    <xf numFmtId="178" fontId="8" fillId="2" borderId="19" xfId="0" applyNumberFormat="1" applyFont="1" applyFill="1" applyBorder="1"/>
    <xf numFmtId="178" fontId="10" fillId="2" borderId="0" xfId="0" applyNumberFormat="1" applyFont="1" applyFill="1"/>
    <xf numFmtId="178" fontId="9" fillId="2" borderId="19" xfId="0" applyNumberFormat="1" applyFont="1" applyFill="1" applyBorder="1"/>
    <xf numFmtId="0" fontId="8" fillId="2" borderId="19" xfId="0" applyFont="1" applyFill="1" applyBorder="1"/>
    <xf numFmtId="178" fontId="10" fillId="2" borderId="4" xfId="0" applyNumberFormat="1" applyFont="1" applyFill="1" applyBorder="1"/>
    <xf numFmtId="178" fontId="9" fillId="2" borderId="23" xfId="0" applyNumberFormat="1" applyFont="1" applyFill="1" applyBorder="1"/>
    <xf numFmtId="178" fontId="10" fillId="2" borderId="1" xfId="0" applyNumberFormat="1" applyFont="1" applyFill="1" applyBorder="1"/>
    <xf numFmtId="178" fontId="9" fillId="2" borderId="20" xfId="0" applyNumberFormat="1" applyFont="1" applyFill="1" applyBorder="1"/>
    <xf numFmtId="178" fontId="9" fillId="2" borderId="13" xfId="0" applyNumberFormat="1" applyFont="1" applyFill="1" applyBorder="1"/>
    <xf numFmtId="14" fontId="3" fillId="2" borderId="0" xfId="0" applyNumberFormat="1" applyFont="1" applyFill="1" applyAlignment="1">
      <alignment horizontal="right"/>
    </xf>
    <xf numFmtId="14" fontId="16" fillId="2" borderId="19" xfId="0" applyNumberFormat="1" applyFont="1" applyFill="1" applyBorder="1" applyAlignment="1">
      <alignment horizontal="right"/>
    </xf>
    <xf numFmtId="14" fontId="8" fillId="2" borderId="14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8" fillId="2" borderId="19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right"/>
    </xf>
    <xf numFmtId="178" fontId="10" fillId="2" borderId="2" xfId="0" applyNumberFormat="1" applyFont="1" applyFill="1" applyBorder="1"/>
    <xf numFmtId="178" fontId="9" fillId="2" borderId="21" xfId="0" applyNumberFormat="1" applyFont="1" applyFill="1" applyBorder="1"/>
    <xf numFmtId="178" fontId="9" fillId="2" borderId="15" xfId="0" applyNumberFormat="1" applyFont="1" applyFill="1" applyBorder="1"/>
    <xf numFmtId="14" fontId="8" fillId="2" borderId="19" xfId="0" applyNumberFormat="1" applyFont="1" applyFill="1" applyBorder="1" applyAlignment="1">
      <alignment horizontal="right"/>
    </xf>
    <xf numFmtId="170" fontId="8" fillId="2" borderId="20" xfId="0" applyNumberFormat="1" applyFont="1" applyFill="1" applyBorder="1"/>
    <xf numFmtId="170" fontId="8" fillId="2" borderId="13" xfId="0" applyNumberFormat="1" applyFont="1" applyFill="1" applyBorder="1"/>
    <xf numFmtId="170" fontId="7" fillId="2" borderId="17" xfId="0" applyNumberFormat="1" applyFont="1" applyFill="1" applyBorder="1"/>
    <xf numFmtId="170" fontId="8" fillId="2" borderId="19" xfId="0" applyNumberFormat="1" applyFont="1" applyFill="1" applyBorder="1"/>
    <xf numFmtId="170" fontId="8" fillId="2" borderId="14" xfId="0" applyNumberFormat="1" applyFont="1" applyFill="1" applyBorder="1"/>
    <xf numFmtId="177" fontId="9" fillId="2" borderId="14" xfId="0" applyNumberFormat="1" applyFont="1" applyFill="1" applyBorder="1"/>
    <xf numFmtId="170" fontId="9" fillId="2" borderId="14" xfId="0" applyNumberFormat="1" applyFont="1" applyFill="1" applyBorder="1"/>
    <xf numFmtId="170" fontId="6" fillId="2" borderId="17" xfId="0" applyNumberFormat="1" applyFont="1" applyFill="1" applyBorder="1"/>
    <xf numFmtId="195" fontId="10" fillId="2" borderId="0" xfId="0" applyNumberFormat="1" applyFont="1" applyFill="1"/>
    <xf numFmtId="170" fontId="9" fillId="2" borderId="21" xfId="0" applyNumberFormat="1" applyFont="1" applyFill="1" applyBorder="1"/>
    <xf numFmtId="170" fontId="9" fillId="2" borderId="15" xfId="0" applyNumberFormat="1" applyFont="1" applyFill="1" applyBorder="1"/>
    <xf numFmtId="170" fontId="10" fillId="2" borderId="9" xfId="0" applyNumberFormat="1" applyFont="1" applyFill="1" applyBorder="1"/>
    <xf numFmtId="170" fontId="9" fillId="2" borderId="25" xfId="0" applyNumberFormat="1" applyFont="1" applyFill="1" applyBorder="1"/>
    <xf numFmtId="170" fontId="10" fillId="2" borderId="5" xfId="0" applyNumberFormat="1" applyFont="1" applyFill="1" applyBorder="1"/>
    <xf numFmtId="170" fontId="9" fillId="2" borderId="24" xfId="0" applyNumberFormat="1" applyFont="1" applyFill="1" applyBorder="1"/>
    <xf numFmtId="170" fontId="9" fillId="2" borderId="26" xfId="0" applyNumberFormat="1" applyFont="1" applyFill="1" applyBorder="1"/>
    <xf numFmtId="17" fontId="10" fillId="2" borderId="0" xfId="0" applyNumberFormat="1" applyFont="1" applyFill="1"/>
    <xf numFmtId="17" fontId="9" fillId="2" borderId="19" xfId="0" applyNumberFormat="1" applyFont="1" applyFill="1" applyBorder="1"/>
    <xf numFmtId="17" fontId="9" fillId="2" borderId="27" xfId="0" applyNumberFormat="1" applyFont="1" applyFill="1" applyBorder="1"/>
    <xf numFmtId="184" fontId="9" fillId="2" borderId="19" xfId="0" applyNumberFormat="1" applyFont="1" applyFill="1" applyBorder="1"/>
    <xf numFmtId="184" fontId="9" fillId="2" borderId="27" xfId="0" applyNumberFormat="1" applyFont="1" applyFill="1" applyBorder="1"/>
    <xf numFmtId="184" fontId="6" fillId="2" borderId="17" xfId="0" applyNumberFormat="1" applyFont="1" applyFill="1" applyBorder="1"/>
    <xf numFmtId="184" fontId="18" fillId="2" borderId="0" xfId="0" applyNumberFormat="1" applyFont="1" applyFill="1"/>
    <xf numFmtId="184" fontId="19" fillId="2" borderId="19" xfId="0" applyNumberFormat="1" applyFont="1" applyFill="1" applyBorder="1"/>
    <xf numFmtId="170" fontId="9" fillId="2" borderId="27" xfId="0" applyNumberFormat="1" applyFont="1" applyFill="1" applyBorder="1"/>
    <xf numFmtId="186" fontId="9" fillId="2" borderId="19" xfId="0" applyNumberFormat="1" applyFont="1" applyFill="1" applyBorder="1"/>
    <xf numFmtId="186" fontId="9" fillId="2" borderId="27" xfId="0" applyNumberFormat="1" applyFont="1" applyFill="1" applyBorder="1"/>
    <xf numFmtId="186" fontId="6" fillId="2" borderId="17" xfId="0" applyNumberFormat="1" applyFont="1" applyFill="1" applyBorder="1"/>
    <xf numFmtId="186" fontId="18" fillId="2" borderId="0" xfId="0" applyNumberFormat="1" applyFont="1" applyFill="1"/>
    <xf numFmtId="186" fontId="19" fillId="2" borderId="19" xfId="0" applyNumberFormat="1" applyFont="1" applyFill="1" applyBorder="1"/>
    <xf numFmtId="185" fontId="18" fillId="2" borderId="0" xfId="0" applyNumberFormat="1" applyFont="1" applyFill="1"/>
    <xf numFmtId="185" fontId="19" fillId="2" borderId="19" xfId="0" applyNumberFormat="1" applyFont="1" applyFill="1" applyBorder="1"/>
    <xf numFmtId="185" fontId="9" fillId="2" borderId="0" xfId="0" applyNumberFormat="1" applyFont="1" applyFill="1"/>
    <xf numFmtId="185" fontId="9" fillId="2" borderId="27" xfId="0" applyNumberFormat="1" applyFont="1" applyFill="1" applyBorder="1"/>
    <xf numFmtId="186" fontId="10" fillId="2" borderId="2" xfId="0" applyNumberFormat="1" applyFont="1" applyFill="1" applyBorder="1"/>
    <xf numFmtId="186" fontId="9" fillId="2" borderId="21" xfId="0" applyNumberFormat="1" applyFont="1" applyFill="1" applyBorder="1"/>
    <xf numFmtId="186" fontId="9" fillId="2" borderId="28" xfId="0" applyNumberFormat="1" applyFont="1" applyFill="1" applyBorder="1"/>
    <xf numFmtId="0" fontId="9" fillId="2" borderId="19" xfId="0" applyFont="1" applyFill="1" applyBorder="1"/>
    <xf numFmtId="7" fontId="36" fillId="0" borderId="32" xfId="0" applyNumberFormat="1" applyFont="1" applyBorder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14" fontId="41" fillId="0" borderId="0" xfId="0" applyNumberFormat="1" applyFont="1"/>
    <xf numFmtId="0" fontId="42" fillId="0" borderId="2" xfId="0" applyFont="1" applyBorder="1"/>
    <xf numFmtId="0" fontId="45" fillId="0" borderId="0" xfId="0" applyFont="1"/>
    <xf numFmtId="196" fontId="42" fillId="0" borderId="0" xfId="0" applyNumberFormat="1" applyFont="1"/>
    <xf numFmtId="0" fontId="47" fillId="0" borderId="0" xfId="0" applyFont="1"/>
    <xf numFmtId="197" fontId="44" fillId="0" borderId="0" xfId="0" applyNumberFormat="1" applyFont="1"/>
    <xf numFmtId="197" fontId="47" fillId="0" borderId="0" xfId="0" applyNumberFormat="1" applyFont="1"/>
    <xf numFmtId="200" fontId="42" fillId="0" borderId="0" xfId="0" applyNumberFormat="1" applyFont="1"/>
    <xf numFmtId="37" fontId="46" fillId="0" borderId="0" xfId="0" applyNumberFormat="1" applyFont="1"/>
    <xf numFmtId="37" fontId="42" fillId="0" borderId="0" xfId="0" applyNumberFormat="1" applyFont="1"/>
    <xf numFmtId="0" fontId="40" fillId="0" borderId="0" xfId="0" applyFont="1"/>
    <xf numFmtId="200" fontId="48" fillId="0" borderId="0" xfId="0" applyNumberFormat="1" applyFont="1"/>
    <xf numFmtId="199" fontId="38" fillId="0" borderId="0" xfId="0" applyNumberFormat="1" applyFont="1"/>
    <xf numFmtId="199" fontId="40" fillId="0" borderId="0" xfId="0" applyNumberFormat="1" applyFont="1"/>
    <xf numFmtId="200" fontId="40" fillId="0" borderId="0" xfId="0" applyNumberFormat="1" applyFont="1"/>
    <xf numFmtId="3" fontId="27" fillId="0" borderId="0" xfId="0" applyNumberFormat="1" applyFont="1"/>
    <xf numFmtId="1" fontId="27" fillId="0" borderId="0" xfId="0" applyNumberFormat="1" applyFont="1"/>
    <xf numFmtId="198" fontId="39" fillId="0" borderId="0" xfId="0" applyNumberFormat="1" applyFont="1"/>
    <xf numFmtId="198" fontId="27" fillId="0" borderId="0" xfId="0" applyNumberFormat="1" applyFont="1"/>
    <xf numFmtId="196" fontId="40" fillId="0" borderId="0" xfId="0" applyNumberFormat="1" applyFont="1"/>
    <xf numFmtId="201" fontId="49" fillId="0" borderId="0" xfId="0" applyNumberFormat="1" applyFont="1"/>
    <xf numFmtId="37" fontId="40" fillId="0" borderId="0" xfId="0" applyNumberFormat="1" applyFont="1"/>
    <xf numFmtId="37" fontId="41" fillId="0" borderId="0" xfId="0" applyNumberFormat="1" applyFont="1"/>
    <xf numFmtId="37" fontId="50" fillId="0" borderId="0" xfId="0" applyNumberFormat="1" applyFont="1"/>
    <xf numFmtId="7" fontId="41" fillId="0" borderId="0" xfId="0" applyNumberFormat="1" applyFont="1"/>
    <xf numFmtId="164" fontId="28" fillId="10" borderId="0" xfId="0" applyNumberFormat="1" applyFont="1" applyFill="1" applyAlignment="1">
      <alignment horizontal="center"/>
    </xf>
    <xf numFmtId="167" fontId="33" fillId="0" borderId="32" xfId="0" applyNumberFormat="1" applyFont="1" applyBorder="1"/>
    <xf numFmtId="37" fontId="33" fillId="0" borderId="32" xfId="0" applyNumberFormat="1" applyFont="1" applyBorder="1"/>
    <xf numFmtId="0" fontId="28" fillId="0" borderId="29" xfId="0" applyFont="1" applyBorder="1"/>
    <xf numFmtId="166" fontId="39" fillId="0" borderId="0" xfId="0" applyNumberFormat="1" applyFont="1"/>
    <xf numFmtId="166" fontId="39" fillId="0" borderId="32" xfId="0" applyNumberFormat="1" applyFont="1" applyBorder="1"/>
    <xf numFmtId="166" fontId="39" fillId="0" borderId="35" xfId="0" applyNumberFormat="1" applyFont="1" applyBorder="1"/>
    <xf numFmtId="166" fontId="39" fillId="0" borderId="34" xfId="0" applyNumberFormat="1" applyFont="1" applyBorder="1"/>
    <xf numFmtId="164" fontId="28" fillId="0" borderId="37" xfId="0" applyNumberFormat="1" applyFont="1" applyBorder="1" applyAlignment="1">
      <alignment horizontal="center"/>
    </xf>
    <xf numFmtId="164" fontId="28" fillId="0" borderId="36" xfId="0" applyNumberFormat="1" applyFont="1" applyBorder="1" applyAlignment="1">
      <alignment horizontal="center"/>
    </xf>
    <xf numFmtId="0" fontId="1" fillId="0" borderId="39" xfId="0" applyFont="1" applyBorder="1"/>
    <xf numFmtId="0" fontId="1" fillId="0" borderId="38" xfId="0" applyFont="1" applyBorder="1"/>
    <xf numFmtId="0" fontId="4" fillId="0" borderId="0" xfId="0" applyFont="1"/>
    <xf numFmtId="39" fontId="27" fillId="0" borderId="0" xfId="0" applyNumberFormat="1" applyFont="1"/>
    <xf numFmtId="0" fontId="37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Data...3101130813</v>
        <stp/>
        <stp>BDP|17326484064118413672</stp>
        <tr r="K14" s="7"/>
      </tp>
      <tp t="s">
        <v>#N/A Requesting Data...3373292120</v>
        <stp/>
        <stp>BDP|14060882992087968939</stp>
        <tr r="AH14" s="7"/>
      </tp>
      <tp t="s">
        <v>#N/A Requesting Data...2274158326</v>
        <stp/>
        <stp>BDP|14564756995089548844</stp>
        <tr r="AI14" s="7"/>
      </tp>
      <tp t="s">
        <v>#N/A Requesting Data...2904944764</v>
        <stp/>
        <stp>BDP|14881470885748555862</stp>
        <tr r="S45" s="7"/>
      </tp>
      <tp t="s">
        <v>#N/A Requesting Data...4017437373</v>
        <stp/>
        <stp>BDP|17217799692018288930</stp>
        <tr r="AN15" s="7"/>
      </tp>
      <tp t="s">
        <v>#N/A Requesting Data...1999929419</v>
        <stp/>
        <stp>BDP|16142237733997974891</stp>
        <tr r="AJ87" s="2"/>
      </tp>
      <tp t="s">
        <v>#N/A Requesting Data...3477246575</v>
        <stp/>
        <stp>BDP|15480492440729929443</stp>
        <tr r="S14" s="7"/>
      </tp>
      <tp t="s">
        <v>#N/A Requesting Data...2917107527</v>
        <stp/>
        <stp>BDP|12450032017063062806</stp>
        <tr r="I14" s="7"/>
      </tp>
      <tp t="s">
        <v>#N/A Requesting Data...3251973934</v>
        <stp/>
        <stp>BDP|16475154389734903335</stp>
        <tr r="V45" s="7"/>
      </tp>
      <tp t="s">
        <v>#N/A Requesting Data...2635902957</v>
        <stp/>
        <stp>BDP|18318255318203129081</stp>
        <tr r="F14" s="7"/>
      </tp>
      <tp t="s">
        <v>#N/A Requesting Data...2596855408</v>
        <stp/>
        <stp>BDP|15638295533909317590</stp>
        <tr r="AS45" s="7"/>
      </tp>
      <tp t="s">
        <v>#N/A Requesting Data...2310360887</v>
        <stp/>
        <stp>BDP|10775442229117460868</stp>
        <tr r="AE45" s="7"/>
      </tp>
      <tp t="s">
        <v>#N/A Requesting Data...2202937213</v>
        <stp/>
        <stp>BDP|13286285904521567968</stp>
        <tr r="AT45" s="7"/>
      </tp>
      <tp t="s">
        <v>#N/A Requesting Data...1776582520</v>
        <stp/>
        <stp>BDP|16934283373113584994</stp>
        <tr r="AO45" s="7"/>
      </tp>
      <tp t="s">
        <v>#N/A Requesting Data...2942410598</v>
        <stp/>
        <stp>BDP|12076433081131118646</stp>
        <tr r="F87" s="2"/>
      </tp>
      <tp t="s">
        <v>#N/A Requesting Data...2919028939</v>
        <stp/>
        <stp>BDP|18254065552615949187</stp>
        <tr r="O45" s="7"/>
      </tp>
      <tp t="s">
        <v>#N/A Requesting Data...2432235556</v>
        <stp/>
        <stp>BDP|13010156765122822844</stp>
        <tr r="P45" s="7"/>
      </tp>
      <tp t="s">
        <v>#N/A Requesting Data...3836014132</v>
        <stp/>
        <stp>BDP|17214344681370072279</stp>
        <tr r="AG14" s="7"/>
      </tp>
      <tp t="s">
        <v>#N/A Requesting Data...2949617366</v>
        <stp/>
        <stp>BDP|16487040054059116463</stp>
        <tr r="M14" s="7"/>
      </tp>
      <tp t="s">
        <v>#N/A Requesting Data...3151368809</v>
        <stp/>
        <stp>BDP|13736174196836747337</stp>
        <tr r="AL87" s="2"/>
      </tp>
      <tp t="s">
        <v>#N/A Requesting Data...2079697353</v>
        <stp/>
        <stp>BDP|17468043813579116028</stp>
        <tr r="AN14" s="7"/>
      </tp>
      <tp t="s">
        <v>#N/A Requesting Data...3022174787</v>
        <stp/>
        <stp>BDP|17386029998150964101</stp>
        <tr r="AU15" s="7"/>
      </tp>
      <tp t="s">
        <v>#N/A Requesting Data...4085711251</v>
        <stp/>
        <stp>BDP|15683315613401911982</stp>
        <tr r="O14" s="7"/>
      </tp>
      <tp t="s">
        <v>#N/A Requesting Data...3622012864</v>
        <stp/>
        <stp>BDP|13162523058795986951</stp>
        <tr r="AC14" s="7"/>
      </tp>
      <tp t="s">
        <v>#N/A Requesting Data...3297739349</v>
        <stp/>
        <stp>BDP|11154367178590654913</stp>
        <tr r="AQ14" s="7"/>
      </tp>
      <tp t="s">
        <v>#N/A Requesting Data...3749376172</v>
        <stp/>
        <stp>BDP|15056322966949987500</stp>
        <tr r="V15" s="7"/>
      </tp>
      <tp t="s">
        <v>#N/A Requesting Data...2450866019</v>
        <stp/>
        <stp>BDP|17502984011465731674</stp>
        <tr r="T45" s="7"/>
      </tp>
      <tp t="s">
        <v>#N/A Requesting Data...2871114183</v>
        <stp/>
        <stp>BDP|10726509251065172967</stp>
        <tr r="Q14" s="7"/>
      </tp>
      <tp t="s">
        <v>#N/A Requesting Data...3059665406</v>
        <stp/>
        <stp>BDP|16319565686341542626</stp>
        <tr r="AQ45" s="7"/>
      </tp>
      <tp t="s">
        <v>#N/A Requesting Data...2853291861</v>
        <stp/>
        <stp>BDP|18312831943679071143</stp>
        <tr r="Z15" s="7"/>
      </tp>
      <tp t="s">
        <v>#N/A Requesting Data...2893658891</v>
        <stp/>
        <stp>BDP|15057071909850026861</stp>
        <tr r="R15" s="7"/>
      </tp>
      <tp t="s">
        <v>#N/A Requesting Data...2505887369</v>
        <stp/>
        <stp>BDP|11878473132892084976</stp>
        <tr r="N14" s="7"/>
      </tp>
      <tp t="s">
        <v>#N/A Requesting Data...1759737664</v>
        <stp/>
        <stp>BDP|11485670194691551257</stp>
        <tr r="L87" s="2"/>
      </tp>
      <tp t="s">
        <v>#N/A Requesting Data...2978908714</v>
        <stp/>
        <stp>BDP|11082554465620188096</stp>
        <tr r="AG45" s="7"/>
      </tp>
      <tp t="s">
        <v>#N/A Requesting Data...3495830176</v>
        <stp/>
        <stp>BDP|16994030082878275414</stp>
        <tr r="AJ15" s="7"/>
      </tp>
      <tp t="s">
        <v>#N/A Requesting Data...3845650302</v>
        <stp/>
        <stp>BDP|13921878182749569856</stp>
        <tr r="AO14" s="7"/>
      </tp>
      <tp t="s">
        <v>#N/A Requesting Data...3145947544</v>
        <stp/>
        <stp>BDP|13448943606940271852</stp>
        <tr r="G14" s="7"/>
      </tp>
      <tp t="s">
        <v>#N/A Requesting Data...3297393115</v>
        <stp/>
        <stp>BDP|12284455964007411566</stp>
        <tr r="AJ45" s="7"/>
      </tp>
      <tp t="s">
        <v>#N/A Requesting Data...3246467392</v>
        <stp/>
        <stp>BDP|17681359331045570067</stp>
        <tr r="AJ14" s="7"/>
      </tp>
      <tp t="s">
        <v>#N/A Requesting Data...3393414823</v>
        <stp/>
        <stp>BDP|11289649752511621132</stp>
        <tr r="K87" s="2"/>
      </tp>
      <tp t="s">
        <v>#N/A Requesting Data...3715337924</v>
        <stp/>
        <stp>BDP|13446644977974286422</stp>
        <tr r="W45" s="7"/>
      </tp>
      <tp t="s">
        <v>#N/A Requesting Data...1658725980</v>
        <stp/>
        <stp>BDP|16319444546056720217</stp>
        <tr r="AF45" s="7"/>
      </tp>
      <tp t="s">
        <v>#N/A Requesting Data...2132041284</v>
        <stp/>
        <stp>BDP|13177013088201995996</stp>
        <tr r="AM15" s="7"/>
      </tp>
      <tp t="s">
        <v>#N/A Requesting Data...2535859955</v>
        <stp/>
        <stp>BDP|11938494561436521699</stp>
        <tr r="N45" s="7"/>
      </tp>
      <tp t="s">
        <v>#N/A Requesting Data...1946386122</v>
        <stp/>
        <stp>BDP|12317489947008454974</stp>
        <tr r="Z45" s="7"/>
      </tp>
      <tp t="s">
        <v>#N/A Requesting Data...3346979600</v>
        <stp/>
        <stp>BDP|14125604241244732169</stp>
        <tr r="AR14" s="7"/>
      </tp>
      <tp t="s">
        <v>#N/A Requesting Data...4273400216</v>
        <stp/>
        <stp>BDP|13970203629627740743</stp>
        <tr r="I87" s="2"/>
      </tp>
      <tp t="s">
        <v>#N/A Requesting Data...2157741639</v>
        <stp/>
        <stp>BDP|15539257231313773437</stp>
        <tr r="AB45" s="7"/>
      </tp>
      <tp t="s">
        <v>#N/A Requesting Data...3752089209</v>
        <stp/>
        <stp>BDP|17607037600042212638</stp>
        <tr r="AA14" s="7"/>
      </tp>
      <tp t="s">
        <v>#N/A Requesting Data...2625843081</v>
        <stp/>
        <stp>BDP|16450371917434409089</stp>
        <tr r="V14" s="7"/>
      </tp>
      <tp t="s">
        <v>#N/A Requesting Data...2099494376</v>
        <stp/>
        <stp>BDP|17897194325576304233</stp>
        <tr r="Y45" s="7"/>
      </tp>
      <tp t="s">
        <v>#N/A Requesting Data...2628836338</v>
        <stp/>
        <stp>BDP|11543136715006844612</stp>
        <tr r="I45" s="7"/>
      </tp>
      <tp t="s">
        <v>#N/A Requesting Data...4241550163</v>
        <stp/>
        <stp>BDP|16138218612070349422</stp>
        <tr r="AA87" s="2"/>
      </tp>
      <tp t="s">
        <v>#N/A Requesting Data...3268374454</v>
        <stp/>
        <stp>BDP|14731438052020768435</stp>
        <tr r="AQ15" s="7"/>
      </tp>
      <tp t="s">
        <v>#N/A Requesting Data...2281213060</v>
        <stp/>
        <stp>BDP|10996320628128716803</stp>
        <tr r="AL45" s="7"/>
      </tp>
      <tp t="s">
        <v>#N/A Requesting Data...1793619139</v>
        <stp/>
        <stp>BDP|17297583492008681292</stp>
        <tr r="T87" s="2"/>
      </tp>
      <tp t="s">
        <v>#N/A Requesting Data...1931316556</v>
        <stp/>
        <stp>BDP|18357716173127985918</stp>
        <tr r="AC87" s="2"/>
      </tp>
      <tp t="s">
        <v>#N/A Requesting Data...4227070592</v>
        <stp/>
        <stp>BDP|12838622366407610313</stp>
        <tr r="W87" s="2"/>
      </tp>
      <tp t="s">
        <v>#N/A Requesting Data...2195588858</v>
        <stp/>
        <stp>BDP|11937917493183336467</stp>
        <tr r="R45" s="7"/>
      </tp>
      <tp t="s">
        <v>#N/A Requesting Data...3789877104</v>
        <stp/>
        <stp>BDP|13407165961775937788</stp>
        <tr r="Q87" s="2"/>
      </tp>
      <tp t="s">
        <v>#N/A Requesting Data...2533680128</v>
        <stp/>
        <stp>BDP|15902487621537166239</stp>
        <tr r="AD14" s="7"/>
      </tp>
      <tp t="s">
        <v>#N/A Requesting Data...3946406487</v>
        <stp/>
        <stp>BDP|14691534938404806025</stp>
        <tr r="S87" s="2"/>
      </tp>
      <tp t="s">
        <v>#N/A Requesting Data...2757182373</v>
        <stp/>
        <stp>BDP|15269274673206616191</stp>
        <tr r="Q45" s="7"/>
      </tp>
      <tp t="s">
        <v>#N/A Requesting Data...4267353898</v>
        <stp/>
        <stp>BDP|17451211901373140199</stp>
        <tr r="X15" s="7"/>
      </tp>
      <tp t="s">
        <v>#N/A Requesting Data...2700390804</v>
        <stp/>
        <stp>BDP|18061572436221468852</stp>
        <tr r="O87" s="2"/>
      </tp>
      <tp t="s">
        <v>#N/A Requesting Data...2939680026</v>
        <stp/>
        <stp>BDP|18433100427208551430</stp>
        <tr r="AT14" s="7"/>
      </tp>
      <tp t="s">
        <v>#N/A Requesting Data...3289437186</v>
        <stp/>
        <stp>BDP|10565978541490834970</stp>
        <tr r="AG87" s="2"/>
      </tp>
      <tp t="s">
        <v>#N/A Requesting Data...3678574019</v>
        <stp/>
        <stp>BDP|16501760770121416368</stp>
        <tr r="X14" s="7"/>
      </tp>
      <tp t="s">
        <v>#N/A Requesting Data...3720130823</v>
        <stp/>
        <stp>BDP|18017875779523761088</stp>
        <tr r="G45" s="7"/>
      </tp>
      <tp t="s">
        <v>#N/A Requesting Data...1706020373</v>
        <stp/>
        <stp>BDP|12470503296778682279</stp>
        <tr r="J14" s="7"/>
      </tp>
      <tp t="s">
        <v>#N/A Requesting Data...3321501622</v>
        <stp/>
        <stp>BDP|11436216884719858756</stp>
        <tr r="Z14" s="7"/>
      </tp>
      <tp t="s">
        <v>#N/A Requesting Data...1808432798</v>
        <stp/>
        <stp>BDP|16754449306641258667</stp>
        <tr r="AB15" s="7"/>
      </tp>
      <tp t="s">
        <v>#N/A Requesting Data...2227298082</v>
        <stp/>
        <stp>BDP|15731040935813144072</stp>
        <tr r="G87" s="2"/>
      </tp>
      <tp t="s">
        <v>#N/A Requesting Data...1811899254</v>
        <stp/>
        <stp>BDP|11300035656828431967</stp>
        <tr r="AS14" s="7"/>
      </tp>
      <tp t="s">
        <v>#N/A Requesting Data...4237258173</v>
        <stp/>
        <stp>BDP|15860099893818785137</stp>
        <tr r="W15" s="7"/>
      </tp>
      <tp t="s">
        <v>#N/A Requesting Data...2597173370</v>
        <stp/>
        <stp>BDP|12359425121792388353</stp>
        <tr r="L14" s="7"/>
      </tp>
    </main>
    <main first="bofaddin.rtdserver">
      <tp t="s">
        <v>#N/A Requesting Data...4250568225</v>
        <stp/>
        <stp>BDP|2028809952704475740</stp>
        <tr r="AH87" s="2"/>
      </tp>
      <tp t="s">
        <v>#N/A Requesting Data...2771394037</v>
        <stp/>
        <stp>BDP|4932671588515657330</stp>
        <tr r="AE87" s="2"/>
      </tp>
      <tp t="s">
        <v>#N/A Requesting Data...3952203387</v>
        <stp/>
        <stp>BDP|7145564234054474977</stp>
        <tr r="H87" s="2"/>
      </tp>
      <tp t="s">
        <v>#N/A Requesting Data...4054077849</v>
        <stp/>
        <stp>BDP|7706335698409321948</stp>
        <tr r="Z87" s="2"/>
      </tp>
      <tp t="s">
        <v>#N/A Requesting Data...3216038256</v>
        <stp/>
        <stp>BDP|2915316381501254537</stp>
        <tr r="F45" s="7"/>
      </tp>
      <tp t="s">
        <v>#N/A Requesting Data...1898311413</v>
        <stp/>
        <stp>BDP|9900907570542744829</stp>
        <tr r="H45" s="7"/>
      </tp>
      <tp t="s">
        <v>#N/A Requesting Data...4166288414</v>
        <stp/>
        <stp>BDP|2454643393638194803</stp>
        <tr r="AS87" s="2"/>
      </tp>
      <tp t="s">
        <v>#N/A Requesting Data...1914314580</v>
        <stp/>
        <stp>BDP|3912018528236260981</stp>
        <tr r="AB14" s="7"/>
      </tp>
      <tp t="s">
        <v>#N/A Requesting Data...3386211944</v>
        <stp/>
        <stp>BDP|5216349268357577912</stp>
        <tr r="AA15" s="7"/>
      </tp>
      <tp t="s">
        <v>#N/A Requesting Data...2335501379</v>
        <stp/>
        <stp>BDP|4188418132238659546</stp>
        <tr r="AK15" s="7"/>
      </tp>
      <tp t="s">
        <v>#N/A Requesting Data...2670106754</v>
        <stp/>
        <stp>BDP|9825476903247316492</stp>
        <tr r="AR15" s="7"/>
      </tp>
      <tp t="s">
        <v>#N/A Requesting Data...2633047595</v>
        <stp/>
        <stp>BDP|4726174688893631195</stp>
        <tr r="J45" s="7"/>
      </tp>
      <tp t="s">
        <v>#N/A Requesting Data...1846870912</v>
        <stp/>
        <stp>BDP|4185299936614092956</stp>
        <tr r="AP45" s="7"/>
      </tp>
      <tp t="s">
        <v>#N/A Requesting Data...1877456122</v>
        <stp/>
        <stp>BDP|1241113880253289388</stp>
        <tr r="AR87" s="2"/>
      </tp>
      <tp t="s">
        <v>#N/A Requesting Data...2037582851</v>
        <stp/>
        <stp>BDP|9661057810413209334</stp>
        <tr r="AM14" s="7"/>
      </tp>
      <tp t="s">
        <v>#N/A Requesting Data...4089374305</v>
        <stp/>
        <stp>BDP|4661526789362353243</stp>
        <tr r="AS15" s="7"/>
      </tp>
      <tp t="s">
        <v>#N/A Requesting Data...1897931683</v>
        <stp/>
        <stp>BDP|5211136439269352740</stp>
        <tr r="Y14" s="7"/>
      </tp>
      <tp t="s">
        <v>#N/A Requesting Data...3316056938</v>
        <stp/>
        <stp>BDP|6413082982143180499</stp>
        <tr r="AM45" s="7"/>
      </tp>
      <tp t="s">
        <v>#N/A Requesting Data...3634511626</v>
        <stp/>
        <stp>BDP|3153326387571020017</stp>
        <tr r="AD15" s="7"/>
      </tp>
      <tp t="s">
        <v>#N/A Requesting Data...3784114393</v>
        <stp/>
        <stp>BDP|2109011278647341878</stp>
        <tr r="AK45" s="7"/>
      </tp>
      <tp t="s">
        <v>#N/A Requesting Data...2023959760</v>
        <stp/>
        <stp>BDP|2775886996489477017</stp>
        <tr r="AA45" s="7"/>
      </tp>
      <tp t="s">
        <v>#N/A Requesting Data...4156791082</v>
        <stp/>
        <stp>BDP|4794769386841178073</stp>
        <tr r="Y87" s="2"/>
      </tp>
      <tp t="s">
        <v>#N/A Requesting Data...4012410255</v>
        <stp/>
        <stp>BDP|6093301585660318661</stp>
        <tr r="S15" s="7"/>
      </tp>
      <tp t="s">
        <v>#N/A Requesting Data...2190260725</v>
        <stp/>
        <stp>BDP|5346522182310450336</stp>
        <tr r="AM87" s="2"/>
      </tp>
      <tp t="s">
        <v>#N/A Requesting Data...3517730142</v>
        <stp/>
        <stp>BDP|1374322237271406497</stp>
        <tr r="AD45" s="7"/>
      </tp>
      <tp t="s">
        <v>#N/A Requesting Data...3326508337</v>
        <stp/>
        <stp>BDP|2493278169134414613</stp>
        <tr r="AC15" s="7"/>
      </tp>
      <tp t="s">
        <v>#N/A Requesting Data...2574776242</v>
        <stp/>
        <stp>BDP|8424757600222955975</stp>
        <tr r="AO15" s="7"/>
      </tp>
      <tp t="s">
        <v>#N/A Requesting Data...2265659094</v>
        <stp/>
        <stp>BDP|9192864233121442705</stp>
        <tr r="U15" s="7"/>
      </tp>
      <tp t="s">
        <v>#N/A Requesting Data...2621712606</v>
        <stp/>
        <stp>BDP|3431730936515594655</stp>
        <tr r="AU14" s="7"/>
      </tp>
      <tp t="s">
        <v>#N/A Requesting Data...3496036805</v>
        <stp/>
        <stp>BDP|7362226478590790695</stp>
        <tr r="AI87" s="2"/>
      </tp>
      <tp t="s">
        <v>#N/A Requesting Data...2842486423</v>
        <stp/>
        <stp>BDP|8385586180746560791</stp>
        <tr r="M87" s="2"/>
      </tp>
      <tp t="s">
        <v>#N/A Requesting Data...3435619788</v>
        <stp/>
        <stp>BDP|1267233167368198901</stp>
        <tr r="AL15" s="7"/>
      </tp>
      <tp t="s">
        <v>#N/A Requesting Data...2495388613</v>
        <stp/>
        <stp>BDP|3906031607990225789</stp>
        <tr r="AF14" s="7"/>
      </tp>
      <tp t="s">
        <v>#N/A Requesting Data...3384603670</v>
        <stp/>
        <stp>BDP|2849369176230353316</stp>
        <tr r="X87" s="2"/>
      </tp>
      <tp t="s">
        <v>#N/A Requesting Data...2009817328</v>
        <stp/>
        <stp>BDP|9457992441621922073</stp>
        <tr r="M45" s="7"/>
      </tp>
      <tp t="s">
        <v>#N/A Requesting Data...3743206814</v>
        <stp/>
        <stp>BDP|8568926309381892579</stp>
        <tr r="P14" s="7"/>
      </tp>
      <tp t="s">
        <v>#N/A Requesting Data...2668237293</v>
        <stp/>
        <stp>BDP|2498382951470217194</stp>
        <tr r="AP15" s="7"/>
      </tp>
      <tp t="s">
        <v>#N/A Requesting Data...3829357913</v>
        <stp/>
        <stp>BDP|1021255360677199727</stp>
        <tr r="AK87" s="2"/>
      </tp>
      <tp t="s">
        <v>#N/A Requesting Data...2495788083</v>
        <stp/>
        <stp>BDP|1875819378952071963</stp>
        <tr r="V87" s="2"/>
      </tp>
      <tp t="s">
        <v>#N/A Requesting Data...3614205081</v>
        <stp/>
        <stp>BDP|2673168023724987309</stp>
        <tr r="AP14" s="7"/>
      </tp>
      <tp t="s">
        <v>#N/A Requesting Data...2909451617</v>
        <stp/>
        <stp>BDP|5300980314319635230</stp>
        <tr r="AO87" s="2"/>
      </tp>
      <tp t="s">
        <v>#N/A Requesting Data...2208738041</v>
        <stp/>
        <stp>BDP|3505429672970847649</stp>
        <tr r="AT15" s="7"/>
      </tp>
      <tp t="s">
        <v>#N/A Requesting Data...2945394725</v>
        <stp/>
        <stp>BDP|3326000858252264201</stp>
        <tr r="U45" s="7"/>
      </tp>
      <tp t="s">
        <v>#N/A Requesting Data...4068035495</v>
        <stp/>
        <stp>BDP|8443451281901750394</stp>
        <tr r="AQ87" s="2"/>
      </tp>
      <tp t="s">
        <v>#N/A Requesting Data...3808710040</v>
        <stp/>
        <stp>BDP|5112332218123238274</stp>
        <tr r="AR45" s="7"/>
      </tp>
      <tp t="s">
        <v>#N/A Requesting Data...2294446787</v>
        <stp/>
        <stp>BDP|7471652428191051453</stp>
        <tr r="N87" s="2"/>
      </tp>
      <tp t="s">
        <v>#N/A Requesting Data...2448288704</v>
        <stp/>
        <stp>BDP|6646456050042573363</stp>
        <tr r="AF15" s="7"/>
      </tp>
      <tp t="s">
        <v>#N/A Requesting Data...3189976325</v>
        <stp/>
        <stp>BDP|8066830263884912482</stp>
        <tr r="T14" s="7"/>
      </tp>
      <tp t="s">
        <v>#N/A Requesting Data...3862355084</v>
        <stp/>
        <stp>BDP|3729137744495250533</stp>
        <tr r="J87" s="2"/>
      </tp>
      <tp t="s">
        <v>#N/A Requesting Data...2668392670</v>
        <stp/>
        <stp>BQL|2367635331575162531</stp>
        <tr r="D7" s="1"/>
      </tp>
      <tp t="s">
        <v>#N/A Requesting Data...4244345433</v>
        <stp/>
        <stp>BDP|7860325924595487428</stp>
        <tr r="R14" s="7"/>
      </tp>
      <tp t="s">
        <v>#N/A Requesting Data...2360020601</v>
        <stp/>
        <stp>BDP|5890217557005095010</stp>
        <tr r="AC45" s="7"/>
      </tp>
      <tp t="s">
        <v>#N/A Requesting Data...3672636795</v>
        <stp/>
        <stp>BDP|5700599999677049971</stp>
        <tr r="T15" s="7"/>
      </tp>
      <tp t="s">
        <v>#N/A Requesting Data...2396022565</v>
        <stp/>
        <stp>BDP|1794834142063054937</stp>
        <tr r="AE15" s="7"/>
      </tp>
      <tp t="s">
        <v>#N/A Requesting Data...4134129447</v>
        <stp/>
        <stp>BDP|5145793495453529832</stp>
        <tr r="AG15" s="7"/>
      </tp>
      <tp t="s">
        <v>#N/A Requesting Data...3578959207</v>
        <stp/>
        <stp>BDP|6040254498568299562</stp>
        <tr r="AI45" s="7"/>
      </tp>
      <tp t="s">
        <v>#N/A Requesting Data...2005813644</v>
        <stp/>
        <stp>BDP|5832553243377435349</stp>
        <tr r="AB87" s="2"/>
      </tp>
      <tp t="s">
        <v>#N/A Requesting Data...2054627838</v>
        <stp/>
        <stp>BDP|8545540740670466987</stp>
        <tr r="P87" s="2"/>
      </tp>
      <tp t="s">
        <v>#N/A Requesting Data...2967500124</v>
        <stp/>
        <stp>BDP|2485076254712139571</stp>
        <tr r="K45" s="7"/>
      </tp>
      <tp t="s">
        <v>#N/A Requesting Data...3712817166</v>
        <stp/>
        <stp>BDP|8523776892263152565</stp>
        <tr r="AF87" s="2"/>
      </tp>
      <tp t="s">
        <v>#N/A Requesting Data...2186599909</v>
        <stp/>
        <stp>BDP|8888816274057088146</stp>
        <tr r="W14" s="7"/>
      </tp>
      <tp t="s">
        <v>#N/A Requesting Data...2222945248</v>
        <stp/>
        <stp>BDP|3705098404643909178</stp>
        <tr r="AD87" s="2"/>
      </tp>
      <tp t="s">
        <v>#N/A Requesting Data...2656033042</v>
        <stp/>
        <stp>BDP|1356017050682902412</stp>
        <tr r="AN45" s="7"/>
      </tp>
      <tp t="s">
        <v>#N/A Requesting Data...4264922613</v>
        <stp/>
        <stp>BDP|2208741580498148789</stp>
        <tr r="AE14" s="7"/>
      </tp>
      <tp t="s">
        <v>#N/A Requesting Data...3226679239</v>
        <stp/>
        <stp>BDP|4062482202411301396</stp>
        <tr r="L45" s="7"/>
      </tp>
      <tp t="s">
        <v>#N/A Requesting Data...3981760704</v>
        <stp/>
        <stp>BDP|6198234736141523471</stp>
        <tr r="R87" s="2"/>
      </tp>
      <tp t="s">
        <v>#N/A Requesting Data...4131542542</v>
        <stp/>
        <stp>BDP|3989412612285878173</stp>
        <tr r="AK14" s="7"/>
      </tp>
      <tp t="s">
        <v>#N/A Requesting Data...1900208636</v>
        <stp/>
        <stp>BDP|4989265553259687940</stp>
        <tr r="AH45" s="7"/>
      </tp>
      <tp t="s">
        <v>#N/A Requesting Data...2340572908</v>
        <stp/>
        <stp>BDP|4893094676543015347</stp>
        <tr r="H14" s="7"/>
      </tp>
      <tp t="s">
        <v>#N/A Requesting Data...3627552706</v>
        <stp/>
        <stp>BDP|3705860863718386616</stp>
        <tr r="U87" s="2"/>
      </tp>
      <tp t="s">
        <v>#N/A Requesting Data...2765155641</v>
        <stp/>
        <stp>BDP|5977343050508283898</stp>
        <tr r="AH15" s="7"/>
      </tp>
      <tp t="s">
        <v>#N/A Requesting Data...2447979943</v>
        <stp/>
        <stp>BDP|5160480170644663185</stp>
        <tr r="Y15" s="7"/>
      </tp>
      <tp t="s">
        <v>#N/A Requesting Data...2120989516</v>
        <stp/>
        <stp>BDP|3751355731172049276</stp>
        <tr r="U14" s="7"/>
      </tp>
      <tp t="s">
        <v>#N/A Requesting Data...3118689358</v>
        <stp/>
        <stp>BDP|4491692123917324481</stp>
        <tr r="X45" s="7"/>
      </tp>
      <tp t="s">
        <v>#N/A Requesting Data...4009372126</v>
        <stp/>
        <stp>BDP|7075500814080580049</stp>
        <tr r="AI15" s="7"/>
      </tp>
      <tp t="s">
        <v>#N/A Requesting Data...4212344218</v>
        <stp/>
        <stp>BDP|10617364775904221</stp>
        <tr r="AN87" s="2"/>
      </tp>
      <tp t="s">
        <v>#N/A Requesting Data...4195927091</v>
        <stp/>
        <stp>BDP|963789603868166963</stp>
        <tr r="AL14" s="7"/>
      </tp>
      <tp t="s">
        <v>#N/A Requesting Data...2172292859</v>
        <stp/>
        <stp>BDP|583672881621953043</stp>
        <tr r="AP8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999205447452267E-2"/>
                  <c:y val="5.3687905444394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'Segment Build'!$N$19:$AS$19</c:f>
              <c:numCache>
                <c:formatCode>0.00%\ ;\ \(0.00%\)\ ;\ \-\-\ </c:formatCode>
                <c:ptCount val="32"/>
                <c:pt idx="0">
                  <c:v>-3.224790057065563E-2</c:v>
                </c:pt>
                <c:pt idx="1">
                  <c:v>-5.0878950511734633E-3</c:v>
                </c:pt>
                <c:pt idx="2">
                  <c:v>2.2314337072371959E-2</c:v>
                </c:pt>
                <c:pt idx="3">
                  <c:v>-9.4207774566206881E-2</c:v>
                </c:pt>
                <c:pt idx="4">
                  <c:v>3.6311924112215621E-2</c:v>
                </c:pt>
                <c:pt idx="5">
                  <c:v>5.6857249044930391E-2</c:v>
                </c:pt>
                <c:pt idx="6">
                  <c:v>1.6827552501151199E-2</c:v>
                </c:pt>
                <c:pt idx="7">
                  <c:v>0.19310211559295976</c:v>
                </c:pt>
                <c:pt idx="8">
                  <c:v>4.0583114051030877E-2</c:v>
                </c:pt>
                <c:pt idx="9">
                  <c:v>-4.6226428136214581E-3</c:v>
                </c:pt>
                <c:pt idx="10">
                  <c:v>3.3278610649194018E-2</c:v>
                </c:pt>
                <c:pt idx="11">
                  <c:v>2.8540036754050702E-2</c:v>
                </c:pt>
                <c:pt idx="12">
                  <c:v>5.6541961343877567E-2</c:v>
                </c:pt>
                <c:pt idx="13">
                  <c:v>8.7849103695045727E-2</c:v>
                </c:pt>
                <c:pt idx="14">
                  <c:v>0.10646531481872779</c:v>
                </c:pt>
                <c:pt idx="15">
                  <c:v>0.11209926277866544</c:v>
                </c:pt>
                <c:pt idx="16">
                  <c:v>0.13413787687574863</c:v>
                </c:pt>
                <c:pt idx="17">
                  <c:v>0.14524600166367518</c:v>
                </c:pt>
                <c:pt idx="18">
                  <c:v>0.17562266272192351</c:v>
                </c:pt>
                <c:pt idx="19">
                  <c:v>0.2450567780227042</c:v>
                </c:pt>
                <c:pt idx="20">
                  <c:v>0.16495706736615556</c:v>
                </c:pt>
                <c:pt idx="21">
                  <c:v>0.12195633616095924</c:v>
                </c:pt>
                <c:pt idx="22">
                  <c:v>2.4212410437681298E-2</c:v>
                </c:pt>
                <c:pt idx="23">
                  <c:v>-4.9169260047834507E-2</c:v>
                </c:pt>
                <c:pt idx="24">
                  <c:v>2.6308917757866146E-2</c:v>
                </c:pt>
                <c:pt idx="25">
                  <c:v>4.7912760643950225E-2</c:v>
                </c:pt>
                <c:pt idx="26">
                  <c:v>4.993059732205074E-2</c:v>
                </c:pt>
                <c:pt idx="27">
                  <c:v>4.5535910020097603E-2</c:v>
                </c:pt>
                <c:pt idx="28">
                  <c:v>3.3732910069569355E-2</c:v>
                </c:pt>
                <c:pt idx="29">
                  <c:v>3.2303618229728714E-2</c:v>
                </c:pt>
                <c:pt idx="30">
                  <c:v>3.2690702980623376E-2</c:v>
                </c:pt>
                <c:pt idx="31">
                  <c:v>2.7872351536548878E-2</c:v>
                </c:pt>
              </c:numCache>
            </c:numRef>
          </c:xVal>
          <c:yVal>
            <c:numRef>
              <c:f>'Segment Build'!$N$13:$AS$13</c:f>
              <c:numCache>
                <c:formatCode>0.00%\ ;\ \(0.00%\)\ ;\ \-\-\ </c:formatCode>
                <c:ptCount val="32"/>
                <c:pt idx="0">
                  <c:v>0.20637211939990729</c:v>
                </c:pt>
                <c:pt idx="1">
                  <c:v>5.4064218733098413E-2</c:v>
                </c:pt>
                <c:pt idx="2">
                  <c:v>4.0274798785279176E-2</c:v>
                </c:pt>
                <c:pt idx="3">
                  <c:v>3.7033227034255711E-2</c:v>
                </c:pt>
                <c:pt idx="4">
                  <c:v>9.5263532763534275E-3</c:v>
                </c:pt>
                <c:pt idx="5">
                  <c:v>-2.704439353776289E-3</c:v>
                </c:pt>
                <c:pt idx="6">
                  <c:v>4.344142654458949E-2</c:v>
                </c:pt>
                <c:pt idx="7">
                  <c:v>-3.2563222028552996E-2</c:v>
                </c:pt>
                <c:pt idx="8">
                  <c:v>3.5029544051503603E-2</c:v>
                </c:pt>
                <c:pt idx="9">
                  <c:v>3.8357422153271425E-2</c:v>
                </c:pt>
                <c:pt idx="10">
                  <c:v>3.5563011728799721E-2</c:v>
                </c:pt>
                <c:pt idx="11">
                  <c:v>6.6405499803066537E-2</c:v>
                </c:pt>
                <c:pt idx="12">
                  <c:v>4.1064399038871269E-2</c:v>
                </c:pt>
                <c:pt idx="13">
                  <c:v>-6.0983046713003475E-4</c:v>
                </c:pt>
                <c:pt idx="14">
                  <c:v>-6.3761955366631318E-3</c:v>
                </c:pt>
                <c:pt idx="15">
                  <c:v>-1.9069843396828046E-2</c:v>
                </c:pt>
                <c:pt idx="16">
                  <c:v>-1.4874604481533105E-2</c:v>
                </c:pt>
                <c:pt idx="17">
                  <c:v>1.8092506712228396E-2</c:v>
                </c:pt>
                <c:pt idx="18">
                  <c:v>8.6116062586651942E-3</c:v>
                </c:pt>
                <c:pt idx="19">
                  <c:v>-4.5988349659575878E-2</c:v>
                </c:pt>
                <c:pt idx="20">
                  <c:v>1.8859459639094744E-2</c:v>
                </c:pt>
                <c:pt idx="21">
                  <c:v>1.741136983427749E-2</c:v>
                </c:pt>
                <c:pt idx="22">
                  <c:v>4.0765992208118718E-2</c:v>
                </c:pt>
                <c:pt idx="23">
                  <c:v>0.11557969241808963</c:v>
                </c:pt>
                <c:pt idx="24">
                  <c:v>7.6324673418464162E-3</c:v>
                </c:pt>
                <c:pt idx="25">
                  <c:v>-3.5051546391752231E-3</c:v>
                </c:pt>
                <c:pt idx="26">
                  <c:v>7.9998792471056568E-3</c:v>
                </c:pt>
                <c:pt idx="27">
                  <c:v>3.0027483772878449E-2</c:v>
                </c:pt>
                <c:pt idx="28">
                  <c:v>-5.1080359310512247E-2</c:v>
                </c:pt>
                <c:pt idx="29">
                  <c:v>-2.5863852679496313E-3</c:v>
                </c:pt>
                <c:pt idx="30">
                  <c:v>1.3686527605156984E-2</c:v>
                </c:pt>
                <c:pt idx="31">
                  <c:v>3.5198274149139674E-2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D67-4EB8-BDCD-CB5C2D53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113904"/>
        <c:axId val="1795112464"/>
      </c:scatterChart>
      <c:valAx>
        <c:axId val="17951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\ ;\ \(0.00%\)\ ;\ \-\-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112464"/>
        <c:crosses val="autoZero"/>
        <c:crossBetween val="midCat"/>
      </c:valAx>
      <c:valAx>
        <c:axId val="17951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\ ;\ \(0.00%\)\ ;\ \-\-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11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533399</xdr:colOff>
      <xdr:row>48</xdr:row>
      <xdr:rowOff>9524</xdr:rowOff>
    </xdr:from>
    <xdr:to>
      <xdr:col>46</xdr:col>
      <xdr:colOff>390525</xdr:colOff>
      <xdr:row>74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D79045-459E-FED6-73FC-3CC1F8B68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workbookViewId="0">
      <selection activeCell="D5" sqref="D5"/>
    </sheetView>
  </sheetViews>
  <sheetFormatPr defaultColWidth="8.85546875" defaultRowHeight="15" x14ac:dyDescent="0.25"/>
  <cols>
    <col min="1" max="1" width="11" customWidth="1"/>
    <col min="2" max="2" width="1.42578125" customWidth="1"/>
    <col min="3" max="3" width="23" customWidth="1"/>
    <col min="4" max="4" width="12.7109375" customWidth="1"/>
    <col min="5" max="5" width="1.42578125" customWidth="1"/>
    <col min="6" max="6" width="18.42578125" customWidth="1"/>
    <col min="7" max="14" width="11.5703125" bestFit="1" customWidth="1"/>
    <col min="15" max="15" width="1.42578125" customWidth="1"/>
    <col min="16" max="16" width="8.85546875" customWidth="1"/>
    <col min="17" max="17" width="12.7109375" customWidth="1"/>
    <col min="18" max="18" width="11" customWidth="1"/>
    <col min="19" max="19" width="11.7109375" customWidth="1"/>
    <col min="20" max="20" width="10.7109375" customWidth="1"/>
    <col min="21" max="21" width="9.7109375" customWidth="1"/>
    <col min="22" max="22" width="11" customWidth="1"/>
    <col min="23" max="23" width="1.42578125" customWidth="1"/>
    <col min="24" max="24" width="11" customWidth="1"/>
    <col min="25" max="25" width="11.4257812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2">
        <v>44926</v>
      </c>
      <c r="H2" s="2">
        <v>45291</v>
      </c>
      <c r="I2" s="2">
        <v>45657</v>
      </c>
      <c r="J2" s="2">
        <v>46022</v>
      </c>
      <c r="K2" s="2">
        <v>46387</v>
      </c>
      <c r="L2" s="2">
        <v>46752</v>
      </c>
      <c r="M2" s="2">
        <v>47118</v>
      </c>
      <c r="N2" s="2">
        <v>47483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5">
      <c r="A3" s="1"/>
      <c r="B3" s="1"/>
      <c r="C3" s="3" t="s">
        <v>0</v>
      </c>
      <c r="D3" s="4" t="s">
        <v>1</v>
      </c>
      <c r="E3" s="1"/>
      <c r="F3" s="1"/>
      <c r="G3" s="710">
        <v>2022</v>
      </c>
      <c r="H3" s="710">
        <f t="shared" ref="H3:N3" si="0">G3+1</f>
        <v>2023</v>
      </c>
      <c r="I3" s="710">
        <f t="shared" si="0"/>
        <v>2024</v>
      </c>
      <c r="J3" s="710">
        <f t="shared" si="0"/>
        <v>2025</v>
      </c>
      <c r="K3" s="710">
        <f t="shared" si="0"/>
        <v>2026</v>
      </c>
      <c r="L3" s="710">
        <f t="shared" si="0"/>
        <v>2027</v>
      </c>
      <c r="M3" s="710">
        <f t="shared" si="0"/>
        <v>2028</v>
      </c>
      <c r="N3" s="710">
        <f t="shared" si="0"/>
        <v>2029</v>
      </c>
      <c r="O3" s="1"/>
      <c r="P3" s="1"/>
      <c r="Q3" s="724" t="s">
        <v>878</v>
      </c>
      <c r="R3" s="724"/>
      <c r="S3" s="724"/>
      <c r="T3" s="724"/>
      <c r="U3" s="724"/>
      <c r="V3" s="724"/>
      <c r="W3" s="1"/>
      <c r="X3" s="1"/>
      <c r="Y3" s="1"/>
    </row>
    <row r="4" spans="1:25" ht="15" customHeight="1" x14ac:dyDescent="0.25">
      <c r="A4" s="1"/>
      <c r="B4" s="1"/>
      <c r="C4" s="3" t="s">
        <v>2</v>
      </c>
      <c r="D4" s="7" t="s">
        <v>3</v>
      </c>
      <c r="E4" s="1"/>
      <c r="F4" s="3" t="s">
        <v>4</v>
      </c>
      <c r="G4" s="8">
        <f>'WH Model'!BQ17</f>
        <v>6200.9570000000003</v>
      </c>
      <c r="H4" s="8">
        <f>'WH Model'!BR17</f>
        <v>6653.8580000000002</v>
      </c>
      <c r="I4" s="8">
        <f>'WH Model'!BS17</f>
        <v>6899.7160000000003</v>
      </c>
      <c r="J4" s="8">
        <f>'WH Model'!BT17</f>
        <v>7228.0550000000003</v>
      </c>
      <c r="K4" s="8">
        <f ca="1">'WH Model'!BU17</f>
        <v>7420.7786474000004</v>
      </c>
      <c r="L4" s="8">
        <f ca="1">'WH Model'!BV17</f>
        <v>7644.7594035414804</v>
      </c>
      <c r="M4" s="8">
        <f ca="1">'WH Model'!BW17</f>
        <v>7875.5005757481331</v>
      </c>
      <c r="N4" s="8">
        <f ca="1">'WH Model'!BX17</f>
        <v>8113.2062145020182</v>
      </c>
      <c r="O4" s="1"/>
      <c r="P4" s="1"/>
      <c r="Q4" s="9" t="s">
        <v>5</v>
      </c>
      <c r="R4" s="9" t="s">
        <v>6</v>
      </c>
      <c r="S4" s="9" t="s">
        <v>7</v>
      </c>
      <c r="T4" s="9" t="s">
        <v>8</v>
      </c>
      <c r="U4" s="9" t="s">
        <v>9</v>
      </c>
      <c r="V4" s="9" t="s">
        <v>10</v>
      </c>
      <c r="W4" s="1"/>
      <c r="X4" s="1"/>
      <c r="Y4" s="1"/>
    </row>
    <row r="5" spans="1:25" ht="15" customHeight="1" x14ac:dyDescent="0.25">
      <c r="A5" s="1"/>
      <c r="B5" s="1"/>
      <c r="C5" s="3" t="s">
        <v>11</v>
      </c>
      <c r="D5" s="10">
        <f ca="1">TODAY()</f>
        <v>46148</v>
      </c>
      <c r="E5" s="1"/>
      <c r="F5" s="11" t="s">
        <v>12</v>
      </c>
      <c r="G5" s="1"/>
      <c r="H5" s="12">
        <f t="shared" ref="H5:N5" si="1">IF(G4=0,0,H4/G4-1)</f>
        <v>7.3037274730336055E-2</v>
      </c>
      <c r="I5" s="12">
        <f t="shared" si="1"/>
        <v>3.6949691442167865E-2</v>
      </c>
      <c r="J5" s="12">
        <f t="shared" si="1"/>
        <v>4.7587320985385428E-2</v>
      </c>
      <c r="K5" s="12">
        <f t="shared" ca="1" si="1"/>
        <v>2.6663279042564048E-2</v>
      </c>
      <c r="L5" s="12">
        <f t="shared" ca="1" si="1"/>
        <v>3.0182918368001133E-2</v>
      </c>
      <c r="M5" s="12">
        <f t="shared" ca="1" si="1"/>
        <v>3.018292140100054E-2</v>
      </c>
      <c r="N5" s="12">
        <f t="shared" ca="1" si="1"/>
        <v>3.0182924433511893E-2</v>
      </c>
      <c r="O5" s="1"/>
      <c r="P5" s="3" t="s">
        <v>13</v>
      </c>
      <c r="Q5" s="13">
        <f ca="1">IF(VALUE(LEFT($D$4,1))=1,$L$22,Q5)</f>
        <v>8.8284404432304324</v>
      </c>
      <c r="R5" s="14">
        <v>24</v>
      </c>
      <c r="S5" s="15">
        <f ca="1">Q5*R5</f>
        <v>211.88257063753036</v>
      </c>
      <c r="T5" s="16">
        <f ca="1">S5/1.1^(($L$2-$D$5)/365)</f>
        <v>180.96677408543283</v>
      </c>
      <c r="U5" s="12">
        <f ca="1">S5/$D$7-1</f>
        <v>-1.632975562892125E-2</v>
      </c>
      <c r="V5" s="17">
        <f ca="1">(1+U5)^(1/(($L$2-$D$5)/365))-1</f>
        <v>-9.9002736865756447E-3</v>
      </c>
      <c r="W5" s="1"/>
      <c r="X5" s="1"/>
      <c r="Y5" s="1"/>
    </row>
    <row r="6" spans="1:25" ht="15" customHeight="1" x14ac:dyDescent="0.25">
      <c r="A6" s="1"/>
      <c r="B6" s="1"/>
      <c r="C6" s="18" t="s">
        <v>14</v>
      </c>
      <c r="D6" s="19"/>
      <c r="E6" s="1"/>
      <c r="F6" s="7" t="s">
        <v>15</v>
      </c>
      <c r="G6" s="1"/>
      <c r="H6" s="1"/>
      <c r="I6" s="1"/>
      <c r="J6" s="1"/>
      <c r="K6" s="1"/>
      <c r="L6" s="1"/>
      <c r="M6" s="1"/>
      <c r="N6" s="1"/>
      <c r="O6" s="1"/>
      <c r="P6" s="3" t="s">
        <v>16</v>
      </c>
      <c r="Q6" s="13">
        <f ca="1">IF(VALUE(LEFT($D$4,1))=2,$L$22,Q6)</f>
        <v>6.3732890865614262</v>
      </c>
      <c r="R6" s="14">
        <v>17</v>
      </c>
      <c r="S6" s="15">
        <f ca="1">Q6*R6</f>
        <v>108.34591447154425</v>
      </c>
      <c r="T6" s="16">
        <f ca="1">S6/1.1^(($L$2-$D$5)/365)</f>
        <v>92.537156634716723</v>
      </c>
      <c r="U6" s="12">
        <f ca="1">S6/$D$7-1</f>
        <v>-0.49700132557314647</v>
      </c>
      <c r="V6" s="17">
        <f ca="1">(1+U6)^(1/(($L$2-$D$5)/365))-1</f>
        <v>-0.33983049645230423</v>
      </c>
      <c r="W6" s="1"/>
      <c r="X6" s="20"/>
      <c r="Y6" s="21"/>
    </row>
    <row r="7" spans="1:25" ht="15" customHeight="1" x14ac:dyDescent="0.25">
      <c r="A7" s="1"/>
      <c r="B7" s="1"/>
      <c r="C7" s="22" t="str">
        <f ca="1">"Price as of "&amp;TEXT(TODAY(),"mm/dd/yyyy")</f>
        <v>Price as of 05/06/2026</v>
      </c>
      <c r="D7" s="680" cm="1">
        <f t="array" ref="D7">_xll.BQL("COKE US EQUITY","PX_LAST")</f>
        <v>215.4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 t="s">
        <v>17</v>
      </c>
      <c r="Q7" s="13">
        <f ca="1">IF(VALUE(LEFT($D$4,1))=3,$L$22,Q7)</f>
        <v>3.767397929877256</v>
      </c>
      <c r="R7" s="14">
        <v>15</v>
      </c>
      <c r="S7" s="15">
        <f ca="1">Q7*R7</f>
        <v>56.51096894815884</v>
      </c>
      <c r="T7" s="16">
        <f ca="1">S7/1.1^(($L$2-$D$5)/365)</f>
        <v>48.2654506230488</v>
      </c>
      <c r="U7" s="12">
        <f ca="1">S7/$D$7-1</f>
        <v>-0.73764638371328295</v>
      </c>
      <c r="V7" s="17">
        <f ca="1">(1+U7)^(1/(($L$2-$D$5)/365))-1</f>
        <v>-0.55451739212661111</v>
      </c>
      <c r="W7" s="1"/>
      <c r="X7" s="1"/>
      <c r="Y7" s="21"/>
    </row>
    <row r="8" spans="1:25" ht="15" customHeight="1" x14ac:dyDescent="0.25">
      <c r="A8" s="1"/>
      <c r="B8" s="1"/>
      <c r="C8" s="23" t="s">
        <v>18</v>
      </c>
      <c r="D8" s="711">
        <f>'WH Model'!AT50</f>
        <v>57.020861332467447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 x14ac:dyDescent="0.25">
      <c r="A9" s="1"/>
      <c r="B9" s="1"/>
      <c r="C9" s="23" t="s">
        <v>19</v>
      </c>
      <c r="D9" s="24">
        <f>D7*D8</f>
        <v>12282.293531013489</v>
      </c>
      <c r="E9" s="1"/>
      <c r="F9" s="3" t="s">
        <v>20</v>
      </c>
      <c r="G9" s="8">
        <f>G4</f>
        <v>6200.9570000000003</v>
      </c>
      <c r="H9" s="8">
        <f>H4</f>
        <v>6653.8580000000002</v>
      </c>
      <c r="I9" s="8">
        <f>I4</f>
        <v>6899.7160000000003</v>
      </c>
      <c r="J9" s="8">
        <f>J4</f>
        <v>7228.0550000000003</v>
      </c>
      <c r="K9" s="25"/>
      <c r="L9" s="25"/>
      <c r="M9" s="25"/>
      <c r="N9" s="25"/>
      <c r="O9" s="1"/>
      <c r="P9" s="1"/>
      <c r="Q9" s="724" t="s">
        <v>878</v>
      </c>
      <c r="R9" s="724"/>
      <c r="S9" s="724"/>
      <c r="T9" s="724"/>
      <c r="U9" s="724"/>
      <c r="V9" s="724"/>
      <c r="W9" s="1"/>
      <c r="X9" s="1"/>
      <c r="Y9" s="1"/>
    </row>
    <row r="10" spans="1:25" ht="15" customHeight="1" x14ac:dyDescent="0.25">
      <c r="A10" s="1"/>
      <c r="B10" s="1"/>
      <c r="C10" s="23" t="s">
        <v>21</v>
      </c>
      <c r="D10" s="712">
        <f>'WH Model'!AS55</f>
        <v>2787.7530000000002</v>
      </c>
      <c r="E10" s="1"/>
      <c r="F10" s="11" t="s">
        <v>12</v>
      </c>
      <c r="G10" s="1"/>
      <c r="H10" s="12">
        <f t="shared" ref="H10:J10" si="2">IF(G9=0,0,H9/G9-1)</f>
        <v>7.3037274730336055E-2</v>
      </c>
      <c r="I10" s="12">
        <f t="shared" si="2"/>
        <v>3.6949691442167865E-2</v>
      </c>
      <c r="J10" s="12">
        <f t="shared" si="2"/>
        <v>4.7587320985385428E-2</v>
      </c>
      <c r="K10" s="12"/>
      <c r="L10" s="12"/>
      <c r="M10" s="12"/>
      <c r="N10" s="12"/>
      <c r="O10" s="1"/>
      <c r="P10" s="1"/>
      <c r="Q10" s="9" t="s">
        <v>22</v>
      </c>
      <c r="R10" s="9" t="s">
        <v>23</v>
      </c>
      <c r="S10" s="9" t="s">
        <v>7</v>
      </c>
      <c r="T10" s="9" t="s">
        <v>8</v>
      </c>
      <c r="U10" s="9" t="s">
        <v>9</v>
      </c>
      <c r="V10" s="9" t="s">
        <v>10</v>
      </c>
      <c r="W10" s="1"/>
      <c r="X10" s="1"/>
      <c r="Y10" s="1"/>
    </row>
    <row r="11" spans="1:25" ht="15" customHeight="1" x14ac:dyDescent="0.25">
      <c r="A11" s="1"/>
      <c r="B11" s="1"/>
      <c r="C11" s="23" t="s">
        <v>24</v>
      </c>
      <c r="D11" s="712">
        <f>'WH Model'!AS54</f>
        <v>281.91800000000001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 t="s">
        <v>13</v>
      </c>
      <c r="Q11" s="27">
        <f ca="1">IF(VALUE(LEFT($D$4,1))=1,$L$12,Q11)</f>
        <v>1107.1949332241527</v>
      </c>
      <c r="R11" s="14">
        <v>14</v>
      </c>
      <c r="S11" s="15">
        <f ca="1">((Q11*R11)-$L$37)/$L$36</f>
        <v>226.84572271083826</v>
      </c>
      <c r="T11" s="16">
        <f ca="1">S11/1.1^(($L$2-$D$5)/365)</f>
        <v>193.74665188618221</v>
      </c>
      <c r="U11" s="12">
        <f ca="1">S11/$D$7-1</f>
        <v>5.3137059938896281E-2</v>
      </c>
      <c r="V11" s="17">
        <f ca="1">(1+U11)^(1/(($L$2-$D$5)/365))-1</f>
        <v>3.1781476653965246E-2</v>
      </c>
      <c r="W11" s="1"/>
      <c r="X11" s="1"/>
      <c r="Y11" s="1"/>
    </row>
    <row r="12" spans="1:25" ht="15" customHeight="1" x14ac:dyDescent="0.25">
      <c r="A12" s="1"/>
      <c r="B12" s="1"/>
      <c r="C12" s="23" t="s">
        <v>25</v>
      </c>
      <c r="D12" s="26">
        <f>D10-D11</f>
        <v>2505.835</v>
      </c>
      <c r="E12" s="1"/>
      <c r="F12" s="3" t="s">
        <v>26</v>
      </c>
      <c r="G12" s="8">
        <f>'WH Model'!BQ35</f>
        <v>812.63699999999994</v>
      </c>
      <c r="H12" s="8">
        <f>'WH Model'!BR35</f>
        <v>1011.4170000000004</v>
      </c>
      <c r="I12" s="8">
        <f>'WH Model'!BS35</f>
        <v>1114.1410000000005</v>
      </c>
      <c r="J12" s="8">
        <f>'WH Model'!BT35</f>
        <v>1169.1859999999999</v>
      </c>
      <c r="K12" s="8">
        <f ca="1">'WH Model'!BU35</f>
        <v>872.0842321084026</v>
      </c>
      <c r="L12" s="8">
        <f ca="1">'WH Model'!BV35</f>
        <v>914.7748981915048</v>
      </c>
      <c r="M12" s="8">
        <f ca="1">'WH Model'!BW35</f>
        <v>949.49929315695761</v>
      </c>
      <c r="N12" s="8">
        <f ca="1">'WH Model'!BX35</f>
        <v>948.28863347996639</v>
      </c>
      <c r="O12" s="1"/>
      <c r="P12" s="3" t="s">
        <v>16</v>
      </c>
      <c r="Q12" s="27">
        <f ca="1">IF(VALUE(LEFT($D$4,1))=2,$L$12,Q12)</f>
        <v>914.7748981915048</v>
      </c>
      <c r="R12" s="14">
        <v>12</v>
      </c>
      <c r="S12" s="15">
        <f ca="1">((Q12*R12)-$L$37)/$L$36</f>
        <v>146.74343613680708</v>
      </c>
      <c r="T12" s="16">
        <f ca="1">S12/1.1^(($L$2-$D$5)/365)</f>
        <v>125.33209398010743</v>
      </c>
      <c r="U12" s="12">
        <f ca="1">S12/$D$7-1</f>
        <v>-0.31873985080405254</v>
      </c>
      <c r="V12" s="17">
        <f ca="1">(1+U12)^(1/(($L$2-$D$5)/365))-1</f>
        <v>-0.20700533725949188</v>
      </c>
      <c r="W12" s="1"/>
      <c r="X12" s="1"/>
      <c r="Y12" s="1"/>
    </row>
    <row r="13" spans="1:25" ht="15" customHeight="1" x14ac:dyDescent="0.25">
      <c r="A13" s="1"/>
      <c r="B13" s="1"/>
      <c r="C13" s="23" t="s">
        <v>27</v>
      </c>
      <c r="D13" s="26">
        <v>0</v>
      </c>
      <c r="E13" s="1"/>
      <c r="F13" s="11" t="s">
        <v>28</v>
      </c>
      <c r="G13" s="12">
        <f t="shared" ref="G13:N13" si="3">IF(G4=0,0,G12/G4)</f>
        <v>0.13105025562989711</v>
      </c>
      <c r="H13" s="12">
        <f t="shared" si="3"/>
        <v>0.15200459643112316</v>
      </c>
      <c r="I13" s="12">
        <f t="shared" si="3"/>
        <v>0.16147635641814828</v>
      </c>
      <c r="J13" s="12">
        <f t="shared" si="3"/>
        <v>0.16175665514443371</v>
      </c>
      <c r="K13" s="12">
        <f t="shared" ca="1" si="3"/>
        <v>0.11751923531824421</v>
      </c>
      <c r="L13" s="12">
        <f t="shared" ca="1" si="3"/>
        <v>0.11966039085124508</v>
      </c>
      <c r="M13" s="12">
        <f t="shared" ca="1" si="3"/>
        <v>0.120563675162548</v>
      </c>
      <c r="N13" s="12">
        <f t="shared" ca="1" si="3"/>
        <v>0.11688210658135867</v>
      </c>
      <c r="O13" s="1"/>
      <c r="P13" s="3" t="s">
        <v>17</v>
      </c>
      <c r="Q13" s="27">
        <f ca="1">IF(VALUE(LEFT($D$4,1))=3,$L$12,Q13)</f>
        <v>708.7224483098579</v>
      </c>
      <c r="R13" s="14">
        <v>8</v>
      </c>
      <c r="S13" s="15">
        <f ca="1">((Q13*R13)-$L$37)/$L$36</f>
        <v>52.756263495474364</v>
      </c>
      <c r="T13" s="16">
        <f ca="1">S13/1.1^(($L$2-$D$5)/365)</f>
        <v>45.058594432051933</v>
      </c>
      <c r="U13" s="12">
        <f ca="1">S13/$D$7-1</f>
        <v>-0.75507769964960836</v>
      </c>
      <c r="V13" s="17">
        <f ca="1">(1+U13)^(1/(($L$2-$D$5)/365))-1</f>
        <v>-0.57264677336827785</v>
      </c>
      <c r="W13" s="1"/>
      <c r="X13" s="1"/>
      <c r="Y13" s="1"/>
    </row>
    <row r="14" spans="1:25" ht="15" customHeight="1" x14ac:dyDescent="0.25">
      <c r="A14" s="1"/>
      <c r="B14" s="1"/>
      <c r="C14" s="28" t="s">
        <v>29</v>
      </c>
      <c r="D14" s="29">
        <f>D9+D12+D13</f>
        <v>14788.128531013488</v>
      </c>
      <c r="E14" s="1"/>
      <c r="F14" s="11" t="s">
        <v>12</v>
      </c>
      <c r="G14" s="1"/>
      <c r="H14" s="12">
        <f t="shared" ref="H14:N14" si="4">IF(G12=0,0,H12/G12-1)</f>
        <v>0.24461106250392306</v>
      </c>
      <c r="I14" s="12">
        <f t="shared" si="4"/>
        <v>0.10156443880219546</v>
      </c>
      <c r="J14" s="12">
        <f t="shared" si="4"/>
        <v>4.9405775391085482E-2</v>
      </c>
      <c r="K14" s="12">
        <f t="shared" ca="1" si="4"/>
        <v>-0.25410992595839954</v>
      </c>
      <c r="L14" s="12">
        <f t="shared" ca="1" si="4"/>
        <v>4.8952457241304259E-2</v>
      </c>
      <c r="M14" s="12">
        <f t="shared" ca="1" si="4"/>
        <v>3.7959496958325234E-2</v>
      </c>
      <c r="N14" s="12">
        <f t="shared" ca="1" si="4"/>
        <v>-1.2750506353363944E-3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 x14ac:dyDescent="0.25">
      <c r="A15" s="1"/>
      <c r="B15" s="1"/>
      <c r="C15" s="1"/>
      <c r="D15" s="1"/>
      <c r="E15" s="1"/>
      <c r="F15" s="7" t="s">
        <v>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5" t="s">
        <v>30</v>
      </c>
      <c r="R16" s="6"/>
      <c r="S16" s="6"/>
      <c r="T16" s="1"/>
      <c r="U16" s="1"/>
      <c r="V16" s="1"/>
      <c r="W16" s="1"/>
      <c r="X16" s="1"/>
      <c r="Y16" s="1"/>
    </row>
    <row r="17" spans="1:25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9" t="s">
        <v>31</v>
      </c>
      <c r="R17" s="9" t="s">
        <v>32</v>
      </c>
      <c r="S17" s="9" t="s">
        <v>33</v>
      </c>
      <c r="T17" s="1"/>
      <c r="U17" s="1"/>
      <c r="V17" s="1"/>
      <c r="W17" s="1"/>
      <c r="X17" s="1"/>
      <c r="Y17" s="1"/>
    </row>
    <row r="18" spans="1:25" ht="15" customHeight="1" x14ac:dyDescent="0.25">
      <c r="A18" s="1"/>
      <c r="B18" s="1"/>
      <c r="C18" s="1"/>
      <c r="D18" s="1"/>
      <c r="E18" s="1"/>
      <c r="F18" s="3" t="s">
        <v>34</v>
      </c>
      <c r="G18" s="8">
        <f>G12</f>
        <v>812.63699999999994</v>
      </c>
      <c r="H18" s="8">
        <f>H12</f>
        <v>1011.4170000000004</v>
      </c>
      <c r="I18" s="8">
        <f>I12</f>
        <v>1114.1410000000005</v>
      </c>
      <c r="J18" s="8">
        <f>J12</f>
        <v>1169.1859999999999</v>
      </c>
      <c r="K18" s="25"/>
      <c r="L18" s="25"/>
      <c r="M18" s="25"/>
      <c r="N18" s="25"/>
      <c r="O18" s="1"/>
      <c r="P18" s="3" t="s">
        <v>6</v>
      </c>
      <c r="Q18" s="30"/>
      <c r="R18" s="14"/>
      <c r="S18" s="15">
        <f>Q18*R18</f>
        <v>0</v>
      </c>
      <c r="T18" s="1"/>
      <c r="U18" s="1"/>
      <c r="V18" s="1"/>
      <c r="W18" s="1"/>
      <c r="X18" s="1"/>
      <c r="Y18" s="1"/>
    </row>
    <row r="19" spans="1:25" ht="15" customHeight="1" x14ac:dyDescent="0.25">
      <c r="A19" s="1"/>
      <c r="B19" s="1"/>
      <c r="C19" s="1"/>
      <c r="D19" s="1"/>
      <c r="E19" s="1"/>
      <c r="F19" s="11" t="s">
        <v>28</v>
      </c>
      <c r="G19" s="12">
        <f t="shared" ref="G19:J19" si="5">IF(G9=0,0,G18/G9)</f>
        <v>0.13105025562989711</v>
      </c>
      <c r="H19" s="12">
        <f t="shared" si="5"/>
        <v>0.15200459643112316</v>
      </c>
      <c r="I19" s="12">
        <f t="shared" si="5"/>
        <v>0.16147635641814828</v>
      </c>
      <c r="J19" s="12">
        <f t="shared" si="5"/>
        <v>0.16175665514443371</v>
      </c>
      <c r="K19" s="12"/>
      <c r="L19" s="12"/>
      <c r="M19" s="12"/>
      <c r="N19" s="12"/>
      <c r="O19" s="1"/>
      <c r="P19" s="3" t="s">
        <v>23</v>
      </c>
      <c r="Q19" s="31">
        <v>1100</v>
      </c>
      <c r="R19" s="14">
        <v>11</v>
      </c>
      <c r="S19" s="15">
        <f>((Q19*R19)-$D$12)/$D$8</f>
        <v>168.25710408090805</v>
      </c>
      <c r="T19" s="1"/>
      <c r="U19" s="1"/>
      <c r="V19" s="1"/>
      <c r="W19" s="1"/>
      <c r="X19" s="1"/>
      <c r="Y19" s="1"/>
    </row>
    <row r="20" spans="1:25" ht="15" customHeight="1" x14ac:dyDescent="0.25">
      <c r="A20" s="1"/>
      <c r="B20" s="1"/>
      <c r="C20" s="1"/>
      <c r="D20" s="1"/>
      <c r="E20" s="1"/>
      <c r="F20" s="11" t="s">
        <v>12</v>
      </c>
      <c r="G20" s="1"/>
      <c r="H20" s="12">
        <f t="shared" ref="H20:J20" si="6">IF(G18=0,0,H18/G18-1)</f>
        <v>0.24461106250392306</v>
      </c>
      <c r="I20" s="12">
        <f t="shared" si="6"/>
        <v>0.10156443880219546</v>
      </c>
      <c r="J20" s="12">
        <f t="shared" si="6"/>
        <v>4.9405775391085482E-2</v>
      </c>
      <c r="K20" s="12"/>
      <c r="L20" s="12"/>
      <c r="M20" s="12"/>
      <c r="N20" s="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customHeight="1" x14ac:dyDescent="0.25">
      <c r="A22" s="1"/>
      <c r="B22" s="1"/>
      <c r="C22" s="1"/>
      <c r="D22" s="1"/>
      <c r="E22" s="1"/>
      <c r="F22" s="7" t="s">
        <v>35</v>
      </c>
      <c r="G22" s="32">
        <f>'WH Model'!BQ51</f>
        <v>4.8638752926154494</v>
      </c>
      <c r="H22" s="32">
        <f>'WH Model'!BR51</f>
        <v>6.5353207346286961</v>
      </c>
      <c r="I22" s="32">
        <f>'WH Model'!BS51</f>
        <v>7.4929137336093961</v>
      </c>
      <c r="J22" s="32">
        <f>'WH Model'!BT51</f>
        <v>7.9609261723785814</v>
      </c>
      <c r="K22" s="32">
        <f ca="1">'WH Model'!BU51</f>
        <v>5.8541140964615419</v>
      </c>
      <c r="L22" s="32">
        <f ca="1">'WH Model'!BV51</f>
        <v>6.3732890865614262</v>
      </c>
      <c r="M22" s="32">
        <f ca="1">'WH Model'!BW51</f>
        <v>6.8028388430785638</v>
      </c>
      <c r="N22" s="32">
        <f ca="1">'WH Model'!BX51</f>
        <v>6.7569824451571616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customHeight="1" x14ac:dyDescent="0.25">
      <c r="A23" s="1"/>
      <c r="B23" s="1"/>
      <c r="C23" s="1"/>
      <c r="D23" s="1"/>
      <c r="E23" s="1"/>
      <c r="F23" s="4" t="s">
        <v>12</v>
      </c>
      <c r="G23" s="1"/>
      <c r="H23" s="12">
        <f t="shared" ref="H23:N23" si="7">IF(G22=0,0,H22/G22-1)</f>
        <v>0.34364479791472236</v>
      </c>
      <c r="I23" s="12">
        <f t="shared" si="7"/>
        <v>0.14652578471117761</v>
      </c>
      <c r="J23" s="12">
        <f t="shared" si="7"/>
        <v>6.2460673565467584E-2</v>
      </c>
      <c r="K23" s="12">
        <f t="shared" ca="1" si="7"/>
        <v>-0.26464409169210545</v>
      </c>
      <c r="L23" s="12">
        <f t="shared" ca="1" si="7"/>
        <v>8.8685492210289318E-2</v>
      </c>
      <c r="M23" s="12">
        <f t="shared" ca="1" si="7"/>
        <v>6.7398442261606517E-2</v>
      </c>
      <c r="N23" s="12">
        <f t="shared" ca="1" si="7"/>
        <v>-6.7407738121061378E-3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 x14ac:dyDescent="0.25">
      <c r="A24" s="1"/>
      <c r="B24" s="1"/>
      <c r="C24" s="1"/>
      <c r="D24" s="1"/>
      <c r="E24" s="1"/>
      <c r="F24" s="7" t="s">
        <v>36</v>
      </c>
      <c r="G24" s="32">
        <f>G22</f>
        <v>4.8638752926154494</v>
      </c>
      <c r="H24" s="32">
        <f>H22</f>
        <v>6.5353207346286961</v>
      </c>
      <c r="I24" s="32">
        <f>I22</f>
        <v>7.4929137336093961</v>
      </c>
      <c r="J24" s="32">
        <f>J22</f>
        <v>7.9609261723785814</v>
      </c>
      <c r="K24" s="33"/>
      <c r="L24" s="33"/>
      <c r="M24" s="33"/>
      <c r="N24" s="3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customHeight="1" x14ac:dyDescent="0.25">
      <c r="A25" s="1"/>
      <c r="B25" s="1"/>
      <c r="C25" s="1"/>
      <c r="D25" s="1"/>
      <c r="E25" s="1"/>
      <c r="F25" s="11" t="s">
        <v>12</v>
      </c>
      <c r="G25" s="1"/>
      <c r="H25" s="12">
        <f t="shared" ref="H25:J25" si="8">IF(G24=0,0,H24/G24-1)</f>
        <v>0.34364479791472236</v>
      </c>
      <c r="I25" s="12">
        <f t="shared" si="8"/>
        <v>0.14652578471117761</v>
      </c>
      <c r="J25" s="12">
        <f t="shared" si="8"/>
        <v>6.2460673565467584E-2</v>
      </c>
      <c r="K25" s="12"/>
      <c r="L25" s="12"/>
      <c r="M25" s="12"/>
      <c r="N25" s="1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 x14ac:dyDescent="0.25">
      <c r="A26" s="1"/>
      <c r="B26" s="1"/>
      <c r="C26" s="1"/>
      <c r="D26" s="1"/>
      <c r="E26" s="1"/>
      <c r="F26" s="7" t="s">
        <v>15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customHeight="1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 x14ac:dyDescent="0.25">
      <c r="A29" s="1"/>
      <c r="B29" s="1"/>
      <c r="C29" s="1"/>
      <c r="D29" s="1"/>
      <c r="E29" s="1"/>
      <c r="F29" s="713" t="s">
        <v>37</v>
      </c>
      <c r="G29" s="718">
        <v>2022</v>
      </c>
      <c r="H29" s="718">
        <v>2023</v>
      </c>
      <c r="I29" s="718">
        <v>2024</v>
      </c>
      <c r="J29" s="718">
        <v>2025</v>
      </c>
      <c r="K29" s="718">
        <v>2026</v>
      </c>
      <c r="L29" s="718">
        <v>2027</v>
      </c>
      <c r="M29" s="718">
        <v>2028</v>
      </c>
      <c r="N29" s="719">
        <v>2029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customHeight="1" x14ac:dyDescent="0.25">
      <c r="A30" s="1"/>
      <c r="B30" s="1"/>
      <c r="C30" s="1"/>
      <c r="D30" s="1"/>
      <c r="E30" s="1"/>
      <c r="F30" s="720" t="s">
        <v>38</v>
      </c>
      <c r="G30" s="714">
        <f t="shared" ref="G30:N30" si="9">IF(G4=0,0,$D$14/G4)</f>
        <v>2.3848139135642268</v>
      </c>
      <c r="H30" s="714">
        <f t="shared" si="9"/>
        <v>2.2224893484371755</v>
      </c>
      <c r="I30" s="714">
        <f t="shared" si="9"/>
        <v>2.1432952502702265</v>
      </c>
      <c r="J30" s="714">
        <f t="shared" si="9"/>
        <v>2.0459346990322413</v>
      </c>
      <c r="K30" s="714">
        <f t="shared" ca="1" si="9"/>
        <v>1.9928001135291602</v>
      </c>
      <c r="L30" s="714">
        <f t="shared" ca="1" si="9"/>
        <v>1.9344138579642938</v>
      </c>
      <c r="M30" s="714">
        <f t="shared" ca="1" si="9"/>
        <v>1.8777382324816465</v>
      </c>
      <c r="N30" s="715">
        <f t="shared" ca="1" si="9"/>
        <v>1.8227231183376462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customHeight="1" x14ac:dyDescent="0.25">
      <c r="A31" s="1"/>
      <c r="B31" s="1"/>
      <c r="C31" s="1"/>
      <c r="D31" s="1"/>
      <c r="E31" s="1"/>
      <c r="F31" s="720" t="s">
        <v>39</v>
      </c>
      <c r="G31" s="714">
        <f t="shared" ref="G31:N31" si="10">IF(G9=0,0,$D$14/G9)</f>
        <v>2.3848139135642268</v>
      </c>
      <c r="H31" s="714">
        <f t="shared" si="10"/>
        <v>2.2224893484371755</v>
      </c>
      <c r="I31" s="714">
        <f t="shared" si="10"/>
        <v>2.1432952502702265</v>
      </c>
      <c r="J31" s="714">
        <f t="shared" si="10"/>
        <v>2.0459346990322413</v>
      </c>
      <c r="K31" s="714">
        <f t="shared" si="10"/>
        <v>0</v>
      </c>
      <c r="L31" s="714">
        <f t="shared" si="10"/>
        <v>0</v>
      </c>
      <c r="M31" s="714">
        <f t="shared" si="10"/>
        <v>0</v>
      </c>
      <c r="N31" s="715">
        <f t="shared" si="10"/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customHeight="1" x14ac:dyDescent="0.25">
      <c r="A32" s="1"/>
      <c r="B32" s="1"/>
      <c r="C32" s="1"/>
      <c r="D32" s="1"/>
      <c r="E32" s="1"/>
      <c r="F32" s="720" t="s">
        <v>40</v>
      </c>
      <c r="G32" s="714">
        <f t="shared" ref="G32:N32" si="11">IF(G18=0,0,$D$14/G18)</f>
        <v>18.197705163576714</v>
      </c>
      <c r="H32" s="714">
        <f t="shared" si="11"/>
        <v>14.621198309909248</v>
      </c>
      <c r="I32" s="714">
        <f t="shared" si="11"/>
        <v>13.273121203701759</v>
      </c>
      <c r="J32" s="714">
        <f t="shared" si="11"/>
        <v>12.6482258006968</v>
      </c>
      <c r="K32" s="714">
        <f t="shared" si="11"/>
        <v>0</v>
      </c>
      <c r="L32" s="714">
        <f t="shared" si="11"/>
        <v>0</v>
      </c>
      <c r="M32" s="714">
        <f t="shared" si="11"/>
        <v>0</v>
      </c>
      <c r="N32" s="715">
        <f t="shared" si="11"/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customHeight="1" x14ac:dyDescent="0.25">
      <c r="A33" s="1"/>
      <c r="B33" s="1"/>
      <c r="C33" s="1"/>
      <c r="D33" s="1"/>
      <c r="E33" s="1"/>
      <c r="F33" s="720" t="s">
        <v>41</v>
      </c>
      <c r="G33" s="714">
        <f t="shared" ref="G33:N33" si="12">IF(G12=0,0,$D$14/G12)</f>
        <v>18.197705163576714</v>
      </c>
      <c r="H33" s="714">
        <f t="shared" si="12"/>
        <v>14.621198309909248</v>
      </c>
      <c r="I33" s="714">
        <f t="shared" si="12"/>
        <v>13.273121203701759</v>
      </c>
      <c r="J33" s="714">
        <f t="shared" si="12"/>
        <v>12.6482258006968</v>
      </c>
      <c r="K33" s="714">
        <f t="shared" ca="1" si="12"/>
        <v>16.957224986468145</v>
      </c>
      <c r="L33" s="714">
        <f t="shared" ca="1" si="12"/>
        <v>16.165866116625391</v>
      </c>
      <c r="M33" s="714">
        <f t="shared" ca="1" si="12"/>
        <v>15.57465986293149</v>
      </c>
      <c r="N33" s="715">
        <f t="shared" ca="1" si="12"/>
        <v>15.594543695778574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customHeight="1" x14ac:dyDescent="0.25">
      <c r="A34" s="1"/>
      <c r="B34" s="1"/>
      <c r="C34" s="1"/>
      <c r="D34" s="1"/>
      <c r="E34" s="1"/>
      <c r="F34" s="720" t="s">
        <v>42</v>
      </c>
      <c r="G34" s="714">
        <f t="shared" ref="G34:N34" si="13">IF(G22=0,0,$D$7/G22)</f>
        <v>44.285674907625577</v>
      </c>
      <c r="H34" s="714">
        <f t="shared" si="13"/>
        <v>32.959361712526253</v>
      </c>
      <c r="I34" s="714">
        <f t="shared" si="13"/>
        <v>28.747161339096333</v>
      </c>
      <c r="J34" s="714">
        <f t="shared" si="13"/>
        <v>27.057153318084641</v>
      </c>
      <c r="K34" s="714">
        <f t="shared" ca="1" si="13"/>
        <v>36.79463646432793</v>
      </c>
      <c r="L34" s="714">
        <f t="shared" ca="1" si="13"/>
        <v>33.797305766999898</v>
      </c>
      <c r="M34" s="714">
        <f t="shared" ca="1" si="13"/>
        <v>31.66325191124514</v>
      </c>
      <c r="N34" s="715">
        <f t="shared" ca="1" si="13"/>
        <v>31.878135210249162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customHeight="1" thickBot="1" x14ac:dyDescent="0.3">
      <c r="A35" s="1"/>
      <c r="B35" s="1"/>
      <c r="C35" s="1"/>
      <c r="D35" s="1"/>
      <c r="E35" s="1"/>
      <c r="F35" s="721" t="s">
        <v>43</v>
      </c>
      <c r="G35" s="716">
        <f t="shared" ref="G35:N35" si="14">IF(G24=0,0,$D$7/G24)</f>
        <v>44.285674907625577</v>
      </c>
      <c r="H35" s="716">
        <f t="shared" si="14"/>
        <v>32.959361712526253</v>
      </c>
      <c r="I35" s="716">
        <f t="shared" si="14"/>
        <v>28.747161339096333</v>
      </c>
      <c r="J35" s="716">
        <f t="shared" si="14"/>
        <v>27.057153318084641</v>
      </c>
      <c r="K35" s="716">
        <f t="shared" si="14"/>
        <v>0</v>
      </c>
      <c r="L35" s="716">
        <f t="shared" si="14"/>
        <v>0</v>
      </c>
      <c r="M35" s="716">
        <f t="shared" si="14"/>
        <v>0</v>
      </c>
      <c r="N35" s="717">
        <f t="shared" si="14"/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customHeight="1" x14ac:dyDescent="0.25">
      <c r="A36" s="1"/>
      <c r="B36" s="1"/>
      <c r="C36" s="1"/>
      <c r="D36" s="1"/>
      <c r="E36" s="1"/>
      <c r="F36" s="11" t="s">
        <v>44</v>
      </c>
      <c r="G36" s="34">
        <f>'WH Model'!BQ50</f>
        <v>93.97999999999999</v>
      </c>
      <c r="H36" s="34">
        <f>'WH Model'!BR50</f>
        <v>93.925000000000011</v>
      </c>
      <c r="I36" s="34">
        <f>'WH Model'!BS50</f>
        <v>90.562499999999986</v>
      </c>
      <c r="J36" s="34">
        <f>'WH Model'!BT50</f>
        <v>83.969249999999988</v>
      </c>
      <c r="K36" s="34">
        <f ca="1">'WH Model'!BU50</f>
        <v>56.879452604171611</v>
      </c>
      <c r="L36" s="34">
        <f ca="1">'WH Model'!BV50</f>
        <v>56.470676185497993</v>
      </c>
      <c r="M36" s="34">
        <f ca="1">'WH Model'!BW50</f>
        <v>55.962028576098952</v>
      </c>
      <c r="N36" s="34">
        <f ca="1">'WH Model'!BX50</f>
        <v>55.407533386140457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customHeight="1" x14ac:dyDescent="0.25">
      <c r="A37" s="1"/>
      <c r="B37" s="1"/>
      <c r="C37" s="1"/>
      <c r="D37" s="1"/>
      <c r="E37" s="1"/>
      <c r="F37" s="11" t="s">
        <v>25</v>
      </c>
      <c r="G37" s="35">
        <f>'WH Model'!BQ57</f>
        <v>647.05775000000017</v>
      </c>
      <c r="H37" s="35">
        <f>'WH Model'!BR57</f>
        <v>247.92450000000002</v>
      </c>
      <c r="I37" s="35">
        <f>'WH Model'!BS57</f>
        <v>492.52624999999989</v>
      </c>
      <c r="J37" s="35">
        <f>'WH Model'!BT57</f>
        <v>1110.5345</v>
      </c>
      <c r="K37" s="35">
        <f ca="1">'WH Model'!BU57</f>
        <v>2653.2904549146283</v>
      </c>
      <c r="L37" s="35">
        <f ca="1">'WH Model'!BV57</f>
        <v>2690.5977138691219</v>
      </c>
      <c r="M37" s="35">
        <f ca="1">'WH Model'!BW57</f>
        <v>2716.0025931088035</v>
      </c>
      <c r="N37" s="35">
        <f ca="1">'WH Model'!BX57</f>
        <v>2742.4803429999129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customHeight="1" x14ac:dyDescent="0.25">
      <c r="A38" s="1"/>
      <c r="B38" s="1"/>
      <c r="C38" s="1"/>
      <c r="D38" s="1"/>
      <c r="E38" s="1"/>
      <c r="F38" s="11" t="s">
        <v>45</v>
      </c>
      <c r="G38" s="35">
        <f t="shared" ref="G38:N38" si="15">G37+$D$9</f>
        <v>12929.351281013489</v>
      </c>
      <c r="H38" s="35">
        <f t="shared" si="15"/>
        <v>12530.218031013488</v>
      </c>
      <c r="I38" s="35">
        <f t="shared" si="15"/>
        <v>12774.819781013488</v>
      </c>
      <c r="J38" s="35">
        <f t="shared" si="15"/>
        <v>13392.828031013489</v>
      </c>
      <c r="K38" s="35">
        <f t="shared" ca="1" si="15"/>
        <v>14935.583985928117</v>
      </c>
      <c r="L38" s="35">
        <f t="shared" ca="1" si="15"/>
        <v>14972.89124488261</v>
      </c>
      <c r="M38" s="35">
        <f t="shared" ca="1" si="15"/>
        <v>14998.296124122293</v>
      </c>
      <c r="N38" s="35">
        <f t="shared" ca="1" si="15"/>
        <v>15024.773874013401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</sheetData>
  <mergeCells count="2">
    <mergeCell ref="Q3:V3"/>
    <mergeCell ref="Q9:V9"/>
  </mergeCells>
  <dataValidations count="1">
    <dataValidation type="list" allowBlank="1" sqref="D4" xr:uid="{00000000-0002-0000-0000-000000000000}">
      <formula1>"1 - Bull, 2 - Base, 3 - 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96"/>
  <sheetViews>
    <sheetView workbookViewId="0">
      <pane xSplit="5" ySplit="5" topLeftCell="AL6" activePane="bottomRight" state="frozen"/>
      <selection pane="topRight"/>
      <selection pane="bottomLeft"/>
      <selection pane="bottomRight" activeCell="AV24" sqref="AV24"/>
    </sheetView>
  </sheetViews>
  <sheetFormatPr defaultColWidth="8.85546875" defaultRowHeight="15" x14ac:dyDescent="0.25"/>
  <cols>
    <col min="1" max="3" width="1" customWidth="1"/>
    <col min="4" max="5" width="20" customWidth="1"/>
    <col min="6" max="61" width="11" customWidth="1"/>
    <col min="63" max="76" width="11" customWidth="1"/>
  </cols>
  <sheetData>
    <row r="1" spans="1:76" x14ac:dyDescent="0.25">
      <c r="A1" s="36" t="s">
        <v>0</v>
      </c>
      <c r="B1" s="1"/>
      <c r="C1" s="1"/>
      <c r="D1" s="1"/>
      <c r="E1" s="1"/>
      <c r="F1" s="11">
        <v>16</v>
      </c>
      <c r="G1" s="11">
        <f>F1</f>
        <v>16</v>
      </c>
      <c r="H1" s="11">
        <f>G1</f>
        <v>16</v>
      </c>
      <c r="I1" s="11">
        <f>H1</f>
        <v>16</v>
      </c>
      <c r="J1" s="11">
        <f>I1+1</f>
        <v>17</v>
      </c>
      <c r="K1" s="11">
        <f>J1</f>
        <v>17</v>
      </c>
      <c r="L1" s="11">
        <f>K1</f>
        <v>17</v>
      </c>
      <c r="M1" s="11">
        <f>L1</f>
        <v>17</v>
      </c>
      <c r="N1" s="11">
        <f>M1+1</f>
        <v>18</v>
      </c>
      <c r="O1" s="11">
        <f>N1</f>
        <v>18</v>
      </c>
      <c r="P1" s="11">
        <f>O1</f>
        <v>18</v>
      </c>
      <c r="Q1" s="11">
        <f>P1</f>
        <v>18</v>
      </c>
      <c r="R1" s="11">
        <f>Q1+1</f>
        <v>19</v>
      </c>
      <c r="S1" s="11">
        <f>R1</f>
        <v>19</v>
      </c>
      <c r="T1" s="11">
        <f>S1</f>
        <v>19</v>
      </c>
      <c r="U1" s="11">
        <f>T1</f>
        <v>19</v>
      </c>
      <c r="V1" s="11">
        <f>U1+1</f>
        <v>20</v>
      </c>
      <c r="W1" s="11">
        <f>V1</f>
        <v>20</v>
      </c>
      <c r="X1" s="11">
        <f>W1</f>
        <v>20</v>
      </c>
      <c r="Y1" s="11">
        <f>X1</f>
        <v>20</v>
      </c>
      <c r="Z1" s="11">
        <f>Y1+1</f>
        <v>21</v>
      </c>
      <c r="AA1" s="11">
        <f>Z1</f>
        <v>21</v>
      </c>
      <c r="AB1" s="11">
        <f>AA1</f>
        <v>21</v>
      </c>
      <c r="AC1" s="11">
        <f>AB1</f>
        <v>21</v>
      </c>
      <c r="AD1" s="11">
        <f>AC1+1</f>
        <v>22</v>
      </c>
      <c r="AE1" s="11">
        <f>AD1</f>
        <v>22</v>
      </c>
      <c r="AF1" s="11">
        <f>AE1</f>
        <v>22</v>
      </c>
      <c r="AG1" s="11">
        <f>AF1</f>
        <v>22</v>
      </c>
      <c r="AH1" s="11">
        <f>AG1+1</f>
        <v>23</v>
      </c>
      <c r="AI1" s="11">
        <f>AH1</f>
        <v>23</v>
      </c>
      <c r="AJ1" s="11">
        <f>AI1</f>
        <v>23</v>
      </c>
      <c r="AK1" s="11">
        <f>AJ1</f>
        <v>23</v>
      </c>
      <c r="AL1" s="11">
        <f>AK1+1</f>
        <v>24</v>
      </c>
      <c r="AM1" s="11">
        <f>AL1</f>
        <v>24</v>
      </c>
      <c r="AN1" s="11">
        <f>AM1</f>
        <v>24</v>
      </c>
      <c r="AO1" s="11">
        <f>AN1</f>
        <v>24</v>
      </c>
      <c r="AP1" s="11">
        <f>AO1+1</f>
        <v>25</v>
      </c>
      <c r="AQ1" s="11">
        <f>AP1</f>
        <v>25</v>
      </c>
      <c r="AR1" s="11">
        <f>AQ1</f>
        <v>25</v>
      </c>
      <c r="AS1" s="11">
        <f>AR1</f>
        <v>25</v>
      </c>
      <c r="AT1" s="11">
        <f>AS1+1</f>
        <v>26</v>
      </c>
      <c r="AU1" s="11">
        <f>AT1</f>
        <v>26</v>
      </c>
      <c r="AV1" s="11">
        <f>AU1</f>
        <v>26</v>
      </c>
      <c r="AW1" s="11">
        <f>AV1</f>
        <v>26</v>
      </c>
      <c r="AX1" s="11">
        <f>AW1+1</f>
        <v>27</v>
      </c>
      <c r="AY1" s="11">
        <f>AX1</f>
        <v>27</v>
      </c>
      <c r="AZ1" s="11">
        <f>AY1</f>
        <v>27</v>
      </c>
      <c r="BA1" s="11">
        <f>AZ1</f>
        <v>27</v>
      </c>
      <c r="BB1" s="11">
        <f>BA1+1</f>
        <v>28</v>
      </c>
      <c r="BC1" s="11">
        <f>BB1</f>
        <v>28</v>
      </c>
      <c r="BD1" s="11">
        <f>BC1</f>
        <v>28</v>
      </c>
      <c r="BE1" s="11">
        <f>BD1</f>
        <v>28</v>
      </c>
      <c r="BF1" s="11">
        <f>BE1+1</f>
        <v>29</v>
      </c>
      <c r="BG1" s="11">
        <f>BF1</f>
        <v>29</v>
      </c>
      <c r="BH1" s="11">
        <f>BG1</f>
        <v>29</v>
      </c>
      <c r="BI1" s="11">
        <f>BH1</f>
        <v>29</v>
      </c>
      <c r="BJ1" s="1"/>
      <c r="BK1" s="11">
        <v>16</v>
      </c>
      <c r="BL1" s="11">
        <v>17</v>
      </c>
      <c r="BM1" s="11">
        <v>18</v>
      </c>
      <c r="BN1" s="11">
        <v>19</v>
      </c>
      <c r="BO1" s="11">
        <v>20</v>
      </c>
      <c r="BP1" s="11">
        <v>21</v>
      </c>
      <c r="BQ1" s="11">
        <v>22</v>
      </c>
      <c r="BR1" s="11">
        <v>23</v>
      </c>
      <c r="BS1" s="11">
        <v>24</v>
      </c>
      <c r="BT1" s="11">
        <v>25</v>
      </c>
      <c r="BU1" s="11">
        <v>26</v>
      </c>
      <c r="BV1" s="11">
        <v>27</v>
      </c>
      <c r="BW1" s="11">
        <v>28</v>
      </c>
      <c r="BX1" s="11">
        <v>29</v>
      </c>
    </row>
    <row r="2" spans="1:76" x14ac:dyDescent="0.25">
      <c r="A2" s="36" t="s">
        <v>46</v>
      </c>
      <c r="B2" s="1"/>
      <c r="C2" s="1"/>
      <c r="D2" s="1"/>
      <c r="E2" s="1"/>
      <c r="F2" s="11" t="s">
        <v>47</v>
      </c>
      <c r="G2" s="11" t="s">
        <v>48</v>
      </c>
      <c r="H2" s="11" t="s">
        <v>49</v>
      </c>
      <c r="I2" s="11" t="s">
        <v>50</v>
      </c>
      <c r="J2" s="11" t="str">
        <f t="shared" ref="J2:AO2" si="0">F2</f>
        <v>Q1</v>
      </c>
      <c r="K2" s="11" t="str">
        <f t="shared" si="0"/>
        <v>Q2</v>
      </c>
      <c r="L2" s="11" t="str">
        <f t="shared" si="0"/>
        <v>Q3</v>
      </c>
      <c r="M2" s="11" t="str">
        <f t="shared" si="0"/>
        <v>Q4</v>
      </c>
      <c r="N2" s="11" t="str">
        <f t="shared" si="0"/>
        <v>Q1</v>
      </c>
      <c r="O2" s="11" t="str">
        <f t="shared" si="0"/>
        <v>Q2</v>
      </c>
      <c r="P2" s="11" t="str">
        <f t="shared" si="0"/>
        <v>Q3</v>
      </c>
      <c r="Q2" s="11" t="str">
        <f t="shared" si="0"/>
        <v>Q4</v>
      </c>
      <c r="R2" s="11" t="str">
        <f t="shared" si="0"/>
        <v>Q1</v>
      </c>
      <c r="S2" s="11" t="str">
        <f t="shared" si="0"/>
        <v>Q2</v>
      </c>
      <c r="T2" s="11" t="str">
        <f t="shared" si="0"/>
        <v>Q3</v>
      </c>
      <c r="U2" s="11" t="str">
        <f t="shared" si="0"/>
        <v>Q4</v>
      </c>
      <c r="V2" s="11" t="str">
        <f t="shared" si="0"/>
        <v>Q1</v>
      </c>
      <c r="W2" s="11" t="str">
        <f t="shared" si="0"/>
        <v>Q2</v>
      </c>
      <c r="X2" s="11" t="str">
        <f t="shared" si="0"/>
        <v>Q3</v>
      </c>
      <c r="Y2" s="11" t="str">
        <f t="shared" si="0"/>
        <v>Q4</v>
      </c>
      <c r="Z2" s="11" t="str">
        <f t="shared" si="0"/>
        <v>Q1</v>
      </c>
      <c r="AA2" s="11" t="str">
        <f t="shared" si="0"/>
        <v>Q2</v>
      </c>
      <c r="AB2" s="11" t="str">
        <f t="shared" si="0"/>
        <v>Q3</v>
      </c>
      <c r="AC2" s="11" t="str">
        <f t="shared" si="0"/>
        <v>Q4</v>
      </c>
      <c r="AD2" s="11" t="str">
        <f t="shared" si="0"/>
        <v>Q1</v>
      </c>
      <c r="AE2" s="11" t="str">
        <f t="shared" si="0"/>
        <v>Q2</v>
      </c>
      <c r="AF2" s="11" t="str">
        <f t="shared" si="0"/>
        <v>Q3</v>
      </c>
      <c r="AG2" s="11" t="str">
        <f t="shared" si="0"/>
        <v>Q4</v>
      </c>
      <c r="AH2" s="11" t="str">
        <f t="shared" si="0"/>
        <v>Q1</v>
      </c>
      <c r="AI2" s="11" t="str">
        <f t="shared" si="0"/>
        <v>Q2</v>
      </c>
      <c r="AJ2" s="11" t="str">
        <f t="shared" si="0"/>
        <v>Q3</v>
      </c>
      <c r="AK2" s="11" t="str">
        <f t="shared" si="0"/>
        <v>Q4</v>
      </c>
      <c r="AL2" s="11" t="str">
        <f t="shared" si="0"/>
        <v>Q1</v>
      </c>
      <c r="AM2" s="11" t="str">
        <f t="shared" si="0"/>
        <v>Q2</v>
      </c>
      <c r="AN2" s="11" t="str">
        <f t="shared" si="0"/>
        <v>Q3</v>
      </c>
      <c r="AO2" s="11" t="str">
        <f t="shared" si="0"/>
        <v>Q4</v>
      </c>
      <c r="AP2" s="11" t="str">
        <f t="shared" ref="AP2:BI2" si="1">AL2</f>
        <v>Q1</v>
      </c>
      <c r="AQ2" s="11" t="str">
        <f t="shared" si="1"/>
        <v>Q2</v>
      </c>
      <c r="AR2" s="11" t="str">
        <f t="shared" si="1"/>
        <v>Q3</v>
      </c>
      <c r="AS2" s="11" t="str">
        <f t="shared" si="1"/>
        <v>Q4</v>
      </c>
      <c r="AT2" s="11" t="str">
        <f t="shared" si="1"/>
        <v>Q1</v>
      </c>
      <c r="AU2" s="11" t="str">
        <f t="shared" si="1"/>
        <v>Q2</v>
      </c>
      <c r="AV2" s="11" t="str">
        <f t="shared" si="1"/>
        <v>Q3</v>
      </c>
      <c r="AW2" s="11" t="str">
        <f t="shared" si="1"/>
        <v>Q4</v>
      </c>
      <c r="AX2" s="11" t="str">
        <f t="shared" si="1"/>
        <v>Q1</v>
      </c>
      <c r="AY2" s="11" t="str">
        <f t="shared" si="1"/>
        <v>Q2</v>
      </c>
      <c r="AZ2" s="11" t="str">
        <f t="shared" si="1"/>
        <v>Q3</v>
      </c>
      <c r="BA2" s="11" t="str">
        <f t="shared" si="1"/>
        <v>Q4</v>
      </c>
      <c r="BB2" s="11" t="str">
        <f t="shared" si="1"/>
        <v>Q1</v>
      </c>
      <c r="BC2" s="11" t="str">
        <f t="shared" si="1"/>
        <v>Q2</v>
      </c>
      <c r="BD2" s="11" t="str">
        <f t="shared" si="1"/>
        <v>Q3</v>
      </c>
      <c r="BE2" s="11" t="str">
        <f t="shared" si="1"/>
        <v>Q4</v>
      </c>
      <c r="BF2" s="11" t="str">
        <f t="shared" si="1"/>
        <v>Q1</v>
      </c>
      <c r="BG2" s="11" t="str">
        <f t="shared" si="1"/>
        <v>Q2</v>
      </c>
      <c r="BH2" s="11" t="str">
        <f t="shared" si="1"/>
        <v>Q3</v>
      </c>
      <c r="BI2" s="11" t="str">
        <f t="shared" si="1"/>
        <v>Q4</v>
      </c>
      <c r="BJ2" s="1"/>
      <c r="BK2" s="11" t="s">
        <v>50</v>
      </c>
      <c r="BL2" s="11" t="s">
        <v>50</v>
      </c>
      <c r="BM2" s="11" t="s">
        <v>50</v>
      </c>
      <c r="BN2" s="11" t="s">
        <v>50</v>
      </c>
      <c r="BO2" s="11" t="s">
        <v>50</v>
      </c>
      <c r="BP2" s="11" t="s">
        <v>50</v>
      </c>
      <c r="BQ2" s="11" t="s">
        <v>50</v>
      </c>
      <c r="BR2" s="11" t="s">
        <v>50</v>
      </c>
      <c r="BS2" s="11" t="s">
        <v>50</v>
      </c>
      <c r="BT2" s="11" t="s">
        <v>50</v>
      </c>
      <c r="BU2" s="11" t="s">
        <v>50</v>
      </c>
      <c r="BV2" s="11" t="s">
        <v>50</v>
      </c>
      <c r="BW2" s="11" t="s">
        <v>50</v>
      </c>
      <c r="BX2" s="11" t="s">
        <v>50</v>
      </c>
    </row>
    <row r="3" spans="1:76" x14ac:dyDescent="0.25">
      <c r="A3" s="37" t="s">
        <v>51</v>
      </c>
      <c r="B3" s="1"/>
      <c r="C3" s="1"/>
      <c r="D3" s="1"/>
      <c r="E3" s="1"/>
      <c r="F3" s="38">
        <v>90</v>
      </c>
      <c r="G3" s="38">
        <v>91</v>
      </c>
      <c r="H3" s="38">
        <v>92</v>
      </c>
      <c r="I3" s="38">
        <v>92</v>
      </c>
      <c r="J3" s="38">
        <v>90</v>
      </c>
      <c r="K3" s="38">
        <v>91</v>
      </c>
      <c r="L3" s="38">
        <v>92</v>
      </c>
      <c r="M3" s="38">
        <v>92</v>
      </c>
      <c r="N3" s="38">
        <v>90</v>
      </c>
      <c r="O3" s="38">
        <v>91</v>
      </c>
      <c r="P3" s="38">
        <v>92</v>
      </c>
      <c r="Q3" s="38">
        <v>92</v>
      </c>
      <c r="R3" s="38">
        <v>90</v>
      </c>
      <c r="S3" s="38">
        <v>91</v>
      </c>
      <c r="T3" s="38">
        <v>92</v>
      </c>
      <c r="U3" s="38">
        <v>92</v>
      </c>
      <c r="V3" s="38">
        <v>90</v>
      </c>
      <c r="W3" s="38">
        <v>91</v>
      </c>
      <c r="X3" s="38">
        <v>92</v>
      </c>
      <c r="Y3" s="38">
        <v>92</v>
      </c>
      <c r="Z3" s="38">
        <v>90</v>
      </c>
      <c r="AA3" s="38">
        <v>91</v>
      </c>
      <c r="AB3" s="38">
        <v>92</v>
      </c>
      <c r="AC3" s="38">
        <v>92</v>
      </c>
      <c r="AD3" s="38">
        <v>90</v>
      </c>
      <c r="AE3" s="38">
        <v>91</v>
      </c>
      <c r="AF3" s="38">
        <v>92</v>
      </c>
      <c r="AG3" s="38">
        <v>92</v>
      </c>
      <c r="AH3" s="38">
        <v>90</v>
      </c>
      <c r="AI3" s="38">
        <v>91</v>
      </c>
      <c r="AJ3" s="38">
        <v>92</v>
      </c>
      <c r="AK3" s="38">
        <v>92</v>
      </c>
      <c r="AL3" s="38">
        <v>90</v>
      </c>
      <c r="AM3" s="38">
        <v>91</v>
      </c>
      <c r="AN3" s="38">
        <v>92</v>
      </c>
      <c r="AO3" s="38">
        <v>92</v>
      </c>
      <c r="AP3" s="38">
        <v>90</v>
      </c>
      <c r="AQ3" s="38">
        <v>91</v>
      </c>
      <c r="AR3" s="38">
        <v>92</v>
      </c>
      <c r="AS3" s="38">
        <v>92</v>
      </c>
      <c r="AT3" s="38">
        <v>90</v>
      </c>
      <c r="AU3" s="38">
        <v>91</v>
      </c>
      <c r="AV3" s="38">
        <v>92</v>
      </c>
      <c r="AW3" s="38">
        <v>92</v>
      </c>
      <c r="AX3" s="38">
        <v>90</v>
      </c>
      <c r="AY3" s="38">
        <v>91</v>
      </c>
      <c r="AZ3" s="38">
        <v>92</v>
      </c>
      <c r="BA3" s="38">
        <v>92</v>
      </c>
      <c r="BB3" s="38">
        <v>90</v>
      </c>
      <c r="BC3" s="38">
        <v>91</v>
      </c>
      <c r="BD3" s="38">
        <v>92</v>
      </c>
      <c r="BE3" s="38">
        <v>92</v>
      </c>
      <c r="BF3" s="38">
        <v>90</v>
      </c>
      <c r="BG3" s="38">
        <v>91</v>
      </c>
      <c r="BH3" s="38">
        <v>92</v>
      </c>
      <c r="BI3" s="38">
        <v>92</v>
      </c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x14ac:dyDescent="0.25">
      <c r="A4" s="1"/>
      <c r="B4" s="1"/>
      <c r="C4" s="1"/>
      <c r="D4" s="1"/>
      <c r="E4" s="1"/>
      <c r="F4" s="39">
        <v>42460</v>
      </c>
      <c r="G4" s="2">
        <f t="shared" ref="G4:AL4" si="2">EOMONTH(F4,3)</f>
        <v>42551</v>
      </c>
      <c r="H4" s="2">
        <f t="shared" si="2"/>
        <v>42643</v>
      </c>
      <c r="I4" s="2">
        <f t="shared" si="2"/>
        <v>42735</v>
      </c>
      <c r="J4" s="2">
        <f t="shared" si="2"/>
        <v>42825</v>
      </c>
      <c r="K4" s="2">
        <f t="shared" si="2"/>
        <v>42916</v>
      </c>
      <c r="L4" s="2">
        <f t="shared" si="2"/>
        <v>43008</v>
      </c>
      <c r="M4" s="2">
        <f t="shared" si="2"/>
        <v>43100</v>
      </c>
      <c r="N4" s="2">
        <f t="shared" si="2"/>
        <v>43190</v>
      </c>
      <c r="O4" s="2">
        <f t="shared" si="2"/>
        <v>43281</v>
      </c>
      <c r="P4" s="2">
        <f t="shared" si="2"/>
        <v>43373</v>
      </c>
      <c r="Q4" s="2">
        <f t="shared" si="2"/>
        <v>43465</v>
      </c>
      <c r="R4" s="2">
        <f t="shared" si="2"/>
        <v>43555</v>
      </c>
      <c r="S4" s="2">
        <f t="shared" si="2"/>
        <v>43646</v>
      </c>
      <c r="T4" s="2">
        <f t="shared" si="2"/>
        <v>43738</v>
      </c>
      <c r="U4" s="2">
        <f t="shared" si="2"/>
        <v>43830</v>
      </c>
      <c r="V4" s="2">
        <f t="shared" si="2"/>
        <v>43921</v>
      </c>
      <c r="W4" s="2">
        <f t="shared" si="2"/>
        <v>44012</v>
      </c>
      <c r="X4" s="2">
        <f t="shared" si="2"/>
        <v>44104</v>
      </c>
      <c r="Y4" s="2">
        <f t="shared" si="2"/>
        <v>44196</v>
      </c>
      <c r="Z4" s="2">
        <f t="shared" si="2"/>
        <v>44286</v>
      </c>
      <c r="AA4" s="2">
        <f t="shared" si="2"/>
        <v>44377</v>
      </c>
      <c r="AB4" s="2">
        <f t="shared" si="2"/>
        <v>44469</v>
      </c>
      <c r="AC4" s="2">
        <f t="shared" si="2"/>
        <v>44561</v>
      </c>
      <c r="AD4" s="2">
        <f t="shared" si="2"/>
        <v>44651</v>
      </c>
      <c r="AE4" s="2">
        <f t="shared" si="2"/>
        <v>44742</v>
      </c>
      <c r="AF4" s="2">
        <f t="shared" si="2"/>
        <v>44834</v>
      </c>
      <c r="AG4" s="2">
        <f t="shared" si="2"/>
        <v>44926</v>
      </c>
      <c r="AH4" s="2">
        <f t="shared" si="2"/>
        <v>45016</v>
      </c>
      <c r="AI4" s="2">
        <f t="shared" si="2"/>
        <v>45107</v>
      </c>
      <c r="AJ4" s="2">
        <f t="shared" si="2"/>
        <v>45199</v>
      </c>
      <c r="AK4" s="2">
        <f t="shared" si="2"/>
        <v>45291</v>
      </c>
      <c r="AL4" s="2">
        <f t="shared" si="2"/>
        <v>45382</v>
      </c>
      <c r="AM4" s="2">
        <f t="shared" ref="AM4:BI4" si="3">EOMONTH(AL4,3)</f>
        <v>45473</v>
      </c>
      <c r="AN4" s="2">
        <f t="shared" si="3"/>
        <v>45565</v>
      </c>
      <c r="AO4" s="2">
        <f t="shared" si="3"/>
        <v>45657</v>
      </c>
      <c r="AP4" s="2">
        <f t="shared" si="3"/>
        <v>45747</v>
      </c>
      <c r="AQ4" s="2">
        <f t="shared" si="3"/>
        <v>45838</v>
      </c>
      <c r="AR4" s="2">
        <f t="shared" si="3"/>
        <v>45930</v>
      </c>
      <c r="AS4" s="2">
        <f t="shared" si="3"/>
        <v>46022</v>
      </c>
      <c r="AT4" s="2">
        <f t="shared" si="3"/>
        <v>46112</v>
      </c>
      <c r="AU4" s="2">
        <f t="shared" si="3"/>
        <v>46203</v>
      </c>
      <c r="AV4" s="2">
        <f t="shared" si="3"/>
        <v>46295</v>
      </c>
      <c r="AW4" s="2">
        <f t="shared" si="3"/>
        <v>46387</v>
      </c>
      <c r="AX4" s="2">
        <f t="shared" si="3"/>
        <v>46477</v>
      </c>
      <c r="AY4" s="2">
        <f t="shared" si="3"/>
        <v>46568</v>
      </c>
      <c r="AZ4" s="2">
        <f t="shared" si="3"/>
        <v>46660</v>
      </c>
      <c r="BA4" s="2">
        <f t="shared" si="3"/>
        <v>46752</v>
      </c>
      <c r="BB4" s="2">
        <f t="shared" si="3"/>
        <v>46843</v>
      </c>
      <c r="BC4" s="2">
        <f t="shared" si="3"/>
        <v>46934</v>
      </c>
      <c r="BD4" s="2">
        <f t="shared" si="3"/>
        <v>47026</v>
      </c>
      <c r="BE4" s="2">
        <f t="shared" si="3"/>
        <v>47118</v>
      </c>
      <c r="BF4" s="2">
        <f t="shared" si="3"/>
        <v>47208</v>
      </c>
      <c r="BG4" s="2">
        <f t="shared" si="3"/>
        <v>47299</v>
      </c>
      <c r="BH4" s="2">
        <f t="shared" si="3"/>
        <v>47391</v>
      </c>
      <c r="BI4" s="2">
        <f t="shared" si="3"/>
        <v>47483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5" customHeight="1" x14ac:dyDescent="0.25">
      <c r="A5" s="1"/>
      <c r="B5" s="1"/>
      <c r="C5" s="1"/>
      <c r="D5" s="1"/>
      <c r="E5" s="1"/>
      <c r="F5" s="40" t="s">
        <v>52</v>
      </c>
      <c r="G5" s="40" t="str">
        <f t="shared" ref="G5:AL5" si="4">G2&amp;" "&amp;G1</f>
        <v>Q2 16</v>
      </c>
      <c r="H5" s="40" t="str">
        <f t="shared" si="4"/>
        <v>Q3 16</v>
      </c>
      <c r="I5" s="40" t="str">
        <f t="shared" si="4"/>
        <v>Q4 16</v>
      </c>
      <c r="J5" s="40" t="str">
        <f t="shared" si="4"/>
        <v>Q1 17</v>
      </c>
      <c r="K5" s="40" t="str">
        <f t="shared" si="4"/>
        <v>Q2 17</v>
      </c>
      <c r="L5" s="40" t="str">
        <f t="shared" si="4"/>
        <v>Q3 17</v>
      </c>
      <c r="M5" s="40" t="str">
        <f t="shared" si="4"/>
        <v>Q4 17</v>
      </c>
      <c r="N5" s="40" t="str">
        <f t="shared" si="4"/>
        <v>Q1 18</v>
      </c>
      <c r="O5" s="40" t="str">
        <f t="shared" si="4"/>
        <v>Q2 18</v>
      </c>
      <c r="P5" s="40" t="str">
        <f t="shared" si="4"/>
        <v>Q3 18</v>
      </c>
      <c r="Q5" s="40" t="str">
        <f t="shared" si="4"/>
        <v>Q4 18</v>
      </c>
      <c r="R5" s="40" t="str">
        <f t="shared" si="4"/>
        <v>Q1 19</v>
      </c>
      <c r="S5" s="40" t="str">
        <f t="shared" si="4"/>
        <v>Q2 19</v>
      </c>
      <c r="T5" s="40" t="str">
        <f t="shared" si="4"/>
        <v>Q3 19</v>
      </c>
      <c r="U5" s="40" t="str">
        <f t="shared" si="4"/>
        <v>Q4 19</v>
      </c>
      <c r="V5" s="40" t="str">
        <f t="shared" si="4"/>
        <v>Q1 20</v>
      </c>
      <c r="W5" s="40" t="str">
        <f t="shared" si="4"/>
        <v>Q2 20</v>
      </c>
      <c r="X5" s="40" t="str">
        <f t="shared" si="4"/>
        <v>Q3 20</v>
      </c>
      <c r="Y5" s="40" t="str">
        <f t="shared" si="4"/>
        <v>Q4 20</v>
      </c>
      <c r="Z5" s="40" t="str">
        <f t="shared" si="4"/>
        <v>Q1 21</v>
      </c>
      <c r="AA5" s="40" t="str">
        <f t="shared" si="4"/>
        <v>Q2 21</v>
      </c>
      <c r="AB5" s="40" t="str">
        <f t="shared" si="4"/>
        <v>Q3 21</v>
      </c>
      <c r="AC5" s="40" t="str">
        <f t="shared" si="4"/>
        <v>Q4 21</v>
      </c>
      <c r="AD5" s="40" t="str">
        <f t="shared" si="4"/>
        <v>Q1 22</v>
      </c>
      <c r="AE5" s="40" t="str">
        <f t="shared" si="4"/>
        <v>Q2 22</v>
      </c>
      <c r="AF5" s="40" t="str">
        <f t="shared" si="4"/>
        <v>Q3 22</v>
      </c>
      <c r="AG5" s="40" t="str">
        <f t="shared" si="4"/>
        <v>Q4 22</v>
      </c>
      <c r="AH5" s="40" t="str">
        <f t="shared" si="4"/>
        <v>Q1 23</v>
      </c>
      <c r="AI5" s="40" t="str">
        <f t="shared" si="4"/>
        <v>Q2 23</v>
      </c>
      <c r="AJ5" s="40" t="str">
        <f t="shared" si="4"/>
        <v>Q3 23</v>
      </c>
      <c r="AK5" s="40" t="str">
        <f t="shared" si="4"/>
        <v>Q4 23</v>
      </c>
      <c r="AL5" s="40" t="str">
        <f t="shared" si="4"/>
        <v>Q1 24</v>
      </c>
      <c r="AM5" s="40" t="str">
        <f t="shared" ref="AM5:BI5" si="5">AM2&amp;" "&amp;AM1</f>
        <v>Q2 24</v>
      </c>
      <c r="AN5" s="40" t="str">
        <f t="shared" si="5"/>
        <v>Q3 24</v>
      </c>
      <c r="AO5" s="40" t="str">
        <f t="shared" si="5"/>
        <v>Q4 24</v>
      </c>
      <c r="AP5" s="40" t="str">
        <f t="shared" si="5"/>
        <v>Q1 25</v>
      </c>
      <c r="AQ5" s="40" t="str">
        <f t="shared" si="5"/>
        <v>Q2 25</v>
      </c>
      <c r="AR5" s="40" t="str">
        <f t="shared" si="5"/>
        <v>Q3 25</v>
      </c>
      <c r="AS5" s="40" t="str">
        <f t="shared" si="5"/>
        <v>Q4 25</v>
      </c>
      <c r="AT5" s="40" t="str">
        <f t="shared" si="5"/>
        <v>Q1 26</v>
      </c>
      <c r="AU5" s="40" t="str">
        <f t="shared" si="5"/>
        <v>Q2 26</v>
      </c>
      <c r="AV5" s="40" t="str">
        <f t="shared" si="5"/>
        <v>Q3 26</v>
      </c>
      <c r="AW5" s="40" t="str">
        <f t="shared" si="5"/>
        <v>Q4 26</v>
      </c>
      <c r="AX5" s="40" t="str">
        <f t="shared" si="5"/>
        <v>Q1 27</v>
      </c>
      <c r="AY5" s="40" t="str">
        <f t="shared" si="5"/>
        <v>Q2 27</v>
      </c>
      <c r="AZ5" s="40" t="str">
        <f t="shared" si="5"/>
        <v>Q3 27</v>
      </c>
      <c r="BA5" s="40" t="str">
        <f t="shared" si="5"/>
        <v>Q4 27</v>
      </c>
      <c r="BB5" s="40" t="str">
        <f t="shared" si="5"/>
        <v>Q1 28</v>
      </c>
      <c r="BC5" s="40" t="str">
        <f t="shared" si="5"/>
        <v>Q2 28</v>
      </c>
      <c r="BD5" s="40" t="str">
        <f t="shared" si="5"/>
        <v>Q3 28</v>
      </c>
      <c r="BE5" s="40" t="str">
        <f t="shared" si="5"/>
        <v>Q4 28</v>
      </c>
      <c r="BF5" s="40" t="str">
        <f t="shared" si="5"/>
        <v>Q1 29</v>
      </c>
      <c r="BG5" s="40" t="str">
        <f t="shared" si="5"/>
        <v>Q2 29</v>
      </c>
      <c r="BH5" s="40" t="str">
        <f t="shared" si="5"/>
        <v>Q3 29</v>
      </c>
      <c r="BI5" s="40" t="str">
        <f t="shared" si="5"/>
        <v>Q4 29</v>
      </c>
      <c r="BJ5" s="1"/>
      <c r="BK5" s="40">
        <v>2016</v>
      </c>
      <c r="BL5" s="40">
        <v>2017</v>
      </c>
      <c r="BM5" s="40">
        <v>2018</v>
      </c>
      <c r="BN5" s="40">
        <v>2019</v>
      </c>
      <c r="BO5" s="40">
        <v>2020</v>
      </c>
      <c r="BP5" s="40">
        <v>2021</v>
      </c>
      <c r="BQ5" s="40">
        <v>2022</v>
      </c>
      <c r="BR5" s="40">
        <v>2023</v>
      </c>
      <c r="BS5" s="40">
        <v>2024</v>
      </c>
      <c r="BT5" s="40">
        <v>2025</v>
      </c>
      <c r="BU5" s="40">
        <v>2026</v>
      </c>
      <c r="BV5" s="40">
        <v>2027</v>
      </c>
      <c r="BW5" s="40">
        <v>2028</v>
      </c>
      <c r="BX5" s="40">
        <v>2029</v>
      </c>
    </row>
    <row r="6" spans="1:76" ht="15" customHeight="1" x14ac:dyDescent="0.25">
      <c r="A6" s="11" t="s">
        <v>53</v>
      </c>
      <c r="B6" s="41" t="s">
        <v>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ht="15" customHeight="1" x14ac:dyDescent="0.25">
      <c r="A7" s="1"/>
      <c r="B7" s="3" t="s">
        <v>55</v>
      </c>
      <c r="C7" s="1"/>
      <c r="D7" s="1"/>
      <c r="E7" s="1"/>
      <c r="F7" s="42">
        <f t="shared" ref="F7:AS7" si="6">F25/F24</f>
        <v>0.35986110126851423</v>
      </c>
      <c r="G7" s="42">
        <f t="shared" si="6"/>
        <v>0.38044488949288335</v>
      </c>
      <c r="H7" s="42">
        <f t="shared" si="6"/>
        <v>0.33927186223302441</v>
      </c>
      <c r="I7" s="42">
        <f t="shared" si="6"/>
        <v>0.43217956055441126</v>
      </c>
      <c r="J7" s="42">
        <f t="shared" si="6"/>
        <v>0.4552294030587043</v>
      </c>
      <c r="K7" s="42">
        <f t="shared" si="6"/>
        <v>0.33053691275168146</v>
      </c>
      <c r="L7" s="42">
        <f t="shared" si="6"/>
        <v>0.38318275220979092</v>
      </c>
      <c r="M7" s="42">
        <f t="shared" si="6"/>
        <v>-1.7727163502798269</v>
      </c>
      <c r="N7" s="42">
        <f t="shared" si="6"/>
        <v>0.48886292541363768</v>
      </c>
      <c r="O7" s="42">
        <f t="shared" si="6"/>
        <v>4.6826222684703045E-2</v>
      </c>
      <c r="P7" s="42">
        <f t="shared" si="6"/>
        <v>0.3796468936307355</v>
      </c>
      <c r="Q7" s="42">
        <f t="shared" si="6"/>
        <v>5.5575895145344535E-2</v>
      </c>
      <c r="R7" s="42">
        <f t="shared" si="6"/>
        <v>0.35011068391005451</v>
      </c>
      <c r="S7" s="42">
        <f t="shared" si="6"/>
        <v>0.29877693651717979</v>
      </c>
      <c r="T7" s="42">
        <f t="shared" si="6"/>
        <v>0.29878213802435633</v>
      </c>
      <c r="U7" s="42">
        <f t="shared" si="6"/>
        <v>-1.4305882352939805</v>
      </c>
      <c r="V7" s="42">
        <f t="shared" si="6"/>
        <v>0.25574849728079418</v>
      </c>
      <c r="W7" s="42">
        <f t="shared" si="6"/>
        <v>0.26275086505190337</v>
      </c>
      <c r="X7" s="42">
        <f t="shared" si="6"/>
        <v>0.25011918220575657</v>
      </c>
      <c r="Y7" s="42">
        <f t="shared" si="6"/>
        <v>0.22543072889119001</v>
      </c>
      <c r="Z7" s="42">
        <f t="shared" si="6"/>
        <v>0.2728152296853496</v>
      </c>
      <c r="AA7" s="42">
        <f t="shared" si="6"/>
        <v>0.26392177832098374</v>
      </c>
      <c r="AB7" s="42">
        <f t="shared" si="6"/>
        <v>0.26632748637602183</v>
      </c>
      <c r="AC7" s="42">
        <f t="shared" si="6"/>
        <v>0.14544478733396066</v>
      </c>
      <c r="AD7" s="42">
        <f t="shared" si="6"/>
        <v>0.26211827914510349</v>
      </c>
      <c r="AE7" s="42">
        <f t="shared" si="6"/>
        <v>0.25671155970973836</v>
      </c>
      <c r="AF7" s="42">
        <f t="shared" si="6"/>
        <v>0.25354963199477071</v>
      </c>
      <c r="AG7" s="42">
        <f t="shared" si="6"/>
        <v>0.23816353964997108</v>
      </c>
      <c r="AH7" s="42">
        <f t="shared" si="6"/>
        <v>0.2580055526940615</v>
      </c>
      <c r="AI7" s="42">
        <f t="shared" si="6"/>
        <v>0.25755681266388269</v>
      </c>
      <c r="AJ7" s="42">
        <f t="shared" si="6"/>
        <v>0.23880017192355979</v>
      </c>
      <c r="AK7" s="42">
        <f t="shared" si="6"/>
        <v>0.32615977892894321</v>
      </c>
      <c r="AL7" s="42">
        <f t="shared" si="6"/>
        <v>0.25621648304799521</v>
      </c>
      <c r="AM7" s="42">
        <f t="shared" si="6"/>
        <v>0.25584239422973404</v>
      </c>
      <c r="AN7" s="42">
        <f t="shared" si="6"/>
        <v>0.25673842751811149</v>
      </c>
      <c r="AO7" s="42">
        <f t="shared" si="6"/>
        <v>0.27266076226166513</v>
      </c>
      <c r="AP7" s="42">
        <f t="shared" si="6"/>
        <v>0.2571250349530016</v>
      </c>
      <c r="AQ7" s="42">
        <f t="shared" si="6"/>
        <v>0.25931650012648605</v>
      </c>
      <c r="AR7" s="42">
        <f t="shared" si="6"/>
        <v>0.25956406388180825</v>
      </c>
      <c r="AS7" s="42">
        <f t="shared" si="6"/>
        <v>0.27081174989241635</v>
      </c>
      <c r="AT7" s="43">
        <v>0.25</v>
      </c>
      <c r="AU7" s="43">
        <v>0.25</v>
      </c>
      <c r="AV7" s="43">
        <v>0.25</v>
      </c>
      <c r="AW7" s="43">
        <v>0.25</v>
      </c>
      <c r="AX7" s="43">
        <v>0.25</v>
      </c>
      <c r="AY7" s="43">
        <v>0.25</v>
      </c>
      <c r="AZ7" s="43">
        <v>0.25</v>
      </c>
      <c r="BA7" s="43">
        <v>0.25</v>
      </c>
      <c r="BB7" s="43">
        <v>0.25</v>
      </c>
      <c r="BC7" s="43">
        <v>0.25</v>
      </c>
      <c r="BD7" s="43">
        <v>0.25</v>
      </c>
      <c r="BE7" s="43">
        <v>0.25</v>
      </c>
      <c r="BF7" s="43">
        <v>0.25</v>
      </c>
      <c r="BG7" s="43">
        <v>0.25</v>
      </c>
      <c r="BH7" s="43">
        <v>0.25</v>
      </c>
      <c r="BI7" s="43">
        <v>0.25</v>
      </c>
      <c r="BJ7" s="1"/>
      <c r="BK7" s="42">
        <f>BK25/BK24</f>
        <v>0.38882776771076127</v>
      </c>
      <c r="BL7" s="42">
        <f t="shared" ref="BL7:BX7" si="7">BL25/BL24</f>
        <v>-0.63233660286322979</v>
      </c>
      <c r="BM7" s="42">
        <f t="shared" si="7"/>
        <v>-0.14066380672836962</v>
      </c>
      <c r="BN7" s="42">
        <f t="shared" si="7"/>
        <v>0.45770635500365431</v>
      </c>
      <c r="BO7" s="42">
        <f t="shared" si="7"/>
        <v>0.24453617656820481</v>
      </c>
      <c r="BP7" s="42">
        <f t="shared" si="7"/>
        <v>0.25698317453723135</v>
      </c>
      <c r="BQ7" s="42">
        <f t="shared" si="7"/>
        <v>0.25201230422527382</v>
      </c>
      <c r="BR7" s="42">
        <f t="shared" si="7"/>
        <v>0.26746382387919948</v>
      </c>
      <c r="BS7" s="42">
        <f t="shared" si="7"/>
        <v>0.2609326519224795</v>
      </c>
      <c r="BT7" s="42">
        <f t="shared" si="7"/>
        <v>0.26178197428446515</v>
      </c>
      <c r="BU7" s="42">
        <f t="shared" ca="1" si="7"/>
        <v>0.25</v>
      </c>
      <c r="BV7" s="42">
        <f t="shared" ca="1" si="7"/>
        <v>0.25</v>
      </c>
      <c r="BW7" s="42">
        <f t="shared" ca="1" si="7"/>
        <v>0.25</v>
      </c>
      <c r="BX7" s="42">
        <f t="shared" ca="1" si="7"/>
        <v>0.25</v>
      </c>
    </row>
    <row r="8" spans="1:76" ht="15" customHeight="1" x14ac:dyDescent="0.25">
      <c r="A8" s="1"/>
      <c r="B8" s="3" t="s">
        <v>56</v>
      </c>
      <c r="C8" s="1"/>
      <c r="D8" s="1"/>
      <c r="E8" s="1"/>
      <c r="F8" s="42">
        <f t="shared" ref="F8:AS8" si="8">F32/F17</f>
        <v>2.6013020899951396E-3</v>
      </c>
      <c r="G8" s="42">
        <f t="shared" si="8"/>
        <v>1.5100239890335845E-3</v>
      </c>
      <c r="H8" s="42">
        <f t="shared" si="8"/>
        <v>1.8244392411086558E-3</v>
      </c>
      <c r="I8" s="42">
        <f t="shared" si="8"/>
        <v>3.2190218166262665E-3</v>
      </c>
      <c r="J8" s="42">
        <f t="shared" si="8"/>
        <v>2.3795717232950831E-3</v>
      </c>
      <c r="K8" s="42">
        <f t="shared" si="8"/>
        <v>2.1525864818937286E-3</v>
      </c>
      <c r="L8" s="42">
        <f t="shared" si="8"/>
        <v>1.6309312651932085E-3</v>
      </c>
      <c r="M8" s="42">
        <f t="shared" si="8"/>
        <v>1.2866858648367147E-3</v>
      </c>
      <c r="N8" s="42">
        <f t="shared" si="8"/>
        <v>7.0626443404457541E-4</v>
      </c>
      <c r="O8" s="42">
        <f t="shared" si="8"/>
        <v>7.9999803279172269E-4</v>
      </c>
      <c r="P8" s="42">
        <f t="shared" si="8"/>
        <v>2.2972792273965913E-3</v>
      </c>
      <c r="Q8" s="42">
        <f t="shared" si="8"/>
        <v>9.783814649502768E-4</v>
      </c>
      <c r="R8" s="42">
        <f t="shared" si="8"/>
        <v>1.8541823826379619E-3</v>
      </c>
      <c r="S8" s="42">
        <f t="shared" si="8"/>
        <v>0</v>
      </c>
      <c r="T8" s="42">
        <f t="shared" si="8"/>
        <v>0</v>
      </c>
      <c r="U8" s="42">
        <f t="shared" si="8"/>
        <v>0</v>
      </c>
      <c r="V8" s="42">
        <f t="shared" si="8"/>
        <v>0</v>
      </c>
      <c r="W8" s="42">
        <f t="shared" si="8"/>
        <v>0</v>
      </c>
      <c r="X8" s="42">
        <f t="shared" si="8"/>
        <v>0</v>
      </c>
      <c r="Y8" s="42">
        <f t="shared" si="8"/>
        <v>0</v>
      </c>
      <c r="Z8" s="42">
        <f t="shared" si="8"/>
        <v>0</v>
      </c>
      <c r="AA8" s="42">
        <f t="shared" si="8"/>
        <v>0</v>
      </c>
      <c r="AB8" s="42">
        <f t="shared" si="8"/>
        <v>0</v>
      </c>
      <c r="AC8" s="42">
        <f t="shared" si="8"/>
        <v>0</v>
      </c>
      <c r="AD8" s="42">
        <f t="shared" si="8"/>
        <v>0</v>
      </c>
      <c r="AE8" s="42">
        <f t="shared" si="8"/>
        <v>0</v>
      </c>
      <c r="AF8" s="42">
        <f t="shared" si="8"/>
        <v>0</v>
      </c>
      <c r="AG8" s="42">
        <f t="shared" si="8"/>
        <v>0</v>
      </c>
      <c r="AH8" s="42">
        <f t="shared" si="8"/>
        <v>0</v>
      </c>
      <c r="AI8" s="42">
        <f t="shared" si="8"/>
        <v>0</v>
      </c>
      <c r="AJ8" s="42">
        <f t="shared" si="8"/>
        <v>0</v>
      </c>
      <c r="AK8" s="42">
        <f t="shared" si="8"/>
        <v>0</v>
      </c>
      <c r="AL8" s="42">
        <f t="shared" si="8"/>
        <v>0</v>
      </c>
      <c r="AM8" s="42">
        <f t="shared" si="8"/>
        <v>0</v>
      </c>
      <c r="AN8" s="42">
        <f t="shared" si="8"/>
        <v>0</v>
      </c>
      <c r="AO8" s="42">
        <f t="shared" si="8"/>
        <v>0</v>
      </c>
      <c r="AP8" s="42">
        <f t="shared" si="8"/>
        <v>0</v>
      </c>
      <c r="AQ8" s="42">
        <f t="shared" si="8"/>
        <v>0</v>
      </c>
      <c r="AR8" s="42">
        <f t="shared" si="8"/>
        <v>0</v>
      </c>
      <c r="AS8" s="42">
        <f t="shared" si="8"/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1"/>
      <c r="BK8" s="42">
        <f>BK32/BK17</f>
        <v>2.2664860405496338E-3</v>
      </c>
      <c r="BL8" s="42">
        <f t="shared" ref="BL8:BX8" si="9">BL32/BL17</f>
        <v>1.8322405883152916E-3</v>
      </c>
      <c r="BM8" s="42">
        <f t="shared" si="9"/>
        <v>1.212012719431379E-3</v>
      </c>
      <c r="BN8" s="42">
        <f t="shared" si="9"/>
        <v>4.2369817440991481E-4</v>
      </c>
      <c r="BO8" s="42">
        <f t="shared" si="9"/>
        <v>0</v>
      </c>
      <c r="BP8" s="42">
        <f t="shared" si="9"/>
        <v>0</v>
      </c>
      <c r="BQ8" s="42">
        <f t="shared" si="9"/>
        <v>0</v>
      </c>
      <c r="BR8" s="42">
        <f t="shared" si="9"/>
        <v>0</v>
      </c>
      <c r="BS8" s="42">
        <f t="shared" si="9"/>
        <v>0</v>
      </c>
      <c r="BT8" s="42">
        <f t="shared" si="9"/>
        <v>0</v>
      </c>
      <c r="BU8" s="42">
        <f t="shared" ca="1" si="9"/>
        <v>0</v>
      </c>
      <c r="BV8" s="42">
        <f t="shared" ca="1" si="9"/>
        <v>0</v>
      </c>
      <c r="BW8" s="42">
        <f t="shared" ca="1" si="9"/>
        <v>0</v>
      </c>
      <c r="BX8" s="42">
        <f t="shared" ca="1" si="9"/>
        <v>0</v>
      </c>
    </row>
    <row r="9" spans="1:76" ht="15" customHeight="1" x14ac:dyDescent="0.25">
      <c r="A9" s="1"/>
      <c r="B9" s="3" t="s">
        <v>57</v>
      </c>
      <c r="C9" s="1"/>
      <c r="D9" s="1"/>
      <c r="E9" s="1"/>
      <c r="F9" s="42">
        <f t="shared" ref="F9:AS9" si="10">F33/F17</f>
        <v>3.8993950014069731E-2</v>
      </c>
      <c r="G9" s="42">
        <f t="shared" si="10"/>
        <v>3.3246706267610997E-2</v>
      </c>
      <c r="H9" s="42">
        <f t="shared" si="10"/>
        <v>3.657947676637284E-2</v>
      </c>
      <c r="I9" s="42">
        <f t="shared" si="10"/>
        <v>3.9494510195351502E-2</v>
      </c>
      <c r="J9" s="42">
        <f t="shared" si="10"/>
        <v>4.040766915174044E-2</v>
      </c>
      <c r="K9" s="42">
        <f t="shared" si="10"/>
        <v>3.5975646780827021E-2</v>
      </c>
      <c r="L9" s="42">
        <f t="shared" si="10"/>
        <v>3.7200028214422726E-2</v>
      </c>
      <c r="M9" s="42">
        <f t="shared" si="10"/>
        <v>4.3109748354791443E-2</v>
      </c>
      <c r="N9" s="42">
        <f t="shared" si="10"/>
        <v>4.4348147042001129E-2</v>
      </c>
      <c r="O9" s="42">
        <f t="shared" si="10"/>
        <v>3.8267938685396678E-2</v>
      </c>
      <c r="P9" s="42">
        <f t="shared" si="10"/>
        <v>3.8694122171070065E-2</v>
      </c>
      <c r="Q9" s="42">
        <f t="shared" si="10"/>
        <v>4.11412925369379E-2</v>
      </c>
      <c r="R9" s="42">
        <f t="shared" si="10"/>
        <v>4.1501044507630709E-2</v>
      </c>
      <c r="S9" s="42">
        <f t="shared" si="10"/>
        <v>3.5375245650523413E-2</v>
      </c>
      <c r="T9" s="42">
        <f t="shared" si="10"/>
        <v>3.5867002247785058E-2</v>
      </c>
      <c r="U9" s="42">
        <f t="shared" si="10"/>
        <v>3.689727036538476E-2</v>
      </c>
      <c r="V9" s="42">
        <f t="shared" si="10"/>
        <v>3.7134032553551896E-2</v>
      </c>
      <c r="W9" s="42">
        <f t="shared" si="10"/>
        <v>3.4905864090644272E-2</v>
      </c>
      <c r="X9" s="42">
        <f t="shared" si="10"/>
        <v>3.6201414544699079E-2</v>
      </c>
      <c r="Y9" s="42">
        <f t="shared" si="10"/>
        <v>3.4824582739276272E-2</v>
      </c>
      <c r="Z9" s="42">
        <f t="shared" si="10"/>
        <v>3.427630040232877E-2</v>
      </c>
      <c r="AA9" s="42">
        <f t="shared" si="10"/>
        <v>3.0952085220286838E-2</v>
      </c>
      <c r="AB9" s="42">
        <f t="shared" si="10"/>
        <v>3.2562754214261795E-2</v>
      </c>
      <c r="AC9" s="42">
        <f t="shared" si="10"/>
        <v>3.2248978314088107E-2</v>
      </c>
      <c r="AD9" s="42">
        <f t="shared" si="10"/>
        <v>3.081051982471706E-2</v>
      </c>
      <c r="AE9" s="42">
        <f t="shared" si="10"/>
        <v>2.669420736389766E-2</v>
      </c>
      <c r="AF9" s="42">
        <f t="shared" si="10"/>
        <v>2.6115244546045691E-2</v>
      </c>
      <c r="AG9" s="42">
        <f t="shared" si="10"/>
        <v>2.7471475939330928E-2</v>
      </c>
      <c r="AH9" s="42">
        <f t="shared" si="10"/>
        <v>2.7683785493133932E-2</v>
      </c>
      <c r="AI9" s="42">
        <f t="shared" si="10"/>
        <v>2.5118010250559E-2</v>
      </c>
      <c r="AJ9" s="42">
        <f t="shared" si="10"/>
        <v>2.5759331195238575E-2</v>
      </c>
      <c r="AK9" s="42">
        <f t="shared" si="10"/>
        <v>2.800198165983632E-2</v>
      </c>
      <c r="AL9" s="42">
        <f t="shared" si="10"/>
        <v>2.9373106496124089E-2</v>
      </c>
      <c r="AM9" s="42">
        <f t="shared" si="10"/>
        <v>2.6536476937185645E-2</v>
      </c>
      <c r="AN9" s="42">
        <f t="shared" si="10"/>
        <v>2.7621524513324263E-2</v>
      </c>
      <c r="AO9" s="42">
        <f t="shared" si="10"/>
        <v>2.897918402285719E-2</v>
      </c>
      <c r="AP9" s="42">
        <f t="shared" si="10"/>
        <v>3.3780871493698961E-2</v>
      </c>
      <c r="AQ9" s="42">
        <f t="shared" si="10"/>
        <v>2.9514653312631121E-2</v>
      </c>
      <c r="AR9" s="42">
        <f t="shared" si="10"/>
        <v>2.9172008725229927E-2</v>
      </c>
      <c r="AS9" s="42">
        <f t="shared" si="10"/>
        <v>2.904357744446346E-2</v>
      </c>
      <c r="AT9" s="43">
        <f>AP9</f>
        <v>3.3780871493698961E-2</v>
      </c>
      <c r="AU9" s="43">
        <f t="shared" ref="AU9:BI10" si="11">AQ9</f>
        <v>2.9514653312631121E-2</v>
      </c>
      <c r="AV9" s="43">
        <f t="shared" si="11"/>
        <v>2.9172008725229927E-2</v>
      </c>
      <c r="AW9" s="43">
        <f t="shared" si="11"/>
        <v>2.904357744446346E-2</v>
      </c>
      <c r="AX9" s="43">
        <f t="shared" si="11"/>
        <v>3.3780871493698961E-2</v>
      </c>
      <c r="AY9" s="43">
        <f t="shared" si="11"/>
        <v>2.9514653312631121E-2</v>
      </c>
      <c r="AZ9" s="43">
        <f t="shared" si="11"/>
        <v>2.9172008725229927E-2</v>
      </c>
      <c r="BA9" s="43">
        <f t="shared" si="11"/>
        <v>2.904357744446346E-2</v>
      </c>
      <c r="BB9" s="43">
        <f t="shared" si="11"/>
        <v>3.3780871493698961E-2</v>
      </c>
      <c r="BC9" s="43">
        <f t="shared" si="11"/>
        <v>2.9514653312631121E-2</v>
      </c>
      <c r="BD9" s="43">
        <f t="shared" si="11"/>
        <v>2.9172008725229927E-2</v>
      </c>
      <c r="BE9" s="43">
        <f t="shared" si="11"/>
        <v>2.904357744446346E-2</v>
      </c>
      <c r="BF9" s="43">
        <f t="shared" si="11"/>
        <v>3.3780871493698961E-2</v>
      </c>
      <c r="BG9" s="43">
        <f t="shared" si="11"/>
        <v>2.9514653312631121E-2</v>
      </c>
      <c r="BH9" s="43">
        <f t="shared" si="11"/>
        <v>2.9172008725229927E-2</v>
      </c>
      <c r="BI9" s="43">
        <f t="shared" si="11"/>
        <v>2.904357744446346E-2</v>
      </c>
      <c r="BJ9" s="1"/>
      <c r="BK9" s="42">
        <f>BK33/BK17</f>
        <v>3.6947777677805417E-2</v>
      </c>
      <c r="BL9" s="42">
        <f t="shared" ref="BL9:BX9" si="12">BL33/BL17</f>
        <v>3.9050408125693277E-2</v>
      </c>
      <c r="BM9" s="42">
        <f t="shared" si="12"/>
        <v>4.0484597536539824E-2</v>
      </c>
      <c r="BN9" s="42">
        <f t="shared" si="12"/>
        <v>3.7276323103733119E-2</v>
      </c>
      <c r="BO9" s="42">
        <f t="shared" si="12"/>
        <v>3.5750796278356027E-2</v>
      </c>
      <c r="BP9" s="42">
        <f t="shared" si="12"/>
        <v>3.2459874802119967E-2</v>
      </c>
      <c r="BQ9" s="42">
        <f t="shared" si="12"/>
        <v>2.7671535216257748E-2</v>
      </c>
      <c r="BR9" s="42">
        <f t="shared" si="12"/>
        <v>2.6595998892672491E-2</v>
      </c>
      <c r="BS9" s="42">
        <f t="shared" si="12"/>
        <v>2.8086808210656785E-2</v>
      </c>
      <c r="BT9" s="42">
        <f t="shared" si="12"/>
        <v>3.0233582893323303E-2</v>
      </c>
      <c r="BU9" s="42">
        <f t="shared" ca="1" si="12"/>
        <v>3.0317210957608125E-2</v>
      </c>
      <c r="BV9" s="42">
        <f t="shared" ca="1" si="12"/>
        <v>3.0317212131720655E-2</v>
      </c>
      <c r="BW9" s="42">
        <f t="shared" ca="1" si="12"/>
        <v>3.0317213305644165E-2</v>
      </c>
      <c r="BX9" s="42">
        <f t="shared" ca="1" si="12"/>
        <v>3.0317214479378692E-2</v>
      </c>
    </row>
    <row r="10" spans="1:76" ht="15" customHeight="1" x14ac:dyDescent="0.25">
      <c r="A10" s="1"/>
      <c r="B10" s="3" t="s">
        <v>58</v>
      </c>
      <c r="C10" s="1"/>
      <c r="D10" s="1"/>
      <c r="E10" s="1"/>
      <c r="F10" s="42">
        <f t="shared" ref="F10:AS10" si="13">F64/F17</f>
        <v>-7.2414366478217487E-2</v>
      </c>
      <c r="G10" s="42">
        <f t="shared" si="13"/>
        <v>8.8078783032518471E-3</v>
      </c>
      <c r="H10" s="42">
        <f t="shared" si="13"/>
        <v>9.7405503705413586E-3</v>
      </c>
      <c r="I10" s="42">
        <f t="shared" si="13"/>
        <v>-4.2424782546699007E-2</v>
      </c>
      <c r="J10" s="42">
        <f t="shared" si="13"/>
        <v>-1.1713037511753583E-3</v>
      </c>
      <c r="K10" s="42">
        <f t="shared" si="13"/>
        <v>1.8199062508819509E-3</v>
      </c>
      <c r="L10" s="42">
        <f t="shared" si="13"/>
        <v>-3.2074121352984791E-2</v>
      </c>
      <c r="M10" s="42">
        <f t="shared" si="13"/>
        <v>1.5465093873013265E-2</v>
      </c>
      <c r="N10" s="42">
        <f t="shared" si="13"/>
        <v>-9.0928728338954337E-2</v>
      </c>
      <c r="O10" s="42">
        <f t="shared" si="13"/>
        <v>6.7235080569474012E-2</v>
      </c>
      <c r="P10" s="42">
        <f t="shared" si="13"/>
        <v>-0.10271230107480443</v>
      </c>
      <c r="Q10" s="42">
        <f t="shared" si="13"/>
        <v>8.0326701983422122E-2</v>
      </c>
      <c r="R10" s="42">
        <f t="shared" si="13"/>
        <v>-4.526199733070272E-2</v>
      </c>
      <c r="S10" s="42">
        <f t="shared" si="13"/>
        <v>-1.54067925559353E-2</v>
      </c>
      <c r="T10" s="42">
        <f t="shared" si="13"/>
        <v>2.3974275960658639E-2</v>
      </c>
      <c r="U10" s="42">
        <f t="shared" si="13"/>
        <v>1.3052303365115869E-2</v>
      </c>
      <c r="V10" s="42">
        <f t="shared" si="13"/>
        <v>-2.915889826354345E-2</v>
      </c>
      <c r="W10" s="42">
        <f t="shared" si="13"/>
        <v>6.3890190390436905E-2</v>
      </c>
      <c r="X10" s="42">
        <f t="shared" si="13"/>
        <v>2.309474558970976E-2</v>
      </c>
      <c r="Y10" s="42">
        <f t="shared" si="13"/>
        <v>2.4901516223916429E-3</v>
      </c>
      <c r="Z10" s="42">
        <f t="shared" si="13"/>
        <v>-3.7638096258082607E-2</v>
      </c>
      <c r="AA10" s="42">
        <f t="shared" si="13"/>
        <v>4.4850064825139598E-2</v>
      </c>
      <c r="AB10" s="42">
        <f t="shared" si="13"/>
        <v>1.8194330850427327E-2</v>
      </c>
      <c r="AC10" s="42">
        <f t="shared" si="13"/>
        <v>-1.4351736634294576E-2</v>
      </c>
      <c r="AD10" s="42">
        <f t="shared" si="13"/>
        <v>-2.4309328533037879E-2</v>
      </c>
      <c r="AE10" s="42">
        <f t="shared" si="13"/>
        <v>-7.9700855370592686E-3</v>
      </c>
      <c r="AF10" s="42">
        <f t="shared" si="13"/>
        <v>-9.6396328355404653E-3</v>
      </c>
      <c r="AG10" s="42">
        <f t="shared" si="13"/>
        <v>-8.8269609198910279E-3</v>
      </c>
      <c r="AH10" s="42">
        <f t="shared" si="13"/>
        <v>-3.9432644329942833E-2</v>
      </c>
      <c r="AI10" s="42">
        <f t="shared" si="13"/>
        <v>8.0260772748603597E-3</v>
      </c>
      <c r="AJ10" s="42">
        <f t="shared" si="13"/>
        <v>3.1460592795726307E-2</v>
      </c>
      <c r="AK10" s="42">
        <f t="shared" si="13"/>
        <v>-7.2399255406031737E-3</v>
      </c>
      <c r="AL10" s="42">
        <f t="shared" si="13"/>
        <v>-4.4115263259082223E-2</v>
      </c>
      <c r="AM10" s="42">
        <f t="shared" si="13"/>
        <v>2.610828962834567E-2</v>
      </c>
      <c r="AN10" s="42">
        <f t="shared" si="13"/>
        <v>3.1398599497522703E-2</v>
      </c>
      <c r="AO10" s="42">
        <f t="shared" si="13"/>
        <v>-2.854001872321419E-2</v>
      </c>
      <c r="AP10" s="42">
        <f t="shared" si="13"/>
        <v>-2.4698460800378741E-2</v>
      </c>
      <c r="AQ10" s="42">
        <f t="shared" si="13"/>
        <v>3.8630701167705673E-3</v>
      </c>
      <c r="AR10" s="42">
        <f t="shared" si="13"/>
        <v>2.7175521906544275E-2</v>
      </c>
      <c r="AS10" s="42">
        <f t="shared" si="13"/>
        <v>-1.3792364625924652E-2</v>
      </c>
      <c r="AT10" s="43">
        <f>AP10</f>
        <v>-2.4698460800378741E-2</v>
      </c>
      <c r="AU10" s="43">
        <f t="shared" si="11"/>
        <v>3.8630701167705673E-3</v>
      </c>
      <c r="AV10" s="43">
        <f t="shared" si="11"/>
        <v>2.7175521906544275E-2</v>
      </c>
      <c r="AW10" s="43">
        <f t="shared" si="11"/>
        <v>-1.3792364625924652E-2</v>
      </c>
      <c r="AX10" s="43">
        <f t="shared" ref="AX10" si="14">AT10</f>
        <v>-2.4698460800378741E-2</v>
      </c>
      <c r="AY10" s="43">
        <f t="shared" ref="AY10" si="15">AU10</f>
        <v>3.8630701167705673E-3</v>
      </c>
      <c r="AZ10" s="43">
        <f t="shared" ref="AZ10" si="16">AV10</f>
        <v>2.7175521906544275E-2</v>
      </c>
      <c r="BA10" s="43">
        <f t="shared" ref="BA10" si="17">AW10</f>
        <v>-1.3792364625924652E-2</v>
      </c>
      <c r="BB10" s="43">
        <f t="shared" ref="BB10" si="18">AX10</f>
        <v>-2.4698460800378741E-2</v>
      </c>
      <c r="BC10" s="43">
        <f t="shared" ref="BC10" si="19">AY10</f>
        <v>3.8630701167705673E-3</v>
      </c>
      <c r="BD10" s="43">
        <f t="shared" ref="BD10" si="20">AZ10</f>
        <v>2.7175521906544275E-2</v>
      </c>
      <c r="BE10" s="43">
        <f t="shared" ref="BE10" si="21">BA10</f>
        <v>-1.3792364625924652E-2</v>
      </c>
      <c r="BF10" s="43">
        <f t="shared" ref="BF10" si="22">BB10</f>
        <v>-2.4698460800378741E-2</v>
      </c>
      <c r="BG10" s="43">
        <f t="shared" ref="BG10" si="23">BC10</f>
        <v>3.8630701167705673E-3</v>
      </c>
      <c r="BH10" s="43">
        <f t="shared" ref="BH10" si="24">BD10</f>
        <v>2.7175521906544275E-2</v>
      </c>
      <c r="BI10" s="43">
        <f t="shared" ref="BI10" si="25">BE10</f>
        <v>-1.3792364625924652E-2</v>
      </c>
      <c r="BJ10" s="1"/>
      <c r="BK10" s="42">
        <f>BK64/BK17</f>
        <v>-2.0695228910654704E-2</v>
      </c>
      <c r="BL10" s="42">
        <f t="shared" ref="BL10:BX10" si="26">BL64/BL17</f>
        <v>-4.3382146825334421E-3</v>
      </c>
      <c r="BM10" s="42">
        <f t="shared" si="26"/>
        <v>-1.019638670599763E-2</v>
      </c>
      <c r="BN10" s="42">
        <f t="shared" si="26"/>
        <v>-4.9068185156723827E-3</v>
      </c>
      <c r="BO10" s="42">
        <f t="shared" si="26"/>
        <v>1.5590659903018694E-2</v>
      </c>
      <c r="BP10" s="42">
        <f t="shared" si="26"/>
        <v>4.1113025044969016E-3</v>
      </c>
      <c r="BQ10" s="42">
        <f t="shared" si="26"/>
        <v>-1.2326323178825467E-2</v>
      </c>
      <c r="BR10" s="42">
        <f t="shared" si="26"/>
        <v>-8.9451863866045857E-4</v>
      </c>
      <c r="BS10" s="42">
        <f t="shared" si="26"/>
        <v>-2.5699608505625497E-3</v>
      </c>
      <c r="BT10" s="42">
        <f t="shared" si="26"/>
        <v>-9.4119372362275048E-4</v>
      </c>
      <c r="BU10" s="42">
        <f t="shared" ca="1" si="26"/>
        <v>-1.5016853367425117E-3</v>
      </c>
      <c r="BV10" s="42">
        <f t="shared" ca="1" si="26"/>
        <v>-1.5016911227052295E-3</v>
      </c>
      <c r="BW10" s="42">
        <f t="shared" ca="1" si="26"/>
        <v>-1.5016969077365013E-3</v>
      </c>
      <c r="BX10" s="42">
        <f t="shared" ca="1" si="26"/>
        <v>-1.5017026918364435E-3</v>
      </c>
    </row>
    <row r="11" spans="1:76" ht="15" customHeight="1" x14ac:dyDescent="0.25">
      <c r="A11" s="1"/>
      <c r="B11" s="3" t="s">
        <v>59</v>
      </c>
      <c r="C11" s="1"/>
      <c r="D11" s="1"/>
      <c r="E11" s="1"/>
      <c r="F11" s="42">
        <f t="shared" ref="F11:AK11" si="27">IF(F17=0,0,F35/F17)</f>
        <v>6.1422386227008789E-2</v>
      </c>
      <c r="G11" s="42">
        <f t="shared" si="27"/>
        <v>9.9888860330515569E-2</v>
      </c>
      <c r="H11" s="42">
        <f t="shared" si="27"/>
        <v>8.5282228619079747E-2</v>
      </c>
      <c r="I11" s="42">
        <f t="shared" si="27"/>
        <v>6.7573316222253585E-2</v>
      </c>
      <c r="J11" s="42">
        <f t="shared" si="27"/>
        <v>5.8506275831637158E-2</v>
      </c>
      <c r="K11" s="42">
        <f t="shared" si="27"/>
        <v>7.8591214676243873E-2</v>
      </c>
      <c r="L11" s="42">
        <f t="shared" si="27"/>
        <v>6.9909834274674329E-2</v>
      </c>
      <c r="M11" s="42">
        <f t="shared" si="27"/>
        <v>4.3622113947621062E-2</v>
      </c>
      <c r="N11" s="42">
        <f t="shared" si="27"/>
        <v>2.7212781883566014E-2</v>
      </c>
      <c r="O11" s="42">
        <f t="shared" si="27"/>
        <v>5.5198224922397711E-2</v>
      </c>
      <c r="P11" s="42">
        <f t="shared" si="27"/>
        <v>7.7870789255776118E-2</v>
      </c>
      <c r="Q11" s="42">
        <f t="shared" si="27"/>
        <v>5.3395696353328928E-2</v>
      </c>
      <c r="R11" s="42">
        <f t="shared" si="27"/>
        <v>6.162867028375791E-2</v>
      </c>
      <c r="S11" s="42">
        <f t="shared" si="27"/>
        <v>8.814761250852865E-2</v>
      </c>
      <c r="T11" s="42">
        <f t="shared" si="27"/>
        <v>7.8231102516150341E-2</v>
      </c>
      <c r="U11" s="42">
        <f t="shared" si="27"/>
        <v>7.0435616807851514E-2</v>
      </c>
      <c r="V11" s="42">
        <f t="shared" si="27"/>
        <v>6.5113923791645642E-2</v>
      </c>
      <c r="W11" s="42">
        <f t="shared" si="27"/>
        <v>0.10263482763818883</v>
      </c>
      <c r="X11" s="42">
        <f t="shared" si="27"/>
        <v>0.11436870899461334</v>
      </c>
      <c r="Y11" s="42">
        <f t="shared" si="27"/>
        <v>0.10802362202876969</v>
      </c>
      <c r="Z11" s="42">
        <f t="shared" si="27"/>
        <v>0.10844528163407377</v>
      </c>
      <c r="AA11" s="42">
        <f t="shared" si="27"/>
        <v>0.11528826602171816</v>
      </c>
      <c r="AB11" s="42">
        <f t="shared" si="27"/>
        <v>0.126584979607968</v>
      </c>
      <c r="AC11" s="42">
        <f t="shared" si="27"/>
        <v>9.4355929628998261E-2</v>
      </c>
      <c r="AD11" s="42">
        <f t="shared" si="27"/>
        <v>0.12408089675139808</v>
      </c>
      <c r="AE11" s="42">
        <f t="shared" si="27"/>
        <v>0.11902846951664817</v>
      </c>
      <c r="AF11" s="42">
        <f t="shared" si="27"/>
        <v>0.14273767046197661</v>
      </c>
      <c r="AG11" s="42">
        <f t="shared" si="27"/>
        <v>0.13736437361512477</v>
      </c>
      <c r="AH11" s="42">
        <f t="shared" si="27"/>
        <v>0.15879125144275866</v>
      </c>
      <c r="AI11" s="42">
        <f t="shared" si="27"/>
        <v>0.15950132042658519</v>
      </c>
      <c r="AJ11" s="42">
        <f t="shared" si="27"/>
        <v>0.15204785252285072</v>
      </c>
      <c r="AK11" s="42">
        <f t="shared" si="27"/>
        <v>0.13742676074645799</v>
      </c>
      <c r="AL11" s="42">
        <f t="shared" ref="AL11:BI11" si="28">IF(AL17=0,0,AL35/AL17)</f>
        <v>0.16471017688828904</v>
      </c>
      <c r="AM11" s="42">
        <f t="shared" si="28"/>
        <v>0.1708283614791784</v>
      </c>
      <c r="AN11" s="42">
        <f t="shared" si="28"/>
        <v>0.1562170801494292</v>
      </c>
      <c r="AO11" s="42">
        <f t="shared" si="28"/>
        <v>0.15422947102625573</v>
      </c>
      <c r="AP11" s="42">
        <f t="shared" si="28"/>
        <v>0.15392186088784837</v>
      </c>
      <c r="AQ11" s="42">
        <f t="shared" si="28"/>
        <v>0.17614963791801652</v>
      </c>
      <c r="AR11" s="42">
        <f t="shared" si="28"/>
        <v>0.1597824941469044</v>
      </c>
      <c r="AS11" s="42">
        <f t="shared" si="28"/>
        <v>0.15619023212385805</v>
      </c>
      <c r="AT11" s="42">
        <f t="shared" ca="1" si="28"/>
        <v>0.12716833414937681</v>
      </c>
      <c r="AU11" s="42">
        <f t="shared" ca="1" si="28"/>
        <v>0.11782358436219524</v>
      </c>
      <c r="AV11" s="42">
        <f t="shared" ca="1" si="28"/>
        <v>0.11103405422192948</v>
      </c>
      <c r="AW11" s="42">
        <f t="shared" ca="1" si="28"/>
        <v>0.11476364067103413</v>
      </c>
      <c r="AX11" s="42">
        <f t="shared" ca="1" si="28"/>
        <v>0.11844607474356116</v>
      </c>
      <c r="AY11" s="42">
        <f t="shared" ca="1" si="28"/>
        <v>0.12208590300870589</v>
      </c>
      <c r="AZ11" s="42">
        <f t="shared" ca="1" si="28"/>
        <v>0.11620610717703471</v>
      </c>
      <c r="BA11" s="42">
        <f t="shared" ca="1" si="28"/>
        <v>0.12184135030628855</v>
      </c>
      <c r="BB11" s="42">
        <f t="shared" ca="1" si="28"/>
        <v>0.12230468693467991</v>
      </c>
      <c r="BC11" s="42">
        <f t="shared" ca="1" si="28"/>
        <v>0.12398113189189869</v>
      </c>
      <c r="BD11" s="42">
        <f t="shared" ca="1" si="28"/>
        <v>0.11617997154599852</v>
      </c>
      <c r="BE11" s="42">
        <f t="shared" ca="1" si="28"/>
        <v>0.11997716397893805</v>
      </c>
      <c r="BF11" s="42">
        <f t="shared" ca="1" si="28"/>
        <v>0.11861225705632703</v>
      </c>
      <c r="BG11" s="42">
        <f t="shared" ca="1" si="28"/>
        <v>0.12031639257518026</v>
      </c>
      <c r="BH11" s="42">
        <f t="shared" ca="1" si="28"/>
        <v>0.11248453655033347</v>
      </c>
      <c r="BI11" s="42">
        <f t="shared" ca="1" si="28"/>
        <v>0.11630295017258768</v>
      </c>
      <c r="BJ11" s="1"/>
      <c r="BK11" s="42">
        <f>BK35/BK17</f>
        <v>7.9721761434127361E-2</v>
      </c>
      <c r="BL11" s="42">
        <f t="shared" ref="BL11:BX11" si="29">BL35/BL17</f>
        <v>6.3127418663967566E-2</v>
      </c>
      <c r="BM11" s="42">
        <f t="shared" si="29"/>
        <v>5.421497637807518E-2</v>
      </c>
      <c r="BN11" s="42">
        <f t="shared" si="29"/>
        <v>7.5149967399067097E-2</v>
      </c>
      <c r="BO11" s="42">
        <f t="shared" si="29"/>
        <v>9.8334310894949123E-2</v>
      </c>
      <c r="BP11" s="42">
        <f t="shared" si="29"/>
        <v>0.11140892736890659</v>
      </c>
      <c r="BQ11" s="42">
        <f t="shared" si="29"/>
        <v>0.13105025562989711</v>
      </c>
      <c r="BR11" s="42">
        <f t="shared" si="29"/>
        <v>0.15200459643112316</v>
      </c>
      <c r="BS11" s="42">
        <f t="shared" si="29"/>
        <v>0.16147635641814828</v>
      </c>
      <c r="BT11" s="42">
        <f t="shared" si="29"/>
        <v>0.16175665514443371</v>
      </c>
      <c r="BU11" s="42">
        <f t="shared" ca="1" si="29"/>
        <v>0.11751923531824421</v>
      </c>
      <c r="BV11" s="42">
        <f t="shared" ca="1" si="29"/>
        <v>0.11966039085124508</v>
      </c>
      <c r="BW11" s="42">
        <f t="shared" ca="1" si="29"/>
        <v>0.120563675162548</v>
      </c>
      <c r="BX11" s="42">
        <f t="shared" ca="1" si="29"/>
        <v>0.11688210658135867</v>
      </c>
    </row>
    <row r="12" spans="1:76" ht="15" customHeight="1" x14ac:dyDescent="0.25">
      <c r="A12" s="1"/>
      <c r="B12" s="3" t="s">
        <v>872</v>
      </c>
      <c r="C12" s="1"/>
      <c r="D12" s="1"/>
      <c r="E12" s="1"/>
      <c r="F12" s="42">
        <f>F19/F17</f>
        <v>0.38995229080862603</v>
      </c>
      <c r="G12" s="42">
        <f t="shared" ref="G12:BI12" si="30">G19/G17</f>
        <v>0.38042966072652501</v>
      </c>
      <c r="H12" s="42">
        <f t="shared" si="30"/>
        <v>0.38537009380138232</v>
      </c>
      <c r="I12" s="42">
        <f t="shared" si="30"/>
        <v>0.3861008127762724</v>
      </c>
      <c r="J12" s="42">
        <f t="shared" si="30"/>
        <v>0.3835280500680372</v>
      </c>
      <c r="K12" s="42">
        <f t="shared" si="30"/>
        <v>0.35506815668640218</v>
      </c>
      <c r="L12" s="42">
        <f t="shared" si="30"/>
        <v>0.35295898758393363</v>
      </c>
      <c r="M12" s="42">
        <f t="shared" si="30"/>
        <v>0.34047359630031143</v>
      </c>
      <c r="N12" s="42">
        <f t="shared" si="30"/>
        <v>0.33588978518103196</v>
      </c>
      <c r="O12" s="42">
        <f t="shared" si="30"/>
        <v>0.33172705313019724</v>
      </c>
      <c r="P12" s="42">
        <f t="shared" si="30"/>
        <v>0.34277798033774814</v>
      </c>
      <c r="Q12" s="42">
        <f t="shared" si="30"/>
        <v>0.33490824594327973</v>
      </c>
      <c r="R12" s="42">
        <f t="shared" si="30"/>
        <v>0.35298192421516855</v>
      </c>
      <c r="S12" s="42">
        <f t="shared" si="30"/>
        <v>0.34214730944467875</v>
      </c>
      <c r="T12" s="42">
        <f t="shared" si="30"/>
        <v>0.34005833069111724</v>
      </c>
      <c r="U12" s="42">
        <f t="shared" si="30"/>
        <v>0.35047402389755605</v>
      </c>
      <c r="V12" s="42">
        <f t="shared" si="30"/>
        <v>0.34551384843067601</v>
      </c>
      <c r="W12" s="42">
        <f t="shared" si="30"/>
        <v>0.34981726918266154</v>
      </c>
      <c r="X12" s="42">
        <f t="shared" si="30"/>
        <v>0.35562189683880263</v>
      </c>
      <c r="Y12" s="42">
        <f t="shared" si="30"/>
        <v>0.36122449139200552</v>
      </c>
      <c r="Z12" s="42">
        <f t="shared" si="30"/>
        <v>0.35334923538634666</v>
      </c>
      <c r="AA12" s="42">
        <f t="shared" si="30"/>
        <v>0.34536657255740411</v>
      </c>
      <c r="AB12" s="42">
        <f t="shared" si="30"/>
        <v>0.35522206181832156</v>
      </c>
      <c r="AC12" s="42">
        <f t="shared" si="30"/>
        <v>0.35143570848418243</v>
      </c>
      <c r="AD12" s="42">
        <f t="shared" si="30"/>
        <v>0.36142920822183511</v>
      </c>
      <c r="AE12" s="42">
        <f t="shared" si="30"/>
        <v>0.34519422146857942</v>
      </c>
      <c r="AF12" s="42">
        <f t="shared" si="30"/>
        <v>0.38137737636690411</v>
      </c>
      <c r="AG12" s="42">
        <f t="shared" si="30"/>
        <v>0.38060395665042174</v>
      </c>
      <c r="AH12" s="42">
        <f t="shared" si="30"/>
        <v>0.39710442963473874</v>
      </c>
      <c r="AI12" s="42">
        <f t="shared" si="30"/>
        <v>0.38622305087553022</v>
      </c>
      <c r="AJ12" s="42">
        <f t="shared" si="30"/>
        <v>0.38632281182040945</v>
      </c>
      <c r="AK12" s="42">
        <f t="shared" si="30"/>
        <v>0.39331410534680267</v>
      </c>
      <c r="AL12" s="42">
        <f t="shared" si="30"/>
        <v>0.40245572766466492</v>
      </c>
      <c r="AM12" s="42">
        <f t="shared" si="30"/>
        <v>0.39907168545995059</v>
      </c>
      <c r="AN12" s="42">
        <f t="shared" si="30"/>
        <v>0.39534177742839477</v>
      </c>
      <c r="AO12" s="42">
        <f t="shared" si="30"/>
        <v>0.39958545544075452</v>
      </c>
      <c r="AP12" s="42">
        <f t="shared" si="30"/>
        <v>0.39690704358354584</v>
      </c>
      <c r="AQ12" s="42">
        <f t="shared" si="30"/>
        <v>0.4001554282117295</v>
      </c>
      <c r="AR12" s="42">
        <f t="shared" si="30"/>
        <v>0.3963931903382748</v>
      </c>
      <c r="AS12" s="42">
        <f t="shared" si="30"/>
        <v>0.3960872620181673</v>
      </c>
      <c r="AT12" s="42">
        <f t="shared" ca="1" si="30"/>
        <v>0.35753358866828705</v>
      </c>
      <c r="AU12" s="42">
        <f t="shared" ca="1" si="30"/>
        <v>0.35654615144723828</v>
      </c>
      <c r="AV12" s="42">
        <f t="shared" ca="1" si="30"/>
        <v>0.36260560847580658</v>
      </c>
      <c r="AW12" s="42">
        <f t="shared" ca="1" si="30"/>
        <v>0.36964924483987127</v>
      </c>
      <c r="AX12" s="42">
        <f t="shared" ca="1" si="30"/>
        <v>0.35004619544802235</v>
      </c>
      <c r="AY12" s="42">
        <f t="shared" ca="1" si="30"/>
        <v>0.36206259620632308</v>
      </c>
      <c r="AZ12" s="42">
        <f t="shared" ca="1" si="30"/>
        <v>0.36909055035747296</v>
      </c>
      <c r="BA12" s="42">
        <f t="shared" ca="1" si="30"/>
        <v>0.3780548516185615</v>
      </c>
      <c r="BB12" s="42">
        <f t="shared" ca="1" si="30"/>
        <v>0.35514544600339004</v>
      </c>
      <c r="BC12" s="42">
        <f t="shared" ca="1" si="30"/>
        <v>0.36521781401431674</v>
      </c>
      <c r="BD12" s="42">
        <f t="shared" ca="1" si="30"/>
        <v>0.37038344248109489</v>
      </c>
      <c r="BE12" s="42">
        <f t="shared" ca="1" si="30"/>
        <v>0.37752477193876915</v>
      </c>
      <c r="BF12" s="42">
        <f t="shared" ca="1" si="30"/>
        <v>0.35269945364573768</v>
      </c>
      <c r="BG12" s="42">
        <f t="shared" ca="1" si="30"/>
        <v>0.36281895383871321</v>
      </c>
      <c r="BH12" s="42">
        <f t="shared" ca="1" si="30"/>
        <v>0.36801320276834559</v>
      </c>
      <c r="BI12" s="42">
        <f t="shared" ca="1" si="30"/>
        <v>0.37519090331694277</v>
      </c>
      <c r="BJ12" s="1"/>
      <c r="BK12" s="42">
        <f>BK41/BK17</f>
        <v>0.38515752616565302</v>
      </c>
      <c r="BL12" s="42">
        <f t="shared" ref="BL12:BX12" si="31">BL41/BL17</f>
        <v>0.35639808606951301</v>
      </c>
      <c r="BM12" s="42">
        <f t="shared" si="31"/>
        <v>0.33634369100464295</v>
      </c>
      <c r="BN12" s="42">
        <f t="shared" si="31"/>
        <v>0.34610691821423545</v>
      </c>
      <c r="BO12" s="42">
        <f t="shared" si="31"/>
        <v>0.35326201027807674</v>
      </c>
      <c r="BP12" s="42">
        <f t="shared" si="31"/>
        <v>0.35130100163337535</v>
      </c>
      <c r="BQ12" s="42">
        <f t="shared" si="31"/>
        <v>0.36735523242622059</v>
      </c>
      <c r="BR12" s="42">
        <f t="shared" si="31"/>
        <v>0.39055702721639085</v>
      </c>
      <c r="BS12" s="42">
        <f t="shared" si="31"/>
        <v>0.39902787303129589</v>
      </c>
      <c r="BT12" s="42">
        <f t="shared" si="31"/>
        <v>0.39739072267712394</v>
      </c>
      <c r="BU12" s="42">
        <f t="shared" ca="1" si="31"/>
        <v>0.36169689973516111</v>
      </c>
      <c r="BV12" s="42">
        <f t="shared" ca="1" si="31"/>
        <v>0.36512157782431975</v>
      </c>
      <c r="BW12" s="42">
        <f t="shared" ca="1" si="31"/>
        <v>0.36731438556630758</v>
      </c>
      <c r="BX12" s="42">
        <f t="shared" ca="1" si="31"/>
        <v>0.36492836934260936</v>
      </c>
    </row>
    <row r="13" spans="1:76" ht="15" customHeight="1" x14ac:dyDescent="0.25">
      <c r="A13" s="1"/>
      <c r="B13" s="3" t="s">
        <v>877</v>
      </c>
      <c r="C13" s="1"/>
      <c r="D13" s="1"/>
      <c r="E13" s="1"/>
      <c r="F13" s="42"/>
      <c r="G13" s="42"/>
      <c r="H13" s="42"/>
      <c r="I13" s="42"/>
      <c r="J13" s="42">
        <f>J20/F20-1</f>
        <v>0.37545194970129203</v>
      </c>
      <c r="K13" s="42">
        <f t="shared" ref="K13:AS13" si="32">K20/G20-1</f>
        <v>0.38832174086975568</v>
      </c>
      <c r="L13" s="42">
        <f t="shared" si="32"/>
        <v>0.3020470512093365</v>
      </c>
      <c r="M13" s="42">
        <f t="shared" si="32"/>
        <v>0.26410662947441832</v>
      </c>
      <c r="N13" s="42">
        <f t="shared" si="32"/>
        <v>0.18285999629412109</v>
      </c>
      <c r="O13" s="42">
        <f t="shared" si="32"/>
        <v>4.6658420888097574E-2</v>
      </c>
      <c r="P13" s="42">
        <f t="shared" si="32"/>
        <v>-1.5719118959684031E-2</v>
      </c>
      <c r="Q13" s="42">
        <f t="shared" si="32"/>
        <v>-4.2844578137685274E-2</v>
      </c>
      <c r="R13" s="42">
        <f t="shared" si="32"/>
        <v>-1.9870538819768524E-2</v>
      </c>
      <c r="S13" s="42">
        <f t="shared" si="32"/>
        <v>-4.276041544922593E-2</v>
      </c>
      <c r="T13" s="42">
        <f t="shared" si="32"/>
        <v>2.7330089706553151E-2</v>
      </c>
      <c r="U13" s="42">
        <f t="shared" si="32"/>
        <v>1.5822483694957867E-2</v>
      </c>
      <c r="V13" s="42">
        <f t="shared" si="32"/>
        <v>8.9935365728124328E-3</v>
      </c>
      <c r="W13" s="42">
        <f t="shared" si="32"/>
        <v>-6.0727415788259909E-2</v>
      </c>
      <c r="X13" s="42">
        <f t="shared" si="32"/>
        <v>-2.5857740143454433E-2</v>
      </c>
      <c r="Y13" s="42">
        <f t="shared" si="32"/>
        <v>-1.4374376088917562E-2</v>
      </c>
      <c r="Z13" s="42">
        <f t="shared" si="32"/>
        <v>-4.8204706905716876E-2</v>
      </c>
      <c r="AA13" s="42">
        <f t="shared" si="32"/>
        <v>8.0581657678164387E-2</v>
      </c>
      <c r="AB13" s="42">
        <f t="shared" si="32"/>
        <v>3.2792177843372405E-2</v>
      </c>
      <c r="AC13" s="42">
        <f t="shared" si="32"/>
        <v>0.10170793961116575</v>
      </c>
      <c r="AD13" s="42">
        <f t="shared" si="32"/>
        <v>6.2259004453922184E-2</v>
      </c>
      <c r="AE13" s="42">
        <f t="shared" si="32"/>
        <v>7.8290949237995067E-2</v>
      </c>
      <c r="AF13" s="42">
        <f t="shared" si="32"/>
        <v>0.13264649404619622</v>
      </c>
      <c r="AG13" s="42">
        <f t="shared" si="32"/>
        <v>4.9381742360198322E-2</v>
      </c>
      <c r="AH13" s="42">
        <f t="shared" si="32"/>
        <v>0.11009556787071384</v>
      </c>
      <c r="AI13" s="42">
        <f t="shared" si="32"/>
        <v>8.5631907498400883E-2</v>
      </c>
      <c r="AJ13" s="42">
        <f t="shared" si="32"/>
        <v>3.2731337710499409E-2</v>
      </c>
      <c r="AK13" s="42">
        <f t="shared" si="32"/>
        <v>8.7459749678819643E-2</v>
      </c>
      <c r="AL13" s="42">
        <f t="shared" si="32"/>
        <v>1.698592519590858E-2</v>
      </c>
      <c r="AM13" s="42">
        <f t="shared" si="32"/>
        <v>4.490222809866018E-2</v>
      </c>
      <c r="AN13" s="42">
        <f t="shared" si="32"/>
        <v>5.769498529048489E-2</v>
      </c>
      <c r="AO13" s="42">
        <f t="shared" si="32"/>
        <v>3.480262887922736E-2</v>
      </c>
      <c r="AP13" s="42">
        <f t="shared" si="32"/>
        <v>2.8533257439086634E-2</v>
      </c>
      <c r="AQ13" s="42">
        <f t="shared" si="32"/>
        <v>2.8065651157199945E-2</v>
      </c>
      <c r="AR13" s="42">
        <f t="shared" si="32"/>
        <v>6.5609865366118791E-2</v>
      </c>
      <c r="AS13" s="42">
        <f t="shared" si="32"/>
        <v>6.8881815810070357E-2</v>
      </c>
      <c r="AT13" s="43">
        <v>3.5000000000000003E-2</v>
      </c>
      <c r="AU13" s="43">
        <v>3.5000000000000003E-2</v>
      </c>
      <c r="AV13" s="43">
        <v>3.5000000000000003E-2</v>
      </c>
      <c r="AW13" s="43">
        <v>3.5000000000000003E-2</v>
      </c>
      <c r="AX13" s="43">
        <v>3.5000000000000003E-2</v>
      </c>
      <c r="AY13" s="43">
        <v>3.5000000000000003E-2</v>
      </c>
      <c r="AZ13" s="43">
        <v>3.5000000000000003E-2</v>
      </c>
      <c r="BA13" s="43">
        <v>3.5000000000000003E-2</v>
      </c>
      <c r="BB13" s="43">
        <v>3.5000000000000003E-2</v>
      </c>
      <c r="BC13" s="43">
        <v>3.5000000000000003E-2</v>
      </c>
      <c r="BD13" s="43">
        <v>3.5000000000000003E-2</v>
      </c>
      <c r="BE13" s="43">
        <v>3.5000000000000003E-2</v>
      </c>
      <c r="BF13" s="43">
        <v>3.5000000000000003E-2</v>
      </c>
      <c r="BG13" s="43">
        <v>3.5000000000000003E-2</v>
      </c>
      <c r="BH13" s="43">
        <v>3.5000000000000003E-2</v>
      </c>
      <c r="BI13" s="43">
        <v>3.5000000000000003E-2</v>
      </c>
      <c r="BJ13" s="1"/>
      <c r="BK13" s="42">
        <f>BK20/BK17</f>
        <v>0.34465002844988063</v>
      </c>
      <c r="BL13" s="42">
        <f t="shared" ref="BL13:BX13" si="33">BL20/BL17</f>
        <v>0.33415331611955407</v>
      </c>
      <c r="BM13" s="42">
        <f t="shared" si="33"/>
        <v>0.32382532488253901</v>
      </c>
      <c r="BN13" s="42">
        <f t="shared" si="33"/>
        <v>0.30865697209331139</v>
      </c>
      <c r="BO13" s="42">
        <f t="shared" si="33"/>
        <v>0.29067849566148368</v>
      </c>
      <c r="BP13" s="42">
        <f t="shared" si="33"/>
        <v>0.27235194906658872</v>
      </c>
      <c r="BQ13" s="42">
        <f t="shared" si="33"/>
        <v>0.26397651201258127</v>
      </c>
      <c r="BR13" s="42">
        <f t="shared" si="33"/>
        <v>0.26514842967794022</v>
      </c>
      <c r="BS13" s="42">
        <f t="shared" si="33"/>
        <v>0.26563832482380434</v>
      </c>
      <c r="BT13" s="42">
        <f t="shared" si="33"/>
        <v>0.26586765042601362</v>
      </c>
      <c r="BU13" s="42">
        <f t="shared" ca="1" si="33"/>
        <v>0.27449487537452505</v>
      </c>
      <c r="BV13" s="42">
        <f t="shared" ca="1" si="33"/>
        <v>0.27577839910479535</v>
      </c>
      <c r="BW13" s="42">
        <f t="shared" ca="1" si="33"/>
        <v>0.27706792370940381</v>
      </c>
      <c r="BX13" s="42">
        <f t="shared" ca="1" si="33"/>
        <v>0.27836347724062943</v>
      </c>
    </row>
    <row r="14" spans="1:76" ht="15" customHeight="1" x14ac:dyDescent="0.25">
      <c r="A14" s="1"/>
      <c r="B14" s="3" t="s">
        <v>873</v>
      </c>
      <c r="C14" s="1"/>
      <c r="D14" s="1"/>
      <c r="E14" s="1"/>
      <c r="F14" s="42">
        <f>F22*4/F55</f>
        <v>4.599468857404674E-2</v>
      </c>
      <c r="G14" s="42">
        <f t="shared" ref="G14:AS14" si="34">G22*4/G55</f>
        <v>4.4474977157147488E-2</v>
      </c>
      <c r="H14" s="42">
        <f t="shared" si="34"/>
        <v>3.8834416151294328E-2</v>
      </c>
      <c r="I14" s="42">
        <f t="shared" si="34"/>
        <v>3.6419362431025927E-2</v>
      </c>
      <c r="J14" s="42">
        <f t="shared" si="34"/>
        <v>3.610362923440863E-2</v>
      </c>
      <c r="K14" s="42">
        <f t="shared" si="34"/>
        <v>3.7100081378530991E-2</v>
      </c>
      <c r="L14" s="42">
        <f t="shared" si="34"/>
        <v>3.6540520968014661E-2</v>
      </c>
      <c r="M14" s="42">
        <f t="shared" si="34"/>
        <v>3.9813095510598001E-2</v>
      </c>
      <c r="N14" s="42">
        <f t="shared" si="34"/>
        <v>3.8469491626913627E-2</v>
      </c>
      <c r="O14" s="42">
        <f t="shared" si="34"/>
        <v>4.3547345436652347E-2</v>
      </c>
      <c r="P14" s="42">
        <f t="shared" si="34"/>
        <v>4.166683585257925E-2</v>
      </c>
      <c r="Q14" s="42">
        <f t="shared" si="34"/>
        <v>4.5238410706435563E-2</v>
      </c>
      <c r="R14" s="42">
        <f t="shared" si="34"/>
        <v>4.3985226752957719E-2</v>
      </c>
      <c r="S14" s="42">
        <f t="shared" si="34"/>
        <v>4.2711418405434437E-2</v>
      </c>
      <c r="T14" s="42">
        <f t="shared" si="34"/>
        <v>4.1519779167029543E-2</v>
      </c>
      <c r="U14" s="42">
        <f t="shared" si="34"/>
        <v>3.8397843906556664E-2</v>
      </c>
      <c r="V14" s="42">
        <f t="shared" si="34"/>
        <v>3.4731783159753123E-2</v>
      </c>
      <c r="W14" s="42">
        <f t="shared" si="34"/>
        <v>3.7212581531676177E-2</v>
      </c>
      <c r="X14" s="42">
        <f t="shared" si="34"/>
        <v>3.4746851511351484E-2</v>
      </c>
      <c r="Y14" s="42">
        <f t="shared" si="34"/>
        <v>3.5253057879050566E-2</v>
      </c>
      <c r="Z14" s="42">
        <f t="shared" si="34"/>
        <v>3.5553965622900724E-2</v>
      </c>
      <c r="AA14" s="42">
        <f t="shared" si="34"/>
        <v>3.928558010219417E-2</v>
      </c>
      <c r="AB14" s="42">
        <f t="shared" si="34"/>
        <v>3.7423132829705559E-2</v>
      </c>
      <c r="AC14" s="42">
        <f t="shared" si="34"/>
        <v>4.1489775446218985E-2</v>
      </c>
      <c r="AD14" s="42">
        <f t="shared" si="34"/>
        <v>4.1898806681278732E-2</v>
      </c>
      <c r="AE14" s="42">
        <f t="shared" si="34"/>
        <v>3.8914203330252035E-2</v>
      </c>
      <c r="AF14" s="42">
        <f t="shared" si="34"/>
        <v>3.9944381241309564E-2</v>
      </c>
      <c r="AG14" s="42">
        <f t="shared" si="34"/>
        <v>2.5394363489687672E-2</v>
      </c>
      <c r="AH14" s="42">
        <f t="shared" si="34"/>
        <v>1.9265807631338342E-2</v>
      </c>
      <c r="AI14" s="42">
        <f t="shared" si="34"/>
        <v>8.9059445369632905E-3</v>
      </c>
      <c r="AJ14" s="42">
        <f t="shared" si="34"/>
        <v>-9.9862820367140771E-3</v>
      </c>
      <c r="AK14" s="42">
        <f t="shared" si="34"/>
        <v>-2.4289656127303119E-2</v>
      </c>
      <c r="AL14" s="42">
        <f t="shared" si="34"/>
        <v>-1.7921152865916324E-2</v>
      </c>
      <c r="AM14" s="42">
        <f t="shared" si="34"/>
        <v>-3.6172825722898291E-3</v>
      </c>
      <c r="AN14" s="42">
        <f t="shared" si="34"/>
        <v>4.883186999603115E-3</v>
      </c>
      <c r="AO14" s="42">
        <f t="shared" si="34"/>
        <v>8.924967859955937E-3</v>
      </c>
      <c r="AP14" s="42">
        <f t="shared" si="34"/>
        <v>1.5349488927221672E-2</v>
      </c>
      <c r="AQ14" s="42">
        <f t="shared" si="34"/>
        <v>1.3285697214314513E-2</v>
      </c>
      <c r="AR14" s="42">
        <f t="shared" si="34"/>
        <v>1.0472210212806841E-2</v>
      </c>
      <c r="AS14" s="42">
        <f t="shared" si="34"/>
        <v>3.6113672911481036E-2</v>
      </c>
      <c r="AT14" s="43">
        <v>0.06</v>
      </c>
      <c r="AU14" s="43">
        <v>0.06</v>
      </c>
      <c r="AV14" s="43">
        <v>0.06</v>
      </c>
      <c r="AW14" s="43">
        <v>0.06</v>
      </c>
      <c r="AX14" s="43">
        <v>0.06</v>
      </c>
      <c r="AY14" s="43">
        <v>0.06</v>
      </c>
      <c r="AZ14" s="43">
        <v>0.06</v>
      </c>
      <c r="BA14" s="43">
        <v>0.06</v>
      </c>
      <c r="BB14" s="43">
        <v>0.06</v>
      </c>
      <c r="BC14" s="43">
        <v>0.06</v>
      </c>
      <c r="BD14" s="43">
        <v>0.06</v>
      </c>
      <c r="BE14" s="43">
        <v>0.06</v>
      </c>
      <c r="BF14" s="43">
        <v>0.06</v>
      </c>
      <c r="BG14" s="43">
        <v>0.06</v>
      </c>
      <c r="BH14" s="43">
        <v>0.06</v>
      </c>
      <c r="BI14" s="43">
        <v>0.06</v>
      </c>
      <c r="BJ14" s="1"/>
      <c r="BK14" s="42">
        <f>BK22/BK58</f>
        <v>4.3182859050018715E-2</v>
      </c>
      <c r="BL14" s="42">
        <f t="shared" ref="BL14:BX14" si="35">BL22/BL58</f>
        <v>3.8297832443667253E-2</v>
      </c>
      <c r="BM14" s="42">
        <f t="shared" si="35"/>
        <v>4.2593572971727341E-2</v>
      </c>
      <c r="BN14" s="42">
        <f t="shared" si="35"/>
        <v>4.2014398084823136E-2</v>
      </c>
      <c r="BO14" s="42">
        <f t="shared" si="35"/>
        <v>3.8672736115819235E-2</v>
      </c>
      <c r="BP14" s="42">
        <f t="shared" si="35"/>
        <v>4.3718182471686892E-2</v>
      </c>
      <c r="BQ14" s="42">
        <f t="shared" si="35"/>
        <v>4.9323718736228914E-2</v>
      </c>
      <c r="BR14" s="42">
        <f t="shared" si="35"/>
        <v>-8.0125687352710154E-3</v>
      </c>
      <c r="BS14" s="42">
        <f t="shared" si="35"/>
        <v>4.9016454861030559E-3</v>
      </c>
      <c r="BT14" s="42">
        <f t="shared" si="35"/>
        <v>4.2956984133454723E-2</v>
      </c>
      <c r="BU14" s="42">
        <f t="shared" ca="1" si="35"/>
        <v>6.6013504594870126E-2</v>
      </c>
      <c r="BV14" s="42">
        <f t="shared" ca="1" si="35"/>
        <v>6.5055636909516323E-2</v>
      </c>
      <c r="BW14" s="42">
        <f t="shared" ca="1" si="35"/>
        <v>6.4419118014558754E-2</v>
      </c>
      <c r="BX14" s="42">
        <f t="shared" ca="1" si="35"/>
        <v>6.3768840365236848E-2</v>
      </c>
    </row>
    <row r="15" spans="1:7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ht="15" customHeight="1" x14ac:dyDescent="0.25">
      <c r="A16" s="11" t="s">
        <v>53</v>
      </c>
      <c r="B16" s="41" t="s">
        <v>60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15" customHeight="1" x14ac:dyDescent="0.25">
      <c r="A17" s="1"/>
      <c r="B17" s="3" t="s">
        <v>61</v>
      </c>
      <c r="C17" s="1"/>
      <c r="D17" s="1"/>
      <c r="E17" s="1"/>
      <c r="F17" s="45">
        <f>'Canalyst HC - Q'!C401</f>
        <v>625.45600000000002</v>
      </c>
      <c r="G17" s="45">
        <f>'Canalyst HC - Q'!D401</f>
        <v>840.38400000000001</v>
      </c>
      <c r="H17" s="45">
        <f>'Canalyst HC - Q'!E401</f>
        <v>849.02800000000002</v>
      </c>
      <c r="I17" s="45">
        <f>'Canalyst HC - Q'!F401</f>
        <v>841.55999999999972</v>
      </c>
      <c r="J17" s="45">
        <f>'Canalyst HC - Q'!G401</f>
        <v>865.702</v>
      </c>
      <c r="K17" s="45">
        <f>'Canalyst HC - Q'!H401</f>
        <v>1169.2909999999999</v>
      </c>
      <c r="L17" s="45">
        <f>'Canalyst HC - Q'!I401</f>
        <v>1162.5260000000001</v>
      </c>
      <c r="M17" s="45">
        <f>'Canalyst HC - Q'!J401</f>
        <v>1126.148999999999</v>
      </c>
      <c r="N17" s="45">
        <f>'Canalyst HC - Q'!K401</f>
        <v>1064.7570000000001</v>
      </c>
      <c r="O17" s="45">
        <f>'Canalyst HC - Q'!L401</f>
        <v>1220.0029999999999</v>
      </c>
      <c r="P17" s="45">
        <f>'Canalyst HC - Q'!M401</f>
        <v>1204.0329999999999</v>
      </c>
      <c r="Q17" s="45">
        <f>'Canalyst HC - Q'!N401</f>
        <v>1136.570999999999</v>
      </c>
      <c r="R17" s="45">
        <f>'Canalyst HC - Q'!O401</f>
        <v>1102.912</v>
      </c>
      <c r="S17" s="45">
        <f>'Canalyst HC - Q'!P401</f>
        <v>1273.6590000000001</v>
      </c>
      <c r="T17" s="45">
        <f>'Canalyst HC - Q'!Q401</f>
        <v>1271.029</v>
      </c>
      <c r="U17" s="45">
        <f>'Canalyst HC - Q'!R401</f>
        <v>1178.9490000000001</v>
      </c>
      <c r="V17" s="45">
        <f>'Canalyst HC - Q'!S401</f>
        <v>1173.021</v>
      </c>
      <c r="W17" s="45">
        <f>'Canalyst HC - Q'!T401</f>
        <v>1227.2149999999999</v>
      </c>
      <c r="X17" s="45">
        <f>'Canalyst HC - Q'!U401</f>
        <v>1328.4839999999999</v>
      </c>
      <c r="Y17" s="45">
        <f>'Canalyst HC - Q'!V401</f>
        <v>1278.6369999999999</v>
      </c>
      <c r="Z17" s="45">
        <f>'Canalyst HC - Q'!W401</f>
        <v>1269.857</v>
      </c>
      <c r="AA17" s="45">
        <f>'Canalyst HC - Q'!X401</f>
        <v>1433.086</v>
      </c>
      <c r="AB17" s="45">
        <f>'Canalyst HC - Q'!Y401</f>
        <v>1457.432</v>
      </c>
      <c r="AC17" s="45">
        <f>'Canalyst HC - Q'!Z401</f>
        <v>1402.3389999999999</v>
      </c>
      <c r="AD17" s="45">
        <f>'Canalyst HC - Q'!AA401</f>
        <v>1404.3579999999999</v>
      </c>
      <c r="AE17" s="45">
        <f>'Canalyst HC - Q'!AB401</f>
        <v>1595.2149999999999</v>
      </c>
      <c r="AF17" s="45">
        <f>'Canalyst HC - Q'!AC401</f>
        <v>1628.5889999999999</v>
      </c>
      <c r="AG17" s="45">
        <f>'Canalyst HC - Q'!AD401</f>
        <v>1572.7950000000001</v>
      </c>
      <c r="AH17" s="45">
        <f>'Canalyst HC - Q'!AE401</f>
        <v>1571.6420000000001</v>
      </c>
      <c r="AI17" s="45">
        <f>'Canalyst HC - Q'!AF401</f>
        <v>1738.8320000000001</v>
      </c>
      <c r="AJ17" s="45">
        <f>'Canalyst HC - Q'!AG401</f>
        <v>1712.4280000000001</v>
      </c>
      <c r="AK17" s="45">
        <f>'Canalyst HC - Q'!AH401</f>
        <v>1630.9559999999999</v>
      </c>
      <c r="AL17" s="45">
        <f>'Canalyst HC - Q'!AI401</f>
        <v>1591.626</v>
      </c>
      <c r="AM17" s="45">
        <f>'Canalyst HC - Q'!AJ401</f>
        <v>1795.943</v>
      </c>
      <c r="AN17" s="45">
        <f>'Canalyst HC - Q'!AK401</f>
        <v>1765.652</v>
      </c>
      <c r="AO17" s="45">
        <f>'Canalyst HC - Q'!AL401</f>
        <v>1746.495000000001</v>
      </c>
      <c r="AP17" s="45">
        <f>'Canalyst HC - Q'!AM401</f>
        <v>1579.9770000000001</v>
      </c>
      <c r="AQ17" s="45">
        <f>'Canalyst HC - Q'!AN401</f>
        <v>1855.519</v>
      </c>
      <c r="AR17" s="45">
        <f>'Canalyst HC - Q'!AO401</f>
        <v>1888.317</v>
      </c>
      <c r="AS17" s="45">
        <f>'Canalyst HC - Q'!AP401</f>
        <v>1904.242</v>
      </c>
      <c r="AT17" s="45">
        <f ca="1">'Segment Build'!AT8</f>
        <v>1758.8330634000004</v>
      </c>
      <c r="AU17" s="45">
        <f ca="1">'Segment Build'!AU8</f>
        <v>1859.8329465999998</v>
      </c>
      <c r="AV17" s="45">
        <f ca="1">'Segment Build'!AV8</f>
        <v>1893.0010874</v>
      </c>
      <c r="AW17" s="45">
        <f ca="1">'Segment Build'!AW8</f>
        <v>1909.1115500000001</v>
      </c>
      <c r="AX17" s="45">
        <f ca="1">'Segment Build'!AX8</f>
        <v>1811.9216034166805</v>
      </c>
      <c r="AY17" s="45">
        <f ca="1">'Segment Build'!AY8</f>
        <v>1915.9691076773197</v>
      </c>
      <c r="AZ17" s="45">
        <f ca="1">'Segment Build'!AZ8</f>
        <v>1950.1363706934801</v>
      </c>
      <c r="BA17" s="45">
        <f ca="1">'Segment Build'!BA8</f>
        <v>1966.7323217540002</v>
      </c>
      <c r="BB17" s="45">
        <f ca="1">'Segment Build'!BB8</f>
        <v>1866.6125707869239</v>
      </c>
      <c r="BC17" s="45">
        <f ca="1">'Segment Build'!BC8</f>
        <v>1973.7996570018752</v>
      </c>
      <c r="BD17" s="45">
        <f ca="1">'Segment Build'!BD8</f>
        <v>2008.9961390560434</v>
      </c>
      <c r="BE17" s="45">
        <f ca="1">'Segment Build'!BE8</f>
        <v>2026.0922089032911</v>
      </c>
      <c r="BF17" s="45">
        <f ca="1">'Segment Build'!BF8</f>
        <v>1922.954333420161</v>
      </c>
      <c r="BG17" s="45">
        <f ca="1">'Segment Build'!BG8</f>
        <v>2033.3757373842127</v>
      </c>
      <c r="BH17" s="45">
        <f ca="1">'Segment Build'!BH8</f>
        <v>2069.6324419221846</v>
      </c>
      <c r="BI17" s="45">
        <f ca="1">'Segment Build'!BI8</f>
        <v>2087.2437017754601</v>
      </c>
      <c r="BJ17" s="1"/>
      <c r="BK17" s="46">
        <f t="shared" ref="BK17:BX29" si="36">SUMIF($F$1:$BI$1,BK$1,$F17:$BI17)</f>
        <v>3156.4279999999999</v>
      </c>
      <c r="BL17" s="46">
        <f t="shared" si="36"/>
        <v>4323.6679999999997</v>
      </c>
      <c r="BM17" s="46">
        <f t="shared" si="36"/>
        <v>4625.3639999999996</v>
      </c>
      <c r="BN17" s="46">
        <f t="shared" si="36"/>
        <v>4826.549</v>
      </c>
      <c r="BO17" s="46">
        <f t="shared" si="36"/>
        <v>5007.357</v>
      </c>
      <c r="BP17" s="46">
        <f t="shared" si="36"/>
        <v>5562.7139999999999</v>
      </c>
      <c r="BQ17" s="46">
        <f t="shared" si="36"/>
        <v>6200.9570000000003</v>
      </c>
      <c r="BR17" s="46">
        <f t="shared" si="36"/>
        <v>6653.8580000000002</v>
      </c>
      <c r="BS17" s="46">
        <f t="shared" si="36"/>
        <v>6899.7160000000003</v>
      </c>
      <c r="BT17" s="46">
        <f t="shared" si="36"/>
        <v>7228.0550000000003</v>
      </c>
      <c r="BU17" s="46">
        <f t="shared" ca="1" si="36"/>
        <v>7420.7786474000004</v>
      </c>
      <c r="BV17" s="46">
        <f t="shared" ca="1" si="36"/>
        <v>7644.7594035414804</v>
      </c>
      <c r="BW17" s="46">
        <f t="shared" ca="1" si="36"/>
        <v>7875.5005757481331</v>
      </c>
      <c r="BX17" s="46">
        <f t="shared" ca="1" si="36"/>
        <v>8113.2062145020182</v>
      </c>
    </row>
    <row r="18" spans="1:76" x14ac:dyDescent="0.25">
      <c r="A18" s="1"/>
      <c r="B18" s="1"/>
      <c r="C18" s="11" t="s">
        <v>62</v>
      </c>
      <c r="D18" s="1"/>
      <c r="E18" s="1"/>
      <c r="F18" s="47">
        <f>'Canalyst HC - Q'!C404</f>
        <v>381.55799999999999</v>
      </c>
      <c r="G18" s="47">
        <f>'Canalyst HC - Q'!D404</f>
        <v>520.67700000000002</v>
      </c>
      <c r="H18" s="47">
        <f>'Canalyst HC - Q'!E404</f>
        <v>521.83799999999997</v>
      </c>
      <c r="I18" s="47">
        <f>'Canalyst HC - Q'!F404</f>
        <v>516.63300000000004</v>
      </c>
      <c r="J18" s="47">
        <f>'Canalyst HC - Q'!G404</f>
        <v>533.68100000000004</v>
      </c>
      <c r="K18" s="47">
        <f>'Canalyst HC - Q'!H404</f>
        <v>754.11300000000006</v>
      </c>
      <c r="L18" s="47">
        <f>'Canalyst HC - Q'!I404</f>
        <v>752.202</v>
      </c>
      <c r="M18" s="47">
        <f>'Canalyst HC - Q'!J404</f>
        <v>742.72499999999991</v>
      </c>
      <c r="N18" s="47">
        <f>'Canalyst HC - Q'!K404</f>
        <v>707.11599999999999</v>
      </c>
      <c r="O18" s="47">
        <f>'Canalyst HC - Q'!L404</f>
        <v>815.29499999999996</v>
      </c>
      <c r="P18" s="47">
        <f>'Canalyst HC - Q'!M404</f>
        <v>791.31700000000001</v>
      </c>
      <c r="Q18" s="47">
        <f>'Canalyst HC - Q'!N404</f>
        <v>755.92399999999998</v>
      </c>
      <c r="R18" s="47">
        <f>'Canalyst HC - Q'!O404</f>
        <v>713.60400000000004</v>
      </c>
      <c r="S18" s="47">
        <f>'Canalyst HC - Q'!P404</f>
        <v>837.88</v>
      </c>
      <c r="T18" s="47">
        <f>'Canalyst HC - Q'!Q404</f>
        <v>838.80499999999995</v>
      </c>
      <c r="U18" s="47">
        <f>'Canalyst HC - Q'!R404</f>
        <v>765.75800000000027</v>
      </c>
      <c r="V18" s="47">
        <f>'Canalyst HC - Q'!S404</f>
        <v>767.726</v>
      </c>
      <c r="W18" s="47">
        <f>'Canalyst HC - Q'!T404</f>
        <v>797.91399999999999</v>
      </c>
      <c r="X18" s="47">
        <f>'Canalyst HC - Q'!U404</f>
        <v>856.04600000000005</v>
      </c>
      <c r="Y18" s="47">
        <f>'Canalyst HC - Q'!V404</f>
        <v>816.76200000000017</v>
      </c>
      <c r="Z18" s="47">
        <f>'Canalyst HC - Q'!W404</f>
        <v>821.154</v>
      </c>
      <c r="AA18" s="47">
        <f>'Canalyst HC - Q'!X404</f>
        <v>938.14599999999996</v>
      </c>
      <c r="AB18" s="47">
        <f>'Canalyst HC - Q'!Y404</f>
        <v>939.72</v>
      </c>
      <c r="AC18" s="47">
        <f>'Canalyst HC - Q'!Z404</f>
        <v>909.50700000000006</v>
      </c>
      <c r="AD18" s="47">
        <f>'Canalyst HC - Q'!AA404</f>
        <v>896.78200000000004</v>
      </c>
      <c r="AE18" s="47">
        <f>'Canalyst HC - Q'!AB404</f>
        <v>1044.556</v>
      </c>
      <c r="AF18" s="47">
        <f>'Canalyst HC - Q'!AC404</f>
        <v>1007.482</v>
      </c>
      <c r="AG18" s="47">
        <f>'Canalyst HC - Q'!AD404</f>
        <v>974.18299999999999</v>
      </c>
      <c r="AH18" s="47">
        <f>'Canalyst HC - Q'!AE404</f>
        <v>947.53599999999994</v>
      </c>
      <c r="AI18" s="47">
        <f>'Canalyst HC - Q'!AF404</f>
        <v>1067.2550000000001</v>
      </c>
      <c r="AJ18" s="47">
        <f>'Canalyst HC - Q'!AG404</f>
        <v>1050.8779999999999</v>
      </c>
      <c r="AK18" s="47">
        <f>'Canalyst HC - Q'!AH404</f>
        <v>989.47800000000007</v>
      </c>
      <c r="AL18" s="47">
        <f>'Canalyst HC - Q'!AI404</f>
        <v>951.06700000000001</v>
      </c>
      <c r="AM18" s="47">
        <f>'Canalyst HC - Q'!AJ404</f>
        <v>1079.2329999999999</v>
      </c>
      <c r="AN18" s="47">
        <f>'Canalyst HC - Q'!AK404</f>
        <v>1067.616</v>
      </c>
      <c r="AO18" s="47">
        <f>'Canalyst HC - Q'!AL404</f>
        <v>1048.6210000000001</v>
      </c>
      <c r="AP18" s="47">
        <f>'Canalyst HC - Q'!AM404</f>
        <v>952.87300000000005</v>
      </c>
      <c r="AQ18" s="47">
        <f>'Canalyst HC - Q'!AN404</f>
        <v>1113.0229999999999</v>
      </c>
      <c r="AR18" s="47">
        <f>'Canalyst HC - Q'!AO404</f>
        <v>1139.8009999999999</v>
      </c>
      <c r="AS18" s="47">
        <f>'Canalyst HC - Q'!AP404</f>
        <v>1149.996000000001</v>
      </c>
      <c r="AT18" s="47">
        <f ca="1">'COGS Sensitivity'!AT7</f>
        <v>1129.9911663741614</v>
      </c>
      <c r="AU18" s="47">
        <f ca="1">'COGS Sensitivity'!AU7</f>
        <v>1196.7166671549928</v>
      </c>
      <c r="AV18" s="47">
        <f ca="1">'COGS Sensitivity'!AV7</f>
        <v>1206.5882762579595</v>
      </c>
      <c r="AW18" s="47">
        <f ca="1">'COGS Sensitivity'!AW7</f>
        <v>1203.4099072274239</v>
      </c>
      <c r="AX18" s="47">
        <f ca="1">'COGS Sensitivity'!AX7</f>
        <v>1177.6653396905911</v>
      </c>
      <c r="AY18" s="47">
        <f ca="1">'COGS Sensitivity'!AY7</f>
        <v>1222.2683583005571</v>
      </c>
      <c r="AZ18" s="47">
        <f ca="1">'COGS Sensitivity'!AZ7</f>
        <v>1230.3594643620986</v>
      </c>
      <c r="BA18" s="47">
        <f ca="1">'COGS Sensitivity'!BA7</f>
        <v>1223.1996256798627</v>
      </c>
      <c r="BB18" s="47">
        <f ca="1">'COGS Sensitivity'!BB7</f>
        <v>1203.6936168192674</v>
      </c>
      <c r="BC18" s="47">
        <f ca="1">'COGS Sensitivity'!BC7</f>
        <v>1252.9328609694421</v>
      </c>
      <c r="BD18" s="47">
        <f ca="1">'COGS Sensitivity'!BD7</f>
        <v>1264.8972331412376</v>
      </c>
      <c r="BE18" s="47">
        <f ca="1">'COGS Sensitivity'!BE7</f>
        <v>1261.1922098101591</v>
      </c>
      <c r="BF18" s="47">
        <f ca="1">'COGS Sensitivity'!BF7</f>
        <v>1244.7293906371665</v>
      </c>
      <c r="BG18" s="47">
        <f ca="1">'COGS Sensitivity'!BG7</f>
        <v>1295.6284795854506</v>
      </c>
      <c r="BH18" s="47">
        <f ca="1">'COGS Sensitivity'!BH7</f>
        <v>1307.9803784171295</v>
      </c>
      <c r="BI18" s="47">
        <f ca="1">'COGS Sensitivity'!BI7</f>
        <v>1304.1288518637257</v>
      </c>
      <c r="BJ18" s="1"/>
      <c r="BK18" s="38">
        <f t="shared" si="36"/>
        <v>1940.7059999999999</v>
      </c>
      <c r="BL18" s="38">
        <f t="shared" si="36"/>
        <v>2782.721</v>
      </c>
      <c r="BM18" s="38">
        <f t="shared" si="36"/>
        <v>3069.652</v>
      </c>
      <c r="BN18" s="38">
        <f t="shared" si="36"/>
        <v>3156.047</v>
      </c>
      <c r="BO18" s="38">
        <f t="shared" si="36"/>
        <v>3238.4479999999999</v>
      </c>
      <c r="BP18" s="38">
        <f t="shared" si="36"/>
        <v>3608.527</v>
      </c>
      <c r="BQ18" s="38">
        <f t="shared" si="36"/>
        <v>3923.0030000000002</v>
      </c>
      <c r="BR18" s="38">
        <f t="shared" si="36"/>
        <v>4055.1469999999999</v>
      </c>
      <c r="BS18" s="38">
        <f t="shared" si="36"/>
        <v>4146.5370000000003</v>
      </c>
      <c r="BT18" s="38">
        <f t="shared" si="36"/>
        <v>4355.6930000000011</v>
      </c>
      <c r="BU18" s="38">
        <f t="shared" ca="1" si="36"/>
        <v>4736.7060170145378</v>
      </c>
      <c r="BV18" s="38">
        <f t="shared" ca="1" si="36"/>
        <v>4853.4927880331097</v>
      </c>
      <c r="BW18" s="38">
        <f t="shared" ca="1" si="36"/>
        <v>4982.7159207401055</v>
      </c>
      <c r="BX18" s="38">
        <f t="shared" ca="1" si="36"/>
        <v>5152.4671005034725</v>
      </c>
    </row>
    <row r="19" spans="1:76" ht="15" customHeight="1" x14ac:dyDescent="0.25">
      <c r="A19" s="1"/>
      <c r="B19" s="3" t="s">
        <v>63</v>
      </c>
      <c r="C19" s="1"/>
      <c r="D19" s="1"/>
      <c r="E19" s="1"/>
      <c r="F19" s="46">
        <f t="shared" ref="F19:AK19" si="37">F17-F18</f>
        <v>243.89800000000002</v>
      </c>
      <c r="G19" s="46">
        <f t="shared" si="37"/>
        <v>319.70699999999999</v>
      </c>
      <c r="H19" s="46">
        <f t="shared" si="37"/>
        <v>327.19000000000005</v>
      </c>
      <c r="I19" s="46">
        <f t="shared" si="37"/>
        <v>324.92699999999968</v>
      </c>
      <c r="J19" s="46">
        <f t="shared" si="37"/>
        <v>332.02099999999996</v>
      </c>
      <c r="K19" s="46">
        <f t="shared" si="37"/>
        <v>415.17799999999988</v>
      </c>
      <c r="L19" s="46">
        <f t="shared" si="37"/>
        <v>410.32400000000007</v>
      </c>
      <c r="M19" s="46">
        <f t="shared" si="37"/>
        <v>383.42399999999907</v>
      </c>
      <c r="N19" s="46">
        <f t="shared" si="37"/>
        <v>357.64100000000008</v>
      </c>
      <c r="O19" s="46">
        <f t="shared" si="37"/>
        <v>404.70799999999997</v>
      </c>
      <c r="P19" s="46">
        <f t="shared" si="37"/>
        <v>412.71599999999989</v>
      </c>
      <c r="Q19" s="46">
        <f t="shared" si="37"/>
        <v>380.64699999999903</v>
      </c>
      <c r="R19" s="46">
        <f t="shared" si="37"/>
        <v>389.30799999999999</v>
      </c>
      <c r="S19" s="46">
        <f t="shared" si="37"/>
        <v>435.77900000000011</v>
      </c>
      <c r="T19" s="46">
        <f t="shared" si="37"/>
        <v>432.22400000000005</v>
      </c>
      <c r="U19" s="46">
        <f t="shared" si="37"/>
        <v>413.1909999999998</v>
      </c>
      <c r="V19" s="46">
        <f t="shared" si="37"/>
        <v>405.29499999999996</v>
      </c>
      <c r="W19" s="46">
        <f t="shared" si="37"/>
        <v>429.30099999999993</v>
      </c>
      <c r="X19" s="46">
        <f t="shared" si="37"/>
        <v>472.43799999999987</v>
      </c>
      <c r="Y19" s="46">
        <f t="shared" si="37"/>
        <v>461.87499999999977</v>
      </c>
      <c r="Z19" s="46">
        <f t="shared" si="37"/>
        <v>448.70299999999997</v>
      </c>
      <c r="AA19" s="46">
        <f t="shared" si="37"/>
        <v>494.94000000000005</v>
      </c>
      <c r="AB19" s="46">
        <f t="shared" si="37"/>
        <v>517.71199999999999</v>
      </c>
      <c r="AC19" s="46">
        <f t="shared" si="37"/>
        <v>492.83199999999988</v>
      </c>
      <c r="AD19" s="46">
        <f t="shared" si="37"/>
        <v>507.57599999999991</v>
      </c>
      <c r="AE19" s="46">
        <f t="shared" si="37"/>
        <v>550.65899999999988</v>
      </c>
      <c r="AF19" s="46">
        <f t="shared" si="37"/>
        <v>621.10699999999997</v>
      </c>
      <c r="AG19" s="46">
        <f t="shared" si="37"/>
        <v>598.61200000000008</v>
      </c>
      <c r="AH19" s="46">
        <f t="shared" si="37"/>
        <v>624.10600000000011</v>
      </c>
      <c r="AI19" s="46">
        <f t="shared" si="37"/>
        <v>671.577</v>
      </c>
      <c r="AJ19" s="46">
        <f t="shared" si="37"/>
        <v>661.55000000000018</v>
      </c>
      <c r="AK19" s="46">
        <f t="shared" si="37"/>
        <v>641.47799999999984</v>
      </c>
      <c r="AL19" s="46">
        <f t="shared" ref="AL19:BI19" si="38">AL17-AL18</f>
        <v>640.55899999999997</v>
      </c>
      <c r="AM19" s="46">
        <f t="shared" si="38"/>
        <v>716.71</v>
      </c>
      <c r="AN19" s="46">
        <f t="shared" si="38"/>
        <v>698.03600000000006</v>
      </c>
      <c r="AO19" s="46">
        <f t="shared" si="38"/>
        <v>697.87400000000093</v>
      </c>
      <c r="AP19" s="46">
        <f t="shared" si="38"/>
        <v>627.10400000000004</v>
      </c>
      <c r="AQ19" s="46">
        <f t="shared" si="38"/>
        <v>742.49600000000009</v>
      </c>
      <c r="AR19" s="46">
        <f t="shared" si="38"/>
        <v>748.51600000000008</v>
      </c>
      <c r="AS19" s="46">
        <f t="shared" si="38"/>
        <v>754.24599999999896</v>
      </c>
      <c r="AT19" s="46">
        <f t="shared" ca="1" si="38"/>
        <v>628.84189702583899</v>
      </c>
      <c r="AU19" s="46">
        <f t="shared" ca="1" si="38"/>
        <v>663.11627944500697</v>
      </c>
      <c r="AV19" s="46">
        <f t="shared" ca="1" si="38"/>
        <v>686.41281114204048</v>
      </c>
      <c r="AW19" s="46">
        <f t="shared" ca="1" si="38"/>
        <v>705.70164277257618</v>
      </c>
      <c r="AX19" s="46">
        <f t="shared" ca="1" si="38"/>
        <v>634.2562637260894</v>
      </c>
      <c r="AY19" s="46">
        <f t="shared" ca="1" si="38"/>
        <v>693.70074937676259</v>
      </c>
      <c r="AZ19" s="46">
        <f t="shared" ca="1" si="38"/>
        <v>719.7769063313815</v>
      </c>
      <c r="BA19" s="46">
        <f t="shared" ca="1" si="38"/>
        <v>743.53269607413745</v>
      </c>
      <c r="BB19" s="46">
        <f t="shared" ca="1" si="38"/>
        <v>662.91895396765653</v>
      </c>
      <c r="BC19" s="46">
        <f t="shared" ca="1" si="38"/>
        <v>720.86679603243306</v>
      </c>
      <c r="BD19" s="46">
        <f t="shared" ca="1" si="38"/>
        <v>744.09890591480575</v>
      </c>
      <c r="BE19" s="46">
        <f t="shared" ca="1" si="38"/>
        <v>764.89999909313201</v>
      </c>
      <c r="BF19" s="46">
        <f t="shared" ca="1" si="38"/>
        <v>678.2249427829945</v>
      </c>
      <c r="BG19" s="46">
        <f t="shared" ca="1" si="38"/>
        <v>737.74725779876212</v>
      </c>
      <c r="BH19" s="46">
        <f t="shared" ca="1" si="38"/>
        <v>761.65206350505514</v>
      </c>
      <c r="BI19" s="46">
        <f t="shared" ca="1" si="38"/>
        <v>783.11484991173438</v>
      </c>
      <c r="BJ19" s="1"/>
      <c r="BK19" s="46">
        <f t="shared" si="36"/>
        <v>1215.7219999999998</v>
      </c>
      <c r="BL19" s="46">
        <f t="shared" si="36"/>
        <v>1540.946999999999</v>
      </c>
      <c r="BM19" s="46">
        <f t="shared" si="36"/>
        <v>1555.7119999999991</v>
      </c>
      <c r="BN19" s="46">
        <f t="shared" si="36"/>
        <v>1670.502</v>
      </c>
      <c r="BO19" s="46">
        <f t="shared" si="36"/>
        <v>1768.9089999999994</v>
      </c>
      <c r="BP19" s="46">
        <f t="shared" si="36"/>
        <v>1954.1869999999999</v>
      </c>
      <c r="BQ19" s="46">
        <f t="shared" si="36"/>
        <v>2277.9539999999997</v>
      </c>
      <c r="BR19" s="46">
        <f t="shared" si="36"/>
        <v>2598.7110000000002</v>
      </c>
      <c r="BS19" s="46">
        <f t="shared" si="36"/>
        <v>2753.179000000001</v>
      </c>
      <c r="BT19" s="46">
        <f t="shared" si="36"/>
        <v>2872.3619999999992</v>
      </c>
      <c r="BU19" s="46">
        <f t="shared" ca="1" si="36"/>
        <v>2684.0726303854626</v>
      </c>
      <c r="BV19" s="46">
        <f t="shared" ca="1" si="36"/>
        <v>2791.2666155083707</v>
      </c>
      <c r="BW19" s="46">
        <f t="shared" ca="1" si="36"/>
        <v>2892.7846550080271</v>
      </c>
      <c r="BX19" s="46">
        <f t="shared" ca="1" si="36"/>
        <v>2960.7391139985461</v>
      </c>
    </row>
    <row r="20" spans="1:76" x14ac:dyDescent="0.25">
      <c r="A20" s="1"/>
      <c r="B20" s="1"/>
      <c r="C20" s="11" t="s">
        <v>876</v>
      </c>
      <c r="D20" s="1"/>
      <c r="E20" s="1"/>
      <c r="F20" s="47">
        <f>'Canalyst HC - Q'!C407</f>
        <v>231.49700000000001</v>
      </c>
      <c r="G20" s="47">
        <f>'Canalyst HC - Q'!D407</f>
        <v>264.971</v>
      </c>
      <c r="H20" s="47">
        <f>'Canalyst HC - Q'!E407</f>
        <v>287.38900000000001</v>
      </c>
      <c r="I20" s="47">
        <f>'Canalyst HC - Q'!F407</f>
        <v>304.00599999999997</v>
      </c>
      <c r="J20" s="47">
        <f>'Canalyst HC - Q'!G407</f>
        <v>318.41300000000001</v>
      </c>
      <c r="K20" s="47">
        <f>'Canalyst HC - Q'!H407</f>
        <v>367.86500000000001</v>
      </c>
      <c r="L20" s="47">
        <f>'Canalyst HC - Q'!I407</f>
        <v>374.19400000000002</v>
      </c>
      <c r="M20" s="47">
        <f>'Canalyst HC - Q'!J407</f>
        <v>384.29599999999999</v>
      </c>
      <c r="N20" s="47">
        <f>'Canalyst HC - Q'!K407</f>
        <v>376.63799999999998</v>
      </c>
      <c r="O20" s="47">
        <f>'Canalyst HC - Q'!L407</f>
        <v>385.029</v>
      </c>
      <c r="P20" s="47">
        <f>'Canalyst HC - Q'!M407</f>
        <v>368.31200000000001</v>
      </c>
      <c r="Q20" s="47">
        <f>'Canalyst HC - Q'!N407</f>
        <v>367.83100000000007</v>
      </c>
      <c r="R20" s="47">
        <f>'Canalyst HC - Q'!O407</f>
        <v>369.154</v>
      </c>
      <c r="S20" s="47">
        <f>'Canalyst HC - Q'!P407</f>
        <v>368.565</v>
      </c>
      <c r="T20" s="47">
        <f>'Canalyst HC - Q'!Q407</f>
        <v>378.37799999999999</v>
      </c>
      <c r="U20" s="47">
        <f>'Canalyst HC - Q'!R407</f>
        <v>373.65100000000012</v>
      </c>
      <c r="V20" s="47">
        <f>'Canalyst HC - Q'!S407</f>
        <v>372.47399999999999</v>
      </c>
      <c r="W20" s="47">
        <f>'Canalyst HC - Q'!T407</f>
        <v>346.18299999999999</v>
      </c>
      <c r="X20" s="47">
        <f>'Canalyst HC - Q'!U407</f>
        <v>368.59399999999999</v>
      </c>
      <c r="Y20" s="47">
        <f>'Canalyst HC - Q'!V407</f>
        <v>368.28</v>
      </c>
      <c r="Z20" s="47">
        <f>'Canalyst HC - Q'!W407</f>
        <v>354.51900000000001</v>
      </c>
      <c r="AA20" s="47">
        <f>'Canalyst HC - Q'!X407</f>
        <v>374.07900000000001</v>
      </c>
      <c r="AB20" s="47">
        <f>'Canalyst HC - Q'!Y407</f>
        <v>380.68099999999998</v>
      </c>
      <c r="AC20" s="47">
        <f>'Canalyst HC - Q'!Z407</f>
        <v>405.73700000000008</v>
      </c>
      <c r="AD20" s="47">
        <f>'Canalyst HC - Q'!AA407</f>
        <v>376.59100000000001</v>
      </c>
      <c r="AE20" s="47">
        <f>'Canalyst HC - Q'!AB407</f>
        <v>403.36599999999999</v>
      </c>
      <c r="AF20" s="47">
        <f>'Canalyst HC - Q'!AC407</f>
        <v>431.17700000000002</v>
      </c>
      <c r="AG20" s="47">
        <f>'Canalyst HC - Q'!AD407</f>
        <v>425.77299999999991</v>
      </c>
      <c r="AH20" s="47">
        <f>'Canalyst HC - Q'!AE407</f>
        <v>418.05200000000002</v>
      </c>
      <c r="AI20" s="47">
        <f>'Canalyst HC - Q'!AF407</f>
        <v>437.90699999999998</v>
      </c>
      <c r="AJ20" s="47">
        <f>'Canalyst HC - Q'!AG407</f>
        <v>445.29</v>
      </c>
      <c r="AK20" s="47">
        <f>'Canalyst HC - Q'!AH407</f>
        <v>463.01100000000002</v>
      </c>
      <c r="AL20" s="47">
        <f>'Canalyst HC - Q'!AI407</f>
        <v>425.15300000000002</v>
      </c>
      <c r="AM20" s="47">
        <f>'Canalyst HC - Q'!AJ407</f>
        <v>457.57</v>
      </c>
      <c r="AN20" s="47">
        <f>'Canalyst HC - Q'!AK407</f>
        <v>470.98099999999999</v>
      </c>
      <c r="AO20" s="47">
        <f>'Canalyst HC - Q'!AL407</f>
        <v>479.125</v>
      </c>
      <c r="AP20" s="47">
        <f>'Canalyst HC - Q'!AM407</f>
        <v>437.28399999999999</v>
      </c>
      <c r="AQ20" s="47">
        <f>'Canalyst HC - Q'!AN407</f>
        <v>470.41199999999998</v>
      </c>
      <c r="AR20" s="47">
        <f>'Canalyst HC - Q'!AO407</f>
        <v>501.88200000000001</v>
      </c>
      <c r="AS20" s="47">
        <f>'Canalyst HC - Q'!AP407</f>
        <v>512.12799999999993</v>
      </c>
      <c r="AT20" s="38">
        <f>AP20*(1+AT13)+12</f>
        <v>464.58893999999998</v>
      </c>
      <c r="AU20" s="38">
        <f t="shared" ref="AU20:AW20" si="39">AQ20*(1+AU13)+12</f>
        <v>498.87641999999994</v>
      </c>
      <c r="AV20" s="38">
        <f t="shared" si="39"/>
        <v>531.44786999999997</v>
      </c>
      <c r="AW20" s="38">
        <f t="shared" si="39"/>
        <v>542.05247999999983</v>
      </c>
      <c r="AX20" s="38">
        <f t="shared" ref="AX20:BI20" si="40">AT20*(1+AX13)</f>
        <v>480.84955289999994</v>
      </c>
      <c r="AY20" s="38">
        <f t="shared" si="40"/>
        <v>516.33709469999985</v>
      </c>
      <c r="AZ20" s="38">
        <f t="shared" si="40"/>
        <v>550.04854544999989</v>
      </c>
      <c r="BA20" s="38">
        <f t="shared" si="40"/>
        <v>561.02431679999984</v>
      </c>
      <c r="BB20" s="38">
        <f t="shared" si="40"/>
        <v>497.67928725149989</v>
      </c>
      <c r="BC20" s="38">
        <f t="shared" si="40"/>
        <v>534.40889301449977</v>
      </c>
      <c r="BD20" s="38">
        <f t="shared" si="40"/>
        <v>569.30024454074987</v>
      </c>
      <c r="BE20" s="38">
        <f t="shared" si="40"/>
        <v>580.66016788799982</v>
      </c>
      <c r="BF20" s="38">
        <f t="shared" si="40"/>
        <v>515.09806230530239</v>
      </c>
      <c r="BG20" s="38">
        <f t="shared" si="40"/>
        <v>553.11320427000726</v>
      </c>
      <c r="BH20" s="38">
        <f t="shared" si="40"/>
        <v>589.22575309967613</v>
      </c>
      <c r="BI20" s="38">
        <f t="shared" si="40"/>
        <v>600.98327376407974</v>
      </c>
      <c r="BJ20" s="1"/>
      <c r="BK20" s="38">
        <f t="shared" si="36"/>
        <v>1087.8629999999998</v>
      </c>
      <c r="BL20" s="38">
        <f t="shared" si="36"/>
        <v>1444.768</v>
      </c>
      <c r="BM20" s="38">
        <f t="shared" si="36"/>
        <v>1497.81</v>
      </c>
      <c r="BN20" s="38">
        <f t="shared" si="36"/>
        <v>1489.748</v>
      </c>
      <c r="BO20" s="38">
        <f t="shared" si="36"/>
        <v>1455.5309999999999</v>
      </c>
      <c r="BP20" s="38">
        <f t="shared" si="36"/>
        <v>1515.0160000000001</v>
      </c>
      <c r="BQ20" s="38">
        <f t="shared" si="36"/>
        <v>1636.9069999999999</v>
      </c>
      <c r="BR20" s="38">
        <f t="shared" si="36"/>
        <v>1764.26</v>
      </c>
      <c r="BS20" s="38">
        <f t="shared" si="36"/>
        <v>1832.829</v>
      </c>
      <c r="BT20" s="38">
        <f t="shared" si="36"/>
        <v>1921.7059999999999</v>
      </c>
      <c r="BU20" s="38">
        <f t="shared" si="36"/>
        <v>2036.9657099999997</v>
      </c>
      <c r="BV20" s="38">
        <f t="shared" si="36"/>
        <v>2108.2595098499996</v>
      </c>
      <c r="BW20" s="38">
        <f t="shared" si="36"/>
        <v>2182.0485926947495</v>
      </c>
      <c r="BX20" s="38">
        <f t="shared" si="36"/>
        <v>2258.420293439066</v>
      </c>
    </row>
    <row r="21" spans="1:76" ht="15" customHeight="1" x14ac:dyDescent="0.25">
      <c r="A21" s="1"/>
      <c r="B21" s="3" t="s">
        <v>66</v>
      </c>
      <c r="C21" s="1"/>
      <c r="D21" s="1"/>
      <c r="E21" s="1"/>
      <c r="F21" s="46">
        <f>F19-F20</f>
        <v>12.40100000000001</v>
      </c>
      <c r="G21" s="46">
        <f t="shared" ref="G21:BI21" si="41">G19-G20</f>
        <v>54.73599999999999</v>
      </c>
      <c r="H21" s="46">
        <f t="shared" si="41"/>
        <v>39.801000000000045</v>
      </c>
      <c r="I21" s="46">
        <f t="shared" si="41"/>
        <v>20.920999999999708</v>
      </c>
      <c r="J21" s="46">
        <f t="shared" si="41"/>
        <v>13.607999999999947</v>
      </c>
      <c r="K21" s="46">
        <f t="shared" si="41"/>
        <v>47.312999999999874</v>
      </c>
      <c r="L21" s="46">
        <f t="shared" si="41"/>
        <v>36.130000000000052</v>
      </c>
      <c r="M21" s="46">
        <f t="shared" si="41"/>
        <v>-0.87200000000092359</v>
      </c>
      <c r="N21" s="46">
        <f t="shared" si="41"/>
        <v>-18.9969999999999</v>
      </c>
      <c r="O21" s="46">
        <f t="shared" si="41"/>
        <v>19.678999999999974</v>
      </c>
      <c r="P21" s="46">
        <f t="shared" si="41"/>
        <v>44.403999999999883</v>
      </c>
      <c r="Q21" s="46">
        <f t="shared" si="41"/>
        <v>12.815999999998951</v>
      </c>
      <c r="R21" s="46">
        <f t="shared" si="41"/>
        <v>20.153999999999996</v>
      </c>
      <c r="S21" s="46">
        <f t="shared" si="41"/>
        <v>67.214000000000112</v>
      </c>
      <c r="T21" s="46">
        <f t="shared" si="41"/>
        <v>53.84600000000006</v>
      </c>
      <c r="U21" s="46">
        <f t="shared" si="41"/>
        <v>39.539999999999679</v>
      </c>
      <c r="V21" s="46">
        <f t="shared" si="41"/>
        <v>32.82099999999997</v>
      </c>
      <c r="W21" s="46">
        <f t="shared" si="41"/>
        <v>83.117999999999938</v>
      </c>
      <c r="X21" s="46">
        <f t="shared" si="41"/>
        <v>103.84399999999988</v>
      </c>
      <c r="Y21" s="46">
        <f t="shared" si="41"/>
        <v>93.5949999999998</v>
      </c>
      <c r="Z21" s="46">
        <f t="shared" si="41"/>
        <v>94.183999999999969</v>
      </c>
      <c r="AA21" s="46">
        <f t="shared" si="41"/>
        <v>120.86100000000005</v>
      </c>
      <c r="AB21" s="46">
        <f t="shared" si="41"/>
        <v>137.03100000000001</v>
      </c>
      <c r="AC21" s="46">
        <f t="shared" si="41"/>
        <v>87.0949999999998</v>
      </c>
      <c r="AD21" s="46">
        <f t="shared" si="41"/>
        <v>130.9849999999999</v>
      </c>
      <c r="AE21" s="46">
        <f t="shared" si="41"/>
        <v>147.29299999999989</v>
      </c>
      <c r="AF21" s="46">
        <f t="shared" si="41"/>
        <v>189.92999999999995</v>
      </c>
      <c r="AG21" s="46">
        <f t="shared" si="41"/>
        <v>172.83900000000017</v>
      </c>
      <c r="AH21" s="46">
        <f t="shared" si="41"/>
        <v>206.05400000000009</v>
      </c>
      <c r="AI21" s="46">
        <f t="shared" si="41"/>
        <v>233.67000000000002</v>
      </c>
      <c r="AJ21" s="46">
        <f t="shared" si="41"/>
        <v>216.26000000000016</v>
      </c>
      <c r="AK21" s="46">
        <f t="shared" si="41"/>
        <v>178.46699999999981</v>
      </c>
      <c r="AL21" s="46">
        <f t="shared" si="41"/>
        <v>215.40599999999995</v>
      </c>
      <c r="AM21" s="46">
        <f t="shared" si="41"/>
        <v>259.14000000000004</v>
      </c>
      <c r="AN21" s="46">
        <f t="shared" si="41"/>
        <v>227.05500000000006</v>
      </c>
      <c r="AO21" s="46">
        <f t="shared" si="41"/>
        <v>218.74900000000093</v>
      </c>
      <c r="AP21" s="46">
        <f t="shared" si="41"/>
        <v>189.82000000000005</v>
      </c>
      <c r="AQ21" s="46">
        <f t="shared" si="41"/>
        <v>272.08400000000012</v>
      </c>
      <c r="AR21" s="46">
        <f t="shared" si="41"/>
        <v>246.63400000000007</v>
      </c>
      <c r="AS21" s="46">
        <f t="shared" si="41"/>
        <v>242.11799999999903</v>
      </c>
      <c r="AT21" s="46">
        <f t="shared" ca="1" si="41"/>
        <v>164.25295702583901</v>
      </c>
      <c r="AU21" s="46">
        <f t="shared" ca="1" si="41"/>
        <v>164.23985944500703</v>
      </c>
      <c r="AV21" s="46">
        <f t="shared" ca="1" si="41"/>
        <v>154.96494114204052</v>
      </c>
      <c r="AW21" s="46">
        <f t="shared" ca="1" si="41"/>
        <v>163.64916277257635</v>
      </c>
      <c r="AX21" s="46">
        <f t="shared" ca="1" si="41"/>
        <v>153.40671082608947</v>
      </c>
      <c r="AY21" s="46">
        <f t="shared" ca="1" si="41"/>
        <v>177.36365467676274</v>
      </c>
      <c r="AZ21" s="46">
        <f t="shared" ca="1" si="41"/>
        <v>169.7283608813816</v>
      </c>
      <c r="BA21" s="46">
        <f t="shared" ca="1" si="41"/>
        <v>182.50837927413761</v>
      </c>
      <c r="BB21" s="46">
        <f t="shared" ca="1" si="41"/>
        <v>165.23966671615665</v>
      </c>
      <c r="BC21" s="46">
        <f t="shared" ca="1" si="41"/>
        <v>186.45790301793329</v>
      </c>
      <c r="BD21" s="46">
        <f t="shared" ca="1" si="41"/>
        <v>174.79866137405588</v>
      </c>
      <c r="BE21" s="46">
        <f t="shared" ca="1" si="41"/>
        <v>184.23983120513219</v>
      </c>
      <c r="BF21" s="46">
        <f t="shared" ca="1" si="41"/>
        <v>163.12688047769211</v>
      </c>
      <c r="BG21" s="46">
        <f t="shared" ca="1" si="41"/>
        <v>184.63405352875486</v>
      </c>
      <c r="BH21" s="46">
        <f t="shared" ca="1" si="41"/>
        <v>172.42631040537901</v>
      </c>
      <c r="BI21" s="46">
        <f t="shared" ca="1" si="41"/>
        <v>182.13157614765464</v>
      </c>
      <c r="BJ21" s="1"/>
      <c r="BK21" s="46">
        <f t="shared" si="36"/>
        <v>127.85899999999975</v>
      </c>
      <c r="BL21" s="46">
        <f t="shared" si="36"/>
        <v>96.17899999999895</v>
      </c>
      <c r="BM21" s="46">
        <f t="shared" si="36"/>
        <v>57.901999999998907</v>
      </c>
      <c r="BN21" s="46">
        <f t="shared" si="36"/>
        <v>180.75399999999985</v>
      </c>
      <c r="BO21" s="46">
        <f t="shared" si="36"/>
        <v>313.37799999999959</v>
      </c>
      <c r="BP21" s="46">
        <f t="shared" si="36"/>
        <v>439.17099999999982</v>
      </c>
      <c r="BQ21" s="46">
        <f t="shared" si="36"/>
        <v>641.04699999999991</v>
      </c>
      <c r="BR21" s="46">
        <f t="shared" si="36"/>
        <v>834.45100000000002</v>
      </c>
      <c r="BS21" s="46">
        <f t="shared" si="36"/>
        <v>920.35000000000105</v>
      </c>
      <c r="BT21" s="46">
        <f t="shared" si="36"/>
        <v>950.65599999999927</v>
      </c>
      <c r="BU21" s="46">
        <f t="shared" ca="1" si="36"/>
        <v>647.1069203854629</v>
      </c>
      <c r="BV21" s="46">
        <f t="shared" ca="1" si="36"/>
        <v>683.00710565837142</v>
      </c>
      <c r="BW21" s="46">
        <f t="shared" ca="1" si="36"/>
        <v>710.73606231327801</v>
      </c>
      <c r="BX21" s="46">
        <f t="shared" ca="1" si="36"/>
        <v>702.31882055948063</v>
      </c>
    </row>
    <row r="22" spans="1:76" x14ac:dyDescent="0.25">
      <c r="A22" s="1"/>
      <c r="B22" s="1"/>
      <c r="C22" s="11" t="s">
        <v>67</v>
      </c>
      <c r="D22" s="1"/>
      <c r="E22" s="1"/>
      <c r="F22" s="47">
        <f>'Canalyst HC - Q'!C419</f>
        <v>9.3610000000000007</v>
      </c>
      <c r="G22" s="47">
        <f>'Canalyst HC - Q'!D419</f>
        <v>9.8079999999999998</v>
      </c>
      <c r="H22" s="47">
        <f>'Canalyst HC - Q'!E419</f>
        <v>8.452</v>
      </c>
      <c r="I22" s="47">
        <f>'Canalyst HC - Q'!F419</f>
        <v>8.7040000000000024</v>
      </c>
      <c r="J22" s="47">
        <f>'Canalyst HC - Q'!G419</f>
        <v>9.4700000000000006</v>
      </c>
      <c r="K22" s="47">
        <f>'Canalyst HC - Q'!H419</f>
        <v>10.44</v>
      </c>
      <c r="L22" s="47">
        <f>'Canalyst HC - Q'!I419</f>
        <v>10.696999999999999</v>
      </c>
      <c r="M22" s="47">
        <f>'Canalyst HC - Q'!J419</f>
        <v>11.262</v>
      </c>
      <c r="N22" s="47">
        <f>'Canalyst HC - Q'!K419</f>
        <v>12.045999999999999</v>
      </c>
      <c r="O22" s="47">
        <f>'Canalyst HC - Q'!L419</f>
        <v>12.744</v>
      </c>
      <c r="P22" s="47">
        <f>'Canalyst HC - Q'!M419</f>
        <v>12.827</v>
      </c>
      <c r="Q22" s="47">
        <f>'Canalyst HC - Q'!N419</f>
        <v>12.888999999999999</v>
      </c>
      <c r="R22" s="47">
        <f>'Canalyst HC - Q'!O419</f>
        <v>12.885999999999999</v>
      </c>
      <c r="S22" s="47">
        <f>'Canalyst HC - Q'!P419</f>
        <v>11.994999999999999</v>
      </c>
      <c r="T22" s="47">
        <f>'Canalyst HC - Q'!Q419</f>
        <v>10.965</v>
      </c>
      <c r="U22" s="47">
        <f>'Canalyst HC - Q'!R419</f>
        <v>10.144</v>
      </c>
      <c r="V22" s="47">
        <f>'Canalyst HC - Q'!S419</f>
        <v>9.5609999999999999</v>
      </c>
      <c r="W22" s="47">
        <f>'Canalyst HC - Q'!T419</f>
        <v>9.1839999999999993</v>
      </c>
      <c r="X22" s="47">
        <f>'Canalyst HC - Q'!U419</f>
        <v>9.0329999999999995</v>
      </c>
      <c r="Y22" s="47">
        <f>'Canalyst HC - Q'!V419</f>
        <v>8.9570000000000007</v>
      </c>
      <c r="Z22" s="47">
        <f>'Canalyst HC - Q'!W419</f>
        <v>8.7460000000000004</v>
      </c>
      <c r="AA22" s="47">
        <f>'Canalyst HC - Q'!X419</f>
        <v>8.3650000000000002</v>
      </c>
      <c r="AB22" s="47">
        <f>'Canalyst HC - Q'!Y419</f>
        <v>8.0969999999999995</v>
      </c>
      <c r="AC22" s="47">
        <f>'Canalyst HC - Q'!Z419</f>
        <v>8.2409999999999997</v>
      </c>
      <c r="AD22" s="47">
        <f>'Canalyst HC - Q'!AA419</f>
        <v>7.6989999999999998</v>
      </c>
      <c r="AE22" s="47">
        <f>'Canalyst HC - Q'!AB419</f>
        <v>7.1459999999999999</v>
      </c>
      <c r="AF22" s="47">
        <f>'Canalyst HC - Q'!AC419</f>
        <v>6.0830000000000002</v>
      </c>
      <c r="AG22" s="47">
        <f>'Canalyst HC - Q'!AD419</f>
        <v>3.8640000000000039</v>
      </c>
      <c r="AH22" s="47">
        <f>'Canalyst HC - Q'!AE419</f>
        <v>2.9289999999999998</v>
      </c>
      <c r="AI22" s="47">
        <f>'Canalyst HC - Q'!AF419</f>
        <v>1.353</v>
      </c>
      <c r="AJ22" s="47">
        <f>'Canalyst HC - Q'!AG419</f>
        <v>-1.516</v>
      </c>
      <c r="AK22" s="47">
        <f>'Canalyst HC - Q'!AH419</f>
        <v>-3.6840000000000002</v>
      </c>
      <c r="AL22" s="47">
        <f>'Canalyst HC - Q'!AI419</f>
        <v>-2.7160000000000002</v>
      </c>
      <c r="AM22" s="47">
        <f>'Canalyst HC - Q'!AJ419</f>
        <v>-1.62</v>
      </c>
      <c r="AN22" s="47">
        <f>'Canalyst HC - Q'!AK419</f>
        <v>2.1869999999999998</v>
      </c>
      <c r="AO22" s="47">
        <f>'Canalyst HC - Q'!AL419</f>
        <v>3.9970000000000012</v>
      </c>
      <c r="AP22" s="47">
        <f>'Canalyst HC - Q'!AM419</f>
        <v>6.8739999999999997</v>
      </c>
      <c r="AQ22" s="47">
        <f>'Canalyst HC - Q'!AN419</f>
        <v>5.9480000000000004</v>
      </c>
      <c r="AR22" s="47">
        <f>'Canalyst HC - Q'!AO419</f>
        <v>4.6870000000000003</v>
      </c>
      <c r="AS22" s="47">
        <f>'Canalyst HC - Q'!AP419</f>
        <v>25.169</v>
      </c>
      <c r="AT22" s="38">
        <f>AT14*AS55/4</f>
        <v>41.816295000000004</v>
      </c>
      <c r="AU22" s="38">
        <f t="shared" ref="AU22:BI22" si="42">AU14*AT55/4</f>
        <v>41.816295000000004</v>
      </c>
      <c r="AV22" s="38">
        <f t="shared" si="42"/>
        <v>41.816295000000004</v>
      </c>
      <c r="AW22" s="38">
        <f t="shared" si="42"/>
        <v>41.816295000000004</v>
      </c>
      <c r="AX22" s="38">
        <f t="shared" si="42"/>
        <v>41.816295000000004</v>
      </c>
      <c r="AY22" s="38">
        <f t="shared" si="42"/>
        <v>41.816295000000004</v>
      </c>
      <c r="AZ22" s="38">
        <f t="shared" si="42"/>
        <v>41.816295000000004</v>
      </c>
      <c r="BA22" s="38">
        <f t="shared" si="42"/>
        <v>41.816295000000004</v>
      </c>
      <c r="BB22" s="38">
        <f t="shared" si="42"/>
        <v>41.816295000000004</v>
      </c>
      <c r="BC22" s="38">
        <f t="shared" si="42"/>
        <v>41.816295000000004</v>
      </c>
      <c r="BD22" s="38">
        <f t="shared" si="42"/>
        <v>41.816295000000004</v>
      </c>
      <c r="BE22" s="38">
        <f t="shared" si="42"/>
        <v>41.816295000000004</v>
      </c>
      <c r="BF22" s="38">
        <f t="shared" si="42"/>
        <v>41.816295000000004</v>
      </c>
      <c r="BG22" s="38">
        <f t="shared" si="42"/>
        <v>41.816295000000004</v>
      </c>
      <c r="BH22" s="38">
        <f t="shared" si="42"/>
        <v>41.816295000000004</v>
      </c>
      <c r="BI22" s="38">
        <f t="shared" si="42"/>
        <v>41.816295000000004</v>
      </c>
      <c r="BJ22" s="1"/>
      <c r="BK22" s="38">
        <f t="shared" si="36"/>
        <v>36.325000000000003</v>
      </c>
      <c r="BL22" s="38">
        <f t="shared" si="36"/>
        <v>41.869</v>
      </c>
      <c r="BM22" s="38">
        <f t="shared" si="36"/>
        <v>50.506</v>
      </c>
      <c r="BN22" s="38">
        <f t="shared" si="36"/>
        <v>45.99</v>
      </c>
      <c r="BO22" s="38">
        <f t="shared" si="36"/>
        <v>36.734999999999999</v>
      </c>
      <c r="BP22" s="38">
        <f t="shared" si="36"/>
        <v>33.448999999999998</v>
      </c>
      <c r="BQ22" s="38">
        <f t="shared" si="36"/>
        <v>24.792000000000002</v>
      </c>
      <c r="BR22" s="38">
        <f t="shared" si="36"/>
        <v>-0.91800000000000015</v>
      </c>
      <c r="BS22" s="38">
        <f t="shared" si="36"/>
        <v>1.8480000000000008</v>
      </c>
      <c r="BT22" s="38">
        <f t="shared" si="36"/>
        <v>42.677999999999997</v>
      </c>
      <c r="BU22" s="38">
        <f t="shared" si="36"/>
        <v>167.26518000000002</v>
      </c>
      <c r="BV22" s="38">
        <f t="shared" si="36"/>
        <v>167.26518000000002</v>
      </c>
      <c r="BW22" s="38">
        <f t="shared" si="36"/>
        <v>167.26518000000002</v>
      </c>
      <c r="BX22" s="38">
        <f t="shared" si="36"/>
        <v>167.26518000000002</v>
      </c>
    </row>
    <row r="23" spans="1:76" x14ac:dyDescent="0.25">
      <c r="A23" s="1"/>
      <c r="B23" s="1"/>
      <c r="C23" s="11" t="s">
        <v>65</v>
      </c>
      <c r="D23" s="1"/>
      <c r="E23" s="1"/>
      <c r="F23" s="47">
        <f>'Canalyst HC - Q'!C420+'Canalyst HC - Q'!C421</f>
        <v>17.151</v>
      </c>
      <c r="G23" s="47">
        <f>'Canalyst HC - Q'!D420+'Canalyst HC - Q'!D421</f>
        <v>16.966000000000001</v>
      </c>
      <c r="H23" s="47">
        <f>'Canalyst HC - Q'!E420+'Canalyst HC - Q'!E421</f>
        <v>-7.3250000000000002</v>
      </c>
      <c r="I23" s="47">
        <f>'Canalyst HC - Q'!F420+'Canalyst HC - Q'!F421</f>
        <v>-27.97</v>
      </c>
      <c r="J23" s="47">
        <f>'Canalyst HC - Q'!G420+'Canalyst HC - Q'!G421</f>
        <v>12.246</v>
      </c>
      <c r="K23" s="47">
        <f>'Canalyst HC - Q'!H420+'Canalyst HC - Q'!H421</f>
        <v>25.548999999999999</v>
      </c>
      <c r="L23" s="47">
        <f>'Canalyst HC - Q'!I420+'Canalyst HC - Q'!I421</f>
        <v>-5.226</v>
      </c>
      <c r="M23" s="47">
        <f>'Canalyst HC - Q'!J420+'Canalyst HC - Q'!J421</f>
        <v>-41.265000000000001</v>
      </c>
      <c r="N23" s="47">
        <f>'Canalyst HC - Q'!K420+'Canalyst HC - Q'!K421</f>
        <v>-4.51</v>
      </c>
      <c r="O23" s="47">
        <f>'Canalyst HC - Q'!L420+'Canalyst HC - Q'!L421</f>
        <v>9.8179999999999996</v>
      </c>
      <c r="P23" s="47">
        <f>'Canalyst HC - Q'!M420+'Canalyst HC - Q'!M421</f>
        <v>-11.866</v>
      </c>
      <c r="Q23" s="47">
        <f>'Canalyst HC - Q'!N420+'Canalyst HC - Q'!N421</f>
        <v>27.241</v>
      </c>
      <c r="R23" s="47">
        <f>'Canalyst HC - Q'!O420+'Canalyst HC - Q'!O421</f>
        <v>15.851000000000001</v>
      </c>
      <c r="S23" s="47">
        <f>'Canalyst HC - Q'!P420+'Canalyst HC - Q'!P421</f>
        <v>31.181000000000001</v>
      </c>
      <c r="T23" s="47">
        <f>'Canalyst HC - Q'!Q420+'Canalyst HC - Q'!Q421</f>
        <v>20.710999999999999</v>
      </c>
      <c r="U23" s="47">
        <f>'Canalyst HC - Q'!R420+'Canalyst HC - Q'!R421</f>
        <v>32.796000000000006</v>
      </c>
      <c r="V23" s="47">
        <f>'Canalyst HC - Q'!S420+'Canalyst HC - Q'!S421</f>
        <v>2.298</v>
      </c>
      <c r="W23" s="47">
        <f>'Canalyst HC - Q'!T420+'Canalyst HC - Q'!T421</f>
        <v>16.134</v>
      </c>
      <c r="X23" s="47">
        <f>'Canalyst HC - Q'!U420+'Canalyst HC - Q'!U421</f>
        <v>21.393999999999998</v>
      </c>
      <c r="Y23" s="47">
        <f>'Canalyst HC - Q'!V420+'Canalyst HC - Q'!V421</f>
        <v>-4.222999999999999</v>
      </c>
      <c r="Z23" s="47">
        <f>'Canalyst HC - Q'!W420+'Canalyst HC - Q'!W421</f>
        <v>12.055</v>
      </c>
      <c r="AA23" s="47">
        <f>'Canalyst HC - Q'!X420+'Canalyst HC - Q'!X421</f>
        <v>47.040999999999997</v>
      </c>
      <c r="AB23" s="47">
        <f>'Canalyst HC - Q'!Y420+'Canalyst HC - Q'!Y421</f>
        <v>34.981999999999999</v>
      </c>
      <c r="AC23" s="47">
        <f>'Canalyst HC - Q'!Z420+'Canalyst HC - Q'!Z421</f>
        <v>56.494999999999997</v>
      </c>
      <c r="AD23" s="47">
        <f>'Canalyst HC - Q'!AA420+'Canalyst HC - Q'!AA421</f>
        <v>-3.2789999999999999</v>
      </c>
      <c r="AE23" s="47">
        <f>'Canalyst HC - Q'!AB420+'Canalyst HC - Q'!AB421</f>
        <v>6.1989999999999998</v>
      </c>
      <c r="AF23" s="47">
        <f>'Canalyst HC - Q'!AC420+'Canalyst HC - Q'!AC421</f>
        <v>24.745999999999999</v>
      </c>
      <c r="AG23" s="47">
        <f>'Canalyst HC - Q'!AD420+'Canalyst HC - Q'!AD421</f>
        <v>13.502000000000001</v>
      </c>
      <c r="AH23" s="47">
        <f>'Canalyst HC - Q'!AE420+'Canalyst HC - Q'!AE421</f>
        <v>43.923000000000002</v>
      </c>
      <c r="AI23" s="47">
        <f>'Canalyst HC - Q'!AF420+'Canalyst HC - Q'!AF421</f>
        <v>67.564999999999998</v>
      </c>
      <c r="AJ23" s="47">
        <f>'Canalyst HC - Q'!AG420+'Canalyst HC - Q'!AG421</f>
        <v>96.792000000000002</v>
      </c>
      <c r="AK23" s="47">
        <f>'Canalyst HC - Q'!AH420+'Canalyst HC - Q'!AH421</f>
        <v>69.608000000000018</v>
      </c>
      <c r="AL23" s="47">
        <f>'Canalyst HC - Q'!AI420+'Canalyst HC - Q'!AI421</f>
        <v>-4.7130000000000001</v>
      </c>
      <c r="AM23" s="47">
        <f>'Canalyst HC - Q'!AJ420+'Canalyst HC - Q'!AJ421</f>
        <v>28.535</v>
      </c>
      <c r="AN23" s="47">
        <f>'Canalyst HC - Q'!AK420+'Canalyst HC - Q'!AK421</f>
        <v>69.304999999999993</v>
      </c>
      <c r="AO23" s="47">
        <f>'Canalyst HC - Q'!AL420+'Canalyst HC - Q'!AL421</f>
        <v>-31.279</v>
      </c>
      <c r="AP23" s="47">
        <f>'Canalyst HC - Q'!AM420+'Canalyst HC - Q'!AM421</f>
        <v>43.472999999999999</v>
      </c>
      <c r="AQ23" s="47">
        <f>'Canalyst HC - Q'!AN420+'Canalyst HC - Q'!AN421</f>
        <v>13.144</v>
      </c>
      <c r="AR23" s="47">
        <f>'Canalyst HC - Q'!AO420+'Canalyst HC - Q'!AO421</f>
        <v>49.716999999999999</v>
      </c>
      <c r="AS23" s="47">
        <f>'Canalyst HC - Q'!AP420+'Canalyst HC - Q'!AP421</f>
        <v>28.725999999999999</v>
      </c>
      <c r="AT23" s="38">
        <f>AP23</f>
        <v>43.472999999999999</v>
      </c>
      <c r="AU23" s="38">
        <f t="shared" ref="AU23:BI23" si="43">AQ23</f>
        <v>13.144</v>
      </c>
      <c r="AV23" s="38">
        <f t="shared" si="43"/>
        <v>49.716999999999999</v>
      </c>
      <c r="AW23" s="38">
        <f t="shared" si="43"/>
        <v>28.725999999999999</v>
      </c>
      <c r="AX23" s="38">
        <f t="shared" si="43"/>
        <v>43.472999999999999</v>
      </c>
      <c r="AY23" s="38">
        <f t="shared" si="43"/>
        <v>13.144</v>
      </c>
      <c r="AZ23" s="38">
        <f t="shared" si="43"/>
        <v>49.716999999999999</v>
      </c>
      <c r="BA23" s="38">
        <f t="shared" si="43"/>
        <v>28.725999999999999</v>
      </c>
      <c r="BB23" s="38">
        <f t="shared" si="43"/>
        <v>43.472999999999999</v>
      </c>
      <c r="BC23" s="38">
        <f t="shared" si="43"/>
        <v>13.144</v>
      </c>
      <c r="BD23" s="38">
        <f t="shared" si="43"/>
        <v>49.716999999999999</v>
      </c>
      <c r="BE23" s="38">
        <f t="shared" si="43"/>
        <v>28.725999999999999</v>
      </c>
      <c r="BF23" s="38">
        <f t="shared" si="43"/>
        <v>43.472999999999999</v>
      </c>
      <c r="BG23" s="38">
        <f t="shared" si="43"/>
        <v>13.144</v>
      </c>
      <c r="BH23" s="38">
        <f t="shared" si="43"/>
        <v>49.716999999999999</v>
      </c>
      <c r="BI23" s="38">
        <f t="shared" si="43"/>
        <v>28.725999999999999</v>
      </c>
      <c r="BJ23" s="1"/>
      <c r="BK23" s="38">
        <f t="shared" si="36"/>
        <v>-1.1779999999999937</v>
      </c>
      <c r="BL23" s="38">
        <f t="shared" si="36"/>
        <v>-8.695999999999998</v>
      </c>
      <c r="BM23" s="38">
        <f t="shared" si="36"/>
        <v>20.683</v>
      </c>
      <c r="BN23" s="38">
        <f t="shared" si="36"/>
        <v>100.539</v>
      </c>
      <c r="BO23" s="38">
        <f t="shared" si="36"/>
        <v>35.603000000000002</v>
      </c>
      <c r="BP23" s="38">
        <f t="shared" si="36"/>
        <v>150.57300000000001</v>
      </c>
      <c r="BQ23" s="38">
        <f t="shared" si="36"/>
        <v>41.167999999999999</v>
      </c>
      <c r="BR23" s="38">
        <f t="shared" si="36"/>
        <v>277.88800000000003</v>
      </c>
      <c r="BS23" s="38">
        <f t="shared" si="36"/>
        <v>61.847999999999999</v>
      </c>
      <c r="BT23" s="38">
        <f t="shared" si="36"/>
        <v>135.06</v>
      </c>
      <c r="BU23" s="38">
        <f t="shared" si="36"/>
        <v>135.06</v>
      </c>
      <c r="BV23" s="38">
        <f t="shared" si="36"/>
        <v>135.06</v>
      </c>
      <c r="BW23" s="38">
        <f t="shared" si="36"/>
        <v>135.06</v>
      </c>
      <c r="BX23" s="38">
        <f t="shared" si="36"/>
        <v>135.06</v>
      </c>
    </row>
    <row r="24" spans="1:76" ht="15" customHeight="1" x14ac:dyDescent="0.25">
      <c r="A24" s="1"/>
      <c r="B24" s="3" t="s">
        <v>68</v>
      </c>
      <c r="C24" s="1"/>
      <c r="D24" s="1"/>
      <c r="E24" s="1"/>
      <c r="F24" s="46">
        <f t="shared" ref="F24:AK24" si="44">F21-SUM(F22:F23)</f>
        <v>-14.11099999999999</v>
      </c>
      <c r="G24" s="46">
        <f t="shared" si="44"/>
        <v>27.961999999999989</v>
      </c>
      <c r="H24" s="46">
        <f t="shared" si="44"/>
        <v>38.674000000000042</v>
      </c>
      <c r="I24" s="46">
        <f t="shared" si="44"/>
        <v>40.186999999999706</v>
      </c>
      <c r="J24" s="46">
        <f t="shared" si="44"/>
        <v>-8.1080000000000538</v>
      </c>
      <c r="K24" s="46">
        <f t="shared" si="44"/>
        <v>11.323999999999877</v>
      </c>
      <c r="L24" s="46">
        <f t="shared" si="44"/>
        <v>30.659000000000052</v>
      </c>
      <c r="M24" s="46">
        <f t="shared" si="44"/>
        <v>29.130999999999077</v>
      </c>
      <c r="N24" s="46">
        <f t="shared" si="44"/>
        <v>-26.532999999999902</v>
      </c>
      <c r="O24" s="46">
        <f t="shared" si="44"/>
        <v>-2.883000000000024</v>
      </c>
      <c r="P24" s="46">
        <f t="shared" si="44"/>
        <v>43.442999999999884</v>
      </c>
      <c r="Q24" s="46">
        <f t="shared" si="44"/>
        <v>-27.314000000001045</v>
      </c>
      <c r="R24" s="46">
        <f t="shared" si="44"/>
        <v>-8.5830000000000055</v>
      </c>
      <c r="S24" s="46">
        <f t="shared" si="44"/>
        <v>24.03800000000011</v>
      </c>
      <c r="T24" s="46">
        <f t="shared" si="44"/>
        <v>22.170000000000062</v>
      </c>
      <c r="U24" s="46">
        <f t="shared" si="44"/>
        <v>-3.4000000000003254</v>
      </c>
      <c r="V24" s="46">
        <f t="shared" si="44"/>
        <v>20.961999999999968</v>
      </c>
      <c r="W24" s="46">
        <f t="shared" si="44"/>
        <v>57.79999999999994</v>
      </c>
      <c r="X24" s="46">
        <f t="shared" si="44"/>
        <v>73.416999999999888</v>
      </c>
      <c r="Y24" s="46">
        <f t="shared" si="44"/>
        <v>88.860999999999791</v>
      </c>
      <c r="Z24" s="46">
        <f t="shared" si="44"/>
        <v>73.382999999999967</v>
      </c>
      <c r="AA24" s="46">
        <f t="shared" si="44"/>
        <v>65.455000000000041</v>
      </c>
      <c r="AB24" s="46">
        <f t="shared" si="44"/>
        <v>93.951999999999998</v>
      </c>
      <c r="AC24" s="46">
        <f t="shared" si="44"/>
        <v>22.35899999999981</v>
      </c>
      <c r="AD24" s="46">
        <f t="shared" si="44"/>
        <v>126.5649999999999</v>
      </c>
      <c r="AE24" s="46">
        <f t="shared" si="44"/>
        <v>133.94799999999989</v>
      </c>
      <c r="AF24" s="46">
        <f t="shared" si="44"/>
        <v>159.10099999999994</v>
      </c>
      <c r="AG24" s="46">
        <f t="shared" si="44"/>
        <v>155.47300000000016</v>
      </c>
      <c r="AH24" s="46">
        <f t="shared" si="44"/>
        <v>159.20200000000008</v>
      </c>
      <c r="AI24" s="46">
        <f t="shared" si="44"/>
        <v>164.75200000000001</v>
      </c>
      <c r="AJ24" s="46">
        <f t="shared" si="44"/>
        <v>120.98400000000017</v>
      </c>
      <c r="AK24" s="46">
        <f t="shared" si="44"/>
        <v>112.54299999999979</v>
      </c>
      <c r="AL24" s="46">
        <f t="shared" ref="AL24:BI24" si="45">AL21-SUM(AL22:AL23)</f>
        <v>222.83499999999995</v>
      </c>
      <c r="AM24" s="46">
        <f t="shared" si="45"/>
        <v>232.22500000000005</v>
      </c>
      <c r="AN24" s="46">
        <f t="shared" si="45"/>
        <v>155.56300000000007</v>
      </c>
      <c r="AO24" s="46">
        <f t="shared" si="45"/>
        <v>246.03100000000094</v>
      </c>
      <c r="AP24" s="46">
        <f t="shared" si="45"/>
        <v>139.47300000000004</v>
      </c>
      <c r="AQ24" s="46">
        <f t="shared" si="45"/>
        <v>252.99200000000013</v>
      </c>
      <c r="AR24" s="46">
        <f t="shared" si="45"/>
        <v>192.23000000000008</v>
      </c>
      <c r="AS24" s="46">
        <f t="shared" si="45"/>
        <v>188.22299999999905</v>
      </c>
      <c r="AT24" s="46">
        <f t="shared" ca="1" si="45"/>
        <v>78.963662025839</v>
      </c>
      <c r="AU24" s="46">
        <f t="shared" ca="1" si="45"/>
        <v>109.27956444500703</v>
      </c>
      <c r="AV24" s="46">
        <f t="shared" ca="1" si="45"/>
        <v>63.431646142040506</v>
      </c>
      <c r="AW24" s="46">
        <f t="shared" ca="1" si="45"/>
        <v>93.106867772576351</v>
      </c>
      <c r="AX24" s="46">
        <f t="shared" ca="1" si="45"/>
        <v>68.117415826089456</v>
      </c>
      <c r="AY24" s="46">
        <f t="shared" ca="1" si="45"/>
        <v>122.40335967676273</v>
      </c>
      <c r="AZ24" s="46">
        <f t="shared" ca="1" si="45"/>
        <v>78.195065881381595</v>
      </c>
      <c r="BA24" s="46">
        <f t="shared" ca="1" si="45"/>
        <v>111.96608427413761</v>
      </c>
      <c r="BB24" s="46">
        <f t="shared" ca="1" si="45"/>
        <v>79.950371716156639</v>
      </c>
      <c r="BC24" s="46">
        <f t="shared" ca="1" si="45"/>
        <v>131.49760801793329</v>
      </c>
      <c r="BD24" s="46">
        <f t="shared" ca="1" si="45"/>
        <v>83.265366374055873</v>
      </c>
      <c r="BE24" s="46">
        <f t="shared" ca="1" si="45"/>
        <v>113.6975362051322</v>
      </c>
      <c r="BF24" s="46">
        <f t="shared" ca="1" si="45"/>
        <v>77.837585477692102</v>
      </c>
      <c r="BG24" s="46">
        <f t="shared" ca="1" si="45"/>
        <v>129.67375852875486</v>
      </c>
      <c r="BH24" s="46">
        <f t="shared" ca="1" si="45"/>
        <v>80.893015405379003</v>
      </c>
      <c r="BI24" s="46">
        <f t="shared" ca="1" si="45"/>
        <v>111.58928114765465</v>
      </c>
      <c r="BJ24" s="1"/>
      <c r="BK24" s="46">
        <f t="shared" si="36"/>
        <v>92.711999999999748</v>
      </c>
      <c r="BL24" s="46">
        <f t="shared" si="36"/>
        <v>63.005999999998949</v>
      </c>
      <c r="BM24" s="46">
        <f t="shared" si="36"/>
        <v>-13.287000000001086</v>
      </c>
      <c r="BN24" s="46">
        <f t="shared" si="36"/>
        <v>34.224999999999845</v>
      </c>
      <c r="BO24" s="46">
        <f t="shared" si="36"/>
        <v>241.03999999999959</v>
      </c>
      <c r="BP24" s="46">
        <f t="shared" si="36"/>
        <v>255.14899999999983</v>
      </c>
      <c r="BQ24" s="46">
        <f t="shared" si="36"/>
        <v>575.08699999999988</v>
      </c>
      <c r="BR24" s="46">
        <f t="shared" si="36"/>
        <v>557.48099999999999</v>
      </c>
      <c r="BS24" s="46">
        <f t="shared" si="36"/>
        <v>856.65400000000102</v>
      </c>
      <c r="BT24" s="46">
        <f t="shared" si="36"/>
        <v>772.91799999999921</v>
      </c>
      <c r="BU24" s="46">
        <f t="shared" ca="1" si="36"/>
        <v>344.78174038546285</v>
      </c>
      <c r="BV24" s="46">
        <f t="shared" ca="1" si="36"/>
        <v>380.68192565837137</v>
      </c>
      <c r="BW24" s="46">
        <f t="shared" ca="1" si="36"/>
        <v>408.41088231327797</v>
      </c>
      <c r="BX24" s="46">
        <f t="shared" ca="1" si="36"/>
        <v>399.99364055948058</v>
      </c>
    </row>
    <row r="25" spans="1:76" x14ac:dyDescent="0.25">
      <c r="A25" s="1"/>
      <c r="B25" s="1"/>
      <c r="C25" s="11" t="s">
        <v>69</v>
      </c>
      <c r="D25" s="1"/>
      <c r="E25" s="1"/>
      <c r="F25" s="47">
        <f>'Canalyst HC - Q'!C424+'Canalyst HC - Q'!C425</f>
        <v>-5.0780000000000003</v>
      </c>
      <c r="G25" s="47">
        <f>'Canalyst HC - Q'!D424+'Canalyst HC - Q'!D425</f>
        <v>10.638</v>
      </c>
      <c r="H25" s="47">
        <f>'Canalyst HC - Q'!E424+'Canalyst HC - Q'!E425</f>
        <v>13.121</v>
      </c>
      <c r="I25" s="47">
        <f>'Canalyst HC - Q'!F424+'Canalyst HC - Q'!F425</f>
        <v>17.367999999999999</v>
      </c>
      <c r="J25" s="47">
        <f>'Canalyst HC - Q'!G424+'Canalyst HC - Q'!G425</f>
        <v>-3.6909999999999989</v>
      </c>
      <c r="K25" s="47">
        <f>'Canalyst HC - Q'!H424+'Canalyst HC - Q'!H425</f>
        <v>3.7430000000000003</v>
      </c>
      <c r="L25" s="47">
        <f>'Canalyst HC - Q'!I424+'Canalyst HC - Q'!I425</f>
        <v>11.747999999999999</v>
      </c>
      <c r="M25" s="47">
        <f>'Canalyst HC - Q'!J424+'Canalyst HC - Q'!J425</f>
        <v>-51.640999999999998</v>
      </c>
      <c r="N25" s="47">
        <f>'Canalyst HC - Q'!K424+'Canalyst HC - Q'!K425</f>
        <v>-12.971</v>
      </c>
      <c r="O25" s="47">
        <f>'Canalyst HC - Q'!L424+'Canalyst HC - Q'!L425</f>
        <v>-0.13500000000000001</v>
      </c>
      <c r="P25" s="47">
        <f>'Canalyst HC - Q'!M424+'Canalyst HC - Q'!M425</f>
        <v>16.492999999999999</v>
      </c>
      <c r="Q25" s="47">
        <f>'Canalyst HC - Q'!N424+'Canalyst HC - Q'!N425</f>
        <v>-1.5179999999999987</v>
      </c>
      <c r="R25" s="47">
        <f>'Canalyst HC - Q'!O424+'Canalyst HC - Q'!O425</f>
        <v>-3.0049999999999999</v>
      </c>
      <c r="S25" s="47">
        <f>'Canalyst HC - Q'!P424+'Canalyst HC - Q'!P425</f>
        <v>7.1820000000000004</v>
      </c>
      <c r="T25" s="47">
        <f>'Canalyst HC - Q'!Q424+'Canalyst HC - Q'!Q425</f>
        <v>6.6239999999999988</v>
      </c>
      <c r="U25" s="47">
        <f>'Canalyst HC - Q'!R424+'Canalyst HC - Q'!R425</f>
        <v>4.863999999999999</v>
      </c>
      <c r="V25" s="47">
        <f>'Canalyst HC - Q'!S424+'Canalyst HC - Q'!S425</f>
        <v>5.3609999999999998</v>
      </c>
      <c r="W25" s="47">
        <f>'Canalyst HC - Q'!T424+'Canalyst HC - Q'!T425</f>
        <v>15.186999999999998</v>
      </c>
      <c r="X25" s="47">
        <f>'Canalyst HC - Q'!U424+'Canalyst HC - Q'!U425</f>
        <v>18.363000000000003</v>
      </c>
      <c r="Y25" s="47">
        <f>'Canalyst HC - Q'!V424+'Canalyst HC - Q'!V425</f>
        <v>20.031999999999989</v>
      </c>
      <c r="Z25" s="47">
        <f>'Canalyst HC - Q'!W424+'Canalyst HC - Q'!W425</f>
        <v>20.02</v>
      </c>
      <c r="AA25" s="47">
        <f>'Canalyst HC - Q'!X424+'Canalyst HC - Q'!X425</f>
        <v>17.275000000000002</v>
      </c>
      <c r="AB25" s="47">
        <f>'Canalyst HC - Q'!Y424+'Canalyst HC - Q'!Y425</f>
        <v>25.022000000000002</v>
      </c>
      <c r="AC25" s="47">
        <f>'Canalyst HC - Q'!Z424+'Canalyst HC - Q'!Z425</f>
        <v>3.2519999999999989</v>
      </c>
      <c r="AD25" s="47">
        <f>'Canalyst HC - Q'!AA424+'Canalyst HC - Q'!AA425</f>
        <v>33.174999999999997</v>
      </c>
      <c r="AE25" s="47">
        <f>'Canalyst HC - Q'!AB424+'Canalyst HC - Q'!AB425</f>
        <v>34.38600000000001</v>
      </c>
      <c r="AF25" s="47">
        <f>'Canalyst HC - Q'!AC424+'Canalyst HC - Q'!AC425</f>
        <v>40.340000000000003</v>
      </c>
      <c r="AG25" s="47">
        <f>'Canalyst HC - Q'!AD424+'Canalyst HC - Q'!AD425</f>
        <v>37.027999999999992</v>
      </c>
      <c r="AH25" s="47">
        <f>'Canalyst HC - Q'!AE424+'Canalyst HC - Q'!AE425</f>
        <v>41.075000000000003</v>
      </c>
      <c r="AI25" s="47">
        <f>'Canalyst HC - Q'!AF424+'Canalyst HC - Q'!AF425</f>
        <v>42.433</v>
      </c>
      <c r="AJ25" s="47">
        <f>'Canalyst HC - Q'!AG424+'Canalyst HC - Q'!AG425</f>
        <v>28.890999999999998</v>
      </c>
      <c r="AK25" s="47">
        <f>'Canalyst HC - Q'!AH424+'Canalyst HC - Q'!AH425</f>
        <v>36.706999999999987</v>
      </c>
      <c r="AL25" s="47">
        <f>'Canalyst HC - Q'!AI424+'Canalyst HC - Q'!AI425</f>
        <v>57.094000000000001</v>
      </c>
      <c r="AM25" s="47">
        <f>'Canalyst HC - Q'!AJ424+'Canalyst HC - Q'!AJ425</f>
        <v>59.413000000000004</v>
      </c>
      <c r="AN25" s="47">
        <f>'Canalyst HC - Q'!AK424+'Canalyst HC - Q'!AK425</f>
        <v>39.938999999999993</v>
      </c>
      <c r="AO25" s="47">
        <f>'Canalyst HC - Q'!AL424+'Canalyst HC - Q'!AL425</f>
        <v>67.082999999999998</v>
      </c>
      <c r="AP25" s="47">
        <f>'Canalyst HC - Q'!AM424+'Canalyst HC - Q'!AM425</f>
        <v>35.862000000000002</v>
      </c>
      <c r="AQ25" s="47">
        <f>'Canalyst HC - Q'!AN424+'Canalyst HC - Q'!AN425</f>
        <v>65.60499999999999</v>
      </c>
      <c r="AR25" s="47">
        <f>'Canalyst HC - Q'!AO424+'Canalyst HC - Q'!AO425</f>
        <v>49.896000000000015</v>
      </c>
      <c r="AS25" s="47">
        <f>'Canalyst HC - Q'!AP424+'Canalyst HC - Q'!AP425</f>
        <v>50.97300000000002</v>
      </c>
      <c r="AT25" s="38">
        <f t="shared" ref="AT25:BI25" ca="1" si="46">AT24*AT7</f>
        <v>19.74091550645975</v>
      </c>
      <c r="AU25" s="38">
        <f t="shared" ca="1" si="46"/>
        <v>27.319891111251756</v>
      </c>
      <c r="AV25" s="38">
        <f t="shared" ca="1" si="46"/>
        <v>15.857911535510127</v>
      </c>
      <c r="AW25" s="38">
        <f t="shared" ca="1" si="46"/>
        <v>23.276716943144088</v>
      </c>
      <c r="AX25" s="38">
        <f t="shared" ca="1" si="46"/>
        <v>17.029353956522364</v>
      </c>
      <c r="AY25" s="38">
        <f t="shared" ca="1" si="46"/>
        <v>30.600839919190683</v>
      </c>
      <c r="AZ25" s="38">
        <f t="shared" ca="1" si="46"/>
        <v>19.548766470345399</v>
      </c>
      <c r="BA25" s="38">
        <f t="shared" ca="1" si="46"/>
        <v>27.991521068534404</v>
      </c>
      <c r="BB25" s="38">
        <f t="shared" ca="1" si="46"/>
        <v>19.98759292903916</v>
      </c>
      <c r="BC25" s="38">
        <f t="shared" ca="1" si="46"/>
        <v>32.874402004483322</v>
      </c>
      <c r="BD25" s="38">
        <f t="shared" ca="1" si="46"/>
        <v>20.816341593513968</v>
      </c>
      <c r="BE25" s="38">
        <f t="shared" ca="1" si="46"/>
        <v>28.424384051283049</v>
      </c>
      <c r="BF25" s="38">
        <f t="shared" ca="1" si="46"/>
        <v>19.459396369423025</v>
      </c>
      <c r="BG25" s="38">
        <f t="shared" ca="1" si="46"/>
        <v>32.418439632188715</v>
      </c>
      <c r="BH25" s="38">
        <f t="shared" ca="1" si="46"/>
        <v>20.223253851344751</v>
      </c>
      <c r="BI25" s="38">
        <f t="shared" ca="1" si="46"/>
        <v>27.897320286913661</v>
      </c>
      <c r="BJ25" s="1"/>
      <c r="BK25" s="38">
        <f t="shared" si="36"/>
        <v>36.048999999999999</v>
      </c>
      <c r="BL25" s="38">
        <f t="shared" si="36"/>
        <v>-39.840999999999994</v>
      </c>
      <c r="BM25" s="38">
        <f t="shared" si="36"/>
        <v>1.869</v>
      </c>
      <c r="BN25" s="38">
        <f t="shared" si="36"/>
        <v>15.664999999999997</v>
      </c>
      <c r="BO25" s="38">
        <f t="shared" si="36"/>
        <v>58.942999999999991</v>
      </c>
      <c r="BP25" s="38">
        <f t="shared" si="36"/>
        <v>65.569000000000003</v>
      </c>
      <c r="BQ25" s="38">
        <f t="shared" si="36"/>
        <v>144.929</v>
      </c>
      <c r="BR25" s="38">
        <f t="shared" si="36"/>
        <v>149.10599999999999</v>
      </c>
      <c r="BS25" s="38">
        <f t="shared" si="36"/>
        <v>223.529</v>
      </c>
      <c r="BT25" s="38">
        <f t="shared" si="36"/>
        <v>202.33600000000001</v>
      </c>
      <c r="BU25" s="38">
        <f t="shared" ca="1" si="36"/>
        <v>86.195435096365713</v>
      </c>
      <c r="BV25" s="38">
        <f t="shared" ca="1" si="36"/>
        <v>95.170481414592842</v>
      </c>
      <c r="BW25" s="38">
        <f t="shared" ca="1" si="36"/>
        <v>102.10272057831949</v>
      </c>
      <c r="BX25" s="38">
        <f t="shared" ca="1" si="36"/>
        <v>99.998410139870145</v>
      </c>
    </row>
    <row r="26" spans="1:76" ht="15" customHeight="1" x14ac:dyDescent="0.25">
      <c r="A26" s="1"/>
      <c r="B26" s="3" t="s">
        <v>70</v>
      </c>
      <c r="C26" s="1"/>
      <c r="D26" s="1"/>
      <c r="E26" s="1"/>
      <c r="F26" s="45">
        <f>'Canalyst HC - Q'!C426</f>
        <v>-9.0329999999999906</v>
      </c>
      <c r="G26" s="45">
        <f>'Canalyst HC - Q'!D426</f>
        <v>17.323999999999991</v>
      </c>
      <c r="H26" s="45">
        <f>'Canalyst HC - Q'!E426</f>
        <v>25.55300000000004</v>
      </c>
      <c r="I26" s="45">
        <f>'Canalyst HC - Q'!F426</f>
        <v>22.818999999999701</v>
      </c>
      <c r="J26" s="45">
        <f>'Canalyst HC - Q'!G426</f>
        <v>-4.4170000000000531</v>
      </c>
      <c r="K26" s="45">
        <f>'Canalyst HC - Q'!H426</f>
        <v>7.5809999999998769</v>
      </c>
      <c r="L26" s="45">
        <f>'Canalyst HC - Q'!I426</f>
        <v>18.911000000000051</v>
      </c>
      <c r="M26" s="45">
        <f>'Canalyst HC - Q'!J426</f>
        <v>80.77199999999948</v>
      </c>
      <c r="N26" s="45">
        <f>'Canalyst HC - Q'!K426</f>
        <v>-13.5619999999999</v>
      </c>
      <c r="O26" s="45">
        <f>'Canalyst HC - Q'!L426</f>
        <v>-2.7480000000000242</v>
      </c>
      <c r="P26" s="45">
        <f>'Canalyst HC - Q'!M426</f>
        <v>26.949999999999889</v>
      </c>
      <c r="Q26" s="45">
        <f>'Canalyst HC - Q'!N426</f>
        <v>-25.79600000000066</v>
      </c>
      <c r="R26" s="45">
        <f>'Canalyst HC - Q'!O426</f>
        <v>-5.5780000000000056</v>
      </c>
      <c r="S26" s="45">
        <f>'Canalyst HC - Q'!P426</f>
        <v>16.856000000000108</v>
      </c>
      <c r="T26" s="45">
        <f>'Canalyst HC - Q'!Q426</f>
        <v>15.54600000000006</v>
      </c>
      <c r="U26" s="45">
        <f>'Canalyst HC - Q'!R426</f>
        <v>-8.2640000000002676</v>
      </c>
      <c r="V26" s="45">
        <f>'Canalyst HC - Q'!S426</f>
        <v>15.600999999999971</v>
      </c>
      <c r="W26" s="45">
        <f>'Canalyst HC - Q'!T426</f>
        <v>42.612999999999943</v>
      </c>
      <c r="X26" s="45">
        <f>'Canalyst HC - Q'!U426</f>
        <v>55.053999999999888</v>
      </c>
      <c r="Y26" s="45">
        <f>'Canalyst HC - Q'!V426</f>
        <v>68.829000000000022</v>
      </c>
      <c r="Z26" s="45">
        <f>'Canalyst HC - Q'!W426</f>
        <v>53.362999999999971</v>
      </c>
      <c r="AA26" s="45">
        <f>'Canalyst HC - Q'!X426</f>
        <v>48.180000000000042</v>
      </c>
      <c r="AB26" s="45">
        <f>'Canalyst HC - Q'!Y426</f>
        <v>68.930000000000007</v>
      </c>
      <c r="AC26" s="45">
        <f>'Canalyst HC - Q'!Z426</f>
        <v>19.10699999999979</v>
      </c>
      <c r="AD26" s="45">
        <f>'Canalyst HC - Q'!AA426</f>
        <v>93.389999999999901</v>
      </c>
      <c r="AE26" s="45">
        <f>'Canalyst HC - Q'!AB426</f>
        <v>99.561999999999898</v>
      </c>
      <c r="AF26" s="45">
        <f>'Canalyst HC - Q'!AC426</f>
        <v>118.7609999999999</v>
      </c>
      <c r="AG26" s="45">
        <f>'Canalyst HC - Q'!AD426</f>
        <v>118.44500000000021</v>
      </c>
      <c r="AH26" s="45">
        <f>'Canalyst HC - Q'!AE426</f>
        <v>118.12700000000009</v>
      </c>
      <c r="AI26" s="45">
        <f>'Canalyst HC - Q'!AF426</f>
        <v>122.319</v>
      </c>
      <c r="AJ26" s="45">
        <f>'Canalyst HC - Q'!AG426</f>
        <v>92.09300000000016</v>
      </c>
      <c r="AK26" s="45">
        <f>'Canalyst HC - Q'!AH426</f>
        <v>75.836000000000084</v>
      </c>
      <c r="AL26" s="45">
        <f>'Canalyst HC - Q'!AI426</f>
        <v>165.74100000000001</v>
      </c>
      <c r="AM26" s="45">
        <f>'Canalyst HC - Q'!AJ426</f>
        <v>172.8120000000001</v>
      </c>
      <c r="AN26" s="45">
        <f>'Canalyst HC - Q'!AK426</f>
        <v>115.62400000000009</v>
      </c>
      <c r="AO26" s="45">
        <f>'Canalyst HC - Q'!AL426</f>
        <v>178.94800000000069</v>
      </c>
      <c r="AP26" s="45">
        <f>'Canalyst HC - Q'!AM426</f>
        <v>103.611</v>
      </c>
      <c r="AQ26" s="45">
        <f>'Canalyst HC - Q'!AN426</f>
        <v>187.38700000000011</v>
      </c>
      <c r="AR26" s="45">
        <f>'Canalyst HC - Q'!AO426</f>
        <v>142.33400000000009</v>
      </c>
      <c r="AS26" s="45">
        <f>'Canalyst HC - Q'!AP426</f>
        <v>137.24999999999969</v>
      </c>
      <c r="AT26" s="46">
        <f t="shared" ref="AT26:BI26" ca="1" si="47">AT24-AT25</f>
        <v>59.22274651937925</v>
      </c>
      <c r="AU26" s="46">
        <f t="shared" ca="1" si="47"/>
        <v>81.959673333755262</v>
      </c>
      <c r="AV26" s="46">
        <f t="shared" ca="1" si="47"/>
        <v>47.57373460653038</v>
      </c>
      <c r="AW26" s="46">
        <f t="shared" ca="1" si="47"/>
        <v>69.830150829432256</v>
      </c>
      <c r="AX26" s="46">
        <f t="shared" ca="1" si="47"/>
        <v>51.088061869567092</v>
      </c>
      <c r="AY26" s="46">
        <f t="shared" ca="1" si="47"/>
        <v>91.802519757572043</v>
      </c>
      <c r="AZ26" s="46">
        <f t="shared" ca="1" si="47"/>
        <v>58.646299411036196</v>
      </c>
      <c r="BA26" s="46">
        <f t="shared" ca="1" si="47"/>
        <v>83.974563205603204</v>
      </c>
      <c r="BB26" s="46">
        <f t="shared" ca="1" si="47"/>
        <v>59.962778787117479</v>
      </c>
      <c r="BC26" s="46">
        <f t="shared" ca="1" si="47"/>
        <v>98.623206013449959</v>
      </c>
      <c r="BD26" s="46">
        <f t="shared" ca="1" si="47"/>
        <v>62.449024780541905</v>
      </c>
      <c r="BE26" s="46">
        <f t="shared" ca="1" si="47"/>
        <v>85.273152153849139</v>
      </c>
      <c r="BF26" s="46">
        <f t="shared" ca="1" si="47"/>
        <v>58.378189108269076</v>
      </c>
      <c r="BG26" s="46">
        <f t="shared" ca="1" si="47"/>
        <v>97.255318896566138</v>
      </c>
      <c r="BH26" s="46">
        <f t="shared" ca="1" si="47"/>
        <v>60.669761554034253</v>
      </c>
      <c r="BI26" s="46">
        <f t="shared" ca="1" si="47"/>
        <v>83.691960860740977</v>
      </c>
      <c r="BJ26" s="1"/>
      <c r="BK26" s="46">
        <f t="shared" si="36"/>
        <v>56.662999999999741</v>
      </c>
      <c r="BL26" s="46">
        <f t="shared" si="36"/>
        <v>102.84699999999935</v>
      </c>
      <c r="BM26" s="46">
        <f t="shared" si="36"/>
        <v>-15.156000000000695</v>
      </c>
      <c r="BN26" s="46">
        <f t="shared" si="36"/>
        <v>18.559999999999896</v>
      </c>
      <c r="BO26" s="46">
        <f t="shared" si="36"/>
        <v>182.09699999999981</v>
      </c>
      <c r="BP26" s="46">
        <f t="shared" si="36"/>
        <v>189.57999999999981</v>
      </c>
      <c r="BQ26" s="46">
        <f t="shared" si="36"/>
        <v>430.1579999999999</v>
      </c>
      <c r="BR26" s="46">
        <f t="shared" si="36"/>
        <v>408.37500000000028</v>
      </c>
      <c r="BS26" s="46">
        <f t="shared" si="36"/>
        <v>633.12500000000091</v>
      </c>
      <c r="BT26" s="46">
        <f t="shared" si="36"/>
        <v>570.58199999999988</v>
      </c>
      <c r="BU26" s="46">
        <f t="shared" ca="1" si="36"/>
        <v>258.58630528909714</v>
      </c>
      <c r="BV26" s="46">
        <f t="shared" ca="1" si="36"/>
        <v>285.51144424377856</v>
      </c>
      <c r="BW26" s="46">
        <f t="shared" ca="1" si="36"/>
        <v>306.3081617349585</v>
      </c>
      <c r="BX26" s="46">
        <f t="shared" ca="1" si="36"/>
        <v>299.99523041961049</v>
      </c>
    </row>
    <row r="27" spans="1:76" x14ac:dyDescent="0.25">
      <c r="A27" s="1"/>
      <c r="B27" s="1"/>
      <c r="C27" s="11" t="s">
        <v>71</v>
      </c>
      <c r="D27" s="1"/>
      <c r="E27" s="1"/>
      <c r="F27" s="47">
        <f>'Canalyst HC - Q'!C427</f>
        <v>0</v>
      </c>
      <c r="G27" s="47">
        <f>'Canalyst HC - Q'!D427</f>
        <v>0</v>
      </c>
      <c r="H27" s="47">
        <f>'Canalyst HC - Q'!E427</f>
        <v>0</v>
      </c>
      <c r="I27" s="47">
        <f>'Canalyst HC - Q'!F427</f>
        <v>0</v>
      </c>
      <c r="J27" s="47">
        <f>'Canalyst HC - Q'!G427</f>
        <v>0</v>
      </c>
      <c r="K27" s="47">
        <f>'Canalyst HC - Q'!H427</f>
        <v>0</v>
      </c>
      <c r="L27" s="47">
        <f>'Canalyst HC - Q'!I427</f>
        <v>0</v>
      </c>
      <c r="M27" s="47">
        <f>'Canalyst HC - Q'!J427</f>
        <v>0</v>
      </c>
      <c r="N27" s="47">
        <f>'Canalyst HC - Q'!K427</f>
        <v>0</v>
      </c>
      <c r="O27" s="47">
        <f>'Canalyst HC - Q'!L427</f>
        <v>0</v>
      </c>
      <c r="P27" s="47">
        <f>'Canalyst HC - Q'!M427</f>
        <v>0</v>
      </c>
      <c r="Q27" s="47">
        <f>'Canalyst HC - Q'!N427</f>
        <v>0</v>
      </c>
      <c r="R27" s="47">
        <f>'Canalyst HC - Q'!O427</f>
        <v>0</v>
      </c>
      <c r="S27" s="47">
        <f>'Canalyst HC - Q'!P427</f>
        <v>0</v>
      </c>
      <c r="T27" s="47">
        <f>'Canalyst HC - Q'!Q427</f>
        <v>0</v>
      </c>
      <c r="U27" s="47">
        <f>'Canalyst HC - Q'!R427</f>
        <v>0</v>
      </c>
      <c r="V27" s="47">
        <f>'Canalyst HC - Q'!S427</f>
        <v>0</v>
      </c>
      <c r="W27" s="47">
        <f>'Canalyst HC - Q'!T427</f>
        <v>0</v>
      </c>
      <c r="X27" s="47">
        <f>'Canalyst HC - Q'!U427</f>
        <v>0</v>
      </c>
      <c r="Y27" s="47">
        <f>'Canalyst HC - Q'!V427</f>
        <v>0</v>
      </c>
      <c r="Z27" s="47">
        <f>'Canalyst HC - Q'!W427</f>
        <v>0</v>
      </c>
      <c r="AA27" s="47">
        <f>'Canalyst HC - Q'!X427</f>
        <v>0</v>
      </c>
      <c r="AB27" s="47">
        <f>'Canalyst HC - Q'!Y427</f>
        <v>0</v>
      </c>
      <c r="AC27" s="47">
        <f>'Canalyst HC - Q'!Z427</f>
        <v>0</v>
      </c>
      <c r="AD27" s="47">
        <f>'Canalyst HC - Q'!AA427</f>
        <v>0</v>
      </c>
      <c r="AE27" s="47">
        <f>'Canalyst HC - Q'!AB427</f>
        <v>0</v>
      </c>
      <c r="AF27" s="47">
        <f>'Canalyst HC - Q'!AC427</f>
        <v>0</v>
      </c>
      <c r="AG27" s="47">
        <f>'Canalyst HC - Q'!AD427</f>
        <v>0</v>
      </c>
      <c r="AH27" s="47">
        <f>'Canalyst HC - Q'!AE427</f>
        <v>0</v>
      </c>
      <c r="AI27" s="47">
        <f>'Canalyst HC - Q'!AF427</f>
        <v>0</v>
      </c>
      <c r="AJ27" s="47">
        <f>'Canalyst HC - Q'!AG427</f>
        <v>0</v>
      </c>
      <c r="AK27" s="47">
        <f>'Canalyst HC - Q'!AH427</f>
        <v>0</v>
      </c>
      <c r="AL27" s="47">
        <f>'Canalyst HC - Q'!AI427</f>
        <v>0</v>
      </c>
      <c r="AM27" s="47">
        <f>'Canalyst HC - Q'!AJ427</f>
        <v>0</v>
      </c>
      <c r="AN27" s="47">
        <f>'Canalyst HC - Q'!AK427</f>
        <v>0</v>
      </c>
      <c r="AO27" s="47">
        <f>'Canalyst HC - Q'!AL427</f>
        <v>0</v>
      </c>
      <c r="AP27" s="47">
        <f>'Canalyst HC - Q'!AM427</f>
        <v>0</v>
      </c>
      <c r="AQ27" s="47">
        <f>'Canalyst HC - Q'!AN427</f>
        <v>0</v>
      </c>
      <c r="AR27" s="47">
        <f>'Canalyst HC - Q'!AO427</f>
        <v>0</v>
      </c>
      <c r="AS27" s="47">
        <f>'Canalyst HC - Q'!AP427</f>
        <v>0</v>
      </c>
      <c r="AT27" s="38">
        <f>0</f>
        <v>0</v>
      </c>
      <c r="AU27" s="38">
        <f>0</f>
        <v>0</v>
      </c>
      <c r="AV27" s="38">
        <f>0</f>
        <v>0</v>
      </c>
      <c r="AW27" s="38">
        <f>0</f>
        <v>0</v>
      </c>
      <c r="AX27" s="38">
        <f>0</f>
        <v>0</v>
      </c>
      <c r="AY27" s="38">
        <f>0</f>
        <v>0</v>
      </c>
      <c r="AZ27" s="38">
        <f>0</f>
        <v>0</v>
      </c>
      <c r="BA27" s="38">
        <f>0</f>
        <v>0</v>
      </c>
      <c r="BB27" s="38">
        <f>0</f>
        <v>0</v>
      </c>
      <c r="BC27" s="38">
        <f>0</f>
        <v>0</v>
      </c>
      <c r="BD27" s="38">
        <f>0</f>
        <v>0</v>
      </c>
      <c r="BE27" s="38">
        <f>0</f>
        <v>0</v>
      </c>
      <c r="BF27" s="38">
        <f>0</f>
        <v>0</v>
      </c>
      <c r="BG27" s="38">
        <f>0</f>
        <v>0</v>
      </c>
      <c r="BH27" s="38">
        <f>0</f>
        <v>0</v>
      </c>
      <c r="BI27" s="38">
        <f>0</f>
        <v>0</v>
      </c>
      <c r="BJ27" s="1"/>
      <c r="BK27" s="38">
        <f t="shared" si="36"/>
        <v>0</v>
      </c>
      <c r="BL27" s="38">
        <f t="shared" si="36"/>
        <v>0</v>
      </c>
      <c r="BM27" s="38">
        <f t="shared" si="36"/>
        <v>0</v>
      </c>
      <c r="BN27" s="38">
        <f t="shared" si="36"/>
        <v>0</v>
      </c>
      <c r="BO27" s="38">
        <f t="shared" si="36"/>
        <v>0</v>
      </c>
      <c r="BP27" s="38">
        <f t="shared" si="36"/>
        <v>0</v>
      </c>
      <c r="BQ27" s="38">
        <f t="shared" si="36"/>
        <v>0</v>
      </c>
      <c r="BR27" s="38">
        <f t="shared" si="36"/>
        <v>0</v>
      </c>
      <c r="BS27" s="38">
        <f t="shared" si="36"/>
        <v>0</v>
      </c>
      <c r="BT27" s="38">
        <f t="shared" si="36"/>
        <v>0</v>
      </c>
      <c r="BU27" s="38">
        <f t="shared" si="36"/>
        <v>0</v>
      </c>
      <c r="BV27" s="38">
        <f t="shared" si="36"/>
        <v>0</v>
      </c>
      <c r="BW27" s="38">
        <f t="shared" si="36"/>
        <v>0</v>
      </c>
      <c r="BX27" s="38">
        <f t="shared" si="36"/>
        <v>0</v>
      </c>
    </row>
    <row r="28" spans="1:76" x14ac:dyDescent="0.25">
      <c r="A28" s="1"/>
      <c r="B28" s="1"/>
      <c r="C28" s="11" t="s">
        <v>27</v>
      </c>
      <c r="D28" s="1"/>
      <c r="E28" s="1"/>
      <c r="F28" s="47">
        <f>'Canalyst HC - Q'!C428+'Canalyst HC - Q'!C429</f>
        <v>-1.3220000000000001</v>
      </c>
      <c r="G28" s="47">
        <f>'Canalyst HC - Q'!D428+'Canalyst HC - Q'!D429</f>
        <v>5.3220000000000001</v>
      </c>
      <c r="H28" s="47">
        <f>'Canalyst HC - Q'!E428+'Canalyst HC - Q'!E429</f>
        <v>7.8079999999999998</v>
      </c>
      <c r="I28" s="47">
        <f>'Canalyst HC - Q'!F428+'Canalyst HC - Q'!F429</f>
        <v>6.3860000000000001</v>
      </c>
      <c r="J28" s="47">
        <f>'Canalyst HC - Q'!G428+'Canalyst HC - Q'!G429</f>
        <v>-0.54799999999999993</v>
      </c>
      <c r="K28" s="47">
        <f>'Canalyst HC - Q'!H428+'Canalyst HC - Q'!H429</f>
        <v>2.7240000000000002</v>
      </c>
      <c r="L28" s="47">
        <f>'Canalyst HC - Q'!I428+'Canalyst HC - Q'!I429</f>
        <v>5.6629999999999994</v>
      </c>
      <c r="M28" s="47">
        <f>'Canalyst HC - Q'!J428+'Canalyst HC - Q'!J429</f>
        <v>21.113000000000003</v>
      </c>
      <c r="N28" s="47">
        <f>'Canalyst HC - Q'!K428+'Canalyst HC - Q'!K429</f>
        <v>-2.718</v>
      </c>
      <c r="O28" s="47">
        <f>'Canalyst HC - Q'!L428+'Canalyst HC - Q'!L429</f>
        <v>0.25400000000000011</v>
      </c>
      <c r="P28" s="47">
        <f>'Canalyst HC - Q'!M428+'Canalyst HC - Q'!M429</f>
        <v>7.7409999999999997</v>
      </c>
      <c r="Q28" s="47">
        <f>'Canalyst HC - Q'!N428+'Canalyst HC - Q'!N429</f>
        <v>-5.2090000000000014</v>
      </c>
      <c r="R28" s="47">
        <f>'Canalyst HC - Q'!O428+'Canalyst HC - Q'!O429</f>
        <v>-0.36700000000000021</v>
      </c>
      <c r="S28" s="47">
        <f>'Canalyst HC - Q'!P428+'Canalyst HC - Q'!P429</f>
        <v>5.1459999999999999</v>
      </c>
      <c r="T28" s="47">
        <f>'Canalyst HC - Q'!Q428+'Canalyst HC - Q'!Q429</f>
        <v>5.6370000000000005</v>
      </c>
      <c r="U28" s="47">
        <f>'Canalyst HC - Q'!R428+'Canalyst HC - Q'!R429</f>
        <v>-0.52600000000000002</v>
      </c>
      <c r="V28" s="47">
        <f>'Canalyst HC - Q'!S428+'Canalyst HC - Q'!S429</f>
        <v>4.43</v>
      </c>
      <c r="W28" s="47">
        <f>'Canalyst HC - Q'!T428+'Canalyst HC - Q'!T429</f>
        <v>12.466000000000001</v>
      </c>
      <c r="X28" s="47">
        <f>'Canalyst HC - Q'!U428+'Canalyst HC - Q'!U429</f>
        <v>15.526</v>
      </c>
      <c r="Y28" s="47">
        <f>'Canalyst HC - Q'!V428+'Canalyst HC - Q'!V429</f>
        <v>18.259</v>
      </c>
      <c r="Z28" s="47">
        <f>'Canalyst HC - Q'!W428+'Canalyst HC - Q'!W429</f>
        <v>12.707000000000001</v>
      </c>
      <c r="AA28" s="47">
        <f>'Canalyst HC - Q'!X428+'Canalyst HC - Q'!X429</f>
        <v>11.473000000000001</v>
      </c>
      <c r="AB28" s="47">
        <f>'Canalyst HC - Q'!Y428+'Canalyst HC - Q'!Y429</f>
        <v>16.414000000000001</v>
      </c>
      <c r="AC28" s="47">
        <f>'Canalyst HC - Q'!Z428+'Canalyst HC - Q'!Z429</f>
        <v>4.5519999999999952</v>
      </c>
      <c r="AD28" s="47">
        <f>'Canalyst HC - Q'!AA428+'Canalyst HC - Q'!AA429</f>
        <v>20.140999999999998</v>
      </c>
      <c r="AE28" s="47">
        <f>'Canalyst HC - Q'!AB428+'Canalyst HC - Q'!AB429</f>
        <v>10.673999999999999</v>
      </c>
      <c r="AF28" s="47">
        <f>'Canalyst HC - Q'!AC428+'Canalyst HC - Q'!AC429</f>
        <v>12.731999999999999</v>
      </c>
      <c r="AG28" s="47">
        <f>'Canalyst HC - Q'!AD428+'Canalyst HC - Q'!AD429</f>
        <v>14.19</v>
      </c>
      <c r="AH28" s="47">
        <f>'Canalyst HC - Q'!AE428+'Canalyst HC - Q'!AE429</f>
        <v>12.664</v>
      </c>
      <c r="AI28" s="47">
        <f>'Canalyst HC - Q'!AF428+'Canalyst HC - Q'!AF429</f>
        <v>13.113</v>
      </c>
      <c r="AJ28" s="47">
        <f>'Canalyst HC - Q'!AG428+'Canalyst HC - Q'!AG429</f>
        <v>9.8740000000000006</v>
      </c>
      <c r="AK28" s="47">
        <f>'Canalyst HC - Q'!AH428+'Canalyst HC - Q'!AH429</f>
        <v>8.1309999999999967</v>
      </c>
      <c r="AL28" s="47">
        <f>'Canalyst HC - Q'!AI428+'Canalyst HC - Q'!AI429</f>
        <v>17.765000000000001</v>
      </c>
      <c r="AM28" s="47">
        <f>'Canalyst HC - Q'!AJ428+'Canalyst HC - Q'!AJ429</f>
        <v>18.657</v>
      </c>
      <c r="AN28" s="47">
        <f>'Canalyst HC - Q'!AK428+'Canalyst HC - Q'!AK429</f>
        <v>13.263</v>
      </c>
      <c r="AO28" s="47">
        <f>'Canalyst HC - Q'!AL428+'Canalyst HC - Q'!AL429</f>
        <v>20.158000000000001</v>
      </c>
      <c r="AP28" s="47">
        <f>'Canalyst HC - Q'!AM428+'Canalyst HC - Q'!AM429</f>
        <v>11.944000000000001</v>
      </c>
      <c r="AQ28" s="47">
        <f>'Canalyst HC - Q'!AN428+'Canalyst HC - Q'!AN429</f>
        <v>21.632000000000001</v>
      </c>
      <c r="AR28" s="47">
        <f>'Canalyst HC - Q'!AO428+'Canalyst HC - Q'!AO429</f>
        <v>16.504999999999999</v>
      </c>
      <c r="AS28" s="47">
        <f>'Canalyst HC - Q'!AP428+'Canalyst HC - Q'!AP429</f>
        <v>18.05</v>
      </c>
      <c r="AT28" s="38">
        <f>0</f>
        <v>0</v>
      </c>
      <c r="AU28" s="38">
        <f>0</f>
        <v>0</v>
      </c>
      <c r="AV28" s="38">
        <f>0</f>
        <v>0</v>
      </c>
      <c r="AW28" s="38">
        <f>0</f>
        <v>0</v>
      </c>
      <c r="AX28" s="38">
        <f>0</f>
        <v>0</v>
      </c>
      <c r="AY28" s="38">
        <f>0</f>
        <v>0</v>
      </c>
      <c r="AZ28" s="38">
        <f>0</f>
        <v>0</v>
      </c>
      <c r="BA28" s="38">
        <f>0</f>
        <v>0</v>
      </c>
      <c r="BB28" s="38">
        <f>0</f>
        <v>0</v>
      </c>
      <c r="BC28" s="38">
        <f>0</f>
        <v>0</v>
      </c>
      <c r="BD28" s="38">
        <f>0</f>
        <v>0</v>
      </c>
      <c r="BE28" s="38">
        <f>0</f>
        <v>0</v>
      </c>
      <c r="BF28" s="38">
        <f>0</f>
        <v>0</v>
      </c>
      <c r="BG28" s="38">
        <f>0</f>
        <v>0</v>
      </c>
      <c r="BH28" s="38">
        <f>0</f>
        <v>0</v>
      </c>
      <c r="BI28" s="38">
        <f>0</f>
        <v>0</v>
      </c>
      <c r="BJ28" s="1"/>
      <c r="BK28" s="38">
        <f t="shared" si="36"/>
        <v>18.193999999999999</v>
      </c>
      <c r="BL28" s="38">
        <f t="shared" si="36"/>
        <v>28.952000000000002</v>
      </c>
      <c r="BM28" s="38">
        <f t="shared" si="36"/>
        <v>6.799999999999784E-2</v>
      </c>
      <c r="BN28" s="38">
        <f t="shared" si="36"/>
        <v>9.89</v>
      </c>
      <c r="BO28" s="38">
        <f t="shared" si="36"/>
        <v>50.680999999999997</v>
      </c>
      <c r="BP28" s="38">
        <f t="shared" si="36"/>
        <v>45.145999999999994</v>
      </c>
      <c r="BQ28" s="38">
        <f t="shared" si="36"/>
        <v>57.736999999999995</v>
      </c>
      <c r="BR28" s="38">
        <f t="shared" si="36"/>
        <v>43.781999999999996</v>
      </c>
      <c r="BS28" s="38">
        <f t="shared" si="36"/>
        <v>69.842999999999989</v>
      </c>
      <c r="BT28" s="38">
        <f t="shared" si="36"/>
        <v>68.131</v>
      </c>
      <c r="BU28" s="38">
        <f t="shared" si="36"/>
        <v>0</v>
      </c>
      <c r="BV28" s="38">
        <f t="shared" si="36"/>
        <v>0</v>
      </c>
      <c r="BW28" s="38">
        <f t="shared" si="36"/>
        <v>0</v>
      </c>
      <c r="BX28" s="38">
        <f t="shared" si="36"/>
        <v>0</v>
      </c>
    </row>
    <row r="29" spans="1:76" ht="15" customHeight="1" x14ac:dyDescent="0.25">
      <c r="A29" s="1"/>
      <c r="B29" s="3" t="s">
        <v>72</v>
      </c>
      <c r="C29" s="1"/>
      <c r="D29" s="1"/>
      <c r="E29" s="1"/>
      <c r="F29" s="46">
        <f t="shared" ref="F29:AK29" si="48">F26-SUM(F27:F28)</f>
        <v>-7.7109999999999905</v>
      </c>
      <c r="G29" s="46">
        <f t="shared" si="48"/>
        <v>12.001999999999992</v>
      </c>
      <c r="H29" s="46">
        <f t="shared" si="48"/>
        <v>17.74500000000004</v>
      </c>
      <c r="I29" s="46">
        <f t="shared" si="48"/>
        <v>16.432999999999701</v>
      </c>
      <c r="J29" s="46">
        <f t="shared" si="48"/>
        <v>-3.8690000000000531</v>
      </c>
      <c r="K29" s="46">
        <f t="shared" si="48"/>
        <v>4.8569999999998767</v>
      </c>
      <c r="L29" s="46">
        <f t="shared" si="48"/>
        <v>13.248000000000051</v>
      </c>
      <c r="M29" s="46">
        <f t="shared" si="48"/>
        <v>59.65899999999948</v>
      </c>
      <c r="N29" s="46">
        <f t="shared" si="48"/>
        <v>-10.8439999999999</v>
      </c>
      <c r="O29" s="46">
        <f t="shared" si="48"/>
        <v>-3.0020000000000242</v>
      </c>
      <c r="P29" s="46">
        <f t="shared" si="48"/>
        <v>19.208999999999889</v>
      </c>
      <c r="Q29" s="46">
        <f t="shared" si="48"/>
        <v>-20.587000000000657</v>
      </c>
      <c r="R29" s="46">
        <f t="shared" si="48"/>
        <v>-5.2110000000000056</v>
      </c>
      <c r="S29" s="46">
        <f t="shared" si="48"/>
        <v>11.710000000000107</v>
      </c>
      <c r="T29" s="46">
        <f t="shared" si="48"/>
        <v>9.9090000000000593</v>
      </c>
      <c r="U29" s="46">
        <f t="shared" si="48"/>
        <v>-7.7380000000002678</v>
      </c>
      <c r="V29" s="46">
        <f t="shared" si="48"/>
        <v>11.170999999999971</v>
      </c>
      <c r="W29" s="46">
        <f t="shared" si="48"/>
        <v>30.146999999999942</v>
      </c>
      <c r="X29" s="46">
        <f t="shared" si="48"/>
        <v>39.527999999999892</v>
      </c>
      <c r="Y29" s="46">
        <f t="shared" si="48"/>
        <v>50.570000000000022</v>
      </c>
      <c r="Z29" s="46">
        <f t="shared" si="48"/>
        <v>40.65599999999997</v>
      </c>
      <c r="AA29" s="46">
        <f t="shared" si="48"/>
        <v>36.707000000000043</v>
      </c>
      <c r="AB29" s="46">
        <f t="shared" si="48"/>
        <v>52.516000000000005</v>
      </c>
      <c r="AC29" s="46">
        <f t="shared" si="48"/>
        <v>14.554999999999794</v>
      </c>
      <c r="AD29" s="46">
        <f t="shared" si="48"/>
        <v>73.24899999999991</v>
      </c>
      <c r="AE29" s="46">
        <f t="shared" si="48"/>
        <v>88.887999999999892</v>
      </c>
      <c r="AF29" s="46">
        <f t="shared" si="48"/>
        <v>106.0289999999999</v>
      </c>
      <c r="AG29" s="46">
        <f t="shared" si="48"/>
        <v>104.25500000000021</v>
      </c>
      <c r="AH29" s="46">
        <f t="shared" si="48"/>
        <v>105.46300000000009</v>
      </c>
      <c r="AI29" s="46">
        <f t="shared" si="48"/>
        <v>109.206</v>
      </c>
      <c r="AJ29" s="46">
        <f t="shared" si="48"/>
        <v>82.219000000000165</v>
      </c>
      <c r="AK29" s="46">
        <f t="shared" si="48"/>
        <v>67.705000000000084</v>
      </c>
      <c r="AL29" s="46">
        <f t="shared" ref="AL29:BI29" si="49">AL26-SUM(AL27:AL28)</f>
        <v>147.976</v>
      </c>
      <c r="AM29" s="46">
        <f t="shared" si="49"/>
        <v>154.15500000000009</v>
      </c>
      <c r="AN29" s="46">
        <f t="shared" si="49"/>
        <v>102.36100000000009</v>
      </c>
      <c r="AO29" s="46">
        <f t="shared" si="49"/>
        <v>158.7900000000007</v>
      </c>
      <c r="AP29" s="46">
        <f t="shared" si="49"/>
        <v>91.667000000000002</v>
      </c>
      <c r="AQ29" s="46">
        <f t="shared" si="49"/>
        <v>165.75500000000011</v>
      </c>
      <c r="AR29" s="46">
        <f t="shared" si="49"/>
        <v>125.82900000000009</v>
      </c>
      <c r="AS29" s="46">
        <f t="shared" si="49"/>
        <v>119.19999999999969</v>
      </c>
      <c r="AT29" s="46">
        <f t="shared" ca="1" si="49"/>
        <v>59.22274651937925</v>
      </c>
      <c r="AU29" s="46">
        <f t="shared" ca="1" si="49"/>
        <v>81.959673333755262</v>
      </c>
      <c r="AV29" s="46">
        <f t="shared" ca="1" si="49"/>
        <v>47.57373460653038</v>
      </c>
      <c r="AW29" s="46">
        <f t="shared" ca="1" si="49"/>
        <v>69.830150829432256</v>
      </c>
      <c r="AX29" s="46">
        <f t="shared" ca="1" si="49"/>
        <v>51.088061869567092</v>
      </c>
      <c r="AY29" s="46">
        <f t="shared" ca="1" si="49"/>
        <v>91.802519757572043</v>
      </c>
      <c r="AZ29" s="46">
        <f t="shared" ca="1" si="49"/>
        <v>58.646299411036196</v>
      </c>
      <c r="BA29" s="46">
        <f t="shared" ca="1" si="49"/>
        <v>83.974563205603204</v>
      </c>
      <c r="BB29" s="46">
        <f t="shared" ca="1" si="49"/>
        <v>59.962778787117479</v>
      </c>
      <c r="BC29" s="46">
        <f t="shared" ca="1" si="49"/>
        <v>98.623206013449959</v>
      </c>
      <c r="BD29" s="46">
        <f t="shared" ca="1" si="49"/>
        <v>62.449024780541905</v>
      </c>
      <c r="BE29" s="46">
        <f t="shared" ca="1" si="49"/>
        <v>85.273152153849139</v>
      </c>
      <c r="BF29" s="46">
        <f t="shared" ca="1" si="49"/>
        <v>58.378189108269076</v>
      </c>
      <c r="BG29" s="46">
        <f t="shared" ca="1" si="49"/>
        <v>97.255318896566138</v>
      </c>
      <c r="BH29" s="46">
        <f t="shared" ca="1" si="49"/>
        <v>60.669761554034253</v>
      </c>
      <c r="BI29" s="46">
        <f t="shared" ca="1" si="49"/>
        <v>83.691960860740977</v>
      </c>
      <c r="BJ29" s="1"/>
      <c r="BK29" s="46">
        <f t="shared" si="36"/>
        <v>38.468999999999738</v>
      </c>
      <c r="BL29" s="46">
        <f t="shared" si="36"/>
        <v>73.894999999999357</v>
      </c>
      <c r="BM29" s="46">
        <f t="shared" si="36"/>
        <v>-15.224000000000691</v>
      </c>
      <c r="BN29" s="46">
        <f t="shared" si="36"/>
        <v>8.6699999999998933</v>
      </c>
      <c r="BO29" s="46">
        <f t="shared" si="36"/>
        <v>131.41599999999983</v>
      </c>
      <c r="BP29" s="46">
        <f t="shared" si="36"/>
        <v>144.4339999999998</v>
      </c>
      <c r="BQ29" s="46">
        <f t="shared" si="36"/>
        <v>372.42099999999994</v>
      </c>
      <c r="BR29" s="46">
        <f t="shared" si="36"/>
        <v>364.59300000000036</v>
      </c>
      <c r="BS29" s="46">
        <f t="shared" si="36"/>
        <v>563.28200000000083</v>
      </c>
      <c r="BT29" s="46">
        <f t="shared" si="36"/>
        <v>502.45099999999991</v>
      </c>
      <c r="BU29" s="46">
        <f t="shared" ca="1" si="36"/>
        <v>258.58630528909714</v>
      </c>
      <c r="BV29" s="46">
        <f t="shared" ca="1" si="36"/>
        <v>285.51144424377856</v>
      </c>
      <c r="BW29" s="46">
        <f t="shared" ca="1" si="36"/>
        <v>306.3081617349585</v>
      </c>
      <c r="BX29" s="46">
        <f t="shared" ca="1" si="36"/>
        <v>299.99523041961049</v>
      </c>
    </row>
    <row r="30" spans="1:7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 ht="15" customHeight="1" x14ac:dyDescent="0.25">
      <c r="A31" s="11" t="s">
        <v>53</v>
      </c>
      <c r="B31" s="41" t="s">
        <v>73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 x14ac:dyDescent="0.25">
      <c r="A32" s="1"/>
      <c r="B32" s="1"/>
      <c r="C32" s="11" t="s">
        <v>74</v>
      </c>
      <c r="D32" s="1"/>
      <c r="E32" s="1"/>
      <c r="F32" s="47">
        <f>'Canalyst HC - Q'!C414</f>
        <v>1.627</v>
      </c>
      <c r="G32" s="47">
        <f>'Canalyst HC - Q'!D414</f>
        <v>1.2689999999999999</v>
      </c>
      <c r="H32" s="47">
        <f>'Canalyst HC - Q'!E414</f>
        <v>1.5489999999999999</v>
      </c>
      <c r="I32" s="47">
        <f>'Canalyst HC - Q'!F414</f>
        <v>2.7090000000000001</v>
      </c>
      <c r="J32" s="47">
        <f>'Canalyst HC - Q'!G414</f>
        <v>2.06</v>
      </c>
      <c r="K32" s="47">
        <f>'Canalyst HC - Q'!H414</f>
        <v>2.5169999999999999</v>
      </c>
      <c r="L32" s="47">
        <f>'Canalyst HC - Q'!I414</f>
        <v>1.8959999999999999</v>
      </c>
      <c r="M32" s="47">
        <f>'Canalyst HC - Q'!J414</f>
        <v>1.4490000000000001</v>
      </c>
      <c r="N32" s="47">
        <f>'Canalyst HC - Q'!K414</f>
        <v>0.752</v>
      </c>
      <c r="O32" s="47">
        <f>'Canalyst HC - Q'!L414</f>
        <v>0.97599999999999998</v>
      </c>
      <c r="P32" s="47">
        <f>'Canalyst HC - Q'!M414</f>
        <v>2.766</v>
      </c>
      <c r="Q32" s="47">
        <f>'Canalyst HC - Q'!N414</f>
        <v>1.1120000000000001</v>
      </c>
      <c r="R32" s="47">
        <f>'Canalyst HC - Q'!O414</f>
        <v>2.0449999999999999</v>
      </c>
      <c r="S32" s="47">
        <f>'Canalyst HC - Q'!P414</f>
        <v>0</v>
      </c>
      <c r="T32" s="47">
        <f>'Canalyst HC - Q'!Q414</f>
        <v>0</v>
      </c>
      <c r="U32" s="47">
        <f>'Canalyst HC - Q'!R414</f>
        <v>0</v>
      </c>
      <c r="V32" s="47">
        <f>'Canalyst HC - Q'!S414</f>
        <v>0</v>
      </c>
      <c r="W32" s="47">
        <f>'Canalyst HC - Q'!T414</f>
        <v>0</v>
      </c>
      <c r="X32" s="47">
        <f>'Canalyst HC - Q'!U414</f>
        <v>0</v>
      </c>
      <c r="Y32" s="47">
        <f>'Canalyst HC - Q'!V414</f>
        <v>0</v>
      </c>
      <c r="Z32" s="47">
        <f>'Canalyst HC - Q'!W414</f>
        <v>0</v>
      </c>
      <c r="AA32" s="47">
        <f>'Canalyst HC - Q'!X414</f>
        <v>0</v>
      </c>
      <c r="AB32" s="47">
        <f>'Canalyst HC - Q'!Y414</f>
        <v>0</v>
      </c>
      <c r="AC32" s="47">
        <f>'Canalyst HC - Q'!Z414</f>
        <v>0</v>
      </c>
      <c r="AD32" s="47">
        <f>'Canalyst HC - Q'!AA414</f>
        <v>0</v>
      </c>
      <c r="AE32" s="47">
        <f>'Canalyst HC - Q'!AB414</f>
        <v>0</v>
      </c>
      <c r="AF32" s="47">
        <f>'Canalyst HC - Q'!AC414</f>
        <v>0</v>
      </c>
      <c r="AG32" s="47">
        <f>'Canalyst HC - Q'!AD414</f>
        <v>0</v>
      </c>
      <c r="AH32" s="47">
        <f>'Canalyst HC - Q'!AE414</f>
        <v>0</v>
      </c>
      <c r="AI32" s="47">
        <f>'Canalyst HC - Q'!AF414</f>
        <v>0</v>
      </c>
      <c r="AJ32" s="47">
        <f>'Canalyst HC - Q'!AG414</f>
        <v>0</v>
      </c>
      <c r="AK32" s="47">
        <f>'Canalyst HC - Q'!AH414</f>
        <v>0</v>
      </c>
      <c r="AL32" s="47">
        <f>'Canalyst HC - Q'!AI414</f>
        <v>0</v>
      </c>
      <c r="AM32" s="47">
        <f>'Canalyst HC - Q'!AJ414</f>
        <v>0</v>
      </c>
      <c r="AN32" s="47">
        <f>'Canalyst HC - Q'!AK414</f>
        <v>0</v>
      </c>
      <c r="AO32" s="47">
        <f>'Canalyst HC - Q'!AL414</f>
        <v>0</v>
      </c>
      <c r="AP32" s="47">
        <f>'Canalyst HC - Q'!AM414</f>
        <v>0</v>
      </c>
      <c r="AQ32" s="47">
        <f>'Canalyst HC - Q'!AN414</f>
        <v>0</v>
      </c>
      <c r="AR32" s="47">
        <f>'Canalyst HC - Q'!AO414</f>
        <v>0</v>
      </c>
      <c r="AS32" s="47">
        <f>'Canalyst HC - Q'!AP414</f>
        <v>0</v>
      </c>
      <c r="AT32" s="38">
        <f t="shared" ref="AT32:BI32" ca="1" si="50">AT8*AT17</f>
        <v>0</v>
      </c>
      <c r="AU32" s="38">
        <f t="shared" ca="1" si="50"/>
        <v>0</v>
      </c>
      <c r="AV32" s="38">
        <f t="shared" ca="1" si="50"/>
        <v>0</v>
      </c>
      <c r="AW32" s="38">
        <f t="shared" ca="1" si="50"/>
        <v>0</v>
      </c>
      <c r="AX32" s="38">
        <f t="shared" ca="1" si="50"/>
        <v>0</v>
      </c>
      <c r="AY32" s="38">
        <f t="shared" ca="1" si="50"/>
        <v>0</v>
      </c>
      <c r="AZ32" s="38">
        <f t="shared" ca="1" si="50"/>
        <v>0</v>
      </c>
      <c r="BA32" s="38">
        <f t="shared" ca="1" si="50"/>
        <v>0</v>
      </c>
      <c r="BB32" s="38">
        <f t="shared" ca="1" si="50"/>
        <v>0</v>
      </c>
      <c r="BC32" s="38">
        <f t="shared" ca="1" si="50"/>
        <v>0</v>
      </c>
      <c r="BD32" s="38">
        <f t="shared" ca="1" si="50"/>
        <v>0</v>
      </c>
      <c r="BE32" s="38">
        <f t="shared" ca="1" si="50"/>
        <v>0</v>
      </c>
      <c r="BF32" s="38">
        <f t="shared" ca="1" si="50"/>
        <v>0</v>
      </c>
      <c r="BG32" s="38">
        <f t="shared" ca="1" si="50"/>
        <v>0</v>
      </c>
      <c r="BH32" s="38">
        <f t="shared" ca="1" si="50"/>
        <v>0</v>
      </c>
      <c r="BI32" s="38">
        <f t="shared" ca="1" si="50"/>
        <v>0</v>
      </c>
      <c r="BJ32" s="1"/>
      <c r="BK32" s="38">
        <f t="shared" ref="BK32:BX36" si="51">SUMIF($F$1:$BI$1,BK$1,$F32:$BI32)</f>
        <v>7.1539999999999999</v>
      </c>
      <c r="BL32" s="38">
        <f t="shared" si="51"/>
        <v>7.9219999999999997</v>
      </c>
      <c r="BM32" s="38">
        <f t="shared" si="51"/>
        <v>5.6059999999999999</v>
      </c>
      <c r="BN32" s="38">
        <f t="shared" si="51"/>
        <v>2.0449999999999999</v>
      </c>
      <c r="BO32" s="38">
        <f t="shared" si="51"/>
        <v>0</v>
      </c>
      <c r="BP32" s="38">
        <f t="shared" si="51"/>
        <v>0</v>
      </c>
      <c r="BQ32" s="38">
        <f t="shared" si="51"/>
        <v>0</v>
      </c>
      <c r="BR32" s="38">
        <f t="shared" si="51"/>
        <v>0</v>
      </c>
      <c r="BS32" s="38">
        <f t="shared" si="51"/>
        <v>0</v>
      </c>
      <c r="BT32" s="38">
        <f t="shared" si="51"/>
        <v>0</v>
      </c>
      <c r="BU32" s="38">
        <f t="shared" ca="1" si="51"/>
        <v>0</v>
      </c>
      <c r="BV32" s="38">
        <f t="shared" ca="1" si="51"/>
        <v>0</v>
      </c>
      <c r="BW32" s="38">
        <f t="shared" ca="1" si="51"/>
        <v>0</v>
      </c>
      <c r="BX32" s="38">
        <f t="shared" ca="1" si="51"/>
        <v>0</v>
      </c>
    </row>
    <row r="33" spans="1:76" x14ac:dyDescent="0.25">
      <c r="A33" s="1"/>
      <c r="B33" s="1"/>
      <c r="C33" s="11" t="s">
        <v>75</v>
      </c>
      <c r="D33" s="1"/>
      <c r="E33" s="1"/>
      <c r="F33" s="47">
        <f>'Canalyst HC - Q'!C412+'Canalyst HC - Q'!C413</f>
        <v>24.388999999999999</v>
      </c>
      <c r="G33" s="47">
        <f>'Canalyst HC - Q'!D412+'Canalyst HC - Q'!D413</f>
        <v>27.94</v>
      </c>
      <c r="H33" s="47">
        <f>'Canalyst HC - Q'!E412+'Canalyst HC - Q'!E413</f>
        <v>31.056999999999999</v>
      </c>
      <c r="I33" s="47">
        <f>'Canalyst HC - Q'!F412+'Canalyst HC - Q'!F413</f>
        <v>33.237000000000002</v>
      </c>
      <c r="J33" s="47">
        <f>'Canalyst HC - Q'!G412+'Canalyst HC - Q'!G413</f>
        <v>34.981000000000002</v>
      </c>
      <c r="K33" s="47">
        <f>'Canalyst HC - Q'!H412+'Canalyst HC - Q'!H413</f>
        <v>42.066000000000003</v>
      </c>
      <c r="L33" s="47">
        <f>'Canalyst HC - Q'!I412+'Canalyst HC - Q'!I413</f>
        <v>43.245999999999995</v>
      </c>
      <c r="M33" s="47">
        <f>'Canalyst HC - Q'!J412+'Canalyst HC - Q'!J413</f>
        <v>48.547999999999988</v>
      </c>
      <c r="N33" s="47">
        <f>'Canalyst HC - Q'!K412+'Canalyst HC - Q'!K413</f>
        <v>47.22</v>
      </c>
      <c r="O33" s="47">
        <f>'Canalyst HC - Q'!L412+'Canalyst HC - Q'!L413</f>
        <v>46.686999999999998</v>
      </c>
      <c r="P33" s="47">
        <f>'Canalyst HC - Q'!M412+'Canalyst HC - Q'!M413</f>
        <v>46.588999999999999</v>
      </c>
      <c r="Q33" s="47">
        <f>'Canalyst HC - Q'!N412+'Canalyst HC - Q'!N413</f>
        <v>46.760000000000005</v>
      </c>
      <c r="R33" s="47">
        <f>'Canalyst HC - Q'!O412+'Canalyst HC - Q'!O413</f>
        <v>45.771999999999998</v>
      </c>
      <c r="S33" s="47">
        <f>'Canalyst HC - Q'!P412+'Canalyst HC - Q'!P413</f>
        <v>45.056000000000004</v>
      </c>
      <c r="T33" s="47">
        <f>'Canalyst HC - Q'!Q412+'Canalyst HC - Q'!Q413</f>
        <v>45.587999999999994</v>
      </c>
      <c r="U33" s="47">
        <f>'Canalyst HC - Q'!R412+'Canalyst HC - Q'!R413</f>
        <v>43.5</v>
      </c>
      <c r="V33" s="47">
        <f>'Canalyst HC - Q'!S412+'Canalyst HC - Q'!S413</f>
        <v>43.558999999999997</v>
      </c>
      <c r="W33" s="47">
        <f>'Canalyst HC - Q'!T412+'Canalyst HC - Q'!T413</f>
        <v>42.837000000000003</v>
      </c>
      <c r="X33" s="47">
        <f>'Canalyst HC - Q'!U412+'Canalyst HC - Q'!U413</f>
        <v>48.093000000000004</v>
      </c>
      <c r="Y33" s="47">
        <f>'Canalyst HC - Q'!V412+'Canalyst HC - Q'!V413</f>
        <v>44.527999999999992</v>
      </c>
      <c r="Z33" s="47">
        <f>'Canalyst HC - Q'!W412+'Canalyst HC - Q'!W413</f>
        <v>43.526000000000003</v>
      </c>
      <c r="AA33" s="47">
        <f>'Canalyst HC - Q'!X412+'Canalyst HC - Q'!X413</f>
        <v>44.356999999999985</v>
      </c>
      <c r="AB33" s="47">
        <f>'Canalyst HC - Q'!Y412+'Canalyst HC - Q'!Y413</f>
        <v>47.457999999999998</v>
      </c>
      <c r="AC33" s="47">
        <f>'Canalyst HC - Q'!Z412+'Canalyst HC - Q'!Z413</f>
        <v>45.223999999999997</v>
      </c>
      <c r="AD33" s="47">
        <f>'Canalyst HC - Q'!AA412+'Canalyst HC - Q'!AA413</f>
        <v>43.268999999999998</v>
      </c>
      <c r="AE33" s="47">
        <f>'Canalyst HC - Q'!AB412+'Canalyst HC - Q'!AB413</f>
        <v>42.583000000000006</v>
      </c>
      <c r="AF33" s="47">
        <f>'Canalyst HC - Q'!AC412+'Canalyst HC - Q'!AC413</f>
        <v>42.531000000000006</v>
      </c>
      <c r="AG33" s="47">
        <f>'Canalyst HC - Q'!AD412+'Canalyst HC - Q'!AD413</f>
        <v>43.206999999999987</v>
      </c>
      <c r="AH33" s="47">
        <f>'Canalyst HC - Q'!AE412+'Canalyst HC - Q'!AE413</f>
        <v>43.509</v>
      </c>
      <c r="AI33" s="47">
        <f>'Canalyst HC - Q'!AF412+'Canalyst HC - Q'!AF413</f>
        <v>43.676000000000009</v>
      </c>
      <c r="AJ33" s="47">
        <f>'Canalyst HC - Q'!AG412+'Canalyst HC - Q'!AG413</f>
        <v>44.111000000000004</v>
      </c>
      <c r="AK33" s="47">
        <f>'Canalyst HC - Q'!AH412+'Canalyst HC - Q'!AH413</f>
        <v>45.67</v>
      </c>
      <c r="AL33" s="47">
        <f>'Canalyst HC - Q'!AI412+'Canalyst HC - Q'!AI413</f>
        <v>46.750999999999998</v>
      </c>
      <c r="AM33" s="47">
        <f>'Canalyst HC - Q'!AJ412+'Canalyst HC - Q'!AJ413</f>
        <v>47.658000000000001</v>
      </c>
      <c r="AN33" s="47">
        <f>'Canalyst HC - Q'!AK412+'Canalyst HC - Q'!AK413</f>
        <v>48.77000000000001</v>
      </c>
      <c r="AO33" s="47">
        <f>'Canalyst HC - Q'!AL412+'Canalyst HC - Q'!AL413</f>
        <v>50.611999999999995</v>
      </c>
      <c r="AP33" s="47">
        <f>'Canalyst HC - Q'!AM412+'Canalyst HC - Q'!AM413</f>
        <v>53.373000000000005</v>
      </c>
      <c r="AQ33" s="47">
        <f>'Canalyst HC - Q'!AN412+'Canalyst HC - Q'!AN413</f>
        <v>54.764999999999986</v>
      </c>
      <c r="AR33" s="47">
        <f>'Canalyst HC - Q'!AO412+'Canalyst HC - Q'!AO413</f>
        <v>55.085999999999999</v>
      </c>
      <c r="AS33" s="47">
        <f>'Canalyst HC - Q'!AP412+'Canalyst HC - Q'!AP413</f>
        <v>55.30599999999999</v>
      </c>
      <c r="AT33" s="38">
        <f t="shared" ref="AT33:BI33" ca="1" si="52">AT9*AT17</f>
        <v>59.414913693584289</v>
      </c>
      <c r="AU33" s="38">
        <f t="shared" ca="1" si="52"/>
        <v>54.892324638308182</v>
      </c>
      <c r="AV33" s="38">
        <f t="shared" ca="1" si="52"/>
        <v>55.222644238502539</v>
      </c>
      <c r="AW33" s="38">
        <f t="shared" ca="1" si="52"/>
        <v>55.447429152544679</v>
      </c>
      <c r="AX33" s="38">
        <f t="shared" ca="1" si="52"/>
        <v>61.208290841675854</v>
      </c>
      <c r="AY33" s="38">
        <f t="shared" ca="1" si="52"/>
        <v>56.5491639708073</v>
      </c>
      <c r="AZ33" s="38">
        <f t="shared" ca="1" si="52"/>
        <v>56.889395221258425</v>
      </c>
      <c r="BA33" s="38">
        <f t="shared" ca="1" si="52"/>
        <v>57.120942499391731</v>
      </c>
      <c r="BB33" s="38">
        <f t="shared" ca="1" si="52"/>
        <v>63.055799382276135</v>
      </c>
      <c r="BC33" s="38">
        <f t="shared" ca="1" si="52"/>
        <v>58.256012585000562</v>
      </c>
      <c r="BD33" s="38">
        <f t="shared" ca="1" si="52"/>
        <v>58.606452897496133</v>
      </c>
      <c r="BE33" s="38">
        <f t="shared" ca="1" si="52"/>
        <v>58.844965978906771</v>
      </c>
      <c r="BF33" s="38">
        <f t="shared" ca="1" si="52"/>
        <v>64.959073225517997</v>
      </c>
      <c r="BG33" s="38">
        <f t="shared" ca="1" si="52"/>
        <v>60.014379943210699</v>
      </c>
      <c r="BH33" s="38">
        <f t="shared" ca="1" si="52"/>
        <v>60.375335653772893</v>
      </c>
      <c r="BI33" s="38">
        <f t="shared" ca="1" si="52"/>
        <v>60.621024097984169</v>
      </c>
      <c r="BJ33" s="1"/>
      <c r="BK33" s="38">
        <f t="shared" si="51"/>
        <v>116.62299999999999</v>
      </c>
      <c r="BL33" s="38">
        <f t="shared" si="51"/>
        <v>168.84099999999998</v>
      </c>
      <c r="BM33" s="38">
        <f t="shared" si="51"/>
        <v>187.25599999999997</v>
      </c>
      <c r="BN33" s="38">
        <f t="shared" si="51"/>
        <v>179.916</v>
      </c>
      <c r="BO33" s="38">
        <f t="shared" si="51"/>
        <v>179.017</v>
      </c>
      <c r="BP33" s="38">
        <f t="shared" si="51"/>
        <v>180.56499999999997</v>
      </c>
      <c r="BQ33" s="38">
        <f t="shared" si="51"/>
        <v>171.59</v>
      </c>
      <c r="BR33" s="38">
        <f t="shared" si="51"/>
        <v>176.96600000000001</v>
      </c>
      <c r="BS33" s="38">
        <f t="shared" si="51"/>
        <v>193.791</v>
      </c>
      <c r="BT33" s="38">
        <f t="shared" si="51"/>
        <v>218.52999999999997</v>
      </c>
      <c r="BU33" s="38">
        <f t="shared" ca="1" si="51"/>
        <v>224.9773117229397</v>
      </c>
      <c r="BV33" s="38">
        <f t="shared" ca="1" si="51"/>
        <v>231.76779253313333</v>
      </c>
      <c r="BW33" s="38">
        <f t="shared" ca="1" si="51"/>
        <v>238.76323084367959</v>
      </c>
      <c r="BX33" s="38">
        <f t="shared" ca="1" si="51"/>
        <v>245.96981292048577</v>
      </c>
    </row>
    <row r="34" spans="1:76" x14ac:dyDescent="0.25">
      <c r="A34" s="1"/>
      <c r="B34" s="1"/>
      <c r="C34" s="11" t="s">
        <v>65</v>
      </c>
      <c r="D34" s="1"/>
      <c r="E34" s="1"/>
      <c r="F34" s="48">
        <f t="shared" ref="F34:AS34" si="53">F35-(F21+F33+F32)</f>
        <v>0</v>
      </c>
      <c r="G34" s="48">
        <f t="shared" si="53"/>
        <v>0</v>
      </c>
      <c r="H34" s="48">
        <f t="shared" si="53"/>
        <v>0</v>
      </c>
      <c r="I34" s="48">
        <f t="shared" si="53"/>
        <v>0</v>
      </c>
      <c r="J34" s="48">
        <f t="shared" si="53"/>
        <v>0</v>
      </c>
      <c r="K34" s="48">
        <f t="shared" si="53"/>
        <v>0</v>
      </c>
      <c r="L34" s="48">
        <f t="shared" si="53"/>
        <v>0</v>
      </c>
      <c r="M34" s="48">
        <f t="shared" si="53"/>
        <v>4.0500935938325711E-13</v>
      </c>
      <c r="N34" s="48">
        <f t="shared" si="53"/>
        <v>0</v>
      </c>
      <c r="O34" s="48">
        <f t="shared" si="53"/>
        <v>0</v>
      </c>
      <c r="P34" s="48">
        <f t="shared" si="53"/>
        <v>0</v>
      </c>
      <c r="Q34" s="48">
        <f t="shared" si="53"/>
        <v>4.0500935938325711E-13</v>
      </c>
      <c r="R34" s="48">
        <f t="shared" si="53"/>
        <v>0</v>
      </c>
      <c r="S34" s="48">
        <f t="shared" si="53"/>
        <v>0</v>
      </c>
      <c r="T34" s="48">
        <f t="shared" si="53"/>
        <v>0</v>
      </c>
      <c r="U34" s="48">
        <f t="shared" si="53"/>
        <v>0</v>
      </c>
      <c r="V34" s="48">
        <f t="shared" si="53"/>
        <v>0</v>
      </c>
      <c r="W34" s="48">
        <f t="shared" si="53"/>
        <v>0</v>
      </c>
      <c r="X34" s="48">
        <f t="shared" si="53"/>
        <v>0</v>
      </c>
      <c r="Y34" s="48">
        <f t="shared" si="53"/>
        <v>0</v>
      </c>
      <c r="Z34" s="48">
        <f t="shared" si="53"/>
        <v>0</v>
      </c>
      <c r="AA34" s="48">
        <f t="shared" si="53"/>
        <v>0</v>
      </c>
      <c r="AB34" s="48">
        <f t="shared" si="53"/>
        <v>0</v>
      </c>
      <c r="AC34" s="48">
        <f t="shared" si="53"/>
        <v>0</v>
      </c>
      <c r="AD34" s="48">
        <f t="shared" si="53"/>
        <v>0</v>
      </c>
      <c r="AE34" s="48">
        <f t="shared" si="53"/>
        <v>0</v>
      </c>
      <c r="AF34" s="48">
        <f t="shared" si="53"/>
        <v>0</v>
      </c>
      <c r="AG34" s="48">
        <f t="shared" si="53"/>
        <v>0</v>
      </c>
      <c r="AH34" s="48">
        <f t="shared" si="53"/>
        <v>0</v>
      </c>
      <c r="AI34" s="48">
        <f t="shared" si="53"/>
        <v>0</v>
      </c>
      <c r="AJ34" s="48">
        <f t="shared" si="53"/>
        <v>0</v>
      </c>
      <c r="AK34" s="48">
        <f t="shared" si="53"/>
        <v>2.8421709430404007E-13</v>
      </c>
      <c r="AL34" s="48">
        <f t="shared" si="53"/>
        <v>0</v>
      </c>
      <c r="AM34" s="48">
        <f t="shared" si="53"/>
        <v>0</v>
      </c>
      <c r="AN34" s="48">
        <f t="shared" si="53"/>
        <v>0</v>
      </c>
      <c r="AO34" s="48">
        <f t="shared" si="53"/>
        <v>0</v>
      </c>
      <c r="AP34" s="48">
        <f t="shared" si="53"/>
        <v>0</v>
      </c>
      <c r="AQ34" s="48">
        <f t="shared" si="53"/>
        <v>0</v>
      </c>
      <c r="AR34" s="48">
        <f t="shared" si="53"/>
        <v>0</v>
      </c>
      <c r="AS34" s="48">
        <f t="shared" si="53"/>
        <v>6.8212102632969618E-13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1"/>
      <c r="BK34" s="38">
        <f t="shared" si="51"/>
        <v>0</v>
      </c>
      <c r="BL34" s="38">
        <f t="shared" si="51"/>
        <v>4.0500935938325711E-13</v>
      </c>
      <c r="BM34" s="38">
        <f t="shared" si="51"/>
        <v>4.0500935938325711E-13</v>
      </c>
      <c r="BN34" s="38">
        <f t="shared" si="51"/>
        <v>0</v>
      </c>
      <c r="BO34" s="38">
        <f t="shared" si="51"/>
        <v>0</v>
      </c>
      <c r="BP34" s="38">
        <f t="shared" si="51"/>
        <v>0</v>
      </c>
      <c r="BQ34" s="38">
        <f t="shared" si="51"/>
        <v>0</v>
      </c>
      <c r="BR34" s="38">
        <f t="shared" si="51"/>
        <v>2.8421709430404007E-13</v>
      </c>
      <c r="BS34" s="38">
        <f t="shared" si="51"/>
        <v>0</v>
      </c>
      <c r="BT34" s="38">
        <f t="shared" si="51"/>
        <v>6.8212102632969618E-13</v>
      </c>
      <c r="BU34" s="38">
        <f t="shared" si="51"/>
        <v>0</v>
      </c>
      <c r="BV34" s="38">
        <f t="shared" si="51"/>
        <v>0</v>
      </c>
      <c r="BW34" s="38">
        <f t="shared" si="51"/>
        <v>0</v>
      </c>
      <c r="BX34" s="38">
        <f t="shared" si="51"/>
        <v>0</v>
      </c>
    </row>
    <row r="35" spans="1:76" ht="15" customHeight="1" x14ac:dyDescent="0.25">
      <c r="A35" s="1"/>
      <c r="B35" s="3" t="s">
        <v>76</v>
      </c>
      <c r="C35" s="1"/>
      <c r="D35" s="1"/>
      <c r="E35" s="1"/>
      <c r="F35" s="45">
        <f>'Canalyst HC - Q'!C416</f>
        <v>38.417000000000009</v>
      </c>
      <c r="G35" s="45">
        <f>'Canalyst HC - Q'!D416</f>
        <v>83.944999999999993</v>
      </c>
      <c r="H35" s="45">
        <f>'Canalyst HC - Q'!E416</f>
        <v>72.407000000000039</v>
      </c>
      <c r="I35" s="45">
        <f>'Canalyst HC - Q'!F416</f>
        <v>56.866999999999713</v>
      </c>
      <c r="J35" s="45">
        <f>'Canalyst HC - Q'!G416</f>
        <v>50.648999999999951</v>
      </c>
      <c r="K35" s="45">
        <f>'Canalyst HC - Q'!H416</f>
        <v>91.895999999999873</v>
      </c>
      <c r="L35" s="45">
        <f>'Canalyst HC - Q'!I416</f>
        <v>81.272000000000048</v>
      </c>
      <c r="M35" s="45">
        <f>'Canalyst HC - Q'!J416</f>
        <v>49.124999999999467</v>
      </c>
      <c r="N35" s="45">
        <f>'Canalyst HC - Q'!K416</f>
        <v>28.975000000000101</v>
      </c>
      <c r="O35" s="45">
        <f>'Canalyst HC - Q'!L416</f>
        <v>67.34199999999997</v>
      </c>
      <c r="P35" s="45">
        <f>'Canalyst HC - Q'!M416</f>
        <v>93.758999999999872</v>
      </c>
      <c r="Q35" s="45">
        <f>'Canalyst HC - Q'!N416</f>
        <v>60.687999999999363</v>
      </c>
      <c r="R35" s="45">
        <f>'Canalyst HC - Q'!O416</f>
        <v>67.971000000000004</v>
      </c>
      <c r="S35" s="45">
        <f>'Canalyst HC - Q'!P416</f>
        <v>112.2700000000001</v>
      </c>
      <c r="T35" s="45">
        <f>'Canalyst HC - Q'!Q416</f>
        <v>99.434000000000054</v>
      </c>
      <c r="U35" s="45">
        <f>'Canalyst HC - Q'!R416</f>
        <v>83.039999999999736</v>
      </c>
      <c r="V35" s="45">
        <f>'Canalyst HC - Q'!S416</f>
        <v>76.379999999999967</v>
      </c>
      <c r="W35" s="45">
        <f>'Canalyst HC - Q'!T416</f>
        <v>125.9549999999999</v>
      </c>
      <c r="X35" s="45">
        <f>'Canalyst HC - Q'!U416</f>
        <v>151.9369999999999</v>
      </c>
      <c r="Y35" s="45">
        <f>'Canalyst HC - Q'!V416</f>
        <v>138.12299999999999</v>
      </c>
      <c r="Z35" s="45">
        <f>'Canalyst HC - Q'!W416</f>
        <v>137.71</v>
      </c>
      <c r="AA35" s="45">
        <f>'Canalyst HC - Q'!X416</f>
        <v>165.21799999999999</v>
      </c>
      <c r="AB35" s="45">
        <f>'Canalyst HC - Q'!Y416</f>
        <v>184.489</v>
      </c>
      <c r="AC35" s="45">
        <f>'Canalyst HC - Q'!Z416</f>
        <v>132.31899999999979</v>
      </c>
      <c r="AD35" s="45">
        <f>'Canalyst HC - Q'!AA416</f>
        <v>174.25399999999991</v>
      </c>
      <c r="AE35" s="45">
        <f>'Canalyst HC - Q'!AB416</f>
        <v>189.87599999999989</v>
      </c>
      <c r="AF35" s="45">
        <f>'Canalyst HC - Q'!AC416</f>
        <v>232.46100000000001</v>
      </c>
      <c r="AG35" s="45">
        <f>'Canalyst HC - Q'!AD416</f>
        <v>216.04600000000019</v>
      </c>
      <c r="AH35" s="45">
        <f>'Canalyst HC - Q'!AE416</f>
        <v>249.5630000000001</v>
      </c>
      <c r="AI35" s="45">
        <f>'Canalyst HC - Q'!AF416</f>
        <v>277.346</v>
      </c>
      <c r="AJ35" s="45">
        <f>'Canalyst HC - Q'!AG416</f>
        <v>260.37100000000021</v>
      </c>
      <c r="AK35" s="45">
        <f>'Canalyst HC - Q'!AH416</f>
        <v>224.13700000000011</v>
      </c>
      <c r="AL35" s="45">
        <f>'Canalyst HC - Q'!AI416</f>
        <v>262.15699999999993</v>
      </c>
      <c r="AM35" s="45">
        <f>'Canalyst HC - Q'!AJ416</f>
        <v>306.79800000000012</v>
      </c>
      <c r="AN35" s="45">
        <f>'Canalyst HC - Q'!AK416</f>
        <v>275.82499999999999</v>
      </c>
      <c r="AO35" s="45">
        <f>'Canalyst HC - Q'!AL416</f>
        <v>269.36100000000067</v>
      </c>
      <c r="AP35" s="45">
        <f>'Canalyst HC - Q'!AM416</f>
        <v>243.19300000000001</v>
      </c>
      <c r="AQ35" s="45">
        <f>'Canalyst HC - Q'!AN416</f>
        <v>326.8490000000001</v>
      </c>
      <c r="AR35" s="45">
        <f>'Canalyst HC - Q'!AO416</f>
        <v>301.72000000000008</v>
      </c>
      <c r="AS35" s="45">
        <f>'Canalyst HC - Q'!AP416</f>
        <v>297.42399999999969</v>
      </c>
      <c r="AT35" s="46">
        <f t="shared" ref="AT35:BI35" ca="1" si="54">AT21+AT33+AT32+AT34</f>
        <v>223.66787071942329</v>
      </c>
      <c r="AU35" s="46">
        <f t="shared" ca="1" si="54"/>
        <v>219.13218408331522</v>
      </c>
      <c r="AV35" s="46">
        <f t="shared" ca="1" si="54"/>
        <v>210.18758538054306</v>
      </c>
      <c r="AW35" s="46">
        <f t="shared" ca="1" si="54"/>
        <v>219.09659192512103</v>
      </c>
      <c r="AX35" s="46">
        <f t="shared" ca="1" si="54"/>
        <v>214.61500166776531</v>
      </c>
      <c r="AY35" s="46">
        <f t="shared" ca="1" si="54"/>
        <v>233.91281864757002</v>
      </c>
      <c r="AZ35" s="46">
        <f t="shared" ca="1" si="54"/>
        <v>226.61775610264004</v>
      </c>
      <c r="BA35" s="46">
        <f t="shared" ca="1" si="54"/>
        <v>239.62932177352934</v>
      </c>
      <c r="BB35" s="46">
        <f t="shared" ca="1" si="54"/>
        <v>228.29546609843277</v>
      </c>
      <c r="BC35" s="46">
        <f t="shared" ca="1" si="54"/>
        <v>244.71391560293387</v>
      </c>
      <c r="BD35" s="46">
        <f t="shared" ca="1" si="54"/>
        <v>233.40511427155201</v>
      </c>
      <c r="BE35" s="46">
        <f t="shared" ca="1" si="54"/>
        <v>243.08479718403896</v>
      </c>
      <c r="BF35" s="46">
        <f t="shared" ca="1" si="54"/>
        <v>228.08595370321012</v>
      </c>
      <c r="BG35" s="46">
        <f t="shared" ca="1" si="54"/>
        <v>244.64843347196557</v>
      </c>
      <c r="BH35" s="46">
        <f t="shared" ca="1" si="54"/>
        <v>232.80164605915189</v>
      </c>
      <c r="BI35" s="46">
        <f t="shared" ca="1" si="54"/>
        <v>242.7526002456388</v>
      </c>
      <c r="BJ35" s="1"/>
      <c r="BK35" s="46">
        <f t="shared" si="51"/>
        <v>251.63599999999974</v>
      </c>
      <c r="BL35" s="46">
        <f t="shared" si="51"/>
        <v>272.94199999999933</v>
      </c>
      <c r="BM35" s="46">
        <f t="shared" si="51"/>
        <v>250.7639999999993</v>
      </c>
      <c r="BN35" s="46">
        <f t="shared" si="51"/>
        <v>362.71499999999992</v>
      </c>
      <c r="BO35" s="46">
        <f t="shared" si="51"/>
        <v>492.39499999999975</v>
      </c>
      <c r="BP35" s="46">
        <f t="shared" si="51"/>
        <v>619.73599999999988</v>
      </c>
      <c r="BQ35" s="46">
        <f t="shared" si="51"/>
        <v>812.63699999999994</v>
      </c>
      <c r="BR35" s="46">
        <f t="shared" si="51"/>
        <v>1011.4170000000004</v>
      </c>
      <c r="BS35" s="46">
        <f t="shared" si="51"/>
        <v>1114.1410000000005</v>
      </c>
      <c r="BT35" s="46">
        <f t="shared" si="51"/>
        <v>1169.1859999999999</v>
      </c>
      <c r="BU35" s="46">
        <f t="shared" ca="1" si="51"/>
        <v>872.0842321084026</v>
      </c>
      <c r="BV35" s="46">
        <f t="shared" ca="1" si="51"/>
        <v>914.7748981915048</v>
      </c>
      <c r="BW35" s="46">
        <f t="shared" ca="1" si="51"/>
        <v>949.49929315695761</v>
      </c>
      <c r="BX35" s="46">
        <f t="shared" ca="1" si="51"/>
        <v>948.28863347996639</v>
      </c>
    </row>
    <row r="36" spans="1:76" ht="15" customHeight="1" x14ac:dyDescent="0.25">
      <c r="A36" s="1"/>
      <c r="B36" s="3"/>
      <c r="C36" s="1" t="s">
        <v>875</v>
      </c>
      <c r="D36" s="1"/>
      <c r="E36" s="1"/>
      <c r="F36" s="47">
        <f>'Canalyst HC - Q'!C382</f>
        <v>10.531000000000001</v>
      </c>
      <c r="G36" s="47">
        <f>'Canalyst HC - Q'!D382</f>
        <v>9.9920000000000009</v>
      </c>
      <c r="H36" s="47">
        <f>'Canalyst HC - Q'!E382</f>
        <v>-4.53</v>
      </c>
      <c r="I36" s="47">
        <f>'Canalyst HC - Q'!F382</f>
        <v>-17.202000000000002</v>
      </c>
      <c r="J36" s="47">
        <f>'Canalyst HC - Q'!G382</f>
        <v>7.5190000000000001</v>
      </c>
      <c r="K36" s="47">
        <f>'Canalyst HC - Q'!H382</f>
        <v>9.8970000000000002</v>
      </c>
      <c r="L36" s="47">
        <f>'Canalyst HC - Q'!I382</f>
        <v>-3.2080000000000002</v>
      </c>
      <c r="M36" s="47">
        <f>'Canalyst HC - Q'!J382</f>
        <v>-8.5830000000000002</v>
      </c>
      <c r="N36" s="47">
        <f>'Canalyst HC - Q'!K382</f>
        <v>-3.9</v>
      </c>
      <c r="O36" s="47">
        <f>'Canalyst HC - Q'!L382</f>
        <v>6.8760000000000003</v>
      </c>
      <c r="P36" s="47">
        <f>'Canalyst HC - Q'!M382</f>
        <v>-1.7849999999999999</v>
      </c>
      <c r="Q36" s="47">
        <f>'Canalyst HC - Q'!N382</f>
        <v>20.728999999999999</v>
      </c>
      <c r="R36" s="47">
        <f>'Canalyst HC - Q'!O382</f>
        <v>10.563000000000001</v>
      </c>
      <c r="S36" s="47">
        <f>'Canalyst HC - Q'!P382</f>
        <v>21.975000000000001</v>
      </c>
      <c r="T36" s="47">
        <f>'Canalyst HC - Q'!Q382</f>
        <v>14.099</v>
      </c>
      <c r="U36" s="47">
        <f>'Canalyst HC - Q'!R382</f>
        <v>22.954000000000001</v>
      </c>
      <c r="V36" s="47">
        <f>'Canalyst HC - Q'!S382</f>
        <v>0.53500000000000003</v>
      </c>
      <c r="W36" s="47">
        <f>'Canalyst HC - Q'!T382</f>
        <v>10.941000000000001</v>
      </c>
      <c r="X36" s="47">
        <f>'Canalyst HC - Q'!U382</f>
        <v>14.895</v>
      </c>
      <c r="Y36" s="47">
        <f>'Canalyst HC - Q'!V382</f>
        <v>-2.9630000000000001</v>
      </c>
      <c r="Z36" s="47">
        <f>'Canalyst HC - Q'!W382</f>
        <v>8.2490000000000006</v>
      </c>
      <c r="AA36" s="47">
        <f>'Canalyst HC - Q'!X382</f>
        <v>34.487000000000002</v>
      </c>
      <c r="AB36" s="47">
        <f>'Canalyst HC - Q'!Y382</f>
        <v>25.488</v>
      </c>
      <c r="AC36" s="47">
        <f>'Canalyst HC - Q'!Z382</f>
        <v>41.506999999999998</v>
      </c>
      <c r="AD36" s="47">
        <f>'Canalyst HC - Q'!AA382</f>
        <v>-4.109</v>
      </c>
      <c r="AE36" s="47">
        <f>'Canalyst HC - Q'!AB382</f>
        <v>3.028</v>
      </c>
      <c r="AF36" s="47">
        <f>'Canalyst HC - Q'!AC382</f>
        <v>16.992999999999999</v>
      </c>
      <c r="AG36" s="47">
        <f>'Canalyst HC - Q'!AD382</f>
        <v>8.3940000000000001</v>
      </c>
      <c r="AH36" s="47">
        <f>'Canalyst HC - Q'!AE382</f>
        <v>31.361000000000001</v>
      </c>
      <c r="AI36" s="47">
        <f>'Canalyst HC - Q'!AF382</f>
        <v>19.213999999999999</v>
      </c>
      <c r="AJ36" s="47">
        <f>'Canalyst HC - Q'!AG382</f>
        <v>14.212</v>
      </c>
      <c r="AK36" s="47">
        <f>'Canalyst HC - Q'!AH382</f>
        <v>55.046999999999997</v>
      </c>
      <c r="AL36" s="47">
        <f>'Canalyst HC - Q'!AI382</f>
        <v>-4.1719999999999997</v>
      </c>
      <c r="AM36" s="47">
        <f>'Canalyst HC - Q'!AJ382</f>
        <v>20.95</v>
      </c>
      <c r="AN36" s="47">
        <f>'Canalyst HC - Q'!AK382</f>
        <v>51.652000000000001</v>
      </c>
      <c r="AO36" s="47">
        <f>'Canalyst HC - Q'!AL382</f>
        <v>-23.937000000000001</v>
      </c>
      <c r="AP36" s="47">
        <f>'Canalyst HC - Q'!AM382</f>
        <v>32.173999999999999</v>
      </c>
      <c r="AQ36" s="47">
        <f>'Canalyst HC - Q'!AN382</f>
        <v>9.2750000000000004</v>
      </c>
      <c r="AR36" s="47">
        <f>'Canalyst HC - Q'!AO382</f>
        <v>37.110999999999997</v>
      </c>
      <c r="AS36" s="47">
        <f>'Canalyst HC - Q'!AP382</f>
        <v>20.63</v>
      </c>
      <c r="AT36" s="38">
        <f>AP36</f>
        <v>32.173999999999999</v>
      </c>
      <c r="AU36" s="38">
        <f t="shared" ref="AU36:AW36" si="55">AQ36</f>
        <v>9.2750000000000004</v>
      </c>
      <c r="AV36" s="38">
        <f t="shared" si="55"/>
        <v>37.110999999999997</v>
      </c>
      <c r="AW36" s="38">
        <f t="shared" si="55"/>
        <v>20.63</v>
      </c>
      <c r="AX36" s="38">
        <f t="shared" ref="AX36" si="56">AT36</f>
        <v>32.173999999999999</v>
      </c>
      <c r="AY36" s="38">
        <f t="shared" ref="AY36" si="57">AU36</f>
        <v>9.2750000000000004</v>
      </c>
      <c r="AZ36" s="38">
        <f t="shared" ref="AZ36" si="58">AV36</f>
        <v>37.110999999999997</v>
      </c>
      <c r="BA36" s="38">
        <f t="shared" ref="BA36" si="59">AW36</f>
        <v>20.63</v>
      </c>
      <c r="BB36" s="38">
        <f t="shared" ref="BB36" si="60">AX36</f>
        <v>32.173999999999999</v>
      </c>
      <c r="BC36" s="38">
        <f t="shared" ref="BC36" si="61">AY36</f>
        <v>9.2750000000000004</v>
      </c>
      <c r="BD36" s="38">
        <f t="shared" ref="BD36" si="62">AZ36</f>
        <v>37.110999999999997</v>
      </c>
      <c r="BE36" s="38">
        <f t="shared" ref="BE36" si="63">BA36</f>
        <v>20.63</v>
      </c>
      <c r="BF36" s="38">
        <f t="shared" ref="BF36" si="64">BB36</f>
        <v>32.173999999999999</v>
      </c>
      <c r="BG36" s="38">
        <f t="shared" ref="BG36" si="65">BC36</f>
        <v>9.2750000000000004</v>
      </c>
      <c r="BH36" s="38">
        <f t="shared" ref="BH36" si="66">BD36</f>
        <v>37.110999999999997</v>
      </c>
      <c r="BI36" s="38">
        <f t="shared" ref="BI36" si="67">BE36</f>
        <v>20.63</v>
      </c>
      <c r="BJ36" s="1"/>
      <c r="BK36" s="38">
        <f t="shared" si="51"/>
        <v>-1.2089999999999996</v>
      </c>
      <c r="BL36" s="38">
        <f t="shared" si="51"/>
        <v>5.625</v>
      </c>
      <c r="BM36" s="38">
        <f t="shared" si="51"/>
        <v>21.919999999999998</v>
      </c>
      <c r="BN36" s="38">
        <f t="shared" si="51"/>
        <v>69.591000000000008</v>
      </c>
      <c r="BO36" s="38">
        <f t="shared" si="51"/>
        <v>23.408000000000001</v>
      </c>
      <c r="BP36" s="38">
        <f t="shared" si="51"/>
        <v>109.73099999999999</v>
      </c>
      <c r="BQ36" s="38">
        <f t="shared" si="51"/>
        <v>24.305999999999997</v>
      </c>
      <c r="BR36" s="38">
        <f t="shared" si="51"/>
        <v>119.834</v>
      </c>
      <c r="BS36" s="38">
        <f t="shared" si="51"/>
        <v>44.493000000000009</v>
      </c>
      <c r="BT36" s="38">
        <f t="shared" si="51"/>
        <v>99.19</v>
      </c>
      <c r="BU36" s="38">
        <f t="shared" si="51"/>
        <v>99.19</v>
      </c>
      <c r="BV36" s="38">
        <f t="shared" si="51"/>
        <v>99.19</v>
      </c>
      <c r="BW36" s="38">
        <f t="shared" si="51"/>
        <v>99.19</v>
      </c>
      <c r="BX36" s="38">
        <f t="shared" si="51"/>
        <v>99.19</v>
      </c>
    </row>
    <row r="37" spans="1:7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ht="15" customHeight="1" x14ac:dyDescent="0.25">
      <c r="A38" s="11" t="s">
        <v>53</v>
      </c>
      <c r="B38" s="41" t="s">
        <v>77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 ht="15" customHeight="1" x14ac:dyDescent="0.25">
      <c r="A39" s="1"/>
      <c r="B39" s="3" t="s">
        <v>61</v>
      </c>
      <c r="C39" s="1"/>
      <c r="D39" s="1"/>
      <c r="E39" s="1"/>
      <c r="F39" s="46">
        <f t="shared" ref="F39:AK39" si="68">F17</f>
        <v>625.45600000000002</v>
      </c>
      <c r="G39" s="46">
        <f t="shared" si="68"/>
        <v>840.38400000000001</v>
      </c>
      <c r="H39" s="46">
        <f t="shared" si="68"/>
        <v>849.02800000000002</v>
      </c>
      <c r="I39" s="46">
        <f t="shared" si="68"/>
        <v>841.55999999999972</v>
      </c>
      <c r="J39" s="46">
        <f t="shared" si="68"/>
        <v>865.702</v>
      </c>
      <c r="K39" s="46">
        <f t="shared" si="68"/>
        <v>1169.2909999999999</v>
      </c>
      <c r="L39" s="46">
        <f t="shared" si="68"/>
        <v>1162.5260000000001</v>
      </c>
      <c r="M39" s="46">
        <f t="shared" si="68"/>
        <v>1126.148999999999</v>
      </c>
      <c r="N39" s="46">
        <f t="shared" si="68"/>
        <v>1064.7570000000001</v>
      </c>
      <c r="O39" s="46">
        <f t="shared" si="68"/>
        <v>1220.0029999999999</v>
      </c>
      <c r="P39" s="46">
        <f t="shared" si="68"/>
        <v>1204.0329999999999</v>
      </c>
      <c r="Q39" s="46">
        <f t="shared" si="68"/>
        <v>1136.570999999999</v>
      </c>
      <c r="R39" s="46">
        <f t="shared" si="68"/>
        <v>1102.912</v>
      </c>
      <c r="S39" s="46">
        <f t="shared" si="68"/>
        <v>1273.6590000000001</v>
      </c>
      <c r="T39" s="46">
        <f t="shared" si="68"/>
        <v>1271.029</v>
      </c>
      <c r="U39" s="46">
        <f t="shared" si="68"/>
        <v>1178.9490000000001</v>
      </c>
      <c r="V39" s="46">
        <f t="shared" si="68"/>
        <v>1173.021</v>
      </c>
      <c r="W39" s="46">
        <f t="shared" si="68"/>
        <v>1227.2149999999999</v>
      </c>
      <c r="X39" s="46">
        <f t="shared" si="68"/>
        <v>1328.4839999999999</v>
      </c>
      <c r="Y39" s="46">
        <f t="shared" si="68"/>
        <v>1278.6369999999999</v>
      </c>
      <c r="Z39" s="46">
        <f t="shared" si="68"/>
        <v>1269.857</v>
      </c>
      <c r="AA39" s="46">
        <f t="shared" si="68"/>
        <v>1433.086</v>
      </c>
      <c r="AB39" s="46">
        <f t="shared" si="68"/>
        <v>1457.432</v>
      </c>
      <c r="AC39" s="46">
        <f t="shared" si="68"/>
        <v>1402.3389999999999</v>
      </c>
      <c r="AD39" s="46">
        <f t="shared" si="68"/>
        <v>1404.3579999999999</v>
      </c>
      <c r="AE39" s="46">
        <f t="shared" si="68"/>
        <v>1595.2149999999999</v>
      </c>
      <c r="AF39" s="46">
        <f t="shared" si="68"/>
        <v>1628.5889999999999</v>
      </c>
      <c r="AG39" s="46">
        <f t="shared" si="68"/>
        <v>1572.7950000000001</v>
      </c>
      <c r="AH39" s="46">
        <f t="shared" si="68"/>
        <v>1571.6420000000001</v>
      </c>
      <c r="AI39" s="46">
        <f t="shared" si="68"/>
        <v>1738.8320000000001</v>
      </c>
      <c r="AJ39" s="46">
        <f t="shared" si="68"/>
        <v>1712.4280000000001</v>
      </c>
      <c r="AK39" s="46">
        <f t="shared" si="68"/>
        <v>1630.9559999999999</v>
      </c>
      <c r="AL39" s="46">
        <f t="shared" ref="AL39:BI39" si="69">AL17</f>
        <v>1591.626</v>
      </c>
      <c r="AM39" s="46">
        <f t="shared" si="69"/>
        <v>1795.943</v>
      </c>
      <c r="AN39" s="46">
        <f t="shared" si="69"/>
        <v>1765.652</v>
      </c>
      <c r="AO39" s="46">
        <f t="shared" si="69"/>
        <v>1746.495000000001</v>
      </c>
      <c r="AP39" s="46">
        <f t="shared" si="69"/>
        <v>1579.9770000000001</v>
      </c>
      <c r="AQ39" s="46">
        <f t="shared" si="69"/>
        <v>1855.519</v>
      </c>
      <c r="AR39" s="46">
        <f t="shared" si="69"/>
        <v>1888.317</v>
      </c>
      <c r="AS39" s="46">
        <f t="shared" si="69"/>
        <v>1904.242</v>
      </c>
      <c r="AT39" s="46">
        <f t="shared" ca="1" si="69"/>
        <v>1758.8330634000004</v>
      </c>
      <c r="AU39" s="46">
        <f t="shared" ca="1" si="69"/>
        <v>1859.8329465999998</v>
      </c>
      <c r="AV39" s="46">
        <f t="shared" ca="1" si="69"/>
        <v>1893.0010874</v>
      </c>
      <c r="AW39" s="46">
        <f t="shared" ca="1" si="69"/>
        <v>1909.1115500000001</v>
      </c>
      <c r="AX39" s="46">
        <f t="shared" ca="1" si="69"/>
        <v>1811.9216034166805</v>
      </c>
      <c r="AY39" s="46">
        <f t="shared" ca="1" si="69"/>
        <v>1915.9691076773197</v>
      </c>
      <c r="AZ39" s="46">
        <f t="shared" ca="1" si="69"/>
        <v>1950.1363706934801</v>
      </c>
      <c r="BA39" s="46">
        <f t="shared" ca="1" si="69"/>
        <v>1966.7323217540002</v>
      </c>
      <c r="BB39" s="46">
        <f t="shared" ca="1" si="69"/>
        <v>1866.6125707869239</v>
      </c>
      <c r="BC39" s="46">
        <f t="shared" ca="1" si="69"/>
        <v>1973.7996570018752</v>
      </c>
      <c r="BD39" s="46">
        <f t="shared" ca="1" si="69"/>
        <v>2008.9961390560434</v>
      </c>
      <c r="BE39" s="46">
        <f t="shared" ca="1" si="69"/>
        <v>2026.0922089032911</v>
      </c>
      <c r="BF39" s="46">
        <f t="shared" ca="1" si="69"/>
        <v>1922.954333420161</v>
      </c>
      <c r="BG39" s="46">
        <f t="shared" ca="1" si="69"/>
        <v>2033.3757373842127</v>
      </c>
      <c r="BH39" s="46">
        <f t="shared" ca="1" si="69"/>
        <v>2069.6324419221846</v>
      </c>
      <c r="BI39" s="46">
        <f t="shared" ca="1" si="69"/>
        <v>2087.2437017754601</v>
      </c>
      <c r="BJ39" s="1"/>
      <c r="BK39" s="46">
        <f t="shared" ref="BK39:BX48" si="70">SUMIF($F$1:$BI$1,BK$1,$F39:$BI39)</f>
        <v>3156.4279999999999</v>
      </c>
      <c r="BL39" s="46">
        <f t="shared" si="70"/>
        <v>4323.6679999999997</v>
      </c>
      <c r="BM39" s="46">
        <f t="shared" si="70"/>
        <v>4625.3639999999996</v>
      </c>
      <c r="BN39" s="46">
        <f t="shared" si="70"/>
        <v>4826.549</v>
      </c>
      <c r="BO39" s="46">
        <f t="shared" si="70"/>
        <v>5007.357</v>
      </c>
      <c r="BP39" s="46">
        <f t="shared" si="70"/>
        <v>5562.7139999999999</v>
      </c>
      <c r="BQ39" s="46">
        <f t="shared" si="70"/>
        <v>6200.9570000000003</v>
      </c>
      <c r="BR39" s="46">
        <f t="shared" si="70"/>
        <v>6653.8580000000002</v>
      </c>
      <c r="BS39" s="46">
        <f t="shared" si="70"/>
        <v>6899.7160000000003</v>
      </c>
      <c r="BT39" s="46">
        <f t="shared" si="70"/>
        <v>7228.0550000000003</v>
      </c>
      <c r="BU39" s="46">
        <f t="shared" ca="1" si="70"/>
        <v>7420.7786474000004</v>
      </c>
      <c r="BV39" s="46">
        <f t="shared" ca="1" si="70"/>
        <v>7644.7594035414804</v>
      </c>
      <c r="BW39" s="46">
        <f t="shared" ca="1" si="70"/>
        <v>7875.5005757481331</v>
      </c>
      <c r="BX39" s="46">
        <f t="shared" ca="1" si="70"/>
        <v>8113.2062145020182</v>
      </c>
    </row>
    <row r="40" spans="1:76" x14ac:dyDescent="0.25">
      <c r="A40" s="1"/>
      <c r="B40" s="1"/>
      <c r="C40" s="11" t="s">
        <v>62</v>
      </c>
      <c r="D40" s="1"/>
      <c r="E40" s="1"/>
      <c r="F40" s="38">
        <f t="shared" ref="F40:AK40" si="71">F18</f>
        <v>381.55799999999999</v>
      </c>
      <c r="G40" s="38">
        <f t="shared" si="71"/>
        <v>520.67700000000002</v>
      </c>
      <c r="H40" s="38">
        <f t="shared" si="71"/>
        <v>521.83799999999997</v>
      </c>
      <c r="I40" s="38">
        <f t="shared" si="71"/>
        <v>516.63300000000004</v>
      </c>
      <c r="J40" s="38">
        <f t="shared" si="71"/>
        <v>533.68100000000004</v>
      </c>
      <c r="K40" s="38">
        <f t="shared" si="71"/>
        <v>754.11300000000006</v>
      </c>
      <c r="L40" s="38">
        <f t="shared" si="71"/>
        <v>752.202</v>
      </c>
      <c r="M40" s="38">
        <f t="shared" si="71"/>
        <v>742.72499999999991</v>
      </c>
      <c r="N40" s="38">
        <f t="shared" si="71"/>
        <v>707.11599999999999</v>
      </c>
      <c r="O40" s="38">
        <f t="shared" si="71"/>
        <v>815.29499999999996</v>
      </c>
      <c r="P40" s="38">
        <f t="shared" si="71"/>
        <v>791.31700000000001</v>
      </c>
      <c r="Q40" s="38">
        <f t="shared" si="71"/>
        <v>755.92399999999998</v>
      </c>
      <c r="R40" s="38">
        <f t="shared" si="71"/>
        <v>713.60400000000004</v>
      </c>
      <c r="S40" s="38">
        <f t="shared" si="71"/>
        <v>837.88</v>
      </c>
      <c r="T40" s="38">
        <f t="shared" si="71"/>
        <v>838.80499999999995</v>
      </c>
      <c r="U40" s="38">
        <f t="shared" si="71"/>
        <v>765.75800000000027</v>
      </c>
      <c r="V40" s="38">
        <f t="shared" si="71"/>
        <v>767.726</v>
      </c>
      <c r="W40" s="38">
        <f t="shared" si="71"/>
        <v>797.91399999999999</v>
      </c>
      <c r="X40" s="38">
        <f t="shared" si="71"/>
        <v>856.04600000000005</v>
      </c>
      <c r="Y40" s="38">
        <f t="shared" si="71"/>
        <v>816.76200000000017</v>
      </c>
      <c r="Z40" s="38">
        <f t="shared" si="71"/>
        <v>821.154</v>
      </c>
      <c r="AA40" s="38">
        <f t="shared" si="71"/>
        <v>938.14599999999996</v>
      </c>
      <c r="AB40" s="38">
        <f t="shared" si="71"/>
        <v>939.72</v>
      </c>
      <c r="AC40" s="38">
        <f t="shared" si="71"/>
        <v>909.50700000000006</v>
      </c>
      <c r="AD40" s="38">
        <f t="shared" si="71"/>
        <v>896.78200000000004</v>
      </c>
      <c r="AE40" s="38">
        <f t="shared" si="71"/>
        <v>1044.556</v>
      </c>
      <c r="AF40" s="38">
        <f t="shared" si="71"/>
        <v>1007.482</v>
      </c>
      <c r="AG40" s="38">
        <f t="shared" si="71"/>
        <v>974.18299999999999</v>
      </c>
      <c r="AH40" s="38">
        <f t="shared" si="71"/>
        <v>947.53599999999994</v>
      </c>
      <c r="AI40" s="38">
        <f t="shared" si="71"/>
        <v>1067.2550000000001</v>
      </c>
      <c r="AJ40" s="38">
        <f t="shared" si="71"/>
        <v>1050.8779999999999</v>
      </c>
      <c r="AK40" s="38">
        <f t="shared" si="71"/>
        <v>989.47800000000007</v>
      </c>
      <c r="AL40" s="38">
        <f t="shared" ref="AL40:BI40" si="72">AL18</f>
        <v>951.06700000000001</v>
      </c>
      <c r="AM40" s="38">
        <f t="shared" si="72"/>
        <v>1079.2329999999999</v>
      </c>
      <c r="AN40" s="38">
        <f t="shared" si="72"/>
        <v>1067.616</v>
      </c>
      <c r="AO40" s="38">
        <f t="shared" si="72"/>
        <v>1048.6210000000001</v>
      </c>
      <c r="AP40" s="38">
        <f t="shared" si="72"/>
        <v>952.87300000000005</v>
      </c>
      <c r="AQ40" s="38">
        <f t="shared" si="72"/>
        <v>1113.0229999999999</v>
      </c>
      <c r="AR40" s="38">
        <f t="shared" si="72"/>
        <v>1139.8009999999999</v>
      </c>
      <c r="AS40" s="38">
        <f t="shared" si="72"/>
        <v>1149.996000000001</v>
      </c>
      <c r="AT40" s="38">
        <f t="shared" ca="1" si="72"/>
        <v>1129.9911663741614</v>
      </c>
      <c r="AU40" s="38">
        <f t="shared" ca="1" si="72"/>
        <v>1196.7166671549928</v>
      </c>
      <c r="AV40" s="38">
        <f t="shared" ca="1" si="72"/>
        <v>1206.5882762579595</v>
      </c>
      <c r="AW40" s="38">
        <f t="shared" ca="1" si="72"/>
        <v>1203.4099072274239</v>
      </c>
      <c r="AX40" s="38">
        <f t="shared" ca="1" si="72"/>
        <v>1177.6653396905911</v>
      </c>
      <c r="AY40" s="38">
        <f t="shared" ca="1" si="72"/>
        <v>1222.2683583005571</v>
      </c>
      <c r="AZ40" s="38">
        <f t="shared" ca="1" si="72"/>
        <v>1230.3594643620986</v>
      </c>
      <c r="BA40" s="38">
        <f t="shared" ca="1" si="72"/>
        <v>1223.1996256798627</v>
      </c>
      <c r="BB40" s="38">
        <f t="shared" ca="1" si="72"/>
        <v>1203.6936168192674</v>
      </c>
      <c r="BC40" s="38">
        <f t="shared" ca="1" si="72"/>
        <v>1252.9328609694421</v>
      </c>
      <c r="BD40" s="38">
        <f t="shared" ca="1" si="72"/>
        <v>1264.8972331412376</v>
      </c>
      <c r="BE40" s="38">
        <f t="shared" ca="1" si="72"/>
        <v>1261.1922098101591</v>
      </c>
      <c r="BF40" s="38">
        <f t="shared" ca="1" si="72"/>
        <v>1244.7293906371665</v>
      </c>
      <c r="BG40" s="38">
        <f t="shared" ca="1" si="72"/>
        <v>1295.6284795854506</v>
      </c>
      <c r="BH40" s="38">
        <f t="shared" ca="1" si="72"/>
        <v>1307.9803784171295</v>
      </c>
      <c r="BI40" s="38">
        <f t="shared" ca="1" si="72"/>
        <v>1304.1288518637257</v>
      </c>
      <c r="BJ40" s="1"/>
      <c r="BK40" s="38">
        <f t="shared" si="70"/>
        <v>1940.7059999999999</v>
      </c>
      <c r="BL40" s="38">
        <f t="shared" si="70"/>
        <v>2782.721</v>
      </c>
      <c r="BM40" s="38">
        <f t="shared" si="70"/>
        <v>3069.652</v>
      </c>
      <c r="BN40" s="38">
        <f t="shared" si="70"/>
        <v>3156.047</v>
      </c>
      <c r="BO40" s="38">
        <f t="shared" si="70"/>
        <v>3238.4479999999999</v>
      </c>
      <c r="BP40" s="38">
        <f t="shared" si="70"/>
        <v>3608.527</v>
      </c>
      <c r="BQ40" s="38">
        <f t="shared" si="70"/>
        <v>3923.0030000000002</v>
      </c>
      <c r="BR40" s="38">
        <f t="shared" si="70"/>
        <v>4055.1469999999999</v>
      </c>
      <c r="BS40" s="38">
        <f t="shared" si="70"/>
        <v>4146.5370000000003</v>
      </c>
      <c r="BT40" s="38">
        <f t="shared" si="70"/>
        <v>4355.6930000000011</v>
      </c>
      <c r="BU40" s="38">
        <f t="shared" ca="1" si="70"/>
        <v>4736.7060170145378</v>
      </c>
      <c r="BV40" s="38">
        <f t="shared" ca="1" si="70"/>
        <v>4853.4927880331097</v>
      </c>
      <c r="BW40" s="38">
        <f t="shared" ca="1" si="70"/>
        <v>4982.7159207401055</v>
      </c>
      <c r="BX40" s="38">
        <f t="shared" ca="1" si="70"/>
        <v>5152.4671005034725</v>
      </c>
    </row>
    <row r="41" spans="1:76" ht="15" customHeight="1" x14ac:dyDescent="0.25">
      <c r="A41" s="1"/>
      <c r="B41" s="3" t="s">
        <v>63</v>
      </c>
      <c r="C41" s="1"/>
      <c r="D41" s="1"/>
      <c r="E41" s="1"/>
      <c r="F41" s="46">
        <f t="shared" ref="F41:AK41" si="73">F39-F40</f>
        <v>243.89800000000002</v>
      </c>
      <c r="G41" s="46">
        <f t="shared" si="73"/>
        <v>319.70699999999999</v>
      </c>
      <c r="H41" s="46">
        <f t="shared" si="73"/>
        <v>327.19000000000005</v>
      </c>
      <c r="I41" s="46">
        <f t="shared" si="73"/>
        <v>324.92699999999968</v>
      </c>
      <c r="J41" s="46">
        <f t="shared" si="73"/>
        <v>332.02099999999996</v>
      </c>
      <c r="K41" s="46">
        <f t="shared" si="73"/>
        <v>415.17799999999988</v>
      </c>
      <c r="L41" s="46">
        <f t="shared" si="73"/>
        <v>410.32400000000007</v>
      </c>
      <c r="M41" s="46">
        <f t="shared" si="73"/>
        <v>383.42399999999907</v>
      </c>
      <c r="N41" s="46">
        <f t="shared" si="73"/>
        <v>357.64100000000008</v>
      </c>
      <c r="O41" s="46">
        <f t="shared" si="73"/>
        <v>404.70799999999997</v>
      </c>
      <c r="P41" s="46">
        <f t="shared" si="73"/>
        <v>412.71599999999989</v>
      </c>
      <c r="Q41" s="46">
        <f t="shared" si="73"/>
        <v>380.64699999999903</v>
      </c>
      <c r="R41" s="46">
        <f t="shared" si="73"/>
        <v>389.30799999999999</v>
      </c>
      <c r="S41" s="46">
        <f t="shared" si="73"/>
        <v>435.77900000000011</v>
      </c>
      <c r="T41" s="46">
        <f t="shared" si="73"/>
        <v>432.22400000000005</v>
      </c>
      <c r="U41" s="46">
        <f t="shared" si="73"/>
        <v>413.1909999999998</v>
      </c>
      <c r="V41" s="46">
        <f t="shared" si="73"/>
        <v>405.29499999999996</v>
      </c>
      <c r="W41" s="46">
        <f t="shared" si="73"/>
        <v>429.30099999999993</v>
      </c>
      <c r="X41" s="46">
        <f t="shared" si="73"/>
        <v>472.43799999999987</v>
      </c>
      <c r="Y41" s="46">
        <f t="shared" si="73"/>
        <v>461.87499999999977</v>
      </c>
      <c r="Z41" s="46">
        <f t="shared" si="73"/>
        <v>448.70299999999997</v>
      </c>
      <c r="AA41" s="46">
        <f t="shared" si="73"/>
        <v>494.94000000000005</v>
      </c>
      <c r="AB41" s="46">
        <f t="shared" si="73"/>
        <v>517.71199999999999</v>
      </c>
      <c r="AC41" s="46">
        <f t="shared" si="73"/>
        <v>492.83199999999988</v>
      </c>
      <c r="AD41" s="46">
        <f t="shared" si="73"/>
        <v>507.57599999999991</v>
      </c>
      <c r="AE41" s="46">
        <f t="shared" si="73"/>
        <v>550.65899999999988</v>
      </c>
      <c r="AF41" s="46">
        <f t="shared" si="73"/>
        <v>621.10699999999997</v>
      </c>
      <c r="AG41" s="46">
        <f t="shared" si="73"/>
        <v>598.61200000000008</v>
      </c>
      <c r="AH41" s="46">
        <f t="shared" si="73"/>
        <v>624.10600000000011</v>
      </c>
      <c r="AI41" s="46">
        <f t="shared" si="73"/>
        <v>671.577</v>
      </c>
      <c r="AJ41" s="46">
        <f t="shared" si="73"/>
        <v>661.55000000000018</v>
      </c>
      <c r="AK41" s="46">
        <f t="shared" si="73"/>
        <v>641.47799999999984</v>
      </c>
      <c r="AL41" s="46">
        <f t="shared" ref="AL41:BI41" si="74">AL39-AL40</f>
        <v>640.55899999999997</v>
      </c>
      <c r="AM41" s="46">
        <f t="shared" si="74"/>
        <v>716.71</v>
      </c>
      <c r="AN41" s="46">
        <f t="shared" si="74"/>
        <v>698.03600000000006</v>
      </c>
      <c r="AO41" s="46">
        <f t="shared" si="74"/>
        <v>697.87400000000093</v>
      </c>
      <c r="AP41" s="46">
        <f t="shared" si="74"/>
        <v>627.10400000000004</v>
      </c>
      <c r="AQ41" s="46">
        <f t="shared" si="74"/>
        <v>742.49600000000009</v>
      </c>
      <c r="AR41" s="46">
        <f t="shared" si="74"/>
        <v>748.51600000000008</v>
      </c>
      <c r="AS41" s="46">
        <f t="shared" si="74"/>
        <v>754.24599999999896</v>
      </c>
      <c r="AT41" s="46">
        <f t="shared" ca="1" si="74"/>
        <v>628.84189702583899</v>
      </c>
      <c r="AU41" s="46">
        <f t="shared" ca="1" si="74"/>
        <v>663.11627944500697</v>
      </c>
      <c r="AV41" s="46">
        <f t="shared" ca="1" si="74"/>
        <v>686.41281114204048</v>
      </c>
      <c r="AW41" s="46">
        <f t="shared" ca="1" si="74"/>
        <v>705.70164277257618</v>
      </c>
      <c r="AX41" s="46">
        <f t="shared" ca="1" si="74"/>
        <v>634.2562637260894</v>
      </c>
      <c r="AY41" s="46">
        <f t="shared" ca="1" si="74"/>
        <v>693.70074937676259</v>
      </c>
      <c r="AZ41" s="46">
        <f t="shared" ca="1" si="74"/>
        <v>719.7769063313815</v>
      </c>
      <c r="BA41" s="46">
        <f t="shared" ca="1" si="74"/>
        <v>743.53269607413745</v>
      </c>
      <c r="BB41" s="46">
        <f t="shared" ca="1" si="74"/>
        <v>662.91895396765653</v>
      </c>
      <c r="BC41" s="46">
        <f t="shared" ca="1" si="74"/>
        <v>720.86679603243306</v>
      </c>
      <c r="BD41" s="46">
        <f t="shared" ca="1" si="74"/>
        <v>744.09890591480575</v>
      </c>
      <c r="BE41" s="46">
        <f t="shared" ca="1" si="74"/>
        <v>764.89999909313201</v>
      </c>
      <c r="BF41" s="46">
        <f t="shared" ca="1" si="74"/>
        <v>678.2249427829945</v>
      </c>
      <c r="BG41" s="46">
        <f t="shared" ca="1" si="74"/>
        <v>737.74725779876212</v>
      </c>
      <c r="BH41" s="46">
        <f t="shared" ca="1" si="74"/>
        <v>761.65206350505514</v>
      </c>
      <c r="BI41" s="46">
        <f t="shared" ca="1" si="74"/>
        <v>783.11484991173438</v>
      </c>
      <c r="BJ41" s="1"/>
      <c r="BK41" s="46">
        <f t="shared" si="70"/>
        <v>1215.7219999999998</v>
      </c>
      <c r="BL41" s="46">
        <f t="shared" si="70"/>
        <v>1540.946999999999</v>
      </c>
      <c r="BM41" s="46">
        <f t="shared" si="70"/>
        <v>1555.7119999999991</v>
      </c>
      <c r="BN41" s="46">
        <f t="shared" si="70"/>
        <v>1670.502</v>
      </c>
      <c r="BO41" s="46">
        <f t="shared" si="70"/>
        <v>1768.9089999999994</v>
      </c>
      <c r="BP41" s="46">
        <f t="shared" si="70"/>
        <v>1954.1869999999999</v>
      </c>
      <c r="BQ41" s="46">
        <f t="shared" si="70"/>
        <v>2277.9539999999997</v>
      </c>
      <c r="BR41" s="46">
        <f t="shared" si="70"/>
        <v>2598.7110000000002</v>
      </c>
      <c r="BS41" s="46">
        <f t="shared" si="70"/>
        <v>2753.179000000001</v>
      </c>
      <c r="BT41" s="46">
        <f t="shared" si="70"/>
        <v>2872.3619999999992</v>
      </c>
      <c r="BU41" s="46">
        <f t="shared" ca="1" si="70"/>
        <v>2684.0726303854626</v>
      </c>
      <c r="BV41" s="46">
        <f t="shared" ca="1" si="70"/>
        <v>2791.2666155083707</v>
      </c>
      <c r="BW41" s="46">
        <f t="shared" ca="1" si="70"/>
        <v>2892.7846550080271</v>
      </c>
      <c r="BX41" s="46">
        <f t="shared" ca="1" si="70"/>
        <v>2960.7391139985461</v>
      </c>
    </row>
    <row r="42" spans="1:76" x14ac:dyDescent="0.25">
      <c r="A42" s="1"/>
      <c r="B42" s="1"/>
      <c r="C42" s="11" t="s">
        <v>64</v>
      </c>
      <c r="D42" s="1"/>
      <c r="E42" s="1"/>
      <c r="F42" s="38">
        <f t="shared" ref="F42:AK42" si="75">F20-F32-F34</f>
        <v>229.87</v>
      </c>
      <c r="G42" s="38">
        <f t="shared" si="75"/>
        <v>263.702</v>
      </c>
      <c r="H42" s="38">
        <f t="shared" si="75"/>
        <v>285.84000000000003</v>
      </c>
      <c r="I42" s="38">
        <f t="shared" si="75"/>
        <v>301.29699999999997</v>
      </c>
      <c r="J42" s="38">
        <f t="shared" si="75"/>
        <v>316.35300000000001</v>
      </c>
      <c r="K42" s="38">
        <f t="shared" si="75"/>
        <v>365.34800000000001</v>
      </c>
      <c r="L42" s="38">
        <f t="shared" si="75"/>
        <v>372.298</v>
      </c>
      <c r="M42" s="38">
        <f t="shared" si="75"/>
        <v>382.84699999999958</v>
      </c>
      <c r="N42" s="38">
        <f t="shared" si="75"/>
        <v>375.88599999999997</v>
      </c>
      <c r="O42" s="38">
        <f t="shared" si="75"/>
        <v>384.053</v>
      </c>
      <c r="P42" s="38">
        <f t="shared" si="75"/>
        <v>365.54599999999999</v>
      </c>
      <c r="Q42" s="38">
        <f t="shared" si="75"/>
        <v>366.71899999999965</v>
      </c>
      <c r="R42" s="38">
        <f t="shared" si="75"/>
        <v>367.10899999999998</v>
      </c>
      <c r="S42" s="38">
        <f t="shared" si="75"/>
        <v>368.565</v>
      </c>
      <c r="T42" s="38">
        <f t="shared" si="75"/>
        <v>378.37799999999999</v>
      </c>
      <c r="U42" s="38">
        <f t="shared" si="75"/>
        <v>373.65100000000012</v>
      </c>
      <c r="V42" s="38">
        <f t="shared" si="75"/>
        <v>372.47399999999999</v>
      </c>
      <c r="W42" s="38">
        <f t="shared" si="75"/>
        <v>346.18299999999999</v>
      </c>
      <c r="X42" s="38">
        <f t="shared" si="75"/>
        <v>368.59399999999999</v>
      </c>
      <c r="Y42" s="38">
        <f t="shared" si="75"/>
        <v>368.28</v>
      </c>
      <c r="Z42" s="38">
        <f t="shared" si="75"/>
        <v>354.51900000000001</v>
      </c>
      <c r="AA42" s="38">
        <f t="shared" si="75"/>
        <v>374.07900000000001</v>
      </c>
      <c r="AB42" s="38">
        <f t="shared" si="75"/>
        <v>380.68099999999998</v>
      </c>
      <c r="AC42" s="38">
        <f t="shared" si="75"/>
        <v>405.73700000000008</v>
      </c>
      <c r="AD42" s="38">
        <f t="shared" si="75"/>
        <v>376.59100000000001</v>
      </c>
      <c r="AE42" s="38">
        <f t="shared" si="75"/>
        <v>403.36599999999999</v>
      </c>
      <c r="AF42" s="38">
        <f t="shared" si="75"/>
        <v>431.17700000000002</v>
      </c>
      <c r="AG42" s="38">
        <f t="shared" si="75"/>
        <v>425.77299999999991</v>
      </c>
      <c r="AH42" s="38">
        <f t="shared" si="75"/>
        <v>418.05200000000002</v>
      </c>
      <c r="AI42" s="38">
        <f t="shared" si="75"/>
        <v>437.90699999999998</v>
      </c>
      <c r="AJ42" s="38">
        <f t="shared" si="75"/>
        <v>445.29</v>
      </c>
      <c r="AK42" s="38">
        <f t="shared" si="75"/>
        <v>463.01099999999974</v>
      </c>
      <c r="AL42" s="38">
        <f t="shared" ref="AL42:AS42" si="76">AL20-AL32-AL34</f>
        <v>425.15300000000002</v>
      </c>
      <c r="AM42" s="38">
        <f t="shared" si="76"/>
        <v>457.57</v>
      </c>
      <c r="AN42" s="38">
        <f t="shared" si="76"/>
        <v>470.98099999999999</v>
      </c>
      <c r="AO42" s="38">
        <f t="shared" si="76"/>
        <v>479.125</v>
      </c>
      <c r="AP42" s="38">
        <f t="shared" si="76"/>
        <v>437.28399999999999</v>
      </c>
      <c r="AQ42" s="38">
        <f t="shared" si="76"/>
        <v>470.41199999999998</v>
      </c>
      <c r="AR42" s="38">
        <f t="shared" si="76"/>
        <v>501.88200000000001</v>
      </c>
      <c r="AS42" s="38">
        <f t="shared" si="76"/>
        <v>512.12799999999925</v>
      </c>
      <c r="AT42" s="38">
        <f ca="1">AT20-AT32</f>
        <v>464.58893999999998</v>
      </c>
      <c r="AU42" s="38">
        <f t="shared" ref="AU42:BI42" ca="1" si="77">AU20-AU32</f>
        <v>498.87641999999994</v>
      </c>
      <c r="AV42" s="38">
        <f t="shared" ca="1" si="77"/>
        <v>531.44786999999997</v>
      </c>
      <c r="AW42" s="38">
        <f t="shared" ca="1" si="77"/>
        <v>542.05247999999983</v>
      </c>
      <c r="AX42" s="38">
        <f t="shared" ca="1" si="77"/>
        <v>480.84955289999994</v>
      </c>
      <c r="AY42" s="38">
        <f t="shared" ca="1" si="77"/>
        <v>516.33709469999985</v>
      </c>
      <c r="AZ42" s="38">
        <f t="shared" ca="1" si="77"/>
        <v>550.04854544999989</v>
      </c>
      <c r="BA42" s="38">
        <f t="shared" ca="1" si="77"/>
        <v>561.02431679999984</v>
      </c>
      <c r="BB42" s="38">
        <f t="shared" ca="1" si="77"/>
        <v>497.67928725149989</v>
      </c>
      <c r="BC42" s="38">
        <f t="shared" ca="1" si="77"/>
        <v>534.40889301449977</v>
      </c>
      <c r="BD42" s="38">
        <f t="shared" ca="1" si="77"/>
        <v>569.30024454074987</v>
      </c>
      <c r="BE42" s="38">
        <f t="shared" ca="1" si="77"/>
        <v>580.66016788799982</v>
      </c>
      <c r="BF42" s="38">
        <f t="shared" ca="1" si="77"/>
        <v>515.09806230530239</v>
      </c>
      <c r="BG42" s="38">
        <f t="shared" ca="1" si="77"/>
        <v>553.11320427000726</v>
      </c>
      <c r="BH42" s="38">
        <f t="shared" ca="1" si="77"/>
        <v>589.22575309967613</v>
      </c>
      <c r="BI42" s="38">
        <f t="shared" ca="1" si="77"/>
        <v>600.98327376407974</v>
      </c>
      <c r="BJ42" s="1"/>
      <c r="BK42" s="38">
        <f t="shared" si="70"/>
        <v>1080.7090000000001</v>
      </c>
      <c r="BL42" s="38">
        <f t="shared" si="70"/>
        <v>1436.8459999999995</v>
      </c>
      <c r="BM42" s="38">
        <f t="shared" si="70"/>
        <v>1492.2039999999995</v>
      </c>
      <c r="BN42" s="38">
        <f t="shared" si="70"/>
        <v>1487.703</v>
      </c>
      <c r="BO42" s="38">
        <f t="shared" si="70"/>
        <v>1455.5309999999999</v>
      </c>
      <c r="BP42" s="38">
        <f t="shared" si="70"/>
        <v>1515.0160000000001</v>
      </c>
      <c r="BQ42" s="38">
        <f t="shared" si="70"/>
        <v>1636.9069999999999</v>
      </c>
      <c r="BR42" s="38">
        <f t="shared" si="70"/>
        <v>1764.2599999999998</v>
      </c>
      <c r="BS42" s="38">
        <f t="shared" si="70"/>
        <v>1832.829</v>
      </c>
      <c r="BT42" s="38">
        <f t="shared" si="70"/>
        <v>1921.7059999999992</v>
      </c>
      <c r="BU42" s="38">
        <f t="shared" ca="1" si="70"/>
        <v>2036.9657099999997</v>
      </c>
      <c r="BV42" s="38">
        <f t="shared" ca="1" si="70"/>
        <v>2108.2595098499996</v>
      </c>
      <c r="BW42" s="38">
        <f t="shared" ca="1" si="70"/>
        <v>2182.0485926947495</v>
      </c>
      <c r="BX42" s="38">
        <f t="shared" ca="1" si="70"/>
        <v>2258.420293439066</v>
      </c>
    </row>
    <row r="43" spans="1:76" ht="15" customHeight="1" x14ac:dyDescent="0.25">
      <c r="A43" s="1"/>
      <c r="B43" s="3" t="s">
        <v>78</v>
      </c>
      <c r="C43" s="1"/>
      <c r="D43" s="1"/>
      <c r="E43" s="1"/>
      <c r="F43" s="46">
        <f>F41-F42</f>
        <v>14.02800000000002</v>
      </c>
      <c r="G43" s="46">
        <f t="shared" ref="G43:BI43" si="78">G41-G42</f>
        <v>56.004999999999995</v>
      </c>
      <c r="H43" s="46">
        <f t="shared" si="78"/>
        <v>41.350000000000023</v>
      </c>
      <c r="I43" s="46">
        <f t="shared" si="78"/>
        <v>23.629999999999711</v>
      </c>
      <c r="J43" s="46">
        <f t="shared" si="78"/>
        <v>15.66799999999995</v>
      </c>
      <c r="K43" s="46">
        <f t="shared" si="78"/>
        <v>49.82999999999987</v>
      </c>
      <c r="L43" s="46">
        <f t="shared" si="78"/>
        <v>38.026000000000067</v>
      </c>
      <c r="M43" s="46">
        <f t="shared" si="78"/>
        <v>0.57699999999948659</v>
      </c>
      <c r="N43" s="46">
        <f t="shared" si="78"/>
        <v>-18.244999999999891</v>
      </c>
      <c r="O43" s="46">
        <f t="shared" si="78"/>
        <v>20.654999999999973</v>
      </c>
      <c r="P43" s="46">
        <f t="shared" si="78"/>
        <v>47.169999999999902</v>
      </c>
      <c r="Q43" s="46">
        <f t="shared" si="78"/>
        <v>13.927999999999372</v>
      </c>
      <c r="R43" s="46">
        <f t="shared" si="78"/>
        <v>22.199000000000012</v>
      </c>
      <c r="S43" s="46">
        <f t="shared" si="78"/>
        <v>67.214000000000112</v>
      </c>
      <c r="T43" s="46">
        <f t="shared" si="78"/>
        <v>53.84600000000006</v>
      </c>
      <c r="U43" s="46">
        <f t="shared" si="78"/>
        <v>39.539999999999679</v>
      </c>
      <c r="V43" s="46">
        <f t="shared" si="78"/>
        <v>32.82099999999997</v>
      </c>
      <c r="W43" s="46">
        <f t="shared" si="78"/>
        <v>83.117999999999938</v>
      </c>
      <c r="X43" s="46">
        <f t="shared" si="78"/>
        <v>103.84399999999988</v>
      </c>
      <c r="Y43" s="46">
        <f t="shared" si="78"/>
        <v>93.5949999999998</v>
      </c>
      <c r="Z43" s="46">
        <f t="shared" si="78"/>
        <v>94.183999999999969</v>
      </c>
      <c r="AA43" s="46">
        <f t="shared" si="78"/>
        <v>120.86100000000005</v>
      </c>
      <c r="AB43" s="46">
        <f t="shared" si="78"/>
        <v>137.03100000000001</v>
      </c>
      <c r="AC43" s="46">
        <f t="shared" si="78"/>
        <v>87.0949999999998</v>
      </c>
      <c r="AD43" s="46">
        <f t="shared" si="78"/>
        <v>130.9849999999999</v>
      </c>
      <c r="AE43" s="46">
        <f t="shared" si="78"/>
        <v>147.29299999999989</v>
      </c>
      <c r="AF43" s="46">
        <f t="shared" si="78"/>
        <v>189.92999999999995</v>
      </c>
      <c r="AG43" s="46">
        <f t="shared" si="78"/>
        <v>172.83900000000017</v>
      </c>
      <c r="AH43" s="46">
        <f t="shared" si="78"/>
        <v>206.05400000000009</v>
      </c>
      <c r="AI43" s="46">
        <f t="shared" si="78"/>
        <v>233.67000000000002</v>
      </c>
      <c r="AJ43" s="46">
        <f t="shared" si="78"/>
        <v>216.26000000000016</v>
      </c>
      <c r="AK43" s="46">
        <f t="shared" si="78"/>
        <v>178.4670000000001</v>
      </c>
      <c r="AL43" s="46">
        <f t="shared" si="78"/>
        <v>215.40599999999995</v>
      </c>
      <c r="AM43" s="46">
        <f t="shared" si="78"/>
        <v>259.14000000000004</v>
      </c>
      <c r="AN43" s="46">
        <f t="shared" si="78"/>
        <v>227.05500000000006</v>
      </c>
      <c r="AO43" s="46">
        <f t="shared" si="78"/>
        <v>218.74900000000093</v>
      </c>
      <c r="AP43" s="46">
        <f t="shared" si="78"/>
        <v>189.82000000000005</v>
      </c>
      <c r="AQ43" s="46">
        <f t="shared" si="78"/>
        <v>272.08400000000012</v>
      </c>
      <c r="AR43" s="46">
        <f t="shared" si="78"/>
        <v>246.63400000000007</v>
      </c>
      <c r="AS43" s="46">
        <f t="shared" si="78"/>
        <v>242.11799999999971</v>
      </c>
      <c r="AT43" s="46">
        <f t="shared" ca="1" si="78"/>
        <v>164.25295702583901</v>
      </c>
      <c r="AU43" s="46">
        <f t="shared" ca="1" si="78"/>
        <v>164.23985944500703</v>
      </c>
      <c r="AV43" s="46">
        <f t="shared" ca="1" si="78"/>
        <v>154.96494114204052</v>
      </c>
      <c r="AW43" s="46">
        <f t="shared" ca="1" si="78"/>
        <v>163.64916277257635</v>
      </c>
      <c r="AX43" s="46">
        <f t="shared" ca="1" si="78"/>
        <v>153.40671082608947</v>
      </c>
      <c r="AY43" s="46">
        <f t="shared" ca="1" si="78"/>
        <v>177.36365467676274</v>
      </c>
      <c r="AZ43" s="46">
        <f t="shared" ca="1" si="78"/>
        <v>169.7283608813816</v>
      </c>
      <c r="BA43" s="46">
        <f t="shared" ca="1" si="78"/>
        <v>182.50837927413761</v>
      </c>
      <c r="BB43" s="46">
        <f t="shared" ca="1" si="78"/>
        <v>165.23966671615665</v>
      </c>
      <c r="BC43" s="46">
        <f t="shared" ca="1" si="78"/>
        <v>186.45790301793329</v>
      </c>
      <c r="BD43" s="46">
        <f t="shared" ca="1" si="78"/>
        <v>174.79866137405588</v>
      </c>
      <c r="BE43" s="46">
        <f t="shared" ca="1" si="78"/>
        <v>184.23983120513219</v>
      </c>
      <c r="BF43" s="46">
        <f t="shared" ca="1" si="78"/>
        <v>163.12688047769211</v>
      </c>
      <c r="BG43" s="46">
        <f t="shared" ca="1" si="78"/>
        <v>184.63405352875486</v>
      </c>
      <c r="BH43" s="46">
        <f t="shared" ca="1" si="78"/>
        <v>172.42631040537901</v>
      </c>
      <c r="BI43" s="46">
        <f t="shared" ca="1" si="78"/>
        <v>182.13157614765464</v>
      </c>
      <c r="BJ43" s="1"/>
      <c r="BK43" s="46">
        <f t="shared" si="70"/>
        <v>135.01299999999975</v>
      </c>
      <c r="BL43" s="46">
        <f t="shared" si="70"/>
        <v>104.10099999999937</v>
      </c>
      <c r="BM43" s="46">
        <f t="shared" si="70"/>
        <v>63.507999999999356</v>
      </c>
      <c r="BN43" s="46">
        <f t="shared" si="70"/>
        <v>182.79899999999986</v>
      </c>
      <c r="BO43" s="46">
        <f t="shared" si="70"/>
        <v>313.37799999999959</v>
      </c>
      <c r="BP43" s="46">
        <f t="shared" si="70"/>
        <v>439.17099999999982</v>
      </c>
      <c r="BQ43" s="46">
        <f t="shared" si="70"/>
        <v>641.04699999999991</v>
      </c>
      <c r="BR43" s="46">
        <f t="shared" si="70"/>
        <v>834.45100000000036</v>
      </c>
      <c r="BS43" s="46">
        <f t="shared" si="70"/>
        <v>920.35000000000105</v>
      </c>
      <c r="BT43" s="46">
        <f t="shared" si="70"/>
        <v>950.65599999999995</v>
      </c>
      <c r="BU43" s="46">
        <f t="shared" ca="1" si="70"/>
        <v>647.1069203854629</v>
      </c>
      <c r="BV43" s="46">
        <f t="shared" ca="1" si="70"/>
        <v>683.00710565837142</v>
      </c>
      <c r="BW43" s="46">
        <f t="shared" ca="1" si="70"/>
        <v>710.73606231327801</v>
      </c>
      <c r="BX43" s="46">
        <f t="shared" ca="1" si="70"/>
        <v>702.31882055948063</v>
      </c>
    </row>
    <row r="44" spans="1:76" x14ac:dyDescent="0.25">
      <c r="A44" s="1"/>
      <c r="B44" s="1"/>
      <c r="C44" s="11" t="s">
        <v>67</v>
      </c>
      <c r="D44" s="1"/>
      <c r="E44" s="1"/>
      <c r="F44" s="38">
        <f t="shared" ref="F44:AK44" si="79">F22</f>
        <v>9.3610000000000007</v>
      </c>
      <c r="G44" s="38">
        <f t="shared" si="79"/>
        <v>9.8079999999999998</v>
      </c>
      <c r="H44" s="38">
        <f t="shared" si="79"/>
        <v>8.452</v>
      </c>
      <c r="I44" s="38">
        <f t="shared" si="79"/>
        <v>8.7040000000000024</v>
      </c>
      <c r="J44" s="38">
        <f t="shared" si="79"/>
        <v>9.4700000000000006</v>
      </c>
      <c r="K44" s="38">
        <f t="shared" si="79"/>
        <v>10.44</v>
      </c>
      <c r="L44" s="38">
        <f t="shared" si="79"/>
        <v>10.696999999999999</v>
      </c>
      <c r="M44" s="38">
        <f t="shared" si="79"/>
        <v>11.262</v>
      </c>
      <c r="N44" s="38">
        <f t="shared" si="79"/>
        <v>12.045999999999999</v>
      </c>
      <c r="O44" s="38">
        <f t="shared" si="79"/>
        <v>12.744</v>
      </c>
      <c r="P44" s="38">
        <f t="shared" si="79"/>
        <v>12.827</v>
      </c>
      <c r="Q44" s="38">
        <f t="shared" si="79"/>
        <v>12.888999999999999</v>
      </c>
      <c r="R44" s="38">
        <f t="shared" si="79"/>
        <v>12.885999999999999</v>
      </c>
      <c r="S44" s="38">
        <f t="shared" si="79"/>
        <v>11.994999999999999</v>
      </c>
      <c r="T44" s="38">
        <f t="shared" si="79"/>
        <v>10.965</v>
      </c>
      <c r="U44" s="38">
        <f t="shared" si="79"/>
        <v>10.144</v>
      </c>
      <c r="V44" s="38">
        <f t="shared" si="79"/>
        <v>9.5609999999999999</v>
      </c>
      <c r="W44" s="38">
        <f t="shared" si="79"/>
        <v>9.1839999999999993</v>
      </c>
      <c r="X44" s="38">
        <f t="shared" si="79"/>
        <v>9.0329999999999995</v>
      </c>
      <c r="Y44" s="38">
        <f t="shared" si="79"/>
        <v>8.9570000000000007</v>
      </c>
      <c r="Z44" s="38">
        <f t="shared" si="79"/>
        <v>8.7460000000000004</v>
      </c>
      <c r="AA44" s="38">
        <f t="shared" si="79"/>
        <v>8.3650000000000002</v>
      </c>
      <c r="AB44" s="38">
        <f t="shared" si="79"/>
        <v>8.0969999999999995</v>
      </c>
      <c r="AC44" s="38">
        <f t="shared" si="79"/>
        <v>8.2409999999999997</v>
      </c>
      <c r="AD44" s="38">
        <f t="shared" si="79"/>
        <v>7.6989999999999998</v>
      </c>
      <c r="AE44" s="38">
        <f t="shared" si="79"/>
        <v>7.1459999999999999</v>
      </c>
      <c r="AF44" s="38">
        <f t="shared" si="79"/>
        <v>6.0830000000000002</v>
      </c>
      <c r="AG44" s="38">
        <f t="shared" si="79"/>
        <v>3.8640000000000039</v>
      </c>
      <c r="AH44" s="38">
        <f t="shared" si="79"/>
        <v>2.9289999999999998</v>
      </c>
      <c r="AI44" s="38">
        <f t="shared" si="79"/>
        <v>1.353</v>
      </c>
      <c r="AJ44" s="38">
        <f t="shared" si="79"/>
        <v>-1.516</v>
      </c>
      <c r="AK44" s="38">
        <f t="shared" si="79"/>
        <v>-3.6840000000000002</v>
      </c>
      <c r="AL44" s="38">
        <f t="shared" ref="AL44:BI44" si="80">AL22</f>
        <v>-2.7160000000000002</v>
      </c>
      <c r="AM44" s="38">
        <f t="shared" si="80"/>
        <v>-1.62</v>
      </c>
      <c r="AN44" s="38">
        <f t="shared" si="80"/>
        <v>2.1869999999999998</v>
      </c>
      <c r="AO44" s="38">
        <f t="shared" si="80"/>
        <v>3.9970000000000012</v>
      </c>
      <c r="AP44" s="38">
        <f t="shared" si="80"/>
        <v>6.8739999999999997</v>
      </c>
      <c r="AQ44" s="38">
        <f t="shared" si="80"/>
        <v>5.9480000000000004</v>
      </c>
      <c r="AR44" s="38">
        <f t="shared" si="80"/>
        <v>4.6870000000000003</v>
      </c>
      <c r="AS44" s="38">
        <f t="shared" si="80"/>
        <v>25.169</v>
      </c>
      <c r="AT44" s="38">
        <f t="shared" si="80"/>
        <v>41.816295000000004</v>
      </c>
      <c r="AU44" s="38">
        <f t="shared" si="80"/>
        <v>41.816295000000004</v>
      </c>
      <c r="AV44" s="38">
        <f t="shared" si="80"/>
        <v>41.816295000000004</v>
      </c>
      <c r="AW44" s="38">
        <f t="shared" si="80"/>
        <v>41.816295000000004</v>
      </c>
      <c r="AX44" s="38">
        <f t="shared" si="80"/>
        <v>41.816295000000004</v>
      </c>
      <c r="AY44" s="38">
        <f t="shared" si="80"/>
        <v>41.816295000000004</v>
      </c>
      <c r="AZ44" s="38">
        <f t="shared" si="80"/>
        <v>41.816295000000004</v>
      </c>
      <c r="BA44" s="38">
        <f t="shared" si="80"/>
        <v>41.816295000000004</v>
      </c>
      <c r="BB44" s="38">
        <f t="shared" si="80"/>
        <v>41.816295000000004</v>
      </c>
      <c r="BC44" s="38">
        <f t="shared" si="80"/>
        <v>41.816295000000004</v>
      </c>
      <c r="BD44" s="38">
        <f t="shared" si="80"/>
        <v>41.816295000000004</v>
      </c>
      <c r="BE44" s="38">
        <f t="shared" si="80"/>
        <v>41.816295000000004</v>
      </c>
      <c r="BF44" s="38">
        <f t="shared" si="80"/>
        <v>41.816295000000004</v>
      </c>
      <c r="BG44" s="38">
        <f t="shared" si="80"/>
        <v>41.816295000000004</v>
      </c>
      <c r="BH44" s="38">
        <f t="shared" si="80"/>
        <v>41.816295000000004</v>
      </c>
      <c r="BI44" s="38">
        <f t="shared" si="80"/>
        <v>41.816295000000004</v>
      </c>
      <c r="BJ44" s="1"/>
      <c r="BK44" s="38">
        <f t="shared" si="70"/>
        <v>36.325000000000003</v>
      </c>
      <c r="BL44" s="38">
        <f t="shared" si="70"/>
        <v>41.869</v>
      </c>
      <c r="BM44" s="38">
        <f t="shared" si="70"/>
        <v>50.506</v>
      </c>
      <c r="BN44" s="38">
        <f t="shared" si="70"/>
        <v>45.99</v>
      </c>
      <c r="BO44" s="38">
        <f t="shared" si="70"/>
        <v>36.734999999999999</v>
      </c>
      <c r="BP44" s="38">
        <f t="shared" si="70"/>
        <v>33.448999999999998</v>
      </c>
      <c r="BQ44" s="38">
        <f t="shared" si="70"/>
        <v>24.792000000000002</v>
      </c>
      <c r="BR44" s="38">
        <f t="shared" si="70"/>
        <v>-0.91800000000000015</v>
      </c>
      <c r="BS44" s="38">
        <f t="shared" si="70"/>
        <v>1.8480000000000008</v>
      </c>
      <c r="BT44" s="38">
        <f t="shared" si="70"/>
        <v>42.677999999999997</v>
      </c>
      <c r="BU44" s="38">
        <f t="shared" si="70"/>
        <v>167.26518000000002</v>
      </c>
      <c r="BV44" s="38">
        <f t="shared" si="70"/>
        <v>167.26518000000002</v>
      </c>
      <c r="BW44" s="38">
        <f t="shared" si="70"/>
        <v>167.26518000000002</v>
      </c>
      <c r="BX44" s="38">
        <f t="shared" si="70"/>
        <v>167.26518000000002</v>
      </c>
    </row>
    <row r="45" spans="1:76" x14ac:dyDescent="0.25">
      <c r="A45" s="1"/>
      <c r="B45" s="1"/>
      <c r="C45" s="11" t="s">
        <v>65</v>
      </c>
      <c r="D45" s="1"/>
      <c r="E45" s="1"/>
      <c r="F45" s="38">
        <f>F23-F36</f>
        <v>6.6199999999999992</v>
      </c>
      <c r="G45" s="38">
        <f t="shared" ref="G45:AS45" si="81">G23-G36</f>
        <v>6.9740000000000002</v>
      </c>
      <c r="H45" s="38">
        <f t="shared" si="81"/>
        <v>-2.7949999999999999</v>
      </c>
      <c r="I45" s="38">
        <f t="shared" si="81"/>
        <v>-10.767999999999997</v>
      </c>
      <c r="J45" s="38">
        <f t="shared" si="81"/>
        <v>4.7270000000000003</v>
      </c>
      <c r="K45" s="38">
        <f t="shared" si="81"/>
        <v>15.651999999999999</v>
      </c>
      <c r="L45" s="38">
        <f t="shared" si="81"/>
        <v>-2.0179999999999998</v>
      </c>
      <c r="M45" s="38">
        <f t="shared" si="81"/>
        <v>-32.682000000000002</v>
      </c>
      <c r="N45" s="38">
        <f t="shared" si="81"/>
        <v>-0.60999999999999988</v>
      </c>
      <c r="O45" s="38">
        <f t="shared" si="81"/>
        <v>2.9419999999999993</v>
      </c>
      <c r="P45" s="38">
        <f t="shared" si="81"/>
        <v>-10.081</v>
      </c>
      <c r="Q45" s="38">
        <f t="shared" si="81"/>
        <v>6.5120000000000005</v>
      </c>
      <c r="R45" s="38">
        <f t="shared" si="81"/>
        <v>5.2880000000000003</v>
      </c>
      <c r="S45" s="38">
        <f t="shared" si="81"/>
        <v>9.2059999999999995</v>
      </c>
      <c r="T45" s="38">
        <f t="shared" si="81"/>
        <v>6.6119999999999983</v>
      </c>
      <c r="U45" s="38">
        <f t="shared" si="81"/>
        <v>9.8420000000000059</v>
      </c>
      <c r="V45" s="38">
        <f t="shared" si="81"/>
        <v>1.7629999999999999</v>
      </c>
      <c r="W45" s="38">
        <f t="shared" si="81"/>
        <v>5.1929999999999996</v>
      </c>
      <c r="X45" s="38">
        <f t="shared" si="81"/>
        <v>6.4989999999999988</v>
      </c>
      <c r="Y45" s="38">
        <f t="shared" si="81"/>
        <v>-1.2599999999999989</v>
      </c>
      <c r="Z45" s="38">
        <f t="shared" si="81"/>
        <v>3.8059999999999992</v>
      </c>
      <c r="AA45" s="38">
        <f t="shared" si="81"/>
        <v>12.553999999999995</v>
      </c>
      <c r="AB45" s="38">
        <f t="shared" si="81"/>
        <v>9.4939999999999998</v>
      </c>
      <c r="AC45" s="38">
        <f t="shared" si="81"/>
        <v>14.988</v>
      </c>
      <c r="AD45" s="38">
        <f t="shared" si="81"/>
        <v>0.83000000000000007</v>
      </c>
      <c r="AE45" s="38">
        <f t="shared" si="81"/>
        <v>3.1709999999999998</v>
      </c>
      <c r="AF45" s="38">
        <f t="shared" si="81"/>
        <v>7.7530000000000001</v>
      </c>
      <c r="AG45" s="38">
        <f t="shared" si="81"/>
        <v>5.1080000000000005</v>
      </c>
      <c r="AH45" s="38">
        <f t="shared" si="81"/>
        <v>12.562000000000001</v>
      </c>
      <c r="AI45" s="38">
        <f t="shared" si="81"/>
        <v>48.350999999999999</v>
      </c>
      <c r="AJ45" s="38">
        <f t="shared" si="81"/>
        <v>82.58</v>
      </c>
      <c r="AK45" s="38">
        <f t="shared" si="81"/>
        <v>14.561000000000021</v>
      </c>
      <c r="AL45" s="38">
        <f t="shared" si="81"/>
        <v>-0.54100000000000037</v>
      </c>
      <c r="AM45" s="38">
        <f t="shared" si="81"/>
        <v>7.5850000000000009</v>
      </c>
      <c r="AN45" s="38">
        <f t="shared" si="81"/>
        <v>17.652999999999992</v>
      </c>
      <c r="AO45" s="38">
        <f t="shared" si="81"/>
        <v>-7.3419999999999987</v>
      </c>
      <c r="AP45" s="38">
        <f t="shared" si="81"/>
        <v>11.298999999999999</v>
      </c>
      <c r="AQ45" s="38">
        <f t="shared" si="81"/>
        <v>3.8689999999999998</v>
      </c>
      <c r="AR45" s="38">
        <f t="shared" si="81"/>
        <v>12.606000000000002</v>
      </c>
      <c r="AS45" s="38">
        <f t="shared" si="81"/>
        <v>8.0960000000000001</v>
      </c>
      <c r="AT45" s="38">
        <f>AT23-AT36</f>
        <v>11.298999999999999</v>
      </c>
      <c r="AU45" s="38">
        <f t="shared" ref="AU45:BI45" si="82">AU23-AU36</f>
        <v>3.8689999999999998</v>
      </c>
      <c r="AV45" s="38">
        <f t="shared" si="82"/>
        <v>12.606000000000002</v>
      </c>
      <c r="AW45" s="38">
        <f t="shared" si="82"/>
        <v>8.0960000000000001</v>
      </c>
      <c r="AX45" s="38">
        <f t="shared" si="82"/>
        <v>11.298999999999999</v>
      </c>
      <c r="AY45" s="38">
        <f t="shared" si="82"/>
        <v>3.8689999999999998</v>
      </c>
      <c r="AZ45" s="38">
        <f t="shared" si="82"/>
        <v>12.606000000000002</v>
      </c>
      <c r="BA45" s="38">
        <f t="shared" si="82"/>
        <v>8.0960000000000001</v>
      </c>
      <c r="BB45" s="38">
        <f t="shared" si="82"/>
        <v>11.298999999999999</v>
      </c>
      <c r="BC45" s="38">
        <f t="shared" si="82"/>
        <v>3.8689999999999998</v>
      </c>
      <c r="BD45" s="38">
        <f t="shared" si="82"/>
        <v>12.606000000000002</v>
      </c>
      <c r="BE45" s="38">
        <f t="shared" si="82"/>
        <v>8.0960000000000001</v>
      </c>
      <c r="BF45" s="38">
        <f t="shared" si="82"/>
        <v>11.298999999999999</v>
      </c>
      <c r="BG45" s="38">
        <f t="shared" si="82"/>
        <v>3.8689999999999998</v>
      </c>
      <c r="BH45" s="38">
        <f t="shared" si="82"/>
        <v>12.606000000000002</v>
      </c>
      <c r="BI45" s="38">
        <f t="shared" si="82"/>
        <v>8.0960000000000001</v>
      </c>
      <c r="BJ45" s="1"/>
      <c r="BK45" s="38">
        <f t="shared" si="70"/>
        <v>3.1000000000002359E-2</v>
      </c>
      <c r="BL45" s="38">
        <f t="shared" si="70"/>
        <v>-14.321000000000005</v>
      </c>
      <c r="BM45" s="38">
        <f t="shared" si="70"/>
        <v>-1.2370000000000001</v>
      </c>
      <c r="BN45" s="38">
        <f t="shared" si="70"/>
        <v>30.948000000000004</v>
      </c>
      <c r="BO45" s="38">
        <f t="shared" si="70"/>
        <v>12.195</v>
      </c>
      <c r="BP45" s="38">
        <f t="shared" si="70"/>
        <v>40.841999999999992</v>
      </c>
      <c r="BQ45" s="38">
        <f t="shared" si="70"/>
        <v>16.862000000000002</v>
      </c>
      <c r="BR45" s="38">
        <f t="shared" si="70"/>
        <v>158.05400000000003</v>
      </c>
      <c r="BS45" s="38">
        <f t="shared" si="70"/>
        <v>17.354999999999993</v>
      </c>
      <c r="BT45" s="38">
        <f t="shared" si="70"/>
        <v>35.870000000000005</v>
      </c>
      <c r="BU45" s="38">
        <f t="shared" si="70"/>
        <v>35.870000000000005</v>
      </c>
      <c r="BV45" s="38">
        <f t="shared" si="70"/>
        <v>35.870000000000005</v>
      </c>
      <c r="BW45" s="38">
        <f t="shared" si="70"/>
        <v>35.870000000000005</v>
      </c>
      <c r="BX45" s="38">
        <f t="shared" si="70"/>
        <v>35.870000000000005</v>
      </c>
    </row>
    <row r="46" spans="1:76" ht="15" customHeight="1" x14ac:dyDescent="0.25">
      <c r="A46" s="1"/>
      <c r="B46" s="3" t="s">
        <v>68</v>
      </c>
      <c r="C46" s="1"/>
      <c r="D46" s="1"/>
      <c r="E46" s="1"/>
      <c r="F46" s="46">
        <f t="shared" ref="F46:AK46" si="83">F43-SUM(F44:F45)</f>
        <v>-1.9529999999999799</v>
      </c>
      <c r="G46" s="46">
        <f t="shared" si="83"/>
        <v>39.222999999999999</v>
      </c>
      <c r="H46" s="46">
        <f t="shared" si="83"/>
        <v>35.693000000000026</v>
      </c>
      <c r="I46" s="46">
        <f t="shared" si="83"/>
        <v>25.693999999999704</v>
      </c>
      <c r="J46" s="46">
        <f t="shared" si="83"/>
        <v>1.4709999999999486</v>
      </c>
      <c r="K46" s="46">
        <f t="shared" si="83"/>
        <v>23.737999999999872</v>
      </c>
      <c r="L46" s="46">
        <f t="shared" si="83"/>
        <v>29.347000000000069</v>
      </c>
      <c r="M46" s="46">
        <f t="shared" si="83"/>
        <v>21.996999999999488</v>
      </c>
      <c r="N46" s="46">
        <f t="shared" si="83"/>
        <v>-29.680999999999891</v>
      </c>
      <c r="O46" s="46">
        <f t="shared" si="83"/>
        <v>4.9689999999999728</v>
      </c>
      <c r="P46" s="46">
        <f t="shared" si="83"/>
        <v>44.4239999999999</v>
      </c>
      <c r="Q46" s="46">
        <f t="shared" si="83"/>
        <v>-5.4730000000006278</v>
      </c>
      <c r="R46" s="46">
        <f t="shared" si="83"/>
        <v>4.0250000000000128</v>
      </c>
      <c r="S46" s="46">
        <f t="shared" si="83"/>
        <v>46.013000000000112</v>
      </c>
      <c r="T46" s="46">
        <f t="shared" si="83"/>
        <v>36.269000000000062</v>
      </c>
      <c r="U46" s="46">
        <f t="shared" si="83"/>
        <v>19.553999999999675</v>
      </c>
      <c r="V46" s="46">
        <f t="shared" si="83"/>
        <v>21.496999999999971</v>
      </c>
      <c r="W46" s="46">
        <f t="shared" si="83"/>
        <v>68.740999999999943</v>
      </c>
      <c r="X46" s="46">
        <f t="shared" si="83"/>
        <v>88.311999999999884</v>
      </c>
      <c r="Y46" s="46">
        <f t="shared" si="83"/>
        <v>85.897999999999797</v>
      </c>
      <c r="Z46" s="46">
        <f t="shared" si="83"/>
        <v>81.631999999999977</v>
      </c>
      <c r="AA46" s="46">
        <f t="shared" si="83"/>
        <v>99.94200000000005</v>
      </c>
      <c r="AB46" s="46">
        <f t="shared" si="83"/>
        <v>119.44</v>
      </c>
      <c r="AC46" s="46">
        <f t="shared" si="83"/>
        <v>63.865999999999801</v>
      </c>
      <c r="AD46" s="46">
        <f t="shared" si="83"/>
        <v>122.4559999999999</v>
      </c>
      <c r="AE46" s="46">
        <f t="shared" si="83"/>
        <v>136.97599999999989</v>
      </c>
      <c r="AF46" s="46">
        <f t="shared" si="83"/>
        <v>176.09399999999994</v>
      </c>
      <c r="AG46" s="46">
        <f t="shared" si="83"/>
        <v>163.86700000000016</v>
      </c>
      <c r="AH46" s="46">
        <f t="shared" si="83"/>
        <v>190.56300000000007</v>
      </c>
      <c r="AI46" s="46">
        <f t="shared" si="83"/>
        <v>183.96600000000001</v>
      </c>
      <c r="AJ46" s="46">
        <f t="shared" si="83"/>
        <v>135.19600000000017</v>
      </c>
      <c r="AK46" s="46">
        <f t="shared" si="83"/>
        <v>167.59000000000009</v>
      </c>
      <c r="AL46" s="46">
        <f t="shared" ref="AL46:BI46" si="84">AL43-SUM(AL44:AL45)</f>
        <v>218.66299999999995</v>
      </c>
      <c r="AM46" s="46">
        <f t="shared" si="84"/>
        <v>253.17500000000004</v>
      </c>
      <c r="AN46" s="46">
        <f t="shared" si="84"/>
        <v>207.21500000000006</v>
      </c>
      <c r="AO46" s="46">
        <f t="shared" si="84"/>
        <v>222.09400000000093</v>
      </c>
      <c r="AP46" s="46">
        <f t="shared" si="84"/>
        <v>171.64700000000005</v>
      </c>
      <c r="AQ46" s="46">
        <f t="shared" si="84"/>
        <v>262.26700000000011</v>
      </c>
      <c r="AR46" s="46">
        <f t="shared" si="84"/>
        <v>229.34100000000007</v>
      </c>
      <c r="AS46" s="46">
        <f t="shared" si="84"/>
        <v>208.85299999999972</v>
      </c>
      <c r="AT46" s="46">
        <f t="shared" ca="1" si="84"/>
        <v>111.13766202583901</v>
      </c>
      <c r="AU46" s="46">
        <f t="shared" ca="1" si="84"/>
        <v>118.55456444500703</v>
      </c>
      <c r="AV46" s="46">
        <f t="shared" ca="1" si="84"/>
        <v>100.54264614204051</v>
      </c>
      <c r="AW46" s="46">
        <f t="shared" ca="1" si="84"/>
        <v>113.73686777257635</v>
      </c>
      <c r="AX46" s="46">
        <f t="shared" ca="1" si="84"/>
        <v>100.29141582608946</v>
      </c>
      <c r="AY46" s="46">
        <f t="shared" ca="1" si="84"/>
        <v>131.67835967676274</v>
      </c>
      <c r="AZ46" s="46">
        <f t="shared" ca="1" si="84"/>
        <v>115.3060658813816</v>
      </c>
      <c r="BA46" s="46">
        <f t="shared" ca="1" si="84"/>
        <v>132.59608427413761</v>
      </c>
      <c r="BB46" s="46">
        <f t="shared" ca="1" si="84"/>
        <v>112.12437171615665</v>
      </c>
      <c r="BC46" s="46">
        <f t="shared" ca="1" si="84"/>
        <v>140.77260801793329</v>
      </c>
      <c r="BD46" s="46">
        <f t="shared" ca="1" si="84"/>
        <v>120.37636637405588</v>
      </c>
      <c r="BE46" s="46">
        <f t="shared" ca="1" si="84"/>
        <v>134.32753620513219</v>
      </c>
      <c r="BF46" s="46">
        <f t="shared" ca="1" si="84"/>
        <v>110.01158547769211</v>
      </c>
      <c r="BG46" s="46">
        <f t="shared" ca="1" si="84"/>
        <v>138.94875852875487</v>
      </c>
      <c r="BH46" s="46">
        <f t="shared" ca="1" si="84"/>
        <v>118.00401540537901</v>
      </c>
      <c r="BI46" s="46">
        <f t="shared" ca="1" si="84"/>
        <v>132.21928114765464</v>
      </c>
      <c r="BJ46" s="1"/>
      <c r="BK46" s="46">
        <f t="shared" si="70"/>
        <v>98.656999999999755</v>
      </c>
      <c r="BL46" s="46">
        <f t="shared" si="70"/>
        <v>76.552999999999372</v>
      </c>
      <c r="BM46" s="46">
        <f t="shared" si="70"/>
        <v>14.238999999999354</v>
      </c>
      <c r="BN46" s="46">
        <f t="shared" si="70"/>
        <v>105.86099999999986</v>
      </c>
      <c r="BO46" s="46">
        <f t="shared" si="70"/>
        <v>264.44799999999958</v>
      </c>
      <c r="BP46" s="46">
        <f t="shared" si="70"/>
        <v>364.87999999999982</v>
      </c>
      <c r="BQ46" s="46">
        <f t="shared" si="70"/>
        <v>599.39299999999992</v>
      </c>
      <c r="BR46" s="46">
        <f t="shared" si="70"/>
        <v>677.31500000000028</v>
      </c>
      <c r="BS46" s="46">
        <f t="shared" si="70"/>
        <v>901.14700000000096</v>
      </c>
      <c r="BT46" s="46">
        <f t="shared" si="70"/>
        <v>872.10799999999995</v>
      </c>
      <c r="BU46" s="46">
        <f t="shared" ca="1" si="70"/>
        <v>443.97174038546291</v>
      </c>
      <c r="BV46" s="46">
        <f t="shared" ca="1" si="70"/>
        <v>479.87192565837142</v>
      </c>
      <c r="BW46" s="46">
        <f t="shared" ca="1" si="70"/>
        <v>507.60088231327802</v>
      </c>
      <c r="BX46" s="46">
        <f t="shared" ca="1" si="70"/>
        <v>499.18364055948064</v>
      </c>
    </row>
    <row r="47" spans="1:76" x14ac:dyDescent="0.25">
      <c r="A47" s="1"/>
      <c r="B47" s="1"/>
      <c r="C47" s="11" t="s">
        <v>69</v>
      </c>
      <c r="D47" s="1"/>
      <c r="E47" s="1"/>
      <c r="F47" s="48">
        <f>F46-F48</f>
        <v>-8.1719999999999917</v>
      </c>
      <c r="G47" s="48">
        <f t="shared" ref="G47:AS47" si="85">G46-G48</f>
        <v>20.362000000000009</v>
      </c>
      <c r="H47" s="48">
        <f t="shared" si="85"/>
        <v>12.799999999999986</v>
      </c>
      <c r="I47" s="48">
        <f t="shared" si="85"/>
        <v>19.075000000000003</v>
      </c>
      <c r="J47" s="48">
        <f t="shared" si="85"/>
        <v>-2.7619999999999987</v>
      </c>
      <c r="K47" s="48">
        <f t="shared" si="85"/>
        <v>1.5719999999999921</v>
      </c>
      <c r="L47" s="48">
        <f t="shared" si="85"/>
        <v>13.901000000000019</v>
      </c>
      <c r="M47" s="48">
        <f t="shared" si="85"/>
        <v>20.125</v>
      </c>
      <c r="N47" s="48">
        <f t="shared" si="85"/>
        <v>-20.845999999999989</v>
      </c>
      <c r="O47" s="48">
        <f t="shared" si="85"/>
        <v>-5.3360000000000074</v>
      </c>
      <c r="P47" s="48">
        <f t="shared" si="85"/>
        <v>16.588000000000012</v>
      </c>
      <c r="Q47" s="48">
        <f t="shared" si="85"/>
        <v>-23.346999999999976</v>
      </c>
      <c r="R47" s="48">
        <f t="shared" si="85"/>
        <v>0.69700000000001783</v>
      </c>
      <c r="S47" s="48">
        <f t="shared" si="85"/>
        <v>3.7210000000000036</v>
      </c>
      <c r="T47" s="48">
        <f t="shared" si="85"/>
        <v>3.9980000000000047</v>
      </c>
      <c r="U47" s="48">
        <f t="shared" si="85"/>
        <v>5.470999999999945</v>
      </c>
      <c r="V47" s="48">
        <f t="shared" si="85"/>
        <v>3.5070000000000014</v>
      </c>
      <c r="W47" s="48">
        <f t="shared" si="85"/>
        <v>19.816999999999993</v>
      </c>
      <c r="X47" s="48">
        <f t="shared" si="85"/>
        <v>20.935999999999993</v>
      </c>
      <c r="Y47" s="48">
        <f t="shared" si="85"/>
        <v>28.601999999999769</v>
      </c>
      <c r="Z47" s="48">
        <f t="shared" si="85"/>
        <v>20.369000000000007</v>
      </c>
      <c r="AA47" s="48">
        <f t="shared" si="85"/>
        <v>17.390000000000015</v>
      </c>
      <c r="AB47" s="48">
        <f t="shared" si="85"/>
        <v>24.891999999999996</v>
      </c>
      <c r="AC47" s="48">
        <f t="shared" si="85"/>
        <v>0.48200000000001353</v>
      </c>
      <c r="AD47" s="48">
        <f t="shared" si="85"/>
        <v>43.472000000000008</v>
      </c>
      <c r="AE47" s="48">
        <f t="shared" si="85"/>
        <v>24.761999999999986</v>
      </c>
      <c r="AF47" s="48">
        <f t="shared" si="85"/>
        <v>37.338000000000051</v>
      </c>
      <c r="AG47" s="48">
        <f t="shared" si="85"/>
        <v>36.713999999999956</v>
      </c>
      <c r="AH47" s="48">
        <f t="shared" si="85"/>
        <v>38.751999999999981</v>
      </c>
      <c r="AI47" s="48">
        <f t="shared" si="85"/>
        <v>11.491000000000014</v>
      </c>
      <c r="AJ47" s="48">
        <f t="shared" si="85"/>
        <v>-28.824000000000041</v>
      </c>
      <c r="AK47" s="48">
        <f t="shared" si="85"/>
        <v>42.065999999999988</v>
      </c>
      <c r="AL47" s="48">
        <f t="shared" si="85"/>
        <v>56.191000000000059</v>
      </c>
      <c r="AM47" s="48">
        <f t="shared" si="85"/>
        <v>60.41399999999993</v>
      </c>
      <c r="AN47" s="48">
        <f t="shared" si="85"/>
        <v>40.537999999999954</v>
      </c>
      <c r="AO47" s="48">
        <f t="shared" si="85"/>
        <v>65.42700000000022</v>
      </c>
      <c r="AP47" s="48">
        <f t="shared" si="85"/>
        <v>35.384999999999934</v>
      </c>
      <c r="AQ47" s="48">
        <f t="shared" si="85"/>
        <v>67.1159999999999</v>
      </c>
      <c r="AR47" s="48">
        <f t="shared" si="85"/>
        <v>50.117000000000075</v>
      </c>
      <c r="AS47" s="48">
        <f t="shared" si="85"/>
        <v>51.017000000000024</v>
      </c>
      <c r="AT47" s="38">
        <f t="shared" ref="AT47:BI47" ca="1" si="86">AT46*AT7</f>
        <v>27.784415506459752</v>
      </c>
      <c r="AU47" s="38">
        <f t="shared" ca="1" si="86"/>
        <v>29.638641111251758</v>
      </c>
      <c r="AV47" s="38">
        <f t="shared" ca="1" si="86"/>
        <v>25.135661535510128</v>
      </c>
      <c r="AW47" s="38">
        <f t="shared" ca="1" si="86"/>
        <v>28.434216943144087</v>
      </c>
      <c r="AX47" s="38">
        <f t="shared" ca="1" si="86"/>
        <v>25.072853956522366</v>
      </c>
      <c r="AY47" s="38">
        <f t="shared" ca="1" si="86"/>
        <v>32.919589919190685</v>
      </c>
      <c r="AZ47" s="38">
        <f t="shared" ca="1" si="86"/>
        <v>28.8265164703454</v>
      </c>
      <c r="BA47" s="38">
        <f t="shared" ca="1" si="86"/>
        <v>33.149021068534402</v>
      </c>
      <c r="BB47" s="38">
        <f t="shared" ca="1" si="86"/>
        <v>28.031092929039161</v>
      </c>
      <c r="BC47" s="38">
        <f t="shared" ca="1" si="86"/>
        <v>35.193152004483323</v>
      </c>
      <c r="BD47" s="38">
        <f t="shared" ca="1" si="86"/>
        <v>30.094091593513969</v>
      </c>
      <c r="BE47" s="38">
        <f t="shared" ca="1" si="86"/>
        <v>33.581884051283048</v>
      </c>
      <c r="BF47" s="38">
        <f t="shared" ca="1" si="86"/>
        <v>27.502896369423027</v>
      </c>
      <c r="BG47" s="38">
        <f t="shared" ca="1" si="86"/>
        <v>34.737189632188716</v>
      </c>
      <c r="BH47" s="38">
        <f t="shared" ca="1" si="86"/>
        <v>29.501003851344752</v>
      </c>
      <c r="BI47" s="38">
        <f t="shared" ca="1" si="86"/>
        <v>33.05482028691366</v>
      </c>
      <c r="BJ47" s="1"/>
      <c r="BK47" s="38">
        <f t="shared" si="70"/>
        <v>44.065000000000005</v>
      </c>
      <c r="BL47" s="38">
        <f t="shared" si="70"/>
        <v>32.836000000000013</v>
      </c>
      <c r="BM47" s="38">
        <f t="shared" si="70"/>
        <v>-32.94099999999996</v>
      </c>
      <c r="BN47" s="38">
        <f t="shared" si="70"/>
        <v>13.88699999999997</v>
      </c>
      <c r="BO47" s="38">
        <f t="shared" si="70"/>
        <v>72.861999999999767</v>
      </c>
      <c r="BP47" s="38">
        <f t="shared" si="70"/>
        <v>63.133000000000031</v>
      </c>
      <c r="BQ47" s="38">
        <f t="shared" si="70"/>
        <v>142.286</v>
      </c>
      <c r="BR47" s="38">
        <f t="shared" si="70"/>
        <v>63.484999999999943</v>
      </c>
      <c r="BS47" s="38">
        <f t="shared" si="70"/>
        <v>222.57000000000016</v>
      </c>
      <c r="BT47" s="38">
        <f t="shared" si="70"/>
        <v>203.63499999999993</v>
      </c>
      <c r="BU47" s="38">
        <f t="shared" ca="1" si="70"/>
        <v>110.99293509636573</v>
      </c>
      <c r="BV47" s="38">
        <f t="shared" ca="1" si="70"/>
        <v>119.96798141459286</v>
      </c>
      <c r="BW47" s="38">
        <f t="shared" ca="1" si="70"/>
        <v>126.90022057831951</v>
      </c>
      <c r="BX47" s="38">
        <f t="shared" ca="1" si="70"/>
        <v>124.79591013987016</v>
      </c>
    </row>
    <row r="48" spans="1:76" ht="15" customHeight="1" x14ac:dyDescent="0.25">
      <c r="A48" s="1"/>
      <c r="B48" s="3" t="s">
        <v>79</v>
      </c>
      <c r="C48" s="1"/>
      <c r="D48" s="1"/>
      <c r="E48" s="1"/>
      <c r="F48" s="45">
        <f>'Canalyst HC - Q'!C435</f>
        <v>6.2190000000000119</v>
      </c>
      <c r="G48" s="45">
        <f>'Canalyst HC - Q'!D435</f>
        <v>18.86099999999999</v>
      </c>
      <c r="H48" s="45">
        <f>'Canalyst HC - Q'!E435</f>
        <v>22.89300000000004</v>
      </c>
      <c r="I48" s="45">
        <f>'Canalyst HC - Q'!F435</f>
        <v>6.6189999999996996</v>
      </c>
      <c r="J48" s="45">
        <f>'Canalyst HC - Q'!G435</f>
        <v>4.2329999999999472</v>
      </c>
      <c r="K48" s="45">
        <f>'Canalyst HC - Q'!H435</f>
        <v>22.16599999999988</v>
      </c>
      <c r="L48" s="45">
        <f>'Canalyst HC - Q'!I435</f>
        <v>15.446000000000049</v>
      </c>
      <c r="M48" s="45">
        <f>'Canalyst HC - Q'!J435</f>
        <v>1.8719999999994881</v>
      </c>
      <c r="N48" s="45">
        <f>'Canalyst HC - Q'!K435</f>
        <v>-8.8349999999999014</v>
      </c>
      <c r="O48" s="45">
        <f>'Canalyst HC - Q'!L435</f>
        <v>10.30499999999998</v>
      </c>
      <c r="P48" s="45">
        <f>'Canalyst HC - Q'!M435</f>
        <v>27.835999999999888</v>
      </c>
      <c r="Q48" s="45">
        <f>'Canalyst HC - Q'!N435</f>
        <v>17.873999999999349</v>
      </c>
      <c r="R48" s="45">
        <f>'Canalyst HC - Q'!O435</f>
        <v>3.327999999999995</v>
      </c>
      <c r="S48" s="45">
        <f>'Canalyst HC - Q'!P435</f>
        <v>42.292000000000108</v>
      </c>
      <c r="T48" s="45">
        <f>'Canalyst HC - Q'!Q435</f>
        <v>32.271000000000058</v>
      </c>
      <c r="U48" s="45">
        <f>'Canalyst HC - Q'!R435</f>
        <v>14.08299999999973</v>
      </c>
      <c r="V48" s="45">
        <f>'Canalyst HC - Q'!S435</f>
        <v>17.98999999999997</v>
      </c>
      <c r="W48" s="45">
        <f>'Canalyst HC - Q'!T435</f>
        <v>48.92399999999995</v>
      </c>
      <c r="X48" s="45">
        <f>'Canalyst HC - Q'!U435</f>
        <v>67.375999999999891</v>
      </c>
      <c r="Y48" s="45">
        <f>'Canalyst HC - Q'!V435</f>
        <v>57.296000000000028</v>
      </c>
      <c r="Z48" s="45">
        <f>'Canalyst HC - Q'!W435</f>
        <v>61.26299999999997</v>
      </c>
      <c r="AA48" s="45">
        <f>'Canalyst HC - Q'!X435</f>
        <v>82.552000000000035</v>
      </c>
      <c r="AB48" s="45">
        <f>'Canalyst HC - Q'!Y435</f>
        <v>94.548000000000002</v>
      </c>
      <c r="AC48" s="45">
        <f>'Canalyst HC - Q'!Z435</f>
        <v>63.383999999999787</v>
      </c>
      <c r="AD48" s="45">
        <f>'Canalyst HC - Q'!AA435</f>
        <v>78.983999999999895</v>
      </c>
      <c r="AE48" s="45">
        <f>'Canalyst HC - Q'!AB435</f>
        <v>112.2139999999999</v>
      </c>
      <c r="AF48" s="45">
        <f>'Canalyst HC - Q'!AC435</f>
        <v>138.75599999999989</v>
      </c>
      <c r="AG48" s="45">
        <f>'Canalyst HC - Q'!AD435</f>
        <v>127.1530000000002</v>
      </c>
      <c r="AH48" s="45">
        <f>'Canalyst HC - Q'!AE435</f>
        <v>151.81100000000009</v>
      </c>
      <c r="AI48" s="45">
        <f>'Canalyst HC - Q'!AF435</f>
        <v>172.47499999999999</v>
      </c>
      <c r="AJ48" s="45">
        <f>'Canalyst HC - Q'!AG435</f>
        <v>164.02000000000021</v>
      </c>
      <c r="AK48" s="45">
        <f>'Canalyst HC - Q'!AH435</f>
        <v>125.5240000000001</v>
      </c>
      <c r="AL48" s="45">
        <f>'Canalyst HC - Q'!AI435</f>
        <v>162.47199999999989</v>
      </c>
      <c r="AM48" s="45">
        <f>'Canalyst HC - Q'!AJ435</f>
        <v>192.76100000000011</v>
      </c>
      <c r="AN48" s="45">
        <f>'Canalyst HC - Q'!AK435</f>
        <v>166.67700000000011</v>
      </c>
      <c r="AO48" s="45">
        <f>'Canalyst HC - Q'!AL435</f>
        <v>156.66700000000071</v>
      </c>
      <c r="AP48" s="45">
        <f>'Canalyst HC - Q'!AM435</f>
        <v>136.26200000000011</v>
      </c>
      <c r="AQ48" s="45">
        <f>'Canalyst HC - Q'!AN435</f>
        <v>195.15100000000021</v>
      </c>
      <c r="AR48" s="45">
        <f>'Canalyst HC - Q'!AO435</f>
        <v>179.22399999999999</v>
      </c>
      <c r="AS48" s="45">
        <f>'Canalyst HC - Q'!AP435</f>
        <v>157.8359999999997</v>
      </c>
      <c r="AT48" s="46">
        <f t="shared" ref="AT48:BI48" ca="1" si="87">AT46-AT47</f>
        <v>83.353246519379255</v>
      </c>
      <c r="AU48" s="46">
        <f t="shared" ca="1" si="87"/>
        <v>88.915923333755273</v>
      </c>
      <c r="AV48" s="46">
        <f t="shared" ca="1" si="87"/>
        <v>75.406984606530386</v>
      </c>
      <c r="AW48" s="46">
        <f t="shared" ca="1" si="87"/>
        <v>85.302650829432253</v>
      </c>
      <c r="AX48" s="46">
        <f t="shared" ca="1" si="87"/>
        <v>75.218561869567097</v>
      </c>
      <c r="AY48" s="46">
        <f t="shared" ca="1" si="87"/>
        <v>98.758769757572054</v>
      </c>
      <c r="AZ48" s="46">
        <f t="shared" ca="1" si="87"/>
        <v>86.479549411036203</v>
      </c>
      <c r="BA48" s="46">
        <f t="shared" ca="1" si="87"/>
        <v>99.4470632056032</v>
      </c>
      <c r="BB48" s="46">
        <f t="shared" ca="1" si="87"/>
        <v>84.093278787117484</v>
      </c>
      <c r="BC48" s="46">
        <f t="shared" ca="1" si="87"/>
        <v>105.57945601344997</v>
      </c>
      <c r="BD48" s="46">
        <f t="shared" ca="1" si="87"/>
        <v>90.282274780541911</v>
      </c>
      <c r="BE48" s="46">
        <f t="shared" ca="1" si="87"/>
        <v>100.74565215384914</v>
      </c>
      <c r="BF48" s="46">
        <f t="shared" ca="1" si="87"/>
        <v>82.508689108269081</v>
      </c>
      <c r="BG48" s="46">
        <f t="shared" ca="1" si="87"/>
        <v>104.21156889656615</v>
      </c>
      <c r="BH48" s="46">
        <f t="shared" ca="1" si="87"/>
        <v>88.503011554034259</v>
      </c>
      <c r="BI48" s="46">
        <f t="shared" ca="1" si="87"/>
        <v>99.164460860740974</v>
      </c>
      <c r="BJ48" s="1"/>
      <c r="BK48" s="46">
        <f t="shared" si="70"/>
        <v>54.591999999999743</v>
      </c>
      <c r="BL48" s="46">
        <f t="shared" si="70"/>
        <v>43.716999999999366</v>
      </c>
      <c r="BM48" s="46">
        <f t="shared" si="70"/>
        <v>47.179999999999318</v>
      </c>
      <c r="BN48" s="46">
        <f t="shared" si="70"/>
        <v>91.97399999999989</v>
      </c>
      <c r="BO48" s="46">
        <f t="shared" si="70"/>
        <v>191.58599999999981</v>
      </c>
      <c r="BP48" s="46">
        <f t="shared" si="70"/>
        <v>301.74699999999979</v>
      </c>
      <c r="BQ48" s="46">
        <f t="shared" si="70"/>
        <v>457.10699999999991</v>
      </c>
      <c r="BR48" s="46">
        <f t="shared" si="70"/>
        <v>613.83000000000038</v>
      </c>
      <c r="BS48" s="46">
        <f t="shared" si="70"/>
        <v>678.57700000000079</v>
      </c>
      <c r="BT48" s="46">
        <f t="shared" si="70"/>
        <v>668.47300000000007</v>
      </c>
      <c r="BU48" s="46">
        <f t="shared" ca="1" si="70"/>
        <v>332.97880528909718</v>
      </c>
      <c r="BV48" s="46">
        <f t="shared" ca="1" si="70"/>
        <v>359.9039442437786</v>
      </c>
      <c r="BW48" s="46">
        <f t="shared" ca="1" si="70"/>
        <v>380.70066173495854</v>
      </c>
      <c r="BX48" s="46">
        <f t="shared" ca="1" si="70"/>
        <v>374.38773041961042</v>
      </c>
    </row>
    <row r="49" spans="1:7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ht="15" customHeight="1" x14ac:dyDescent="0.25">
      <c r="A50" s="1"/>
      <c r="B50" s="3" t="s">
        <v>80</v>
      </c>
      <c r="C50" s="1"/>
      <c r="D50" s="1"/>
      <c r="E50" s="1"/>
      <c r="F50" s="49">
        <f>'Canalyst HC - Q'!C448</f>
        <v>92.98</v>
      </c>
      <c r="G50" s="49">
        <f>'Canalyst HC - Q'!D448</f>
        <v>93.53</v>
      </c>
      <c r="H50" s="49">
        <f>'Canalyst HC - Q'!E448</f>
        <v>93.53</v>
      </c>
      <c r="I50" s="49">
        <f>'Canalyst HC - Q'!F448</f>
        <v>93.53</v>
      </c>
      <c r="J50" s="49">
        <f>'Canalyst HC - Q'!G448</f>
        <v>93.190000000000012</v>
      </c>
      <c r="K50" s="49">
        <f>'Canalyst HC - Q'!H448</f>
        <v>93.740000000000009</v>
      </c>
      <c r="L50" s="49">
        <f>'Canalyst HC - Q'!I448</f>
        <v>93.740000000000009</v>
      </c>
      <c r="M50" s="49">
        <f>'Canalyst HC - Q'!J448</f>
        <v>93.740000000000009</v>
      </c>
      <c r="N50" s="49">
        <f>'Canalyst HC - Q'!K448</f>
        <v>93.4</v>
      </c>
      <c r="O50" s="49">
        <f>'Canalyst HC - Q'!L448</f>
        <v>93.539999999999992</v>
      </c>
      <c r="P50" s="49">
        <f>'Canalyst HC - Q'!M448</f>
        <v>94.05</v>
      </c>
      <c r="Q50" s="49">
        <f>'Canalyst HC - Q'!N448</f>
        <v>93.539999999999992</v>
      </c>
      <c r="R50" s="49">
        <f>'Canalyst HC - Q'!O448</f>
        <v>93.6</v>
      </c>
      <c r="S50" s="49">
        <f>'Canalyst HC - Q'!P448</f>
        <v>94.21</v>
      </c>
      <c r="T50" s="49">
        <f>'Canalyst HC - Q'!Q448</f>
        <v>94.13</v>
      </c>
      <c r="U50" s="49">
        <f>'Canalyst HC - Q'!R448</f>
        <v>93.72999999999999</v>
      </c>
      <c r="V50" s="49">
        <f>'Canalyst HC - Q'!S448</f>
        <v>94.440000000000012</v>
      </c>
      <c r="W50" s="49">
        <f>'Canalyst HC - Q'!T448</f>
        <v>94.399999999999991</v>
      </c>
      <c r="X50" s="49">
        <f>'Canalyst HC - Q'!U448</f>
        <v>94.3</v>
      </c>
      <c r="Y50" s="49">
        <f>'Canalyst HC - Q'!V448</f>
        <v>94.05</v>
      </c>
      <c r="Z50" s="49">
        <f>'Canalyst HC - Q'!W448</f>
        <v>94.09</v>
      </c>
      <c r="AA50" s="49">
        <f>'Canalyst HC - Q'!X448</f>
        <v>94.07</v>
      </c>
      <c r="AB50" s="49">
        <f>'Canalyst HC - Q'!Y448</f>
        <v>94.09</v>
      </c>
      <c r="AC50" s="49">
        <f>'Canalyst HC - Q'!Z448</f>
        <v>93.889999999999986</v>
      </c>
      <c r="AD50" s="49">
        <f>'Canalyst HC - Q'!AA448</f>
        <v>93.960000000000008</v>
      </c>
      <c r="AE50" s="49">
        <f>'Canalyst HC - Q'!AB448</f>
        <v>93.99</v>
      </c>
      <c r="AF50" s="49">
        <f>'Canalyst HC - Q'!AC448</f>
        <v>94.06</v>
      </c>
      <c r="AG50" s="49">
        <f>'Canalyst HC - Q'!AD448</f>
        <v>93.91</v>
      </c>
      <c r="AH50" s="49">
        <f>'Canalyst HC - Q'!AE448</f>
        <v>93.949999999999989</v>
      </c>
      <c r="AI50" s="49">
        <f>'Canalyst HC - Q'!AF448</f>
        <v>93.960000000000008</v>
      </c>
      <c r="AJ50" s="49">
        <f>'Canalyst HC - Q'!AG448</f>
        <v>93.949999999999989</v>
      </c>
      <c r="AK50" s="49">
        <f>'Canalyst HC - Q'!AH448</f>
        <v>93.84</v>
      </c>
      <c r="AL50" s="49">
        <f>'Canalyst HC - Q'!AI448</f>
        <v>93.87</v>
      </c>
      <c r="AM50" s="49">
        <f>'Canalyst HC - Q'!AJ448</f>
        <v>93.21</v>
      </c>
      <c r="AN50" s="49">
        <f>'Canalyst HC - Q'!AK448</f>
        <v>87.72</v>
      </c>
      <c r="AO50" s="49">
        <f>'Canalyst HC - Q'!AL448</f>
        <v>87.449999999999989</v>
      </c>
      <c r="AP50" s="49">
        <f>'Canalyst HC - Q'!AM448</f>
        <v>87.26</v>
      </c>
      <c r="AQ50" s="49">
        <f>'Canalyst HC - Q'!AN448</f>
        <v>87.156999999999996</v>
      </c>
      <c r="AR50" s="49">
        <f>'Canalyst HC - Q'!AO448</f>
        <v>86.727999999999994</v>
      </c>
      <c r="AS50" s="49">
        <f>'Canalyst HC - Q'!AP448</f>
        <v>74.731999999999999</v>
      </c>
      <c r="AT50" s="50">
        <f>AT84</f>
        <v>57.020861332467447</v>
      </c>
      <c r="AU50" s="50">
        <f t="shared" ref="AU50:BI50" ca="1" si="88">AU84</f>
        <v>57.020861332467447</v>
      </c>
      <c r="AV50" s="50">
        <f t="shared" ca="1" si="88"/>
        <v>56.844246644219162</v>
      </c>
      <c r="AW50" s="50">
        <f t="shared" ca="1" si="88"/>
        <v>56.631841323138417</v>
      </c>
      <c r="AX50" s="50">
        <f t="shared" ca="1" si="88"/>
        <v>56.631841323138417</v>
      </c>
      <c r="AY50" s="50">
        <f t="shared" ca="1" si="88"/>
        <v>56.631841323138417</v>
      </c>
      <c r="AZ50" s="50">
        <f t="shared" ca="1" si="88"/>
        <v>56.431891175423935</v>
      </c>
      <c r="BA50" s="50">
        <f t="shared" ca="1" si="88"/>
        <v>56.187132848242889</v>
      </c>
      <c r="BB50" s="50">
        <f t="shared" ca="1" si="88"/>
        <v>56.144328867469099</v>
      </c>
      <c r="BC50" s="50">
        <f t="shared" ca="1" si="88"/>
        <v>56.144328867469099</v>
      </c>
      <c r="BD50" s="50">
        <f t="shared" ca="1" si="88"/>
        <v>55.915170367465379</v>
      </c>
      <c r="BE50" s="50">
        <f t="shared" ca="1" si="88"/>
        <v>55.64429569102164</v>
      </c>
      <c r="BF50" s="50">
        <f t="shared" ca="1" si="88"/>
        <v>55.593047943418078</v>
      </c>
      <c r="BG50" s="50">
        <f t="shared" ca="1" si="88"/>
        <v>55.593047943418078</v>
      </c>
      <c r="BH50" s="50">
        <f t="shared" ca="1" si="88"/>
        <v>55.360703729696411</v>
      </c>
      <c r="BI50" s="50">
        <f t="shared" ca="1" si="88"/>
        <v>55.083359708162938</v>
      </c>
      <c r="BJ50" s="1"/>
      <c r="BK50" s="50">
        <f t="shared" ref="BK50:BX50" si="89">AVERAGEIF($F$1:$BI$1,BK$1,$F50:$BI50)</f>
        <v>93.392499999999984</v>
      </c>
      <c r="BL50" s="50">
        <f t="shared" si="89"/>
        <v>93.602500000000006</v>
      </c>
      <c r="BM50" s="50">
        <f t="shared" si="89"/>
        <v>93.632499999999993</v>
      </c>
      <c r="BN50" s="50">
        <f t="shared" si="89"/>
        <v>93.91749999999999</v>
      </c>
      <c r="BO50" s="50">
        <f t="shared" si="89"/>
        <v>94.297499999999999</v>
      </c>
      <c r="BP50" s="50">
        <f t="shared" si="89"/>
        <v>94.034999999999997</v>
      </c>
      <c r="BQ50" s="50">
        <f t="shared" si="89"/>
        <v>93.97999999999999</v>
      </c>
      <c r="BR50" s="50">
        <f t="shared" si="89"/>
        <v>93.925000000000011</v>
      </c>
      <c r="BS50" s="50">
        <f t="shared" si="89"/>
        <v>90.562499999999986</v>
      </c>
      <c r="BT50" s="50">
        <f t="shared" si="89"/>
        <v>83.969249999999988</v>
      </c>
      <c r="BU50" s="50">
        <f t="shared" ca="1" si="89"/>
        <v>56.87945265807312</v>
      </c>
      <c r="BV50" s="50">
        <f t="shared" ca="1" si="89"/>
        <v>56.470676667485918</v>
      </c>
      <c r="BW50" s="50">
        <f t="shared" ca="1" si="89"/>
        <v>55.962030948356301</v>
      </c>
      <c r="BX50" s="50">
        <f t="shared" ca="1" si="89"/>
        <v>55.407539831173871</v>
      </c>
    </row>
    <row r="51" spans="1:76" ht="15" customHeight="1" x14ac:dyDescent="0.25">
      <c r="A51" s="1"/>
      <c r="B51" s="3" t="s">
        <v>81</v>
      </c>
      <c r="C51" s="1"/>
      <c r="D51" s="1"/>
      <c r="E51" s="1"/>
      <c r="F51" s="21">
        <f t="shared" ref="F51:AK51" si="90">F48/F50</f>
        <v>6.6885351688535294E-2</v>
      </c>
      <c r="G51" s="21">
        <f t="shared" si="90"/>
        <v>0.20165722228162075</v>
      </c>
      <c r="H51" s="21">
        <f t="shared" si="90"/>
        <v>0.24476638511707516</v>
      </c>
      <c r="I51" s="21">
        <f t="shared" si="90"/>
        <v>7.0768737303535764E-2</v>
      </c>
      <c r="J51" s="21">
        <f t="shared" si="90"/>
        <v>4.5423328683334548E-2</v>
      </c>
      <c r="K51" s="21">
        <f t="shared" si="90"/>
        <v>0.23646255600597266</v>
      </c>
      <c r="L51" s="21">
        <f t="shared" si="90"/>
        <v>0.16477490932366171</v>
      </c>
      <c r="M51" s="21">
        <f t="shared" si="90"/>
        <v>1.997013014721024E-2</v>
      </c>
      <c r="N51" s="21">
        <f t="shared" si="90"/>
        <v>-9.4593147751604933E-2</v>
      </c>
      <c r="O51" s="21">
        <f t="shared" si="90"/>
        <v>0.11016677357280287</v>
      </c>
      <c r="P51" s="21">
        <f t="shared" si="90"/>
        <v>0.29597022860180638</v>
      </c>
      <c r="Q51" s="21">
        <f t="shared" si="90"/>
        <v>0.19108402822321308</v>
      </c>
      <c r="R51" s="21">
        <f t="shared" si="90"/>
        <v>3.5555555555555507E-2</v>
      </c>
      <c r="S51" s="21">
        <f t="shared" si="90"/>
        <v>0.44891200509500173</v>
      </c>
      <c r="T51" s="21">
        <f t="shared" si="90"/>
        <v>0.34283437798788974</v>
      </c>
      <c r="U51" s="21">
        <f t="shared" si="90"/>
        <v>0.15025072015362992</v>
      </c>
      <c r="V51" s="21">
        <f t="shared" si="90"/>
        <v>0.19049131723845794</v>
      </c>
      <c r="W51" s="21">
        <f t="shared" si="90"/>
        <v>0.51826271186440631</v>
      </c>
      <c r="X51" s="21">
        <f t="shared" si="90"/>
        <v>0.71448568398727352</v>
      </c>
      <c r="Y51" s="21">
        <f t="shared" si="90"/>
        <v>0.60920786815523686</v>
      </c>
      <c r="Z51" s="21">
        <f t="shared" si="90"/>
        <v>0.65111063875013253</v>
      </c>
      <c r="AA51" s="21">
        <f t="shared" si="90"/>
        <v>0.87755926437759157</v>
      </c>
      <c r="AB51" s="21">
        <f t="shared" si="90"/>
        <v>1.004867679880965</v>
      </c>
      <c r="AC51" s="21">
        <f t="shared" si="90"/>
        <v>0.67508786878261584</v>
      </c>
      <c r="AD51" s="21">
        <f t="shared" si="90"/>
        <v>0.84061302681992223</v>
      </c>
      <c r="AE51" s="21">
        <f t="shared" si="90"/>
        <v>1.1938929673369498</v>
      </c>
      <c r="AF51" s="21">
        <f t="shared" si="90"/>
        <v>1.4751860514565158</v>
      </c>
      <c r="AG51" s="21">
        <f t="shared" si="90"/>
        <v>1.3539878607177107</v>
      </c>
      <c r="AH51" s="21">
        <f t="shared" si="90"/>
        <v>1.6158701436934551</v>
      </c>
      <c r="AI51" s="21">
        <f t="shared" si="90"/>
        <v>1.835621541081311</v>
      </c>
      <c r="AJ51" s="21">
        <f t="shared" si="90"/>
        <v>1.7458222458754682</v>
      </c>
      <c r="AK51" s="21">
        <f t="shared" si="90"/>
        <v>1.3376385336743404</v>
      </c>
      <c r="AL51" s="21">
        <f t="shared" ref="AL51:AT51" si="91">AL48/AL50</f>
        <v>1.730819218067539</v>
      </c>
      <c r="AM51" s="21">
        <f t="shared" si="91"/>
        <v>2.0680291814183041</v>
      </c>
      <c r="AN51" s="21">
        <f t="shared" si="91"/>
        <v>1.9001025991792078</v>
      </c>
      <c r="AO51" s="21">
        <f t="shared" si="91"/>
        <v>1.7915037164093852</v>
      </c>
      <c r="AP51" s="21">
        <f t="shared" si="91"/>
        <v>1.5615631446252591</v>
      </c>
      <c r="AQ51" s="21">
        <f t="shared" si="91"/>
        <v>2.2390743141686866</v>
      </c>
      <c r="AR51" s="21">
        <f t="shared" si="91"/>
        <v>2.06650677981736</v>
      </c>
      <c r="AS51" s="21">
        <f t="shared" si="91"/>
        <v>2.1120269763956498</v>
      </c>
      <c r="AT51" s="21">
        <f t="shared" ca="1" si="91"/>
        <v>1.461802655582094</v>
      </c>
      <c r="AU51" s="21">
        <f t="shared" ref="AU51" ca="1" si="92">AU48/AU50</f>
        <v>1.5593577728564916</v>
      </c>
      <c r="AV51" s="21">
        <f t="shared" ref="AV51" ca="1" si="93">AV48/AV50</f>
        <v>1.3265543842720446</v>
      </c>
      <c r="AW51" s="21">
        <f t="shared" ref="AW51" ca="1" si="94">AW48/AW50</f>
        <v>1.5062665955482473</v>
      </c>
      <c r="AX51" s="21">
        <f t="shared" ref="AX51" ca="1" si="95">AX48/AX50</f>
        <v>1.3282026526450692</v>
      </c>
      <c r="AY51" s="21">
        <f t="shared" ref="AY51" ca="1" si="96">AY48/AY50</f>
        <v>1.7438735426958751</v>
      </c>
      <c r="AZ51" s="21">
        <f t="shared" ref="AZ51" ca="1" si="97">AZ48/AZ50</f>
        <v>1.5324588208856273</v>
      </c>
      <c r="BA51" s="21">
        <f t="shared" ref="BA51" ca="1" si="98">BA48/BA50</f>
        <v>1.7699259272439127</v>
      </c>
      <c r="BB51" s="21">
        <f t="shared" ref="BB51" ca="1" si="99">BB48/BB50</f>
        <v>1.4978053969729157</v>
      </c>
      <c r="BC51" s="21">
        <f t="shared" ref="BC51" ca="1" si="100">BC48/BC50</f>
        <v>1.8805008118037074</v>
      </c>
      <c r="BD51" s="21">
        <f t="shared" ref="BD51" ca="1" si="101">BD48/BD50</f>
        <v>1.6146293427565637</v>
      </c>
      <c r="BE51" s="21">
        <f t="shared" ref="BE51" ca="1" si="102">BE48/BE50</f>
        <v>1.8105297389918213</v>
      </c>
      <c r="BF51" s="21">
        <f t="shared" ref="BF51" ca="1" si="103">BF48/BF50</f>
        <v>1.4841548028135714</v>
      </c>
      <c r="BG51" s="21">
        <f t="shared" ref="BG51" ca="1" si="104">BG48/BG50</f>
        <v>1.8745431803385093</v>
      </c>
      <c r="BH51" s="21">
        <f t="shared" ref="BH51" ca="1" si="105">BH48/BH50</f>
        <v>1.5986612450982944</v>
      </c>
      <c r="BI51" s="21">
        <f t="shared" ref="BI51" ca="1" si="106">BI48/BI50</f>
        <v>1.8002616649769376</v>
      </c>
      <c r="BJ51" s="1"/>
      <c r="BK51" s="21">
        <f t="shared" ref="BK51:BX51" si="107">BK48/BK50</f>
        <v>0.58454372674465027</v>
      </c>
      <c r="BL51" s="21">
        <f t="shared" si="107"/>
        <v>0.46704949119948042</v>
      </c>
      <c r="BM51" s="21">
        <f t="shared" si="107"/>
        <v>0.50388486903585106</v>
      </c>
      <c r="BN51" s="21">
        <f t="shared" si="107"/>
        <v>0.97930630606649349</v>
      </c>
      <c r="BO51" s="21">
        <f t="shared" si="107"/>
        <v>2.0317187624274218</v>
      </c>
      <c r="BP51" s="21">
        <f t="shared" si="107"/>
        <v>3.2088796724623787</v>
      </c>
      <c r="BQ51" s="21">
        <f t="shared" si="107"/>
        <v>4.8638752926154494</v>
      </c>
      <c r="BR51" s="21">
        <f t="shared" si="107"/>
        <v>6.5353207346286961</v>
      </c>
      <c r="BS51" s="21">
        <f t="shared" si="107"/>
        <v>7.4929137336093961</v>
      </c>
      <c r="BT51" s="21">
        <f t="shared" si="107"/>
        <v>7.9609261723785814</v>
      </c>
      <c r="BU51" s="21">
        <f t="shared" ca="1" si="107"/>
        <v>5.8541140909139218</v>
      </c>
      <c r="BV51" s="21">
        <f t="shared" ca="1" si="107"/>
        <v>6.3732890321641964</v>
      </c>
      <c r="BW51" s="21">
        <f t="shared" ca="1" si="107"/>
        <v>6.8028385547029613</v>
      </c>
      <c r="BX51" s="21">
        <f t="shared" ca="1" si="107"/>
        <v>6.7569816591815028</v>
      </c>
    </row>
    <row r="52" spans="1:7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 ht="15" customHeight="1" x14ac:dyDescent="0.25">
      <c r="A53" s="11" t="s">
        <v>53</v>
      </c>
      <c r="B53" s="41" t="s">
        <v>82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 x14ac:dyDescent="0.25">
      <c r="A54" s="1"/>
      <c r="B54" s="1"/>
      <c r="C54" s="11" t="s">
        <v>24</v>
      </c>
      <c r="D54" s="1"/>
      <c r="E54" s="1"/>
      <c r="F54" s="47">
        <f>'Canalyst HC - Q'!C505</f>
        <v>32.6</v>
      </c>
      <c r="G54" s="47">
        <f>'Canalyst HC - Q'!D505</f>
        <v>49.323</v>
      </c>
      <c r="H54" s="47">
        <f>'Canalyst HC - Q'!E505</f>
        <v>54.216999999999999</v>
      </c>
      <c r="I54" s="47">
        <f>'Canalyst HC - Q'!F505</f>
        <v>21.85</v>
      </c>
      <c r="J54" s="47">
        <f>'Canalyst HC - Q'!G505</f>
        <v>31.94</v>
      </c>
      <c r="K54" s="47">
        <f>'Canalyst HC - Q'!H505</f>
        <v>43.514000000000003</v>
      </c>
      <c r="L54" s="47">
        <f>'Canalyst HC - Q'!I505</f>
        <v>11.922000000000001</v>
      </c>
      <c r="M54" s="47">
        <f>'Canalyst HC - Q'!J505</f>
        <v>16.902000000000001</v>
      </c>
      <c r="N54" s="47">
        <f>'Canalyst HC - Q'!K505</f>
        <v>8.4789999999999992</v>
      </c>
      <c r="O54" s="47">
        <f>'Canalyst HC - Q'!L505</f>
        <v>19.724</v>
      </c>
      <c r="P54" s="47">
        <f>'Canalyst HC - Q'!M505</f>
        <v>9.3369999999999997</v>
      </c>
      <c r="Q54" s="47">
        <f>'Canalyst HC - Q'!N505</f>
        <v>13.548</v>
      </c>
      <c r="R54" s="47">
        <f>'Canalyst HC - Q'!O505</f>
        <v>8.4969999999999999</v>
      </c>
      <c r="S54" s="47">
        <f>'Canalyst HC - Q'!P505</f>
        <v>5.6920000000000002</v>
      </c>
      <c r="T54" s="47">
        <f>'Canalyst HC - Q'!Q505</f>
        <v>5.9889999999999999</v>
      </c>
      <c r="U54" s="47">
        <f>'Canalyst HC - Q'!R505</f>
        <v>9.6140000000000008</v>
      </c>
      <c r="V54" s="47">
        <f>'Canalyst HC - Q'!S505</f>
        <v>47.747999999999998</v>
      </c>
      <c r="W54" s="47">
        <f>'Canalyst HC - Q'!T505</f>
        <v>77.55</v>
      </c>
      <c r="X54" s="47">
        <f>'Canalyst HC - Q'!U505</f>
        <v>164.82300000000001</v>
      </c>
      <c r="Y54" s="47">
        <f>'Canalyst HC - Q'!V505</f>
        <v>54.792999999999999</v>
      </c>
      <c r="Z54" s="47">
        <f>'Canalyst HC - Q'!W505</f>
        <v>51.828000000000003</v>
      </c>
      <c r="AA54" s="47">
        <f>'Canalyst HC - Q'!X505</f>
        <v>54.204000000000001</v>
      </c>
      <c r="AB54" s="47">
        <f>'Canalyst HC - Q'!Y505</f>
        <v>186.87799999999999</v>
      </c>
      <c r="AC54" s="47">
        <f>'Canalyst HC - Q'!Z505</f>
        <v>142.31399999999999</v>
      </c>
      <c r="AD54" s="47">
        <f>'Canalyst HC - Q'!AA505</f>
        <v>127.08499999999999</v>
      </c>
      <c r="AE54" s="47">
        <f>'Canalyst HC - Q'!AB505</f>
        <v>188.803</v>
      </c>
      <c r="AF54" s="47">
        <f>'Canalyst HC - Q'!AC505</f>
        <v>163.244</v>
      </c>
      <c r="AG54" s="47">
        <f>'Canalyst HC - Q'!AD505</f>
        <v>197.648</v>
      </c>
      <c r="AH54" s="47">
        <f>'Canalyst HC - Q'!AE505</f>
        <v>289.78100000000001</v>
      </c>
      <c r="AI54" s="47">
        <f>'Canalyst HC - Q'!AF505</f>
        <v>430.17200000000003</v>
      </c>
      <c r="AJ54" s="47">
        <f>'Canalyst HC - Q'!AG505</f>
        <v>616.21699999999998</v>
      </c>
      <c r="AK54" s="47">
        <f>'Canalyst HC - Q'!AH505</f>
        <v>635.26900000000001</v>
      </c>
      <c r="AL54" s="47">
        <f>'Canalyst HC - Q'!AI505</f>
        <v>401.26</v>
      </c>
      <c r="AM54" s="47">
        <f>'Canalyst HC - Q'!AJ505</f>
        <v>1699.288</v>
      </c>
      <c r="AN54" s="47">
        <f>'Canalyst HC - Q'!AK505</f>
        <v>1236.0060000000001</v>
      </c>
      <c r="AO54" s="47">
        <f>'Canalyst HC - Q'!AL505</f>
        <v>1135.8240000000001</v>
      </c>
      <c r="AP54" s="47">
        <f>'Canalyst HC - Q'!AM505</f>
        <v>1151.8050000000001</v>
      </c>
      <c r="AQ54" s="47">
        <f>'Canalyst HC - Q'!AN505</f>
        <v>1219.925</v>
      </c>
      <c r="AR54" s="47">
        <f>'Canalyst HC - Q'!AO505</f>
        <v>1532.473</v>
      </c>
      <c r="AS54" s="47">
        <f>'Canalyst HC - Q'!AP505</f>
        <v>281.91800000000001</v>
      </c>
      <c r="AT54" s="38">
        <f t="shared" ref="AT54:BI54" ca="1" si="108">AS54+AT77</f>
        <v>254.79419074216858</v>
      </c>
      <c r="AU54" s="38">
        <f t="shared" ca="1" si="108"/>
        <v>254.79419074216858</v>
      </c>
      <c r="AV54" s="38">
        <f t="shared" ca="1" si="108"/>
        <v>254.79419074216858</v>
      </c>
      <c r="AW54" s="38">
        <f t="shared" ca="1" si="108"/>
        <v>251.41960811498134</v>
      </c>
      <c r="AX54" s="38">
        <f t="shared" ca="1" si="108"/>
        <v>216.64328613087801</v>
      </c>
      <c r="AY54" s="38">
        <f t="shared" ca="1" si="108"/>
        <v>216.64328613087801</v>
      </c>
      <c r="AZ54" s="38">
        <f t="shared" ca="1" si="108"/>
        <v>216.64328613087801</v>
      </c>
      <c r="BA54" s="38">
        <f t="shared" ca="1" si="108"/>
        <v>216.64328613087801</v>
      </c>
      <c r="BB54" s="38">
        <f t="shared" ca="1" si="108"/>
        <v>191.23840689119658</v>
      </c>
      <c r="BC54" s="38">
        <f t="shared" ca="1" si="108"/>
        <v>191.23840689119658</v>
      </c>
      <c r="BD54" s="38">
        <f t="shared" ca="1" si="108"/>
        <v>191.23840689119658</v>
      </c>
      <c r="BE54" s="38">
        <f t="shared" ca="1" si="108"/>
        <v>191.23840689119658</v>
      </c>
      <c r="BF54" s="38">
        <f t="shared" ca="1" si="108"/>
        <v>164.76065700008735</v>
      </c>
      <c r="BG54" s="38">
        <f t="shared" ca="1" si="108"/>
        <v>164.76065700008735</v>
      </c>
      <c r="BH54" s="38">
        <f t="shared" ca="1" si="108"/>
        <v>164.76065700008735</v>
      </c>
      <c r="BI54" s="38">
        <f t="shared" ca="1" si="108"/>
        <v>164.76065700008735</v>
      </c>
      <c r="BJ54" s="1"/>
      <c r="BK54" s="38">
        <f t="shared" ref="BK54:BX56" si="109">AVERAGEIF($F$1:$BI$1,BK$1,$F54:$BI54)</f>
        <v>39.497499999999995</v>
      </c>
      <c r="BL54" s="38">
        <f t="shared" si="109"/>
        <v>26.069500000000001</v>
      </c>
      <c r="BM54" s="38">
        <f t="shared" si="109"/>
        <v>12.772</v>
      </c>
      <c r="BN54" s="38">
        <f t="shared" si="109"/>
        <v>7.4480000000000004</v>
      </c>
      <c r="BO54" s="38">
        <f t="shared" si="109"/>
        <v>86.228499999999997</v>
      </c>
      <c r="BP54" s="38">
        <f t="shared" si="109"/>
        <v>108.80599999999998</v>
      </c>
      <c r="BQ54" s="38">
        <f t="shared" si="109"/>
        <v>169.19499999999999</v>
      </c>
      <c r="BR54" s="38">
        <f t="shared" si="109"/>
        <v>492.85975000000002</v>
      </c>
      <c r="BS54" s="38">
        <f t="shared" si="109"/>
        <v>1118.0945000000002</v>
      </c>
      <c r="BT54" s="38">
        <f t="shared" si="109"/>
        <v>1046.53025</v>
      </c>
      <c r="BU54" s="38">
        <f t="shared" ca="1" si="109"/>
        <v>253.95054508537177</v>
      </c>
      <c r="BV54" s="38">
        <f t="shared" ca="1" si="109"/>
        <v>216.64328613087801</v>
      </c>
      <c r="BW54" s="38">
        <f t="shared" ca="1" si="109"/>
        <v>191.23840689119658</v>
      </c>
      <c r="BX54" s="38">
        <f t="shared" ca="1" si="109"/>
        <v>164.76065700008735</v>
      </c>
    </row>
    <row r="55" spans="1:76" x14ac:dyDescent="0.25">
      <c r="A55" s="1"/>
      <c r="B55" s="1"/>
      <c r="C55" s="11" t="s">
        <v>83</v>
      </c>
      <c r="D55" s="1"/>
      <c r="E55" s="1"/>
      <c r="F55" s="47">
        <f>'Canalyst HC - Q'!C508</f>
        <v>814.09399999999994</v>
      </c>
      <c r="G55" s="47">
        <f>'Canalyst HC - Q'!D508</f>
        <v>882.11400000000003</v>
      </c>
      <c r="H55" s="47">
        <f>'Canalyst HC - Q'!E508</f>
        <v>870.56799999999998</v>
      </c>
      <c r="I55" s="47">
        <f>'Canalyst HC - Q'!F508</f>
        <v>955.97500000000002</v>
      </c>
      <c r="J55" s="47">
        <f>'Canalyst HC - Q'!G508</f>
        <v>1049.202</v>
      </c>
      <c r="K55" s="47">
        <f>'Canalyst HC - Q'!H508</f>
        <v>1125.604</v>
      </c>
      <c r="L55" s="47">
        <f>'Canalyst HC - Q'!I508</f>
        <v>1170.9739999999999</v>
      </c>
      <c r="M55" s="47">
        <f>'Canalyst HC - Q'!J508</f>
        <v>1131.4870000000001</v>
      </c>
      <c r="N55" s="47">
        <f>'Canalyst HC - Q'!K508</f>
        <v>1252.5250000000001</v>
      </c>
      <c r="O55" s="47">
        <f>'Canalyst HC - Q'!L508</f>
        <v>1170.588</v>
      </c>
      <c r="P55" s="47">
        <f>'Canalyst HC - Q'!M508</f>
        <v>1231.3869999999999</v>
      </c>
      <c r="Q55" s="47">
        <f>'Canalyst HC - Q'!N508</f>
        <v>1139.6510000000001</v>
      </c>
      <c r="R55" s="47">
        <f>'Canalyst HC - Q'!O508</f>
        <v>1171.848</v>
      </c>
      <c r="S55" s="47">
        <f>'Canalyst HC - Q'!P508</f>
        <v>1123.3530000000001</v>
      </c>
      <c r="T55" s="47">
        <f>'Canalyst HC - Q'!Q508</f>
        <v>1056.364</v>
      </c>
      <c r="U55" s="47">
        <f>'Canalyst HC - Q'!R508</f>
        <v>1056.7260000000001</v>
      </c>
      <c r="V55" s="47">
        <f>'Canalyst HC - Q'!S508</f>
        <v>1101.124</v>
      </c>
      <c r="W55" s="47">
        <f>'Canalyst HC - Q'!T508</f>
        <v>987.19299999999998</v>
      </c>
      <c r="X55" s="47">
        <f>'Canalyst HC - Q'!U508</f>
        <v>1039.864</v>
      </c>
      <c r="Y55" s="47">
        <f>'Canalyst HC - Q'!V508</f>
        <v>1016.309</v>
      </c>
      <c r="Z55" s="47">
        <f>'Canalyst HC - Q'!W508</f>
        <v>983.96899999999994</v>
      </c>
      <c r="AA55" s="47">
        <f>'Canalyst HC - Q'!X508</f>
        <v>851.71199999999999</v>
      </c>
      <c r="AB55" s="47">
        <f>'Canalyst HC - Q'!Y508</f>
        <v>865.45400000000006</v>
      </c>
      <c r="AC55" s="47">
        <f>'Canalyst HC - Q'!Z508</f>
        <v>794.50900000000001</v>
      </c>
      <c r="AD55" s="47">
        <f>'Canalyst HC - Q'!AA508</f>
        <v>735.00900000000001</v>
      </c>
      <c r="AE55" s="47">
        <f>'Canalyst HC - Q'!AB508</f>
        <v>734.53899999999999</v>
      </c>
      <c r="AF55" s="47">
        <f>'Canalyst HC - Q'!AC508</f>
        <v>609.14700000000005</v>
      </c>
      <c r="AG55" s="47">
        <f>'Canalyst HC - Q'!AD508</f>
        <v>608.63900000000001</v>
      </c>
      <c r="AH55" s="47">
        <f>'Canalyst HC - Q'!AE508</f>
        <v>608.12400000000002</v>
      </c>
      <c r="AI55" s="47">
        <f>'Canalyst HC - Q'!AF508</f>
        <v>607.68399999999997</v>
      </c>
      <c r="AJ55" s="47">
        <f>'Canalyst HC - Q'!AG508</f>
        <v>607.23300000000006</v>
      </c>
      <c r="AK55" s="47">
        <f>'Canalyst HC - Q'!AH508</f>
        <v>606.678</v>
      </c>
      <c r="AL55" s="47">
        <f>'Canalyst HC - Q'!AI508</f>
        <v>606.21100000000001</v>
      </c>
      <c r="AM55" s="47">
        <f>'Canalyst HC - Q'!AJ508</f>
        <v>1791.4</v>
      </c>
      <c r="AN55" s="47">
        <f>'Canalyst HC - Q'!AK508</f>
        <v>1791.453</v>
      </c>
      <c r="AO55" s="47">
        <f>'Canalyst HC - Q'!AL508</f>
        <v>1791.3789999999999</v>
      </c>
      <c r="AP55" s="47">
        <f>'Canalyst HC - Q'!AM508</f>
        <v>1791.33</v>
      </c>
      <c r="AQ55" s="47">
        <f>'Canalyst HC - Q'!AN508</f>
        <v>1790.798</v>
      </c>
      <c r="AR55" s="47">
        <f>'Canalyst HC - Q'!AO508</f>
        <v>1790.2619999999999</v>
      </c>
      <c r="AS55" s="47">
        <f>'Canalyst HC - Q'!AP508</f>
        <v>2787.7530000000002</v>
      </c>
      <c r="AT55" s="38">
        <f t="shared" ref="AT55:BI55" si="110">AS55+AT70+AT71</f>
        <v>2787.7530000000002</v>
      </c>
      <c r="AU55" s="38">
        <f t="shared" si="110"/>
        <v>2787.7530000000002</v>
      </c>
      <c r="AV55" s="38">
        <f t="shared" si="110"/>
        <v>2787.7530000000002</v>
      </c>
      <c r="AW55" s="38">
        <f t="shared" si="110"/>
        <v>2787.7530000000002</v>
      </c>
      <c r="AX55" s="38">
        <f t="shared" si="110"/>
        <v>2787.7530000000002</v>
      </c>
      <c r="AY55" s="38">
        <f t="shared" si="110"/>
        <v>2787.7530000000002</v>
      </c>
      <c r="AZ55" s="38">
        <f t="shared" si="110"/>
        <v>2787.7530000000002</v>
      </c>
      <c r="BA55" s="38">
        <f t="shared" si="110"/>
        <v>2787.7530000000002</v>
      </c>
      <c r="BB55" s="38">
        <f t="shared" si="110"/>
        <v>2787.7530000000002</v>
      </c>
      <c r="BC55" s="38">
        <f t="shared" si="110"/>
        <v>2787.7530000000002</v>
      </c>
      <c r="BD55" s="38">
        <f t="shared" si="110"/>
        <v>2787.7530000000002</v>
      </c>
      <c r="BE55" s="38">
        <f t="shared" si="110"/>
        <v>2787.7530000000002</v>
      </c>
      <c r="BF55" s="38">
        <f t="shared" si="110"/>
        <v>2787.7530000000002</v>
      </c>
      <c r="BG55" s="38">
        <f t="shared" si="110"/>
        <v>2787.7530000000002</v>
      </c>
      <c r="BH55" s="38">
        <f t="shared" si="110"/>
        <v>2787.7530000000002</v>
      </c>
      <c r="BI55" s="38">
        <f t="shared" si="110"/>
        <v>2787.7530000000002</v>
      </c>
      <c r="BJ55" s="1"/>
      <c r="BK55" s="38">
        <f t="shared" si="109"/>
        <v>880.68774999999994</v>
      </c>
      <c r="BL55" s="38">
        <f t="shared" si="109"/>
        <v>1119.31675</v>
      </c>
      <c r="BM55" s="38">
        <f t="shared" si="109"/>
        <v>1198.53775</v>
      </c>
      <c r="BN55" s="38">
        <f t="shared" si="109"/>
        <v>1102.07275</v>
      </c>
      <c r="BO55" s="38">
        <f t="shared" si="109"/>
        <v>1036.1224999999999</v>
      </c>
      <c r="BP55" s="38">
        <f t="shared" si="109"/>
        <v>873.91100000000006</v>
      </c>
      <c r="BQ55" s="38">
        <f t="shared" si="109"/>
        <v>671.83350000000007</v>
      </c>
      <c r="BR55" s="38">
        <f t="shared" si="109"/>
        <v>607.42975000000001</v>
      </c>
      <c r="BS55" s="38">
        <f t="shared" si="109"/>
        <v>1495.1107500000001</v>
      </c>
      <c r="BT55" s="38">
        <f t="shared" si="109"/>
        <v>2040.03575</v>
      </c>
      <c r="BU55" s="38">
        <f t="shared" si="109"/>
        <v>2787.7530000000002</v>
      </c>
      <c r="BV55" s="38">
        <f t="shared" si="109"/>
        <v>2787.7530000000002</v>
      </c>
      <c r="BW55" s="38">
        <f t="shared" si="109"/>
        <v>2787.7530000000002</v>
      </c>
      <c r="BX55" s="38">
        <f t="shared" si="109"/>
        <v>2787.7530000000002</v>
      </c>
    </row>
    <row r="56" spans="1:76" x14ac:dyDescent="0.25">
      <c r="A56" s="1"/>
      <c r="B56" s="1"/>
      <c r="C56" s="11" t="s">
        <v>84</v>
      </c>
      <c r="D56" s="1"/>
      <c r="E56" s="1"/>
      <c r="F56" s="47">
        <f>'Canalyst HC - Q'!C509</f>
        <v>0</v>
      </c>
      <c r="G56" s="47">
        <f>'Canalyst HC - Q'!D509</f>
        <v>0</v>
      </c>
      <c r="H56" s="47">
        <f>'Canalyst HC - Q'!E509</f>
        <v>0</v>
      </c>
      <c r="I56" s="47">
        <f>'Canalyst HC - Q'!F509</f>
        <v>0</v>
      </c>
      <c r="J56" s="47">
        <f>'Canalyst HC - Q'!G509</f>
        <v>0</v>
      </c>
      <c r="K56" s="47">
        <f>'Canalyst HC - Q'!H509</f>
        <v>0</v>
      </c>
      <c r="L56" s="47">
        <f>'Canalyst HC - Q'!I509</f>
        <v>0</v>
      </c>
      <c r="M56" s="47">
        <f>'Canalyst HC - Q'!J509</f>
        <v>0</v>
      </c>
      <c r="N56" s="47">
        <f>'Canalyst HC - Q'!K509</f>
        <v>0</v>
      </c>
      <c r="O56" s="47">
        <f>'Canalyst HC - Q'!L509</f>
        <v>0</v>
      </c>
      <c r="P56" s="47">
        <f>'Canalyst HC - Q'!M509</f>
        <v>0</v>
      </c>
      <c r="Q56" s="47">
        <f>'Canalyst HC - Q'!N509</f>
        <v>0</v>
      </c>
      <c r="R56" s="47">
        <f>'Canalyst HC - Q'!O509</f>
        <v>84.9</v>
      </c>
      <c r="S56" s="47">
        <f>'Canalyst HC - Q'!P509</f>
        <v>102.575</v>
      </c>
      <c r="T56" s="47">
        <f>'Canalyst HC - Q'!Q509</f>
        <v>116.813</v>
      </c>
      <c r="U56" s="47">
        <f>'Canalyst HC - Q'!R509</f>
        <v>112.789</v>
      </c>
      <c r="V56" s="47">
        <f>'Canalyst HC - Q'!S509</f>
        <v>142.535</v>
      </c>
      <c r="W56" s="47">
        <f>'Canalyst HC - Q'!T509</f>
        <v>139.655</v>
      </c>
      <c r="X56" s="47">
        <f>'Canalyst HC - Q'!U509</f>
        <v>140.1</v>
      </c>
      <c r="Y56" s="47">
        <f>'Canalyst HC - Q'!V509</f>
        <v>139.68899999999999</v>
      </c>
      <c r="Z56" s="47">
        <f>'Canalyst HC - Q'!W509</f>
        <v>134.875</v>
      </c>
      <c r="AA56" s="47">
        <f>'Canalyst HC - Q'!X509</f>
        <v>135.995</v>
      </c>
      <c r="AB56" s="47">
        <f>'Canalyst HC - Q'!Y509</f>
        <v>144.27699999999999</v>
      </c>
      <c r="AC56" s="47">
        <f>'Canalyst HC - Q'!Z509</f>
        <v>144.09399999999999</v>
      </c>
      <c r="AD56" s="47">
        <f>'Canalyst HC - Q'!AA509</f>
        <v>143.37</v>
      </c>
      <c r="AE56" s="47">
        <f>'Canalyst HC - Q'!AB509</f>
        <v>141.827</v>
      </c>
      <c r="AF56" s="47">
        <f>'Canalyst HC - Q'!AC509</f>
        <v>146.08199999999999</v>
      </c>
      <c r="AG56" s="47">
        <f>'Canalyst HC - Q'!AD509</f>
        <v>146.398</v>
      </c>
      <c r="AH56" s="47">
        <f>'Canalyst HC - Q'!AE509</f>
        <v>140.36099999999999</v>
      </c>
      <c r="AI56" s="47">
        <f>'Canalyst HC - Q'!AF509</f>
        <v>134.94</v>
      </c>
      <c r="AJ56" s="47">
        <f>'Canalyst HC - Q'!AG509</f>
        <v>129.65199999999999</v>
      </c>
      <c r="AK56" s="47">
        <f>'Canalyst HC - Q'!AH509</f>
        <v>128.465</v>
      </c>
      <c r="AL56" s="47">
        <f>'Canalyst HC - Q'!AI509</f>
        <v>122.06399999999999</v>
      </c>
      <c r="AM56" s="47">
        <f>'Canalyst HC - Q'!AJ509</f>
        <v>116.17100000000001</v>
      </c>
      <c r="AN56" s="47">
        <f>'Canalyst HC - Q'!AK509</f>
        <v>108.18600000000001</v>
      </c>
      <c r="AO56" s="47">
        <f>'Canalyst HC - Q'!AL509</f>
        <v>115.619</v>
      </c>
      <c r="AP56" s="47">
        <f>'Canalyst HC - Q'!AM509</f>
        <v>110.71899999999999</v>
      </c>
      <c r="AQ56" s="47">
        <f>'Canalyst HC - Q'!AN509</f>
        <v>111.751</v>
      </c>
      <c r="AR56" s="47">
        <f>'Canalyst HC - Q'!AO509</f>
        <v>126.158</v>
      </c>
      <c r="AS56" s="47">
        <f>'Canalyst HC - Q'!AP509</f>
        <v>119.488</v>
      </c>
      <c r="AT56" s="38">
        <f t="shared" ref="AT56:BI56" si="111">AS56</f>
        <v>119.488</v>
      </c>
      <c r="AU56" s="38">
        <f t="shared" si="111"/>
        <v>119.488</v>
      </c>
      <c r="AV56" s="38">
        <f t="shared" si="111"/>
        <v>119.488</v>
      </c>
      <c r="AW56" s="38">
        <f t="shared" si="111"/>
        <v>119.488</v>
      </c>
      <c r="AX56" s="38">
        <f t="shared" si="111"/>
        <v>119.488</v>
      </c>
      <c r="AY56" s="38">
        <f t="shared" si="111"/>
        <v>119.488</v>
      </c>
      <c r="AZ56" s="38">
        <f t="shared" si="111"/>
        <v>119.488</v>
      </c>
      <c r="BA56" s="38">
        <f t="shared" si="111"/>
        <v>119.488</v>
      </c>
      <c r="BB56" s="38">
        <f t="shared" si="111"/>
        <v>119.488</v>
      </c>
      <c r="BC56" s="38">
        <f t="shared" si="111"/>
        <v>119.488</v>
      </c>
      <c r="BD56" s="38">
        <f t="shared" si="111"/>
        <v>119.488</v>
      </c>
      <c r="BE56" s="38">
        <f t="shared" si="111"/>
        <v>119.488</v>
      </c>
      <c r="BF56" s="38">
        <f t="shared" si="111"/>
        <v>119.488</v>
      </c>
      <c r="BG56" s="38">
        <f t="shared" si="111"/>
        <v>119.488</v>
      </c>
      <c r="BH56" s="38">
        <f t="shared" si="111"/>
        <v>119.488</v>
      </c>
      <c r="BI56" s="38">
        <f t="shared" si="111"/>
        <v>119.488</v>
      </c>
      <c r="BJ56" s="1"/>
      <c r="BK56" s="38">
        <f t="shared" si="109"/>
        <v>0</v>
      </c>
      <c r="BL56" s="38">
        <f t="shared" si="109"/>
        <v>0</v>
      </c>
      <c r="BM56" s="38">
        <f t="shared" si="109"/>
        <v>0</v>
      </c>
      <c r="BN56" s="38">
        <f t="shared" si="109"/>
        <v>104.26925</v>
      </c>
      <c r="BO56" s="38">
        <f t="shared" si="109"/>
        <v>140.49474999999998</v>
      </c>
      <c r="BP56" s="38">
        <f t="shared" si="109"/>
        <v>139.81025</v>
      </c>
      <c r="BQ56" s="38">
        <f t="shared" si="109"/>
        <v>144.41925000000001</v>
      </c>
      <c r="BR56" s="38">
        <f t="shared" si="109"/>
        <v>133.3545</v>
      </c>
      <c r="BS56" s="38">
        <f t="shared" si="109"/>
        <v>115.51000000000002</v>
      </c>
      <c r="BT56" s="38">
        <f t="shared" si="109"/>
        <v>117.029</v>
      </c>
      <c r="BU56" s="38">
        <f t="shared" si="109"/>
        <v>119.488</v>
      </c>
      <c r="BV56" s="38">
        <f t="shared" si="109"/>
        <v>119.488</v>
      </c>
      <c r="BW56" s="38">
        <f t="shared" si="109"/>
        <v>119.488</v>
      </c>
      <c r="BX56" s="38">
        <f t="shared" si="109"/>
        <v>119.488</v>
      </c>
    </row>
    <row r="57" spans="1:76" ht="15" customHeight="1" x14ac:dyDescent="0.25">
      <c r="A57" s="1"/>
      <c r="B57" s="3" t="s">
        <v>85</v>
      </c>
      <c r="C57" s="1"/>
      <c r="D57" s="1"/>
      <c r="E57" s="1"/>
      <c r="F57" s="46">
        <f t="shared" ref="F57:AK57" si="112">F55+F56-F54</f>
        <v>781.49399999999991</v>
      </c>
      <c r="G57" s="46">
        <f t="shared" si="112"/>
        <v>832.79100000000005</v>
      </c>
      <c r="H57" s="46">
        <f t="shared" si="112"/>
        <v>816.351</v>
      </c>
      <c r="I57" s="46">
        <f t="shared" si="112"/>
        <v>934.125</v>
      </c>
      <c r="J57" s="46">
        <f t="shared" si="112"/>
        <v>1017.2619999999999</v>
      </c>
      <c r="K57" s="46">
        <f t="shared" si="112"/>
        <v>1082.0900000000001</v>
      </c>
      <c r="L57" s="46">
        <f t="shared" si="112"/>
        <v>1159.0519999999999</v>
      </c>
      <c r="M57" s="46">
        <f t="shared" si="112"/>
        <v>1114.585</v>
      </c>
      <c r="N57" s="46">
        <f t="shared" si="112"/>
        <v>1244.046</v>
      </c>
      <c r="O57" s="46">
        <f t="shared" si="112"/>
        <v>1150.864</v>
      </c>
      <c r="P57" s="46">
        <f t="shared" si="112"/>
        <v>1222.05</v>
      </c>
      <c r="Q57" s="46">
        <f t="shared" si="112"/>
        <v>1126.1030000000001</v>
      </c>
      <c r="R57" s="46">
        <f t="shared" si="112"/>
        <v>1248.251</v>
      </c>
      <c r="S57" s="46">
        <f t="shared" si="112"/>
        <v>1220.2360000000001</v>
      </c>
      <c r="T57" s="46">
        <f t="shared" si="112"/>
        <v>1167.1880000000001</v>
      </c>
      <c r="U57" s="46">
        <f t="shared" si="112"/>
        <v>1159.9010000000001</v>
      </c>
      <c r="V57" s="46">
        <f t="shared" si="112"/>
        <v>1195.9110000000001</v>
      </c>
      <c r="W57" s="46">
        <f t="shared" si="112"/>
        <v>1049.298</v>
      </c>
      <c r="X57" s="46">
        <f t="shared" si="112"/>
        <v>1015.141</v>
      </c>
      <c r="Y57" s="46">
        <f t="shared" si="112"/>
        <v>1101.2050000000002</v>
      </c>
      <c r="Z57" s="46">
        <f t="shared" si="112"/>
        <v>1067.0160000000001</v>
      </c>
      <c r="AA57" s="46">
        <f t="shared" si="112"/>
        <v>933.50300000000004</v>
      </c>
      <c r="AB57" s="46">
        <f t="shared" si="112"/>
        <v>822.85300000000007</v>
      </c>
      <c r="AC57" s="46">
        <f t="shared" si="112"/>
        <v>796.2890000000001</v>
      </c>
      <c r="AD57" s="46">
        <f t="shared" si="112"/>
        <v>751.29399999999998</v>
      </c>
      <c r="AE57" s="46">
        <f t="shared" si="112"/>
        <v>687.56299999999999</v>
      </c>
      <c r="AF57" s="46">
        <f t="shared" si="112"/>
        <v>591.98500000000001</v>
      </c>
      <c r="AG57" s="46">
        <f t="shared" si="112"/>
        <v>557.38900000000001</v>
      </c>
      <c r="AH57" s="46">
        <f t="shared" si="112"/>
        <v>458.70400000000001</v>
      </c>
      <c r="AI57" s="46">
        <f t="shared" si="112"/>
        <v>312.452</v>
      </c>
      <c r="AJ57" s="46">
        <f t="shared" si="112"/>
        <v>120.66800000000001</v>
      </c>
      <c r="AK57" s="46">
        <f t="shared" si="112"/>
        <v>99.874000000000024</v>
      </c>
      <c r="AL57" s="46">
        <f t="shared" ref="AL57:BI57" si="113">AL55+AL56-AL54</f>
        <v>327.01499999999999</v>
      </c>
      <c r="AM57" s="46">
        <f t="shared" si="113"/>
        <v>208.28300000000013</v>
      </c>
      <c r="AN57" s="46">
        <f t="shared" si="113"/>
        <v>663.63299999999981</v>
      </c>
      <c r="AO57" s="46">
        <f t="shared" si="113"/>
        <v>771.17399999999975</v>
      </c>
      <c r="AP57" s="46">
        <f t="shared" si="113"/>
        <v>750.24399999999991</v>
      </c>
      <c r="AQ57" s="46">
        <f t="shared" si="113"/>
        <v>682.62400000000002</v>
      </c>
      <c r="AR57" s="46">
        <f t="shared" si="113"/>
        <v>383.94699999999989</v>
      </c>
      <c r="AS57" s="46">
        <f t="shared" si="113"/>
        <v>2625.3229999999999</v>
      </c>
      <c r="AT57" s="46">
        <f t="shared" ca="1" si="113"/>
        <v>2652.4468092578313</v>
      </c>
      <c r="AU57" s="46">
        <f t="shared" ca="1" si="113"/>
        <v>2652.4468092578313</v>
      </c>
      <c r="AV57" s="46">
        <f t="shared" ca="1" si="113"/>
        <v>2652.4468092578313</v>
      </c>
      <c r="AW57" s="46">
        <f t="shared" ca="1" si="113"/>
        <v>2655.8213918850188</v>
      </c>
      <c r="AX57" s="46">
        <f t="shared" ca="1" si="113"/>
        <v>2690.5977138691219</v>
      </c>
      <c r="AY57" s="46">
        <f t="shared" ca="1" si="113"/>
        <v>2690.5977138691219</v>
      </c>
      <c r="AZ57" s="46">
        <f t="shared" ca="1" si="113"/>
        <v>2690.5977138691219</v>
      </c>
      <c r="BA57" s="46">
        <f t="shared" ca="1" si="113"/>
        <v>2690.5977138691219</v>
      </c>
      <c r="BB57" s="46">
        <f t="shared" ca="1" si="113"/>
        <v>2716.0025931088035</v>
      </c>
      <c r="BC57" s="46">
        <f t="shared" ca="1" si="113"/>
        <v>2716.0025931088035</v>
      </c>
      <c r="BD57" s="46">
        <f t="shared" ca="1" si="113"/>
        <v>2716.0025931088035</v>
      </c>
      <c r="BE57" s="46">
        <f t="shared" ca="1" si="113"/>
        <v>2716.0025931088035</v>
      </c>
      <c r="BF57" s="46">
        <f t="shared" ca="1" si="113"/>
        <v>2742.4803429999129</v>
      </c>
      <c r="BG57" s="46">
        <f t="shared" ca="1" si="113"/>
        <v>2742.4803429999129</v>
      </c>
      <c r="BH57" s="46">
        <f t="shared" ca="1" si="113"/>
        <v>2742.4803429999129</v>
      </c>
      <c r="BI57" s="46">
        <f t="shared" ca="1" si="113"/>
        <v>2742.4803429999129</v>
      </c>
      <c r="BJ57" s="1"/>
      <c r="BK57" s="46">
        <f t="shared" ref="BK57:BX57" si="114">BK55+BK56-BK54</f>
        <v>841.19024999999999</v>
      </c>
      <c r="BL57" s="46">
        <f t="shared" si="114"/>
        <v>1093.2472499999999</v>
      </c>
      <c r="BM57" s="46">
        <f t="shared" si="114"/>
        <v>1185.76575</v>
      </c>
      <c r="BN57" s="46">
        <f t="shared" si="114"/>
        <v>1198.894</v>
      </c>
      <c r="BO57" s="46">
        <f t="shared" si="114"/>
        <v>1090.3887500000001</v>
      </c>
      <c r="BP57" s="46">
        <f t="shared" si="114"/>
        <v>904.91525000000001</v>
      </c>
      <c r="BQ57" s="46">
        <f t="shared" si="114"/>
        <v>647.05775000000017</v>
      </c>
      <c r="BR57" s="46">
        <f t="shared" si="114"/>
        <v>247.92450000000002</v>
      </c>
      <c r="BS57" s="46">
        <f t="shared" si="114"/>
        <v>492.52624999999989</v>
      </c>
      <c r="BT57" s="46">
        <f t="shared" si="114"/>
        <v>1110.5345</v>
      </c>
      <c r="BU57" s="46">
        <f t="shared" ca="1" si="114"/>
        <v>2653.2904549146283</v>
      </c>
      <c r="BV57" s="46">
        <f t="shared" ca="1" si="114"/>
        <v>2690.5977138691219</v>
      </c>
      <c r="BW57" s="46">
        <f t="shared" ca="1" si="114"/>
        <v>2716.0025931088035</v>
      </c>
      <c r="BX57" s="46">
        <f t="shared" ca="1" si="114"/>
        <v>2742.4803429999129</v>
      </c>
    </row>
    <row r="58" spans="1:76" ht="15" customHeight="1" x14ac:dyDescent="0.25">
      <c r="A58" s="1"/>
      <c r="B58" s="3" t="s">
        <v>86</v>
      </c>
      <c r="C58" s="1"/>
      <c r="D58" s="1"/>
      <c r="E58" s="1"/>
      <c r="F58" s="46">
        <f t="shared" ref="F58:AK58" si="115">F55-F54</f>
        <v>781.49399999999991</v>
      </c>
      <c r="G58" s="46">
        <f t="shared" si="115"/>
        <v>832.79100000000005</v>
      </c>
      <c r="H58" s="46">
        <f t="shared" si="115"/>
        <v>816.351</v>
      </c>
      <c r="I58" s="46">
        <f t="shared" si="115"/>
        <v>934.125</v>
      </c>
      <c r="J58" s="46">
        <f t="shared" si="115"/>
        <v>1017.2619999999999</v>
      </c>
      <c r="K58" s="46">
        <f t="shared" si="115"/>
        <v>1082.0900000000001</v>
      </c>
      <c r="L58" s="46">
        <f t="shared" si="115"/>
        <v>1159.0519999999999</v>
      </c>
      <c r="M58" s="46">
        <f t="shared" si="115"/>
        <v>1114.585</v>
      </c>
      <c r="N58" s="46">
        <f t="shared" si="115"/>
        <v>1244.046</v>
      </c>
      <c r="O58" s="46">
        <f t="shared" si="115"/>
        <v>1150.864</v>
      </c>
      <c r="P58" s="46">
        <f t="shared" si="115"/>
        <v>1222.05</v>
      </c>
      <c r="Q58" s="46">
        <f t="shared" si="115"/>
        <v>1126.1030000000001</v>
      </c>
      <c r="R58" s="46">
        <f t="shared" si="115"/>
        <v>1163.3509999999999</v>
      </c>
      <c r="S58" s="46">
        <f t="shared" si="115"/>
        <v>1117.6610000000001</v>
      </c>
      <c r="T58" s="46">
        <f t="shared" si="115"/>
        <v>1050.375</v>
      </c>
      <c r="U58" s="46">
        <f t="shared" si="115"/>
        <v>1047.1120000000001</v>
      </c>
      <c r="V58" s="46">
        <f t="shared" si="115"/>
        <v>1053.376</v>
      </c>
      <c r="W58" s="46">
        <f t="shared" si="115"/>
        <v>909.64300000000003</v>
      </c>
      <c r="X58" s="46">
        <f t="shared" si="115"/>
        <v>875.04100000000005</v>
      </c>
      <c r="Y58" s="46">
        <f t="shared" si="115"/>
        <v>961.51599999999996</v>
      </c>
      <c r="Z58" s="46">
        <f t="shared" si="115"/>
        <v>932.14099999999996</v>
      </c>
      <c r="AA58" s="46">
        <f t="shared" si="115"/>
        <v>797.50800000000004</v>
      </c>
      <c r="AB58" s="46">
        <f t="shared" si="115"/>
        <v>678.57600000000002</v>
      </c>
      <c r="AC58" s="46">
        <f t="shared" si="115"/>
        <v>652.19500000000005</v>
      </c>
      <c r="AD58" s="46">
        <f t="shared" si="115"/>
        <v>607.92399999999998</v>
      </c>
      <c r="AE58" s="46">
        <f t="shared" si="115"/>
        <v>545.73599999999999</v>
      </c>
      <c r="AF58" s="46">
        <f t="shared" si="115"/>
        <v>445.90300000000002</v>
      </c>
      <c r="AG58" s="46">
        <f t="shared" si="115"/>
        <v>410.99099999999999</v>
      </c>
      <c r="AH58" s="46">
        <f t="shared" si="115"/>
        <v>318.34300000000002</v>
      </c>
      <c r="AI58" s="46">
        <f t="shared" si="115"/>
        <v>177.51199999999994</v>
      </c>
      <c r="AJ58" s="46">
        <f t="shared" si="115"/>
        <v>-8.9839999999999236</v>
      </c>
      <c r="AK58" s="46">
        <f t="shared" si="115"/>
        <v>-28.591000000000008</v>
      </c>
      <c r="AL58" s="46">
        <f t="shared" ref="AL58:BI58" si="116">AL55-AL54</f>
        <v>204.95100000000002</v>
      </c>
      <c r="AM58" s="46">
        <f t="shared" si="116"/>
        <v>92.11200000000008</v>
      </c>
      <c r="AN58" s="46">
        <f t="shared" si="116"/>
        <v>555.44699999999989</v>
      </c>
      <c r="AO58" s="46">
        <f t="shared" si="116"/>
        <v>655.55499999999984</v>
      </c>
      <c r="AP58" s="46">
        <f t="shared" si="116"/>
        <v>639.52499999999986</v>
      </c>
      <c r="AQ58" s="46">
        <f t="shared" si="116"/>
        <v>570.87300000000005</v>
      </c>
      <c r="AR58" s="46">
        <f t="shared" si="116"/>
        <v>257.78899999999999</v>
      </c>
      <c r="AS58" s="46">
        <f t="shared" si="116"/>
        <v>2505.835</v>
      </c>
      <c r="AT58" s="46">
        <f t="shared" ca="1" si="116"/>
        <v>2532.9588092578315</v>
      </c>
      <c r="AU58" s="46">
        <f t="shared" ca="1" si="116"/>
        <v>2532.9588092578315</v>
      </c>
      <c r="AV58" s="46">
        <f t="shared" ca="1" si="116"/>
        <v>2532.9588092578315</v>
      </c>
      <c r="AW58" s="46">
        <f t="shared" ca="1" si="116"/>
        <v>2536.333391885019</v>
      </c>
      <c r="AX58" s="46">
        <f t="shared" ca="1" si="116"/>
        <v>2571.1097138691221</v>
      </c>
      <c r="AY58" s="46">
        <f t="shared" ca="1" si="116"/>
        <v>2571.1097138691221</v>
      </c>
      <c r="AZ58" s="46">
        <f t="shared" ca="1" si="116"/>
        <v>2571.1097138691221</v>
      </c>
      <c r="BA58" s="46">
        <f t="shared" ca="1" si="116"/>
        <v>2571.1097138691221</v>
      </c>
      <c r="BB58" s="46">
        <f t="shared" ca="1" si="116"/>
        <v>2596.5145931088036</v>
      </c>
      <c r="BC58" s="46">
        <f t="shared" ca="1" si="116"/>
        <v>2596.5145931088036</v>
      </c>
      <c r="BD58" s="46">
        <f t="shared" ca="1" si="116"/>
        <v>2596.5145931088036</v>
      </c>
      <c r="BE58" s="46">
        <f t="shared" ca="1" si="116"/>
        <v>2596.5145931088036</v>
      </c>
      <c r="BF58" s="46">
        <f t="shared" ca="1" si="116"/>
        <v>2622.9923429999126</v>
      </c>
      <c r="BG58" s="46">
        <f t="shared" ca="1" si="116"/>
        <v>2622.9923429999126</v>
      </c>
      <c r="BH58" s="46">
        <f t="shared" ca="1" si="116"/>
        <v>2622.9923429999126</v>
      </c>
      <c r="BI58" s="46">
        <f t="shared" ca="1" si="116"/>
        <v>2622.9923429999126</v>
      </c>
      <c r="BJ58" s="1"/>
      <c r="BK58" s="46">
        <f t="shared" ref="BK58:BX58" si="117">BK55-BK54</f>
        <v>841.19024999999999</v>
      </c>
      <c r="BL58" s="46">
        <f t="shared" si="117"/>
        <v>1093.2472499999999</v>
      </c>
      <c r="BM58" s="46">
        <f t="shared" si="117"/>
        <v>1185.76575</v>
      </c>
      <c r="BN58" s="46">
        <f t="shared" si="117"/>
        <v>1094.6247499999999</v>
      </c>
      <c r="BO58" s="46">
        <f t="shared" si="117"/>
        <v>949.89400000000001</v>
      </c>
      <c r="BP58" s="46">
        <f t="shared" si="117"/>
        <v>765.10500000000002</v>
      </c>
      <c r="BQ58" s="46">
        <f t="shared" si="117"/>
        <v>502.63850000000008</v>
      </c>
      <c r="BR58" s="46">
        <f t="shared" si="117"/>
        <v>114.57</v>
      </c>
      <c r="BS58" s="46">
        <f t="shared" si="117"/>
        <v>377.0162499999999</v>
      </c>
      <c r="BT58" s="46">
        <f t="shared" si="117"/>
        <v>993.50549999999998</v>
      </c>
      <c r="BU58" s="46">
        <f t="shared" ca="1" si="117"/>
        <v>2533.8024549146285</v>
      </c>
      <c r="BV58" s="46">
        <f t="shared" ca="1" si="117"/>
        <v>2571.1097138691221</v>
      </c>
      <c r="BW58" s="46">
        <f t="shared" ca="1" si="117"/>
        <v>2596.5145931088036</v>
      </c>
      <c r="BX58" s="46">
        <f t="shared" ca="1" si="117"/>
        <v>2622.9923429999126</v>
      </c>
    </row>
    <row r="59" spans="1:7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 ht="15" customHeight="1" x14ac:dyDescent="0.25">
      <c r="A60" s="1"/>
      <c r="B60" s="3" t="s">
        <v>70</v>
      </c>
      <c r="C60" s="1"/>
      <c r="D60" s="1"/>
      <c r="E60" s="1"/>
      <c r="F60" s="46">
        <f t="shared" ref="F60:AK60" si="118">F26</f>
        <v>-9.0329999999999906</v>
      </c>
      <c r="G60" s="46">
        <f t="shared" si="118"/>
        <v>17.323999999999991</v>
      </c>
      <c r="H60" s="46">
        <f t="shared" si="118"/>
        <v>25.55300000000004</v>
      </c>
      <c r="I60" s="46">
        <f t="shared" si="118"/>
        <v>22.818999999999701</v>
      </c>
      <c r="J60" s="46">
        <f t="shared" si="118"/>
        <v>-4.4170000000000531</v>
      </c>
      <c r="K60" s="46">
        <f t="shared" si="118"/>
        <v>7.5809999999998769</v>
      </c>
      <c r="L60" s="46">
        <f t="shared" si="118"/>
        <v>18.911000000000051</v>
      </c>
      <c r="M60" s="46">
        <f t="shared" si="118"/>
        <v>80.77199999999948</v>
      </c>
      <c r="N60" s="46">
        <f t="shared" si="118"/>
        <v>-13.5619999999999</v>
      </c>
      <c r="O60" s="46">
        <f t="shared" si="118"/>
        <v>-2.7480000000000242</v>
      </c>
      <c r="P60" s="46">
        <f t="shared" si="118"/>
        <v>26.949999999999889</v>
      </c>
      <c r="Q60" s="46">
        <f t="shared" si="118"/>
        <v>-25.79600000000066</v>
      </c>
      <c r="R60" s="46">
        <f t="shared" si="118"/>
        <v>-5.5780000000000056</v>
      </c>
      <c r="S60" s="46">
        <f t="shared" si="118"/>
        <v>16.856000000000108</v>
      </c>
      <c r="T60" s="46">
        <f t="shared" si="118"/>
        <v>15.54600000000006</v>
      </c>
      <c r="U60" s="46">
        <f t="shared" si="118"/>
        <v>-8.2640000000002676</v>
      </c>
      <c r="V60" s="46">
        <f t="shared" si="118"/>
        <v>15.600999999999971</v>
      </c>
      <c r="W60" s="46">
        <f t="shared" si="118"/>
        <v>42.612999999999943</v>
      </c>
      <c r="X60" s="46">
        <f t="shared" si="118"/>
        <v>55.053999999999888</v>
      </c>
      <c r="Y60" s="46">
        <f t="shared" si="118"/>
        <v>68.829000000000022</v>
      </c>
      <c r="Z60" s="46">
        <f t="shared" si="118"/>
        <v>53.362999999999971</v>
      </c>
      <c r="AA60" s="46">
        <f t="shared" si="118"/>
        <v>48.180000000000042</v>
      </c>
      <c r="AB60" s="46">
        <f t="shared" si="118"/>
        <v>68.930000000000007</v>
      </c>
      <c r="AC60" s="46">
        <f t="shared" si="118"/>
        <v>19.10699999999979</v>
      </c>
      <c r="AD60" s="46">
        <f t="shared" si="118"/>
        <v>93.389999999999901</v>
      </c>
      <c r="AE60" s="46">
        <f t="shared" si="118"/>
        <v>99.561999999999898</v>
      </c>
      <c r="AF60" s="46">
        <f t="shared" si="118"/>
        <v>118.7609999999999</v>
      </c>
      <c r="AG60" s="46">
        <f t="shared" si="118"/>
        <v>118.44500000000021</v>
      </c>
      <c r="AH60" s="46">
        <f t="shared" si="118"/>
        <v>118.12700000000009</v>
      </c>
      <c r="AI60" s="46">
        <f t="shared" si="118"/>
        <v>122.319</v>
      </c>
      <c r="AJ60" s="46">
        <f t="shared" si="118"/>
        <v>92.09300000000016</v>
      </c>
      <c r="AK60" s="46">
        <f t="shared" si="118"/>
        <v>75.836000000000084</v>
      </c>
      <c r="AL60" s="46">
        <f t="shared" ref="AL60:BI60" si="119">AL26</f>
        <v>165.74100000000001</v>
      </c>
      <c r="AM60" s="46">
        <f t="shared" si="119"/>
        <v>172.8120000000001</v>
      </c>
      <c r="AN60" s="46">
        <f t="shared" si="119"/>
        <v>115.62400000000009</v>
      </c>
      <c r="AO60" s="46">
        <f t="shared" si="119"/>
        <v>178.94800000000069</v>
      </c>
      <c r="AP60" s="46">
        <f t="shared" si="119"/>
        <v>103.611</v>
      </c>
      <c r="AQ60" s="46">
        <f t="shared" si="119"/>
        <v>187.38700000000011</v>
      </c>
      <c r="AR60" s="46">
        <f t="shared" si="119"/>
        <v>142.33400000000009</v>
      </c>
      <c r="AS60" s="46">
        <f t="shared" si="119"/>
        <v>137.24999999999969</v>
      </c>
      <c r="AT60" s="46">
        <f t="shared" ca="1" si="119"/>
        <v>59.22274651937925</v>
      </c>
      <c r="AU60" s="46">
        <f t="shared" ca="1" si="119"/>
        <v>81.959673333755262</v>
      </c>
      <c r="AV60" s="46">
        <f t="shared" ca="1" si="119"/>
        <v>47.57373460653038</v>
      </c>
      <c r="AW60" s="46">
        <f t="shared" ca="1" si="119"/>
        <v>69.830150829432256</v>
      </c>
      <c r="AX60" s="46">
        <f t="shared" ca="1" si="119"/>
        <v>51.088061869567092</v>
      </c>
      <c r="AY60" s="46">
        <f t="shared" ca="1" si="119"/>
        <v>91.802519757572043</v>
      </c>
      <c r="AZ60" s="46">
        <f t="shared" ca="1" si="119"/>
        <v>58.646299411036196</v>
      </c>
      <c r="BA60" s="46">
        <f t="shared" ca="1" si="119"/>
        <v>83.974563205603204</v>
      </c>
      <c r="BB60" s="46">
        <f t="shared" ca="1" si="119"/>
        <v>59.962778787117479</v>
      </c>
      <c r="BC60" s="46">
        <f t="shared" ca="1" si="119"/>
        <v>98.623206013449959</v>
      </c>
      <c r="BD60" s="46">
        <f t="shared" ca="1" si="119"/>
        <v>62.449024780541905</v>
      </c>
      <c r="BE60" s="46">
        <f t="shared" ca="1" si="119"/>
        <v>85.273152153849139</v>
      </c>
      <c r="BF60" s="46">
        <f t="shared" ca="1" si="119"/>
        <v>58.378189108269076</v>
      </c>
      <c r="BG60" s="46">
        <f t="shared" ca="1" si="119"/>
        <v>97.255318896566138</v>
      </c>
      <c r="BH60" s="46">
        <f t="shared" ca="1" si="119"/>
        <v>60.669761554034253</v>
      </c>
      <c r="BI60" s="46">
        <f t="shared" ca="1" si="119"/>
        <v>83.691960860740977</v>
      </c>
      <c r="BJ60" s="1"/>
      <c r="BK60" s="46">
        <f t="shared" ref="BK60:BX75" si="120">SUMIF($F$1:$BI$1,BK$1,$F60:$BI60)</f>
        <v>56.662999999999741</v>
      </c>
      <c r="BL60" s="46">
        <f t="shared" si="120"/>
        <v>102.84699999999935</v>
      </c>
      <c r="BM60" s="46">
        <f t="shared" si="120"/>
        <v>-15.156000000000695</v>
      </c>
      <c r="BN60" s="46">
        <f t="shared" si="120"/>
        <v>18.559999999999896</v>
      </c>
      <c r="BO60" s="46">
        <f t="shared" si="120"/>
        <v>182.09699999999981</v>
      </c>
      <c r="BP60" s="46">
        <f t="shared" si="120"/>
        <v>189.57999999999981</v>
      </c>
      <c r="BQ60" s="46">
        <f t="shared" si="120"/>
        <v>430.1579999999999</v>
      </c>
      <c r="BR60" s="46">
        <f t="shared" si="120"/>
        <v>408.37500000000028</v>
      </c>
      <c r="BS60" s="46">
        <f t="shared" si="120"/>
        <v>633.12500000000091</v>
      </c>
      <c r="BT60" s="46">
        <f t="shared" si="120"/>
        <v>570.58199999999988</v>
      </c>
      <c r="BU60" s="46">
        <f t="shared" ca="1" si="120"/>
        <v>258.58630528909714</v>
      </c>
      <c r="BV60" s="46">
        <f t="shared" ca="1" si="120"/>
        <v>285.51144424377856</v>
      </c>
      <c r="BW60" s="46">
        <f t="shared" ca="1" si="120"/>
        <v>306.3081617349585</v>
      </c>
      <c r="BX60" s="46">
        <f t="shared" ca="1" si="120"/>
        <v>299.99523041961049</v>
      </c>
    </row>
    <row r="61" spans="1:76" x14ac:dyDescent="0.25">
      <c r="A61" s="1"/>
      <c r="B61" s="1"/>
      <c r="C61" s="11" t="s">
        <v>75</v>
      </c>
      <c r="D61" s="1"/>
      <c r="E61" s="1"/>
      <c r="F61" s="38">
        <f t="shared" ref="F61:AK61" si="121">F33</f>
        <v>24.388999999999999</v>
      </c>
      <c r="G61" s="38">
        <f t="shared" si="121"/>
        <v>27.94</v>
      </c>
      <c r="H61" s="38">
        <f t="shared" si="121"/>
        <v>31.056999999999999</v>
      </c>
      <c r="I61" s="38">
        <f t="shared" si="121"/>
        <v>33.237000000000002</v>
      </c>
      <c r="J61" s="38">
        <f t="shared" si="121"/>
        <v>34.981000000000002</v>
      </c>
      <c r="K61" s="38">
        <f t="shared" si="121"/>
        <v>42.066000000000003</v>
      </c>
      <c r="L61" s="38">
        <f t="shared" si="121"/>
        <v>43.245999999999995</v>
      </c>
      <c r="M61" s="38">
        <f t="shared" si="121"/>
        <v>48.547999999999988</v>
      </c>
      <c r="N61" s="38">
        <f t="shared" si="121"/>
        <v>47.22</v>
      </c>
      <c r="O61" s="38">
        <f t="shared" si="121"/>
        <v>46.686999999999998</v>
      </c>
      <c r="P61" s="38">
        <f t="shared" si="121"/>
        <v>46.588999999999999</v>
      </c>
      <c r="Q61" s="38">
        <f t="shared" si="121"/>
        <v>46.760000000000005</v>
      </c>
      <c r="R61" s="38">
        <f t="shared" si="121"/>
        <v>45.771999999999998</v>
      </c>
      <c r="S61" s="38">
        <f t="shared" si="121"/>
        <v>45.056000000000004</v>
      </c>
      <c r="T61" s="38">
        <f t="shared" si="121"/>
        <v>45.587999999999994</v>
      </c>
      <c r="U61" s="38">
        <f t="shared" si="121"/>
        <v>43.5</v>
      </c>
      <c r="V61" s="38">
        <f t="shared" si="121"/>
        <v>43.558999999999997</v>
      </c>
      <c r="W61" s="38">
        <f t="shared" si="121"/>
        <v>42.837000000000003</v>
      </c>
      <c r="X61" s="38">
        <f t="shared" si="121"/>
        <v>48.093000000000004</v>
      </c>
      <c r="Y61" s="38">
        <f t="shared" si="121"/>
        <v>44.527999999999992</v>
      </c>
      <c r="Z61" s="38">
        <f t="shared" si="121"/>
        <v>43.526000000000003</v>
      </c>
      <c r="AA61" s="38">
        <f t="shared" si="121"/>
        <v>44.356999999999985</v>
      </c>
      <c r="AB61" s="38">
        <f t="shared" si="121"/>
        <v>47.457999999999998</v>
      </c>
      <c r="AC61" s="38">
        <f t="shared" si="121"/>
        <v>45.223999999999997</v>
      </c>
      <c r="AD61" s="38">
        <f t="shared" si="121"/>
        <v>43.268999999999998</v>
      </c>
      <c r="AE61" s="38">
        <f t="shared" si="121"/>
        <v>42.583000000000006</v>
      </c>
      <c r="AF61" s="38">
        <f t="shared" si="121"/>
        <v>42.531000000000006</v>
      </c>
      <c r="AG61" s="38">
        <f t="shared" si="121"/>
        <v>43.206999999999987</v>
      </c>
      <c r="AH61" s="38">
        <f t="shared" si="121"/>
        <v>43.509</v>
      </c>
      <c r="AI61" s="38">
        <f t="shared" si="121"/>
        <v>43.676000000000009</v>
      </c>
      <c r="AJ61" s="38">
        <f t="shared" si="121"/>
        <v>44.111000000000004</v>
      </c>
      <c r="AK61" s="38">
        <f t="shared" si="121"/>
        <v>45.67</v>
      </c>
      <c r="AL61" s="38">
        <f t="shared" ref="AL61:BI61" si="122">AL33</f>
        <v>46.750999999999998</v>
      </c>
      <c r="AM61" s="38">
        <f t="shared" si="122"/>
        <v>47.658000000000001</v>
      </c>
      <c r="AN61" s="38">
        <f t="shared" si="122"/>
        <v>48.77000000000001</v>
      </c>
      <c r="AO61" s="38">
        <f t="shared" si="122"/>
        <v>50.611999999999995</v>
      </c>
      <c r="AP61" s="38">
        <f t="shared" si="122"/>
        <v>53.373000000000005</v>
      </c>
      <c r="AQ61" s="38">
        <f t="shared" si="122"/>
        <v>54.764999999999986</v>
      </c>
      <c r="AR61" s="38">
        <f t="shared" si="122"/>
        <v>55.085999999999999</v>
      </c>
      <c r="AS61" s="38">
        <f t="shared" si="122"/>
        <v>55.30599999999999</v>
      </c>
      <c r="AT61" s="38">
        <f t="shared" ca="1" si="122"/>
        <v>59.414913693584289</v>
      </c>
      <c r="AU61" s="38">
        <f t="shared" ca="1" si="122"/>
        <v>54.892324638308182</v>
      </c>
      <c r="AV61" s="38">
        <f t="shared" ca="1" si="122"/>
        <v>55.222644238502539</v>
      </c>
      <c r="AW61" s="38">
        <f t="shared" ca="1" si="122"/>
        <v>55.447429152544679</v>
      </c>
      <c r="AX61" s="38">
        <f t="shared" ca="1" si="122"/>
        <v>61.208290841675854</v>
      </c>
      <c r="AY61" s="38">
        <f t="shared" ca="1" si="122"/>
        <v>56.5491639708073</v>
      </c>
      <c r="AZ61" s="38">
        <f t="shared" ca="1" si="122"/>
        <v>56.889395221258425</v>
      </c>
      <c r="BA61" s="38">
        <f t="shared" ca="1" si="122"/>
        <v>57.120942499391731</v>
      </c>
      <c r="BB61" s="38">
        <f t="shared" ca="1" si="122"/>
        <v>63.055799382276135</v>
      </c>
      <c r="BC61" s="38">
        <f t="shared" ca="1" si="122"/>
        <v>58.256012585000562</v>
      </c>
      <c r="BD61" s="38">
        <f t="shared" ca="1" si="122"/>
        <v>58.606452897496133</v>
      </c>
      <c r="BE61" s="38">
        <f t="shared" ca="1" si="122"/>
        <v>58.844965978906771</v>
      </c>
      <c r="BF61" s="38">
        <f t="shared" ca="1" si="122"/>
        <v>64.959073225517997</v>
      </c>
      <c r="BG61" s="38">
        <f t="shared" ca="1" si="122"/>
        <v>60.014379943210699</v>
      </c>
      <c r="BH61" s="38">
        <f t="shared" ca="1" si="122"/>
        <v>60.375335653772893</v>
      </c>
      <c r="BI61" s="38">
        <f t="shared" ca="1" si="122"/>
        <v>60.621024097984169</v>
      </c>
      <c r="BJ61" s="1"/>
      <c r="BK61" s="38">
        <f t="shared" si="120"/>
        <v>116.62299999999999</v>
      </c>
      <c r="BL61" s="38">
        <f t="shared" si="120"/>
        <v>168.84099999999998</v>
      </c>
      <c r="BM61" s="38">
        <f t="shared" si="120"/>
        <v>187.25599999999997</v>
      </c>
      <c r="BN61" s="38">
        <f t="shared" si="120"/>
        <v>179.916</v>
      </c>
      <c r="BO61" s="38">
        <f t="shared" si="120"/>
        <v>179.017</v>
      </c>
      <c r="BP61" s="38">
        <f t="shared" si="120"/>
        <v>180.56499999999997</v>
      </c>
      <c r="BQ61" s="38">
        <f t="shared" si="120"/>
        <v>171.59</v>
      </c>
      <c r="BR61" s="38">
        <f t="shared" si="120"/>
        <v>176.96600000000001</v>
      </c>
      <c r="BS61" s="38">
        <f t="shared" si="120"/>
        <v>193.791</v>
      </c>
      <c r="BT61" s="38">
        <f t="shared" si="120"/>
        <v>218.52999999999997</v>
      </c>
      <c r="BU61" s="38">
        <f t="shared" ca="1" si="120"/>
        <v>224.9773117229397</v>
      </c>
      <c r="BV61" s="38">
        <f t="shared" ca="1" si="120"/>
        <v>231.76779253313333</v>
      </c>
      <c r="BW61" s="38">
        <f t="shared" ca="1" si="120"/>
        <v>238.76323084367959</v>
      </c>
      <c r="BX61" s="38">
        <f t="shared" ca="1" si="120"/>
        <v>245.96981292048577</v>
      </c>
    </row>
    <row r="62" spans="1:76" x14ac:dyDescent="0.25">
      <c r="A62" s="1"/>
      <c r="B62" s="1"/>
      <c r="C62" s="11" t="s">
        <v>74</v>
      </c>
      <c r="D62" s="1"/>
      <c r="E62" s="1"/>
      <c r="F62" s="38">
        <f t="shared" ref="F62:AK62" si="123">F32</f>
        <v>1.627</v>
      </c>
      <c r="G62" s="38">
        <f t="shared" si="123"/>
        <v>1.2689999999999999</v>
      </c>
      <c r="H62" s="38">
        <f t="shared" si="123"/>
        <v>1.5489999999999999</v>
      </c>
      <c r="I62" s="38">
        <f t="shared" si="123"/>
        <v>2.7090000000000001</v>
      </c>
      <c r="J62" s="38">
        <f t="shared" si="123"/>
        <v>2.06</v>
      </c>
      <c r="K62" s="38">
        <f t="shared" si="123"/>
        <v>2.5169999999999999</v>
      </c>
      <c r="L62" s="38">
        <f t="shared" si="123"/>
        <v>1.8959999999999999</v>
      </c>
      <c r="M62" s="38">
        <f t="shared" si="123"/>
        <v>1.4490000000000001</v>
      </c>
      <c r="N62" s="38">
        <f t="shared" si="123"/>
        <v>0.752</v>
      </c>
      <c r="O62" s="38">
        <f t="shared" si="123"/>
        <v>0.97599999999999998</v>
      </c>
      <c r="P62" s="38">
        <f t="shared" si="123"/>
        <v>2.766</v>
      </c>
      <c r="Q62" s="38">
        <f t="shared" si="123"/>
        <v>1.1120000000000001</v>
      </c>
      <c r="R62" s="38">
        <f t="shared" si="123"/>
        <v>2.0449999999999999</v>
      </c>
      <c r="S62" s="38">
        <f t="shared" si="123"/>
        <v>0</v>
      </c>
      <c r="T62" s="38">
        <f t="shared" si="123"/>
        <v>0</v>
      </c>
      <c r="U62" s="38">
        <f t="shared" si="123"/>
        <v>0</v>
      </c>
      <c r="V62" s="38">
        <f t="shared" si="123"/>
        <v>0</v>
      </c>
      <c r="W62" s="38">
        <f t="shared" si="123"/>
        <v>0</v>
      </c>
      <c r="X62" s="38">
        <f t="shared" si="123"/>
        <v>0</v>
      </c>
      <c r="Y62" s="38">
        <f t="shared" si="123"/>
        <v>0</v>
      </c>
      <c r="Z62" s="38">
        <f t="shared" si="123"/>
        <v>0</v>
      </c>
      <c r="AA62" s="38">
        <f t="shared" si="123"/>
        <v>0</v>
      </c>
      <c r="AB62" s="38">
        <f t="shared" si="123"/>
        <v>0</v>
      </c>
      <c r="AC62" s="38">
        <f t="shared" si="123"/>
        <v>0</v>
      </c>
      <c r="AD62" s="38">
        <f t="shared" si="123"/>
        <v>0</v>
      </c>
      <c r="AE62" s="38">
        <f t="shared" si="123"/>
        <v>0</v>
      </c>
      <c r="AF62" s="38">
        <f t="shared" si="123"/>
        <v>0</v>
      </c>
      <c r="AG62" s="38">
        <f t="shared" si="123"/>
        <v>0</v>
      </c>
      <c r="AH62" s="38">
        <f t="shared" si="123"/>
        <v>0</v>
      </c>
      <c r="AI62" s="38">
        <f t="shared" si="123"/>
        <v>0</v>
      </c>
      <c r="AJ62" s="38">
        <f t="shared" si="123"/>
        <v>0</v>
      </c>
      <c r="AK62" s="38">
        <f t="shared" si="123"/>
        <v>0</v>
      </c>
      <c r="AL62" s="38">
        <f t="shared" ref="AL62:BI62" si="124">AL32</f>
        <v>0</v>
      </c>
      <c r="AM62" s="38">
        <f t="shared" si="124"/>
        <v>0</v>
      </c>
      <c r="AN62" s="38">
        <f t="shared" si="124"/>
        <v>0</v>
      </c>
      <c r="AO62" s="38">
        <f t="shared" si="124"/>
        <v>0</v>
      </c>
      <c r="AP62" s="38">
        <f t="shared" si="124"/>
        <v>0</v>
      </c>
      <c r="AQ62" s="38">
        <f t="shared" si="124"/>
        <v>0</v>
      </c>
      <c r="AR62" s="38">
        <f t="shared" si="124"/>
        <v>0</v>
      </c>
      <c r="AS62" s="38">
        <f t="shared" si="124"/>
        <v>0</v>
      </c>
      <c r="AT62" s="38">
        <f t="shared" ca="1" si="124"/>
        <v>0</v>
      </c>
      <c r="AU62" s="38">
        <f t="shared" ca="1" si="124"/>
        <v>0</v>
      </c>
      <c r="AV62" s="38">
        <f t="shared" ca="1" si="124"/>
        <v>0</v>
      </c>
      <c r="AW62" s="38">
        <f t="shared" ca="1" si="124"/>
        <v>0</v>
      </c>
      <c r="AX62" s="38">
        <f t="shared" ca="1" si="124"/>
        <v>0</v>
      </c>
      <c r="AY62" s="38">
        <f t="shared" ca="1" si="124"/>
        <v>0</v>
      </c>
      <c r="AZ62" s="38">
        <f t="shared" ca="1" si="124"/>
        <v>0</v>
      </c>
      <c r="BA62" s="38">
        <f t="shared" ca="1" si="124"/>
        <v>0</v>
      </c>
      <c r="BB62" s="38">
        <f t="shared" ca="1" si="124"/>
        <v>0</v>
      </c>
      <c r="BC62" s="38">
        <f t="shared" ca="1" si="124"/>
        <v>0</v>
      </c>
      <c r="BD62" s="38">
        <f t="shared" ca="1" si="124"/>
        <v>0</v>
      </c>
      <c r="BE62" s="38">
        <f t="shared" ca="1" si="124"/>
        <v>0</v>
      </c>
      <c r="BF62" s="38">
        <f t="shared" ca="1" si="124"/>
        <v>0</v>
      </c>
      <c r="BG62" s="38">
        <f t="shared" ca="1" si="124"/>
        <v>0</v>
      </c>
      <c r="BH62" s="38">
        <f t="shared" ca="1" si="124"/>
        <v>0</v>
      </c>
      <c r="BI62" s="38">
        <f t="shared" ca="1" si="124"/>
        <v>0</v>
      </c>
      <c r="BJ62" s="1"/>
      <c r="BK62" s="38">
        <f t="shared" si="120"/>
        <v>7.1539999999999999</v>
      </c>
      <c r="BL62" s="38">
        <f t="shared" si="120"/>
        <v>7.9219999999999997</v>
      </c>
      <c r="BM62" s="38">
        <f t="shared" si="120"/>
        <v>5.6059999999999999</v>
      </c>
      <c r="BN62" s="38">
        <f t="shared" si="120"/>
        <v>2.0449999999999999</v>
      </c>
      <c r="BO62" s="38">
        <f t="shared" si="120"/>
        <v>0</v>
      </c>
      <c r="BP62" s="38">
        <f t="shared" si="120"/>
        <v>0</v>
      </c>
      <c r="BQ62" s="38">
        <f t="shared" si="120"/>
        <v>0</v>
      </c>
      <c r="BR62" s="38">
        <f t="shared" si="120"/>
        <v>0</v>
      </c>
      <c r="BS62" s="38">
        <f t="shared" si="120"/>
        <v>0</v>
      </c>
      <c r="BT62" s="38">
        <f t="shared" si="120"/>
        <v>0</v>
      </c>
      <c r="BU62" s="38">
        <f t="shared" ca="1" si="120"/>
        <v>0</v>
      </c>
      <c r="BV62" s="38">
        <f t="shared" ca="1" si="120"/>
        <v>0</v>
      </c>
      <c r="BW62" s="38">
        <f t="shared" ca="1" si="120"/>
        <v>0</v>
      </c>
      <c r="BX62" s="38">
        <f t="shared" ca="1" si="120"/>
        <v>0</v>
      </c>
    </row>
    <row r="63" spans="1:76" x14ac:dyDescent="0.25">
      <c r="A63" s="1"/>
      <c r="B63" s="1"/>
      <c r="C63" s="11" t="s">
        <v>65</v>
      </c>
      <c r="D63" s="1"/>
      <c r="E63" s="1"/>
      <c r="F63" s="48">
        <f t="shared" ref="F63:AS63" si="125">F65-F60-F61-F62-F64</f>
        <v>13.091999999999992</v>
      </c>
      <c r="G63" s="48">
        <f t="shared" si="125"/>
        <v>22.478999999999996</v>
      </c>
      <c r="H63" s="48">
        <f t="shared" si="125"/>
        <v>0.49899999999997036</v>
      </c>
      <c r="I63" s="48">
        <f t="shared" si="125"/>
        <v>10.808000000000298</v>
      </c>
      <c r="J63" s="48">
        <f t="shared" si="125"/>
        <v>84.908000000000072</v>
      </c>
      <c r="K63" s="48">
        <f t="shared" si="125"/>
        <v>8.1610000000001186</v>
      </c>
      <c r="L63" s="48">
        <f t="shared" si="125"/>
        <v>-3.3120000000000331</v>
      </c>
      <c r="M63" s="48">
        <f t="shared" si="125"/>
        <v>-42.793999999999464</v>
      </c>
      <c r="N63" s="48">
        <f t="shared" si="125"/>
        <v>-18.339000000000098</v>
      </c>
      <c r="O63" s="48">
        <f t="shared" si="125"/>
        <v>11.046000000000021</v>
      </c>
      <c r="P63" s="48">
        <f t="shared" si="125"/>
        <v>16.152000000000115</v>
      </c>
      <c r="Q63" s="48">
        <f t="shared" si="125"/>
        <v>29.476000000000681</v>
      </c>
      <c r="R63" s="48">
        <f t="shared" si="125"/>
        <v>13.276999999999994</v>
      </c>
      <c r="S63" s="48">
        <f t="shared" si="125"/>
        <v>40.700999999999908</v>
      </c>
      <c r="T63" s="48">
        <f t="shared" si="125"/>
        <v>24.390999999999952</v>
      </c>
      <c r="U63" s="48">
        <f t="shared" si="125"/>
        <v>35.163000000000252</v>
      </c>
      <c r="V63" s="48">
        <f t="shared" si="125"/>
        <v>7.3330000000000197</v>
      </c>
      <c r="W63" s="48">
        <f t="shared" si="125"/>
        <v>32.857000000000028</v>
      </c>
      <c r="X63" s="48">
        <f t="shared" si="125"/>
        <v>13.570000000000125</v>
      </c>
      <c r="Y63" s="48">
        <f t="shared" si="125"/>
        <v>1.5190000000000059</v>
      </c>
      <c r="Z63" s="48">
        <f t="shared" si="125"/>
        <v>32.816000000000038</v>
      </c>
      <c r="AA63" s="48">
        <f t="shared" si="125"/>
        <v>32.663999999999973</v>
      </c>
      <c r="AB63" s="48">
        <f t="shared" si="125"/>
        <v>25.585000000000004</v>
      </c>
      <c r="AC63" s="48">
        <f t="shared" si="125"/>
        <v>37.675000000000203</v>
      </c>
      <c r="AD63" s="48">
        <f t="shared" si="125"/>
        <v>28.361000000000111</v>
      </c>
      <c r="AE63" s="48">
        <f t="shared" si="125"/>
        <v>-16.776999999999909</v>
      </c>
      <c r="AF63" s="48">
        <f t="shared" si="125"/>
        <v>5.1810000000001093</v>
      </c>
      <c r="AG63" s="48">
        <f t="shared" si="125"/>
        <v>12.42799999999982</v>
      </c>
      <c r="AH63" s="48">
        <f t="shared" si="125"/>
        <v>85.031999999999911</v>
      </c>
      <c r="AI63" s="48">
        <f t="shared" si="125"/>
        <v>18.693000000000005</v>
      </c>
      <c r="AJ63" s="48">
        <f t="shared" si="125"/>
        <v>71.132999999999839</v>
      </c>
      <c r="AK63" s="48">
        <f t="shared" si="125"/>
        <v>56.442999999999898</v>
      </c>
      <c r="AL63" s="48">
        <f t="shared" si="125"/>
        <v>51.995999999999988</v>
      </c>
      <c r="AM63" s="48">
        <f t="shared" si="125"/>
        <v>-24.501000000000218</v>
      </c>
      <c r="AN63" s="48">
        <f t="shared" si="125"/>
        <v>50.928999999999839</v>
      </c>
      <c r="AO63" s="48">
        <f t="shared" si="125"/>
        <v>-11.251000000000687</v>
      </c>
      <c r="AP63" s="48">
        <f t="shared" si="125"/>
        <v>80.20999999999998</v>
      </c>
      <c r="AQ63" s="48">
        <f t="shared" si="125"/>
        <v>-41.270000000000095</v>
      </c>
      <c r="AR63" s="48">
        <f t="shared" si="125"/>
        <v>67.95599999999996</v>
      </c>
      <c r="AS63" s="48">
        <f t="shared" si="125"/>
        <v>42.699000000000346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1"/>
      <c r="BK63" s="38">
        <f t="shared" si="120"/>
        <v>46.878000000000249</v>
      </c>
      <c r="BL63" s="38">
        <f t="shared" si="120"/>
        <v>46.963000000000683</v>
      </c>
      <c r="BM63" s="38">
        <f t="shared" si="120"/>
        <v>38.335000000000719</v>
      </c>
      <c r="BN63" s="38">
        <f t="shared" si="120"/>
        <v>113.53200000000011</v>
      </c>
      <c r="BO63" s="38">
        <f t="shared" si="120"/>
        <v>55.279000000000181</v>
      </c>
      <c r="BP63" s="38">
        <f t="shared" si="120"/>
        <v>128.74000000000024</v>
      </c>
      <c r="BQ63" s="38">
        <f t="shared" si="120"/>
        <v>29.193000000000133</v>
      </c>
      <c r="BR63" s="38">
        <f t="shared" si="120"/>
        <v>231.30099999999965</v>
      </c>
      <c r="BS63" s="38">
        <f t="shared" si="120"/>
        <v>67.172999999998922</v>
      </c>
      <c r="BT63" s="38">
        <f t="shared" si="120"/>
        <v>149.5950000000002</v>
      </c>
      <c r="BU63" s="38">
        <f t="shared" si="120"/>
        <v>0</v>
      </c>
      <c r="BV63" s="38">
        <f t="shared" si="120"/>
        <v>0</v>
      </c>
      <c r="BW63" s="38">
        <f t="shared" si="120"/>
        <v>0</v>
      </c>
      <c r="BX63" s="38">
        <f t="shared" si="120"/>
        <v>0</v>
      </c>
    </row>
    <row r="64" spans="1:76" x14ac:dyDescent="0.25">
      <c r="A64" s="1"/>
      <c r="B64" s="1"/>
      <c r="C64" s="11" t="s">
        <v>87</v>
      </c>
      <c r="D64" s="1"/>
      <c r="E64" s="1"/>
      <c r="F64" s="47">
        <f>'Canalyst HC - Q'!C479</f>
        <v>-45.292000000000002</v>
      </c>
      <c r="G64" s="47">
        <f>'Canalyst HC - Q'!D479</f>
        <v>7.402000000000001</v>
      </c>
      <c r="H64" s="47">
        <f>'Canalyst HC - Q'!E479</f>
        <v>8.2699999999999889</v>
      </c>
      <c r="I64" s="47">
        <f>'Canalyst HC - Q'!F479</f>
        <v>-35.703000000000003</v>
      </c>
      <c r="J64" s="47">
        <f>'Canalyst HC - Q'!G479</f>
        <v>-1.01400000000001</v>
      </c>
      <c r="K64" s="47">
        <f>'Canalyst HC - Q'!H479</f>
        <v>2.1280000000000072</v>
      </c>
      <c r="L64" s="47">
        <f>'Canalyst HC - Q'!I479</f>
        <v>-37.286999999999999</v>
      </c>
      <c r="M64" s="47">
        <f>'Canalyst HC - Q'!J479</f>
        <v>17.416</v>
      </c>
      <c r="N64" s="47">
        <f>'Canalyst HC - Q'!K479</f>
        <v>-96.817000000000007</v>
      </c>
      <c r="O64" s="47">
        <f>'Canalyst HC - Q'!L479</f>
        <v>82.027000000000001</v>
      </c>
      <c r="P64" s="47">
        <f>'Canalyst HC - Q'!M479</f>
        <v>-123.669</v>
      </c>
      <c r="Q64" s="47">
        <f>'Canalyst HC - Q'!N479</f>
        <v>91.296999999999983</v>
      </c>
      <c r="R64" s="47">
        <f>'Canalyst HC - Q'!O479</f>
        <v>-49.92</v>
      </c>
      <c r="S64" s="47">
        <f>'Canalyst HC - Q'!P479</f>
        <v>-19.623000000000001</v>
      </c>
      <c r="T64" s="47">
        <f>'Canalyst HC - Q'!Q479</f>
        <v>30.471999999999991</v>
      </c>
      <c r="U64" s="47">
        <f>'Canalyst HC - Q'!R479</f>
        <v>15.387999999999989</v>
      </c>
      <c r="V64" s="47">
        <f>'Canalyst HC - Q'!S479</f>
        <v>-34.204000000000001</v>
      </c>
      <c r="W64" s="47">
        <f>'Canalyst HC - Q'!T479</f>
        <v>78.407000000000025</v>
      </c>
      <c r="X64" s="47">
        <f>'Canalyst HC - Q'!U479</f>
        <v>30.68099999999998</v>
      </c>
      <c r="Y64" s="47">
        <f>'Canalyst HC - Q'!V479</f>
        <v>3.1839999999999828</v>
      </c>
      <c r="Z64" s="47">
        <f>'Canalyst HC - Q'!W479</f>
        <v>-47.795000000000002</v>
      </c>
      <c r="AA64" s="47">
        <f>'Canalyst HC - Q'!X479</f>
        <v>64.274000000000001</v>
      </c>
      <c r="AB64" s="47">
        <f>'Canalyst HC - Q'!Y479</f>
        <v>26.516999999999999</v>
      </c>
      <c r="AC64" s="47">
        <f>'Canalyst HC - Q'!Z479</f>
        <v>-20.126000000000019</v>
      </c>
      <c r="AD64" s="47">
        <f>'Canalyst HC - Q'!AA479</f>
        <v>-34.13900000000001</v>
      </c>
      <c r="AE64" s="47">
        <f>'Canalyst HC - Q'!AB479</f>
        <v>-12.714</v>
      </c>
      <c r="AF64" s="47">
        <f>'Canalyst HC - Q'!AC479</f>
        <v>-15.699000000000011</v>
      </c>
      <c r="AG64" s="47">
        <f>'Canalyst HC - Q'!AD479</f>
        <v>-13.88300000000001</v>
      </c>
      <c r="AH64" s="47">
        <f>'Canalyst HC - Q'!AE479</f>
        <v>-61.974000000000018</v>
      </c>
      <c r="AI64" s="47">
        <f>'Canalyst HC - Q'!AF479</f>
        <v>13.955999999999991</v>
      </c>
      <c r="AJ64" s="47">
        <f>'Canalyst HC - Q'!AG479</f>
        <v>53.874000000000017</v>
      </c>
      <c r="AK64" s="47">
        <f>'Canalyst HC - Q'!AH479</f>
        <v>-11.807999999999989</v>
      </c>
      <c r="AL64" s="47">
        <f>'Canalyst HC - Q'!AI479</f>
        <v>-70.215000000000003</v>
      </c>
      <c r="AM64" s="47">
        <f>'Canalyst HC - Q'!AJ479</f>
        <v>46.88900000000001</v>
      </c>
      <c r="AN64" s="47">
        <f>'Canalyst HC - Q'!AK479</f>
        <v>55.438999999999957</v>
      </c>
      <c r="AO64" s="47">
        <f>'Canalyst HC - Q'!AL479</f>
        <v>-49.844999999999999</v>
      </c>
      <c r="AP64" s="47">
        <f>'Canalyst HC - Q'!AM479</f>
        <v>-39.023000000000003</v>
      </c>
      <c r="AQ64" s="47">
        <f>'Canalyst HC - Q'!AN479</f>
        <v>7.1680000000000064</v>
      </c>
      <c r="AR64" s="47">
        <f>'Canalyst HC - Q'!AO479</f>
        <v>51.315999999999967</v>
      </c>
      <c r="AS64" s="47">
        <f>'Canalyst HC - Q'!AP479</f>
        <v>-26.26400000000001</v>
      </c>
      <c r="AT64" s="38">
        <f t="shared" ref="AT64:BI64" ca="1" si="126">AT10*AT17</f>
        <v>-43.440469470794966</v>
      </c>
      <c r="AU64" s="38">
        <f t="shared" ca="1" si="126"/>
        <v>7.1846650781958097</v>
      </c>
      <c r="AV64" s="38">
        <f t="shared" ca="1" si="126"/>
        <v>51.443292519750834</v>
      </c>
      <c r="AW64" s="38">
        <f t="shared" ca="1" si="126"/>
        <v>-26.331162609164185</v>
      </c>
      <c r="AX64" s="38">
        <f t="shared" ca="1" si="126"/>
        <v>-44.751674695346274</v>
      </c>
      <c r="AY64" s="38">
        <f t="shared" ca="1" si="126"/>
        <v>7.4015230045238232</v>
      </c>
      <c r="AZ64" s="38">
        <f t="shared" ca="1" si="126"/>
        <v>52.995973662529416</v>
      </c>
      <c r="BA64" s="38">
        <f t="shared" ca="1" si="126"/>
        <v>-27.125889303222532</v>
      </c>
      <c r="BB64" s="38">
        <f t="shared" ca="1" si="126"/>
        <v>-46.102457409075029</v>
      </c>
      <c r="BC64" s="38">
        <f t="shared" ca="1" si="126"/>
        <v>7.6249264714559395</v>
      </c>
      <c r="BD64" s="38">
        <f t="shared" ca="1" si="126"/>
        <v>54.595518587080377</v>
      </c>
      <c r="BE64" s="38">
        <f t="shared" ca="1" si="126"/>
        <v>-27.944602510939291</v>
      </c>
      <c r="BF64" s="38">
        <f t="shared" ca="1" si="126"/>
        <v>-47.494012224896281</v>
      </c>
      <c r="BG64" s="38">
        <f t="shared" ca="1" si="126"/>
        <v>7.855073047255269</v>
      </c>
      <c r="BH64" s="38">
        <f t="shared" ca="1" si="126"/>
        <v>56.243341763951051</v>
      </c>
      <c r="BI64" s="38">
        <f t="shared" ca="1" si="126"/>
        <v>-28.788026198051881</v>
      </c>
      <c r="BJ64" s="1"/>
      <c r="BK64" s="38">
        <f t="shared" si="120"/>
        <v>-65.323000000000008</v>
      </c>
      <c r="BL64" s="38">
        <f t="shared" si="120"/>
        <v>-18.757000000000001</v>
      </c>
      <c r="BM64" s="38">
        <f t="shared" si="120"/>
        <v>-47.16200000000002</v>
      </c>
      <c r="BN64" s="38">
        <f t="shared" si="120"/>
        <v>-23.683000000000021</v>
      </c>
      <c r="BO64" s="38">
        <f t="shared" si="120"/>
        <v>78.067999999999984</v>
      </c>
      <c r="BP64" s="38">
        <f t="shared" si="120"/>
        <v>22.869999999999976</v>
      </c>
      <c r="BQ64" s="38">
        <f t="shared" si="120"/>
        <v>-76.435000000000031</v>
      </c>
      <c r="BR64" s="38">
        <f t="shared" si="120"/>
        <v>-5.9520000000000017</v>
      </c>
      <c r="BS64" s="38">
        <f t="shared" si="120"/>
        <v>-17.732000000000035</v>
      </c>
      <c r="BT64" s="38">
        <f t="shared" si="120"/>
        <v>-6.8030000000000399</v>
      </c>
      <c r="BU64" s="38">
        <f t="shared" ca="1" si="120"/>
        <v>-11.143674482012511</v>
      </c>
      <c r="BV64" s="38">
        <f t="shared" ca="1" si="120"/>
        <v>-11.480067331515567</v>
      </c>
      <c r="BW64" s="38">
        <f t="shared" ca="1" si="120"/>
        <v>-11.826614861478006</v>
      </c>
      <c r="BX64" s="38">
        <f t="shared" ca="1" si="120"/>
        <v>-12.183623611741844</v>
      </c>
    </row>
    <row r="65" spans="1:76" ht="15" customHeight="1" x14ac:dyDescent="0.25">
      <c r="A65" s="1"/>
      <c r="B65" s="3" t="s">
        <v>88</v>
      </c>
      <c r="C65" s="1"/>
      <c r="D65" s="1"/>
      <c r="E65" s="1"/>
      <c r="F65" s="45">
        <f>'Canalyst HC - Q'!C664</f>
        <v>-15.217000000000001</v>
      </c>
      <c r="G65" s="45">
        <f>'Canalyst HC - Q'!D664</f>
        <v>76.413999999999987</v>
      </c>
      <c r="H65" s="45">
        <f>'Canalyst HC - Q'!E664</f>
        <v>66.927999999999997</v>
      </c>
      <c r="I65" s="45">
        <f>'Canalyst HC - Q'!F664</f>
        <v>33.869999999999997</v>
      </c>
      <c r="J65" s="45">
        <f>'Canalyst HC - Q'!G664</f>
        <v>116.518</v>
      </c>
      <c r="K65" s="45">
        <f>'Canalyst HC - Q'!H664</f>
        <v>62.453000000000003</v>
      </c>
      <c r="L65" s="45">
        <f>'Canalyst HC - Q'!I664</f>
        <v>23.454000000000011</v>
      </c>
      <c r="M65" s="45">
        <f>'Canalyst HC - Q'!J664</f>
        <v>105.39100000000001</v>
      </c>
      <c r="N65" s="45">
        <f>'Canalyst HC - Q'!K664</f>
        <v>-80.746000000000009</v>
      </c>
      <c r="O65" s="45">
        <f>'Canalyst HC - Q'!L664</f>
        <v>137.988</v>
      </c>
      <c r="P65" s="45">
        <f>'Canalyst HC - Q'!M664</f>
        <v>-31.211999999999989</v>
      </c>
      <c r="Q65" s="45">
        <f>'Canalyst HC - Q'!N664</f>
        <v>142.84899999999999</v>
      </c>
      <c r="R65" s="45">
        <f>'Canalyst HC - Q'!O664</f>
        <v>5.5959999999999877</v>
      </c>
      <c r="S65" s="45">
        <f>'Canalyst HC - Q'!P664</f>
        <v>82.990000000000023</v>
      </c>
      <c r="T65" s="45">
        <f>'Canalyst HC - Q'!Q664</f>
        <v>115.997</v>
      </c>
      <c r="U65" s="45">
        <f>'Canalyst HC - Q'!R664</f>
        <v>85.786999999999978</v>
      </c>
      <c r="V65" s="45">
        <f>'Canalyst HC - Q'!S664</f>
        <v>32.288999999999987</v>
      </c>
      <c r="W65" s="45">
        <f>'Canalyst HC - Q'!T664</f>
        <v>196.714</v>
      </c>
      <c r="X65" s="45">
        <f>'Canalyst HC - Q'!U664</f>
        <v>147.398</v>
      </c>
      <c r="Y65" s="45">
        <f>'Canalyst HC - Q'!V664</f>
        <v>118.06</v>
      </c>
      <c r="Z65" s="45">
        <f>'Canalyst HC - Q'!W664</f>
        <v>81.910000000000011</v>
      </c>
      <c r="AA65" s="45">
        <f>'Canalyst HC - Q'!X664</f>
        <v>189.47499999999999</v>
      </c>
      <c r="AB65" s="45">
        <f>'Canalyst HC - Q'!Y664</f>
        <v>168.49</v>
      </c>
      <c r="AC65" s="45">
        <f>'Canalyst HC - Q'!Z664</f>
        <v>81.879999999999967</v>
      </c>
      <c r="AD65" s="45">
        <f>'Canalyst HC - Q'!AA664</f>
        <v>130.881</v>
      </c>
      <c r="AE65" s="45">
        <f>'Canalyst HC - Q'!AB664</f>
        <v>112.654</v>
      </c>
      <c r="AF65" s="45">
        <f>'Canalyst HC - Q'!AC664</f>
        <v>150.774</v>
      </c>
      <c r="AG65" s="45">
        <f>'Canalyst HC - Q'!AD664</f>
        <v>160.197</v>
      </c>
      <c r="AH65" s="45">
        <f>'Canalyst HC - Q'!AE664</f>
        <v>184.69399999999999</v>
      </c>
      <c r="AI65" s="45">
        <f>'Canalyst HC - Q'!AF664</f>
        <v>198.64400000000001</v>
      </c>
      <c r="AJ65" s="45">
        <f>'Canalyst HC - Q'!AG664</f>
        <v>261.21100000000001</v>
      </c>
      <c r="AK65" s="45">
        <f>'Canalyst HC - Q'!AH664</f>
        <v>166.14099999999999</v>
      </c>
      <c r="AL65" s="45">
        <f>'Canalyst HC - Q'!AI664</f>
        <v>194.273</v>
      </c>
      <c r="AM65" s="45">
        <f>'Canalyst HC - Q'!AJ664</f>
        <v>242.85799999999989</v>
      </c>
      <c r="AN65" s="45">
        <f>'Canalyst HC - Q'!AK664</f>
        <v>270.76199999999989</v>
      </c>
      <c r="AO65" s="45">
        <f>'Canalyst HC - Q'!AL664</f>
        <v>168.464</v>
      </c>
      <c r="AP65" s="45">
        <f>'Canalyst HC - Q'!AM664</f>
        <v>198.17099999999999</v>
      </c>
      <c r="AQ65" s="45">
        <f>'Canalyst HC - Q'!AN664</f>
        <v>208.05</v>
      </c>
      <c r="AR65" s="45">
        <f>'Canalyst HC - Q'!AO664</f>
        <v>316.69200000000001</v>
      </c>
      <c r="AS65" s="45">
        <f>'Canalyst HC - Q'!AP664</f>
        <v>208.99100000000001</v>
      </c>
      <c r="AT65" s="46">
        <f t="shared" ref="AT65:BI65" ca="1" si="127">SUM(AT60:AT64)</f>
        <v>75.197190742168573</v>
      </c>
      <c r="AU65" s="46">
        <f t="shared" ca="1" si="127"/>
        <v>144.03666305025925</v>
      </c>
      <c r="AV65" s="46">
        <f t="shared" ca="1" si="127"/>
        <v>154.23967136478376</v>
      </c>
      <c r="AW65" s="46">
        <f t="shared" ca="1" si="127"/>
        <v>98.946417372812761</v>
      </c>
      <c r="AX65" s="46">
        <f t="shared" ca="1" si="127"/>
        <v>67.544678015896665</v>
      </c>
      <c r="AY65" s="46">
        <f t="shared" ca="1" si="127"/>
        <v>155.75320673290315</v>
      </c>
      <c r="AZ65" s="46">
        <f t="shared" ca="1" si="127"/>
        <v>168.53166829482404</v>
      </c>
      <c r="BA65" s="46">
        <f t="shared" ca="1" si="127"/>
        <v>113.9696164017724</v>
      </c>
      <c r="BB65" s="46">
        <f t="shared" ca="1" si="127"/>
        <v>76.916120760318577</v>
      </c>
      <c r="BC65" s="46">
        <f t="shared" ca="1" si="127"/>
        <v>164.50414506990646</v>
      </c>
      <c r="BD65" s="46">
        <f t="shared" ca="1" si="127"/>
        <v>175.65099626511841</v>
      </c>
      <c r="BE65" s="46">
        <f t="shared" ca="1" si="127"/>
        <v>116.17351562181662</v>
      </c>
      <c r="BF65" s="46">
        <f t="shared" ca="1" si="127"/>
        <v>75.843250108890786</v>
      </c>
      <c r="BG65" s="46">
        <f t="shared" ca="1" si="127"/>
        <v>165.1247718870321</v>
      </c>
      <c r="BH65" s="46">
        <f t="shared" ca="1" si="127"/>
        <v>177.28843897175818</v>
      </c>
      <c r="BI65" s="46">
        <f t="shared" ca="1" si="127"/>
        <v>115.52495876067326</v>
      </c>
      <c r="BJ65" s="1"/>
      <c r="BK65" s="46">
        <f t="shared" si="120"/>
        <v>161.995</v>
      </c>
      <c r="BL65" s="46">
        <f t="shared" si="120"/>
        <v>307.81600000000003</v>
      </c>
      <c r="BM65" s="46">
        <f t="shared" si="120"/>
        <v>168.87899999999999</v>
      </c>
      <c r="BN65" s="46">
        <f t="shared" si="120"/>
        <v>290.37</v>
      </c>
      <c r="BO65" s="46">
        <f t="shared" si="120"/>
        <v>494.46099999999996</v>
      </c>
      <c r="BP65" s="46">
        <f t="shared" si="120"/>
        <v>521.755</v>
      </c>
      <c r="BQ65" s="46">
        <f t="shared" si="120"/>
        <v>554.50599999999997</v>
      </c>
      <c r="BR65" s="46">
        <f t="shared" si="120"/>
        <v>810.68999999999994</v>
      </c>
      <c r="BS65" s="46">
        <f t="shared" si="120"/>
        <v>876.35699999999974</v>
      </c>
      <c r="BT65" s="46">
        <f t="shared" si="120"/>
        <v>931.904</v>
      </c>
      <c r="BU65" s="46">
        <f t="shared" ca="1" si="120"/>
        <v>472.4199425300244</v>
      </c>
      <c r="BV65" s="46">
        <f t="shared" ca="1" si="120"/>
        <v>505.79916944539622</v>
      </c>
      <c r="BW65" s="46">
        <f t="shared" ca="1" si="120"/>
        <v>533.2447777171601</v>
      </c>
      <c r="BX65" s="46">
        <f t="shared" ca="1" si="120"/>
        <v>533.78141972835431</v>
      </c>
    </row>
    <row r="66" spans="1:76" x14ac:dyDescent="0.25">
      <c r="A66" s="1"/>
      <c r="B66" s="1"/>
      <c r="C66" s="11" t="s">
        <v>89</v>
      </c>
      <c r="D66" s="1"/>
      <c r="E66" s="1"/>
      <c r="F66" s="47">
        <f>'Canalyst HC - Q'!C484</f>
        <v>-36.784999999999997</v>
      </c>
      <c r="G66" s="47">
        <f>'Canalyst HC - Q'!D484</f>
        <v>-42.84</v>
      </c>
      <c r="H66" s="47">
        <f>'Canalyst HC - Q'!E484</f>
        <v>-44.973999999999997</v>
      </c>
      <c r="I66" s="47">
        <f>'Canalyst HC - Q'!F484</f>
        <v>-47.987000000000009</v>
      </c>
      <c r="J66" s="47">
        <f>'Canalyst HC - Q'!G484</f>
        <v>-41.58</v>
      </c>
      <c r="K66" s="47">
        <f>'Canalyst HC - Q'!H484</f>
        <v>-38.027000000000001</v>
      </c>
      <c r="L66" s="47">
        <f>'Canalyst HC - Q'!I484</f>
        <v>-35.345999999999997</v>
      </c>
      <c r="M66" s="47">
        <f>'Canalyst HC - Q'!J484</f>
        <v>-61.648000000000003</v>
      </c>
      <c r="N66" s="47">
        <f>'Canalyst HC - Q'!K484</f>
        <v>-42.048000000000002</v>
      </c>
      <c r="O66" s="47">
        <f>'Canalyst HC - Q'!L484</f>
        <v>-43.230999999999987</v>
      </c>
      <c r="P66" s="47">
        <f>'Canalyst HC - Q'!M484</f>
        <v>-27.824999999999999</v>
      </c>
      <c r="Q66" s="47">
        <f>'Canalyst HC - Q'!N484</f>
        <v>-25.131000000000011</v>
      </c>
      <c r="R66" s="47">
        <f>'Canalyst HC - Q'!O484</f>
        <v>-29.315000000000001</v>
      </c>
      <c r="S66" s="47">
        <f>'Canalyst HC - Q'!P484</f>
        <v>-28.265999999999998</v>
      </c>
      <c r="T66" s="47">
        <f>'Canalyst HC - Q'!Q484</f>
        <v>-39.165999999999997</v>
      </c>
      <c r="U66" s="47">
        <f>'Canalyst HC - Q'!R484</f>
        <v>-74.626999999999995</v>
      </c>
      <c r="V66" s="47">
        <f>'Canalyst HC - Q'!S484</f>
        <v>-33.093000000000004</v>
      </c>
      <c r="W66" s="47">
        <f>'Canalyst HC - Q'!T484</f>
        <v>-39.792999999999992</v>
      </c>
      <c r="X66" s="47">
        <f>'Canalyst HC - Q'!U484</f>
        <v>-37.831000000000003</v>
      </c>
      <c r="Y66" s="47">
        <f>'Canalyst HC - Q'!V484</f>
        <v>-91.316999999999993</v>
      </c>
      <c r="Z66" s="47">
        <f>'Canalyst HC - Q'!W484</f>
        <v>-37.204000000000001</v>
      </c>
      <c r="AA66" s="47">
        <f>'Canalyst HC - Q'!X484</f>
        <v>-43.104000000000013</v>
      </c>
      <c r="AB66" s="47">
        <f>'Canalyst HC - Q'!Y484</f>
        <v>-39.311999999999998</v>
      </c>
      <c r="AC66" s="47">
        <f>'Canalyst HC - Q'!Z484</f>
        <v>-36.073000000000008</v>
      </c>
      <c r="AD66" s="47">
        <f>'Canalyst HC - Q'!AA484</f>
        <v>-104.35299999999999</v>
      </c>
      <c r="AE66" s="47">
        <f>'Canalyst HC - Q'!AB484</f>
        <v>-40.828999999999994</v>
      </c>
      <c r="AF66" s="47">
        <f>'Canalyst HC - Q'!AC484</f>
        <v>-38.747000000000007</v>
      </c>
      <c r="AG66" s="47">
        <f>'Canalyst HC - Q'!AD484</f>
        <v>-114.682</v>
      </c>
      <c r="AH66" s="47">
        <f>'Canalyst HC - Q'!AE484</f>
        <v>-52.7</v>
      </c>
      <c r="AI66" s="47">
        <f>'Canalyst HC - Q'!AF484</f>
        <v>-40.192999999999998</v>
      </c>
      <c r="AJ66" s="47">
        <f>'Canalyst HC - Q'!AG484</f>
        <v>-59.36699999999999</v>
      </c>
      <c r="AK66" s="47">
        <f>'Canalyst HC - Q'!AH484</f>
        <v>-130.04400000000001</v>
      </c>
      <c r="AL66" s="47">
        <f>'Canalyst HC - Q'!AI484</f>
        <v>-77.040000000000006</v>
      </c>
      <c r="AM66" s="47">
        <f>'Canalyst HC - Q'!AJ484</f>
        <v>-82.36</v>
      </c>
      <c r="AN66" s="47">
        <f>'Canalyst HC - Q'!AK484</f>
        <v>-127.93300000000001</v>
      </c>
      <c r="AO66" s="47">
        <f>'Canalyst HC - Q'!AL484</f>
        <v>-83.68199999999996</v>
      </c>
      <c r="AP66" s="47">
        <f>'Canalyst HC - Q'!AM484</f>
        <v>-97.866</v>
      </c>
      <c r="AQ66" s="47">
        <f>'Canalyst HC - Q'!AN484</f>
        <v>-59.51700000000001</v>
      </c>
      <c r="AR66" s="47">
        <f>'Canalyst HC - Q'!AO484</f>
        <v>-52.61099999999999</v>
      </c>
      <c r="AS66" s="47">
        <f>'Canalyst HC - Q'!AP484</f>
        <v>-102.321</v>
      </c>
      <c r="AT66" s="38">
        <f t="shared" ref="AT66:BI66" si="128">AS66</f>
        <v>-102.321</v>
      </c>
      <c r="AU66" s="38">
        <f t="shared" si="128"/>
        <v>-102.321</v>
      </c>
      <c r="AV66" s="38">
        <f t="shared" si="128"/>
        <v>-102.321</v>
      </c>
      <c r="AW66" s="38">
        <f t="shared" si="128"/>
        <v>-102.321</v>
      </c>
      <c r="AX66" s="38">
        <f t="shared" si="128"/>
        <v>-102.321</v>
      </c>
      <c r="AY66" s="38">
        <f t="shared" si="128"/>
        <v>-102.321</v>
      </c>
      <c r="AZ66" s="38">
        <f t="shared" si="128"/>
        <v>-102.321</v>
      </c>
      <c r="BA66" s="38">
        <f t="shared" si="128"/>
        <v>-102.321</v>
      </c>
      <c r="BB66" s="38">
        <f t="shared" si="128"/>
        <v>-102.321</v>
      </c>
      <c r="BC66" s="38">
        <f t="shared" si="128"/>
        <v>-102.321</v>
      </c>
      <c r="BD66" s="38">
        <f t="shared" si="128"/>
        <v>-102.321</v>
      </c>
      <c r="BE66" s="38">
        <f t="shared" si="128"/>
        <v>-102.321</v>
      </c>
      <c r="BF66" s="38">
        <f t="shared" si="128"/>
        <v>-102.321</v>
      </c>
      <c r="BG66" s="38">
        <f t="shared" si="128"/>
        <v>-102.321</v>
      </c>
      <c r="BH66" s="38">
        <f t="shared" si="128"/>
        <v>-102.321</v>
      </c>
      <c r="BI66" s="38">
        <f t="shared" si="128"/>
        <v>-102.321</v>
      </c>
      <c r="BJ66" s="1"/>
      <c r="BK66" s="38">
        <f t="shared" si="120"/>
        <v>-172.58600000000001</v>
      </c>
      <c r="BL66" s="38">
        <f t="shared" si="120"/>
        <v>-176.601</v>
      </c>
      <c r="BM66" s="38">
        <f t="shared" si="120"/>
        <v>-138.23500000000001</v>
      </c>
      <c r="BN66" s="38">
        <f t="shared" si="120"/>
        <v>-171.374</v>
      </c>
      <c r="BO66" s="38">
        <f t="shared" si="120"/>
        <v>-202.03399999999999</v>
      </c>
      <c r="BP66" s="38">
        <f t="shared" si="120"/>
        <v>-155.69300000000004</v>
      </c>
      <c r="BQ66" s="38">
        <f t="shared" si="120"/>
        <v>-298.61099999999999</v>
      </c>
      <c r="BR66" s="38">
        <f t="shared" si="120"/>
        <v>-282.30399999999997</v>
      </c>
      <c r="BS66" s="38">
        <f t="shared" si="120"/>
        <v>-371.01499999999999</v>
      </c>
      <c r="BT66" s="38">
        <f t="shared" si="120"/>
        <v>-312.315</v>
      </c>
      <c r="BU66" s="38">
        <f t="shared" si="120"/>
        <v>-409.28399999999999</v>
      </c>
      <c r="BV66" s="38">
        <f t="shared" si="120"/>
        <v>-409.28399999999999</v>
      </c>
      <c r="BW66" s="38">
        <f t="shared" si="120"/>
        <v>-409.28399999999999</v>
      </c>
      <c r="BX66" s="38">
        <f t="shared" si="120"/>
        <v>-409.28399999999999</v>
      </c>
    </row>
    <row r="67" spans="1:76" x14ac:dyDescent="0.25">
      <c r="A67" s="1"/>
      <c r="B67" s="1"/>
      <c r="C67" s="11" t="s">
        <v>90</v>
      </c>
      <c r="D67" s="1"/>
      <c r="E67" s="1"/>
      <c r="F67" s="47">
        <f>'Canalyst HC - Q'!C486</f>
        <v>-107.07</v>
      </c>
      <c r="G67" s="47">
        <f>'Canalyst HC - Q'!D486</f>
        <v>-82.185000000000002</v>
      </c>
      <c r="H67" s="47">
        <f>'Canalyst HC - Q'!E486</f>
        <v>-3.0020000000000051</v>
      </c>
      <c r="I67" s="47">
        <f>'Canalyst HC - Q'!F486</f>
        <v>-101.80500000000001</v>
      </c>
      <c r="J67" s="47">
        <f>'Canalyst HC - Q'!G486</f>
        <v>-140.09200000000001</v>
      </c>
      <c r="K67" s="47">
        <f>'Canalyst HC - Q'!H486</f>
        <v>-95.22399999999999</v>
      </c>
      <c r="L67" s="47">
        <f>'Canalyst HC - Q'!I486</f>
        <v>-62.577000000000019</v>
      </c>
      <c r="M67" s="47">
        <f>'Canalyst HC - Q'!J486</f>
        <v>-6.9130000000000038</v>
      </c>
      <c r="N67" s="47">
        <f>'Canalyst HC - Q'!K486</f>
        <v>-6.952</v>
      </c>
      <c r="O67" s="47">
        <f>'Canalyst HC - Q'!L486</f>
        <v>-1.625</v>
      </c>
      <c r="P67" s="47">
        <f>'Canalyst HC - Q'!M486</f>
        <v>-10.022</v>
      </c>
      <c r="Q67" s="47">
        <f>'Canalyst HC - Q'!N486</f>
        <v>-20.841999999999999</v>
      </c>
      <c r="R67" s="47">
        <f>'Canalyst HC - Q'!O486</f>
        <v>-6.7229999999999999</v>
      </c>
      <c r="S67" s="47">
        <f>'Canalyst HC - Q'!P486</f>
        <v>-6.5990000000000002</v>
      </c>
      <c r="T67" s="47">
        <f>'Canalyst HC - Q'!Q486</f>
        <v>-7.1749999999999989</v>
      </c>
      <c r="U67" s="47">
        <f>'Canalyst HC - Q'!R486</f>
        <v>-8.3979999999999997</v>
      </c>
      <c r="V67" s="47">
        <f>'Canalyst HC - Q'!S486</f>
        <v>-11.345000000000001</v>
      </c>
      <c r="W67" s="47">
        <f>'Canalyst HC - Q'!T486</f>
        <v>-10.768000000000001</v>
      </c>
      <c r="X67" s="47">
        <f>'Canalyst HC - Q'!U486</f>
        <v>-11.656000000000001</v>
      </c>
      <c r="Y67" s="47">
        <f>'Canalyst HC - Q'!V486</f>
        <v>-11.401</v>
      </c>
      <c r="Z67" s="47">
        <f>'Canalyst HC - Q'!W486</f>
        <v>-10.56</v>
      </c>
      <c r="AA67" s="47">
        <f>'Canalyst HC - Q'!X486</f>
        <v>-11.084</v>
      </c>
      <c r="AB67" s="47">
        <f>'Canalyst HC - Q'!Y486</f>
        <v>-9.19</v>
      </c>
      <c r="AC67" s="47">
        <f>'Canalyst HC - Q'!Z486</f>
        <v>-10.794</v>
      </c>
      <c r="AD67" s="47">
        <f>'Canalyst HC - Q'!AA486</f>
        <v>-10.019</v>
      </c>
      <c r="AE67" s="47">
        <f>'Canalyst HC - Q'!AB486</f>
        <v>-10.228999999999999</v>
      </c>
      <c r="AF67" s="47">
        <f>'Canalyst HC - Q'!AC486</f>
        <v>-9.7109999999999985</v>
      </c>
      <c r="AG67" s="47">
        <f>'Canalyst HC - Q'!AD486</f>
        <v>-9.65</v>
      </c>
      <c r="AH67" s="47">
        <f>'Canalyst HC - Q'!AE486</f>
        <v>-6.4989999999999997</v>
      </c>
      <c r="AI67" s="47">
        <f>'Canalyst HC - Q'!AF486</f>
        <v>-12.91</v>
      </c>
      <c r="AJ67" s="47">
        <f>'Canalyst HC - Q'!AG486</f>
        <v>-10.614000000000001</v>
      </c>
      <c r="AK67" s="47">
        <f>'Canalyst HC - Q'!AH486</f>
        <v>-11.926</v>
      </c>
      <c r="AL67" s="47">
        <f>'Canalyst HC - Q'!AI486</f>
        <v>-13.332000000000001</v>
      </c>
      <c r="AM67" s="47">
        <f>'Canalyst HC - Q'!AJ486</f>
        <v>-16.893000000000001</v>
      </c>
      <c r="AN67" s="47">
        <f>'Canalyst HC - Q'!AK486</f>
        <v>-23.812000000000001</v>
      </c>
      <c r="AO67" s="47">
        <f>'Canalyst HC - Q'!AL486</f>
        <v>-25.995000000000001</v>
      </c>
      <c r="AP67" s="47">
        <f>'Canalyst HC - Q'!AM486</f>
        <v>-24.402999999999999</v>
      </c>
      <c r="AQ67" s="47">
        <f>'Canalyst HC - Q'!AN486</f>
        <v>-21.400000000000009</v>
      </c>
      <c r="AR67" s="47">
        <f>'Canalyst HC - Q'!AO486</f>
        <v>-20.545000000000002</v>
      </c>
      <c r="AS67" s="47">
        <f>'Canalyst HC - Q'!AP486</f>
        <v>-22.135999999999999</v>
      </c>
      <c r="AT67" s="38">
        <f>0</f>
        <v>0</v>
      </c>
      <c r="AU67" s="38">
        <f>0</f>
        <v>0</v>
      </c>
      <c r="AV67" s="38">
        <f>0</f>
        <v>0</v>
      </c>
      <c r="AW67" s="38">
        <f>0</f>
        <v>0</v>
      </c>
      <c r="AX67" s="38">
        <f>0</f>
        <v>0</v>
      </c>
      <c r="AY67" s="38">
        <f>0</f>
        <v>0</v>
      </c>
      <c r="AZ67" s="38">
        <f>0</f>
        <v>0</v>
      </c>
      <c r="BA67" s="38">
        <f>0</f>
        <v>0</v>
      </c>
      <c r="BB67" s="38">
        <f>0</f>
        <v>0</v>
      </c>
      <c r="BC67" s="38">
        <f>0</f>
        <v>0</v>
      </c>
      <c r="BD67" s="38">
        <f>0</f>
        <v>0</v>
      </c>
      <c r="BE67" s="38">
        <f>0</f>
        <v>0</v>
      </c>
      <c r="BF67" s="38">
        <f>0</f>
        <v>0</v>
      </c>
      <c r="BG67" s="38">
        <f>0</f>
        <v>0</v>
      </c>
      <c r="BH67" s="38">
        <f>0</f>
        <v>0</v>
      </c>
      <c r="BI67" s="38">
        <f>0</f>
        <v>0</v>
      </c>
      <c r="BJ67" s="1"/>
      <c r="BK67" s="38">
        <f t="shared" si="120"/>
        <v>-294.06200000000001</v>
      </c>
      <c r="BL67" s="38">
        <f t="shared" si="120"/>
        <v>-304.80600000000004</v>
      </c>
      <c r="BM67" s="38">
        <f t="shared" si="120"/>
        <v>-39.441000000000003</v>
      </c>
      <c r="BN67" s="38">
        <f t="shared" si="120"/>
        <v>-28.895</v>
      </c>
      <c r="BO67" s="38">
        <f t="shared" si="120"/>
        <v>-45.17</v>
      </c>
      <c r="BP67" s="38">
        <f t="shared" si="120"/>
        <v>-41.628</v>
      </c>
      <c r="BQ67" s="38">
        <f t="shared" si="120"/>
        <v>-39.608999999999995</v>
      </c>
      <c r="BR67" s="38">
        <f t="shared" si="120"/>
        <v>-41.948999999999998</v>
      </c>
      <c r="BS67" s="38">
        <f t="shared" si="120"/>
        <v>-80.032000000000011</v>
      </c>
      <c r="BT67" s="38">
        <f t="shared" si="120"/>
        <v>-88.484000000000009</v>
      </c>
      <c r="BU67" s="38">
        <f t="shared" si="120"/>
        <v>0</v>
      </c>
      <c r="BV67" s="38">
        <f t="shared" si="120"/>
        <v>0</v>
      </c>
      <c r="BW67" s="38">
        <f t="shared" si="120"/>
        <v>0</v>
      </c>
      <c r="BX67" s="38">
        <f t="shared" si="120"/>
        <v>0</v>
      </c>
    </row>
    <row r="68" spans="1:76" x14ac:dyDescent="0.25">
      <c r="A68" s="1"/>
      <c r="B68" s="1"/>
      <c r="C68" s="11" t="s">
        <v>65</v>
      </c>
      <c r="D68" s="1"/>
      <c r="E68" s="1"/>
      <c r="F68" s="48">
        <f t="shared" ref="F68:AS68" si="129">F69-F66-F67</f>
        <v>5.0900000000000034</v>
      </c>
      <c r="G68" s="48">
        <f t="shared" si="129"/>
        <v>3.1180000000000092</v>
      </c>
      <c r="H68" s="48">
        <f t="shared" si="129"/>
        <v>2.5949999999999944</v>
      </c>
      <c r="I68" s="48">
        <f t="shared" si="129"/>
        <v>3.8190000000000026</v>
      </c>
      <c r="J68" s="48">
        <f t="shared" si="129"/>
        <v>-15.386999999999972</v>
      </c>
      <c r="K68" s="48">
        <f t="shared" si="129"/>
        <v>15.128999999999991</v>
      </c>
      <c r="L68" s="48">
        <f t="shared" si="129"/>
        <v>5.203000000000003</v>
      </c>
      <c r="M68" s="48">
        <f t="shared" si="129"/>
        <v>17.567000000000014</v>
      </c>
      <c r="N68" s="48">
        <f t="shared" si="129"/>
        <v>8.7760000000000051</v>
      </c>
      <c r="O68" s="48">
        <f t="shared" si="129"/>
        <v>9.3230000000000004</v>
      </c>
      <c r="P68" s="48">
        <f t="shared" si="129"/>
        <v>7.5570000000000004</v>
      </c>
      <c r="Q68" s="48">
        <f t="shared" si="129"/>
        <v>8.0749999999999993</v>
      </c>
      <c r="R68" s="48">
        <f t="shared" si="129"/>
        <v>2.2640000000000002</v>
      </c>
      <c r="S68" s="48">
        <f t="shared" si="129"/>
        <v>6.7409999999999997</v>
      </c>
      <c r="T68" s="48">
        <f t="shared" si="129"/>
        <v>6.1529999999999934</v>
      </c>
      <c r="U68" s="48">
        <f t="shared" si="129"/>
        <v>11.434000000000001</v>
      </c>
      <c r="V68" s="48">
        <f t="shared" si="129"/>
        <v>12.110000000000001</v>
      </c>
      <c r="W68" s="48">
        <f t="shared" si="129"/>
        <v>10.185000000000002</v>
      </c>
      <c r="X68" s="48">
        <f t="shared" si="129"/>
        <v>12.101000000000001</v>
      </c>
      <c r="Y68" s="48">
        <f t="shared" si="129"/>
        <v>12.388999999999999</v>
      </c>
      <c r="Z68" s="48">
        <f t="shared" si="129"/>
        <v>8.1219999999999981</v>
      </c>
      <c r="AA68" s="48">
        <f t="shared" si="129"/>
        <v>11.478000000000005</v>
      </c>
      <c r="AB68" s="48">
        <f t="shared" si="129"/>
        <v>11.257</v>
      </c>
      <c r="AC68" s="48">
        <f t="shared" si="129"/>
        <v>4.5209999999999972</v>
      </c>
      <c r="AD68" s="48">
        <f t="shared" si="129"/>
        <v>-18.148999999999994</v>
      </c>
      <c r="AE68" s="48">
        <f t="shared" si="129"/>
        <v>11.964999999999989</v>
      </c>
      <c r="AF68" s="48">
        <f t="shared" si="129"/>
        <v>9.8039999999999949</v>
      </c>
      <c r="AG68" s="48">
        <f t="shared" si="129"/>
        <v>9.6150000000000038</v>
      </c>
      <c r="AH68" s="48">
        <f t="shared" si="129"/>
        <v>6.6570000000000009</v>
      </c>
      <c r="AI68" s="48">
        <f t="shared" si="129"/>
        <v>6.9860000000000007</v>
      </c>
      <c r="AJ68" s="48">
        <f t="shared" si="129"/>
        <v>7.7769999999999975</v>
      </c>
      <c r="AK68" s="48">
        <f t="shared" si="129"/>
        <v>7.4830000000000165</v>
      </c>
      <c r="AL68" s="48">
        <f t="shared" si="129"/>
        <v>-172.89</v>
      </c>
      <c r="AM68" s="48">
        <f t="shared" si="129"/>
        <v>0.33600000000002694</v>
      </c>
      <c r="AN68" s="48">
        <f t="shared" si="129"/>
        <v>5.9660000000000117</v>
      </c>
      <c r="AO68" s="48">
        <f t="shared" si="129"/>
        <v>-64.566000000000031</v>
      </c>
      <c r="AP68" s="48">
        <f t="shared" si="129"/>
        <v>-17.425999999999995</v>
      </c>
      <c r="AQ68" s="48">
        <f t="shared" si="129"/>
        <v>13.253000000000018</v>
      </c>
      <c r="AR68" s="48">
        <f t="shared" si="129"/>
        <v>218.83999999999997</v>
      </c>
      <c r="AS68" s="48">
        <f t="shared" si="129"/>
        <v>167.11499999999992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1"/>
      <c r="BK68" s="38">
        <f t="shared" si="120"/>
        <v>14.622000000000011</v>
      </c>
      <c r="BL68" s="38">
        <f t="shared" si="120"/>
        <v>22.512000000000036</v>
      </c>
      <c r="BM68" s="38">
        <f t="shared" si="120"/>
        <v>33.731000000000009</v>
      </c>
      <c r="BN68" s="38">
        <f t="shared" si="120"/>
        <v>26.591999999999992</v>
      </c>
      <c r="BO68" s="38">
        <f t="shared" si="120"/>
        <v>46.784999999999997</v>
      </c>
      <c r="BP68" s="38">
        <f t="shared" si="120"/>
        <v>35.378</v>
      </c>
      <c r="BQ68" s="38">
        <f t="shared" si="120"/>
        <v>13.234999999999994</v>
      </c>
      <c r="BR68" s="38">
        <f t="shared" si="120"/>
        <v>28.903000000000013</v>
      </c>
      <c r="BS68" s="38">
        <f t="shared" si="120"/>
        <v>-231.154</v>
      </c>
      <c r="BT68" s="38">
        <f t="shared" si="120"/>
        <v>381.78199999999993</v>
      </c>
      <c r="BU68" s="38">
        <f t="shared" si="120"/>
        <v>0</v>
      </c>
      <c r="BV68" s="38">
        <f t="shared" si="120"/>
        <v>0</v>
      </c>
      <c r="BW68" s="38">
        <f t="shared" si="120"/>
        <v>0</v>
      </c>
      <c r="BX68" s="38">
        <f t="shared" si="120"/>
        <v>0</v>
      </c>
    </row>
    <row r="69" spans="1:76" ht="15" customHeight="1" x14ac:dyDescent="0.25">
      <c r="A69" s="1"/>
      <c r="B69" s="3" t="s">
        <v>91</v>
      </c>
      <c r="C69" s="1"/>
      <c r="D69" s="1"/>
      <c r="E69" s="1"/>
      <c r="F69" s="45">
        <f>'Canalyst HC - Q'!C681</f>
        <v>-138.76499999999999</v>
      </c>
      <c r="G69" s="45">
        <f>'Canalyst HC - Q'!D681</f>
        <v>-121.907</v>
      </c>
      <c r="H69" s="45">
        <f>'Canalyst HC - Q'!E681</f>
        <v>-45.381000000000007</v>
      </c>
      <c r="I69" s="45">
        <f>'Canalyst HC - Q'!F681</f>
        <v>-145.97300000000001</v>
      </c>
      <c r="J69" s="45">
        <f>'Canalyst HC - Q'!G681</f>
        <v>-197.059</v>
      </c>
      <c r="K69" s="45">
        <f>'Canalyst HC - Q'!H681</f>
        <v>-118.122</v>
      </c>
      <c r="L69" s="45">
        <f>'Canalyst HC - Q'!I681</f>
        <v>-92.720000000000013</v>
      </c>
      <c r="M69" s="45">
        <f>'Canalyst HC - Q'!J681</f>
        <v>-50.993999999999993</v>
      </c>
      <c r="N69" s="45">
        <f>'Canalyst HC - Q'!K681</f>
        <v>-40.223999999999997</v>
      </c>
      <c r="O69" s="45">
        <f>'Canalyst HC - Q'!L681</f>
        <v>-35.532999999999987</v>
      </c>
      <c r="P69" s="45">
        <f>'Canalyst HC - Q'!M681</f>
        <v>-30.29</v>
      </c>
      <c r="Q69" s="45">
        <f>'Canalyst HC - Q'!N681</f>
        <v>-37.89800000000001</v>
      </c>
      <c r="R69" s="45">
        <f>'Canalyst HC - Q'!O681</f>
        <v>-33.774000000000001</v>
      </c>
      <c r="S69" s="45">
        <f>'Canalyst HC - Q'!P681</f>
        <v>-28.123999999999999</v>
      </c>
      <c r="T69" s="45">
        <f>'Canalyst HC - Q'!Q681</f>
        <v>-40.188000000000002</v>
      </c>
      <c r="U69" s="45">
        <f>'Canalyst HC - Q'!R681</f>
        <v>-71.590999999999994</v>
      </c>
      <c r="V69" s="45">
        <f>'Canalyst HC - Q'!S681</f>
        <v>-32.328000000000003</v>
      </c>
      <c r="W69" s="45">
        <f>'Canalyst HC - Q'!T681</f>
        <v>-40.375999999999991</v>
      </c>
      <c r="X69" s="45">
        <f>'Canalyst HC - Q'!U681</f>
        <v>-37.386000000000003</v>
      </c>
      <c r="Y69" s="45">
        <f>'Canalyst HC - Q'!V681</f>
        <v>-90.328999999999994</v>
      </c>
      <c r="Z69" s="45">
        <f>'Canalyst HC - Q'!W681</f>
        <v>-39.642000000000003</v>
      </c>
      <c r="AA69" s="45">
        <f>'Canalyst HC - Q'!X681</f>
        <v>-42.710000000000008</v>
      </c>
      <c r="AB69" s="45">
        <f>'Canalyst HC - Q'!Y681</f>
        <v>-37.244999999999997</v>
      </c>
      <c r="AC69" s="45">
        <f>'Canalyst HC - Q'!Z681</f>
        <v>-42.346000000000011</v>
      </c>
      <c r="AD69" s="45">
        <f>'Canalyst HC - Q'!AA681</f>
        <v>-132.52099999999999</v>
      </c>
      <c r="AE69" s="45">
        <f>'Canalyst HC - Q'!AB681</f>
        <v>-39.093000000000004</v>
      </c>
      <c r="AF69" s="45">
        <f>'Canalyst HC - Q'!AC681</f>
        <v>-38.654000000000011</v>
      </c>
      <c r="AG69" s="45">
        <f>'Canalyst HC - Q'!AD681</f>
        <v>-114.717</v>
      </c>
      <c r="AH69" s="45">
        <f>'Canalyst HC - Q'!AE681</f>
        <v>-52.542000000000002</v>
      </c>
      <c r="AI69" s="45">
        <f>'Canalyst HC - Q'!AF681</f>
        <v>-46.116999999999997</v>
      </c>
      <c r="AJ69" s="45">
        <f>'Canalyst HC - Q'!AG681</f>
        <v>-62.203999999999994</v>
      </c>
      <c r="AK69" s="45">
        <f>'Canalyst HC - Q'!AH681</f>
        <v>-134.48699999999999</v>
      </c>
      <c r="AL69" s="45">
        <f>'Canalyst HC - Q'!AI681</f>
        <v>-263.262</v>
      </c>
      <c r="AM69" s="45">
        <f>'Canalyst HC - Q'!AJ681</f>
        <v>-98.916999999999973</v>
      </c>
      <c r="AN69" s="45">
        <f>'Canalyst HC - Q'!AK681</f>
        <v>-145.779</v>
      </c>
      <c r="AO69" s="45">
        <f>'Canalyst HC - Q'!AL681</f>
        <v>-174.24299999999999</v>
      </c>
      <c r="AP69" s="45">
        <f>'Canalyst HC - Q'!AM681</f>
        <v>-139.69499999999999</v>
      </c>
      <c r="AQ69" s="45">
        <f>'Canalyst HC - Q'!AN681</f>
        <v>-67.664000000000001</v>
      </c>
      <c r="AR69" s="45">
        <f>'Canalyst HC - Q'!AO681</f>
        <v>145.684</v>
      </c>
      <c r="AS69" s="45">
        <f>'Canalyst HC - Q'!AP681</f>
        <v>42.657999999999937</v>
      </c>
      <c r="AT69" s="46">
        <f t="shared" ref="AT69:BI69" si="130">SUM(AT66:AT68)</f>
        <v>-102.321</v>
      </c>
      <c r="AU69" s="46">
        <f t="shared" si="130"/>
        <v>-102.321</v>
      </c>
      <c r="AV69" s="46">
        <f t="shared" si="130"/>
        <v>-102.321</v>
      </c>
      <c r="AW69" s="46">
        <f t="shared" si="130"/>
        <v>-102.321</v>
      </c>
      <c r="AX69" s="46">
        <f t="shared" si="130"/>
        <v>-102.321</v>
      </c>
      <c r="AY69" s="46">
        <f t="shared" si="130"/>
        <v>-102.321</v>
      </c>
      <c r="AZ69" s="46">
        <f t="shared" si="130"/>
        <v>-102.321</v>
      </c>
      <c r="BA69" s="46">
        <f t="shared" si="130"/>
        <v>-102.321</v>
      </c>
      <c r="BB69" s="46">
        <f t="shared" si="130"/>
        <v>-102.321</v>
      </c>
      <c r="BC69" s="46">
        <f t="shared" si="130"/>
        <v>-102.321</v>
      </c>
      <c r="BD69" s="46">
        <f t="shared" si="130"/>
        <v>-102.321</v>
      </c>
      <c r="BE69" s="46">
        <f t="shared" si="130"/>
        <v>-102.321</v>
      </c>
      <c r="BF69" s="46">
        <f t="shared" si="130"/>
        <v>-102.321</v>
      </c>
      <c r="BG69" s="46">
        <f t="shared" si="130"/>
        <v>-102.321</v>
      </c>
      <c r="BH69" s="46">
        <f t="shared" si="130"/>
        <v>-102.321</v>
      </c>
      <c r="BI69" s="46">
        <f t="shared" si="130"/>
        <v>-102.321</v>
      </c>
      <c r="BJ69" s="1"/>
      <c r="BK69" s="46">
        <f t="shared" si="120"/>
        <v>-452.02600000000001</v>
      </c>
      <c r="BL69" s="46">
        <f t="shared" si="120"/>
        <v>-458.89499999999998</v>
      </c>
      <c r="BM69" s="46">
        <f t="shared" si="120"/>
        <v>-143.94499999999999</v>
      </c>
      <c r="BN69" s="46">
        <f t="shared" si="120"/>
        <v>-173.67699999999999</v>
      </c>
      <c r="BO69" s="46">
        <f t="shared" si="120"/>
        <v>-200.41899999999998</v>
      </c>
      <c r="BP69" s="46">
        <f t="shared" si="120"/>
        <v>-161.94300000000001</v>
      </c>
      <c r="BQ69" s="46">
        <f t="shared" si="120"/>
        <v>-324.98499999999996</v>
      </c>
      <c r="BR69" s="46">
        <f t="shared" si="120"/>
        <v>-295.35000000000002</v>
      </c>
      <c r="BS69" s="46">
        <f t="shared" si="120"/>
        <v>-682.20100000000002</v>
      </c>
      <c r="BT69" s="46">
        <f t="shared" si="120"/>
        <v>-19.017000000000046</v>
      </c>
      <c r="BU69" s="46">
        <f t="shared" si="120"/>
        <v>-409.28399999999999</v>
      </c>
      <c r="BV69" s="46">
        <f t="shared" si="120"/>
        <v>-409.28399999999999</v>
      </c>
      <c r="BW69" s="46">
        <f t="shared" si="120"/>
        <v>-409.28399999999999</v>
      </c>
      <c r="BX69" s="46">
        <f t="shared" si="120"/>
        <v>-409.28399999999999</v>
      </c>
    </row>
    <row r="70" spans="1:76" x14ac:dyDescent="0.25">
      <c r="A70" s="1"/>
      <c r="B70" s="1"/>
      <c r="C70" s="11" t="s">
        <v>92</v>
      </c>
      <c r="D70" s="1"/>
      <c r="E70" s="1"/>
      <c r="F70" s="47">
        <f>'Canalyst HC - Q'!C598+'Canalyst HC - Q'!C599+'Canalyst HC - Q'!C605</f>
        <v>0</v>
      </c>
      <c r="G70" s="47">
        <f>'Canalyst HC - Q'!D598+'Canalyst HC - Q'!D599+'Canalyst HC - Q'!D605</f>
        <v>300</v>
      </c>
      <c r="H70" s="47">
        <f>'Canalyst HC - Q'!E598+'Canalyst HC - Q'!E599+'Canalyst HC - Q'!E605</f>
        <v>300</v>
      </c>
      <c r="I70" s="47">
        <f>'Canalyst HC - Q'!F598+'Canalyst HC - Q'!F599+'Canalyst HC - Q'!F605</f>
        <v>300</v>
      </c>
      <c r="J70" s="47">
        <f>'Canalyst HC - Q'!G598+'Canalyst HC - Q'!G599+'Canalyst HC - Q'!G605</f>
        <v>125</v>
      </c>
      <c r="K70" s="47">
        <f>'Canalyst HC - Q'!H598+'Canalyst HC - Q'!H599+'Canalyst HC - Q'!H605</f>
        <v>125</v>
      </c>
      <c r="L70" s="47">
        <f>'Canalyst HC - Q'!I598+'Canalyst HC - Q'!I599+'Canalyst HC - Q'!I605</f>
        <v>125</v>
      </c>
      <c r="M70" s="47">
        <f>'Canalyst HC - Q'!J598+'Canalyst HC - Q'!J599+'Canalyst HC - Q'!J605</f>
        <v>125</v>
      </c>
      <c r="N70" s="47">
        <f>'Canalyst HC - Q'!K598+'Canalyst HC - Q'!K599+'Canalyst HC - Q'!K605</f>
        <v>150</v>
      </c>
      <c r="O70" s="47">
        <f>'Canalyst HC - Q'!L598+'Canalyst HC - Q'!L599+'Canalyst HC - Q'!L605</f>
        <v>150</v>
      </c>
      <c r="P70" s="47">
        <f>'Canalyst HC - Q'!M598+'Canalyst HC - Q'!M599+'Canalyst HC - Q'!M605</f>
        <v>150</v>
      </c>
      <c r="Q70" s="47">
        <f>'Canalyst HC - Q'!N598+'Canalyst HC - Q'!N599+'Canalyst HC - Q'!N605</f>
        <v>150</v>
      </c>
      <c r="R70" s="47">
        <f>'Canalyst HC - Q'!O598+'Canalyst HC - Q'!O599+'Canalyst HC - Q'!O605</f>
        <v>0</v>
      </c>
      <c r="S70" s="47">
        <f>'Canalyst HC - Q'!P598+'Canalyst HC - Q'!P599+'Canalyst HC - Q'!P605</f>
        <v>100</v>
      </c>
      <c r="T70" s="47">
        <f>'Canalyst HC - Q'!Q598+'Canalyst HC - Q'!Q599+'Canalyst HC - Q'!Q605</f>
        <v>100</v>
      </c>
      <c r="U70" s="47">
        <f>'Canalyst HC - Q'!R598+'Canalyst HC - Q'!R599+'Canalyst HC - Q'!R605</f>
        <v>100</v>
      </c>
      <c r="V70" s="47">
        <f>'Canalyst HC - Q'!S598+'Canalyst HC - Q'!S599+'Canalyst HC - Q'!S605</f>
        <v>0</v>
      </c>
      <c r="W70" s="47">
        <f>'Canalyst HC - Q'!T598+'Canalyst HC - Q'!T599+'Canalyst HC - Q'!T605</f>
        <v>0</v>
      </c>
      <c r="X70" s="47">
        <f>'Canalyst HC - Q'!U598+'Canalyst HC - Q'!U599+'Canalyst HC - Q'!U605</f>
        <v>0</v>
      </c>
      <c r="Y70" s="47">
        <f>'Canalyst HC - Q'!V598+'Canalyst HC - Q'!V599+'Canalyst HC - Q'!V605</f>
        <v>0</v>
      </c>
      <c r="Z70" s="47">
        <f>'Canalyst HC - Q'!W598+'Canalyst HC - Q'!W599+'Canalyst HC - Q'!W605</f>
        <v>0</v>
      </c>
      <c r="AA70" s="47">
        <f>'Canalyst HC - Q'!X598+'Canalyst HC - Q'!X599+'Canalyst HC - Q'!X605</f>
        <v>0</v>
      </c>
      <c r="AB70" s="47">
        <f>'Canalyst HC - Q'!Y598+'Canalyst HC - Q'!Y599+'Canalyst HC - Q'!Y605</f>
        <v>70</v>
      </c>
      <c r="AC70" s="47">
        <f>'Canalyst HC - Q'!Z598+'Canalyst HC - Q'!Z599+'Canalyst HC - Q'!Z605</f>
        <v>70</v>
      </c>
      <c r="AD70" s="47">
        <f>'Canalyst HC - Q'!AA598+'Canalyst HC - Q'!AA599+'Canalyst HC - Q'!AA605</f>
        <v>0</v>
      </c>
      <c r="AE70" s="47">
        <f>'Canalyst HC - Q'!AB598+'Canalyst HC - Q'!AB599+'Canalyst HC - Q'!AB605</f>
        <v>0</v>
      </c>
      <c r="AF70" s="47">
        <f>'Canalyst HC - Q'!AC598+'Canalyst HC - Q'!AC599+'Canalyst HC - Q'!AC605</f>
        <v>0</v>
      </c>
      <c r="AG70" s="47">
        <f>'Canalyst HC - Q'!AD598+'Canalyst HC - Q'!AD599+'Canalyst HC - Q'!AD605</f>
        <v>0</v>
      </c>
      <c r="AH70" s="47">
        <f>'Canalyst HC - Q'!AE598+'Canalyst HC - Q'!AE599+'Canalyst HC - Q'!AE605</f>
        <v>0</v>
      </c>
      <c r="AI70" s="47">
        <f>'Canalyst HC - Q'!AF598+'Canalyst HC - Q'!AF599+'Canalyst HC - Q'!AF605</f>
        <v>0</v>
      </c>
      <c r="AJ70" s="47">
        <f>'Canalyst HC - Q'!AG598+'Canalyst HC - Q'!AG599+'Canalyst HC - Q'!AG605</f>
        <v>0</v>
      </c>
      <c r="AK70" s="47">
        <f>'Canalyst HC - Q'!AH598+'Canalyst HC - Q'!AH599+'Canalyst HC - Q'!AH605</f>
        <v>0</v>
      </c>
      <c r="AL70" s="47">
        <f>'Canalyst HC - Q'!AI598+'Canalyst HC - Q'!AI599+'Canalyst HC - Q'!AI605</f>
        <v>0</v>
      </c>
      <c r="AM70" s="47">
        <f>'Canalyst HC - Q'!AJ598+'Canalyst HC - Q'!AJ599+'Canalyst HC - Q'!AJ605</f>
        <v>0</v>
      </c>
      <c r="AN70" s="47">
        <f>'Canalyst HC - Q'!AK598+'Canalyst HC - Q'!AK599+'Canalyst HC - Q'!AK605</f>
        <v>0</v>
      </c>
      <c r="AO70" s="47">
        <f>'Canalyst HC - Q'!AL598+'Canalyst HC - Q'!AL599+'Canalyst HC - Q'!AL605</f>
        <v>0</v>
      </c>
      <c r="AP70" s="47">
        <f>'Canalyst HC - Q'!AM598+'Canalyst HC - Q'!AM599+'Canalyst HC - Q'!AM605</f>
        <v>0</v>
      </c>
      <c r="AQ70" s="47">
        <f>'Canalyst HC - Q'!AN598+'Canalyst HC - Q'!AN599+'Canalyst HC - Q'!AN605</f>
        <v>0</v>
      </c>
      <c r="AR70" s="47">
        <f>'Canalyst HC - Q'!AO598+'Canalyst HC - Q'!AO599+'Canalyst HC - Q'!AO605</f>
        <v>0</v>
      </c>
      <c r="AS70" s="47">
        <f>'Canalyst HC - Q'!AP598+'Canalyst HC - Q'!AP599+'Canalyst HC - Q'!AP605</f>
        <v>0</v>
      </c>
      <c r="AT70" s="38">
        <f>0</f>
        <v>0</v>
      </c>
      <c r="AU70" s="38">
        <f>0</f>
        <v>0</v>
      </c>
      <c r="AV70" s="38">
        <f>0</f>
        <v>0</v>
      </c>
      <c r="AW70" s="38">
        <f>0</f>
        <v>0</v>
      </c>
      <c r="AX70" s="38">
        <f>0</f>
        <v>0</v>
      </c>
      <c r="AY70" s="38">
        <f>0</f>
        <v>0</v>
      </c>
      <c r="AZ70" s="38">
        <f>0</f>
        <v>0</v>
      </c>
      <c r="BA70" s="38">
        <f>0</f>
        <v>0</v>
      </c>
      <c r="BB70" s="38">
        <f>0</f>
        <v>0</v>
      </c>
      <c r="BC70" s="38">
        <f>0</f>
        <v>0</v>
      </c>
      <c r="BD70" s="38">
        <f>0</f>
        <v>0</v>
      </c>
      <c r="BE70" s="38">
        <f>0</f>
        <v>0</v>
      </c>
      <c r="BF70" s="38">
        <f>0</f>
        <v>0</v>
      </c>
      <c r="BG70" s="38">
        <f>0</f>
        <v>0</v>
      </c>
      <c r="BH70" s="38">
        <f>0</f>
        <v>0</v>
      </c>
      <c r="BI70" s="38">
        <f>0</f>
        <v>0</v>
      </c>
      <c r="BJ70" s="1"/>
      <c r="BK70" s="38">
        <f t="shared" si="120"/>
        <v>900</v>
      </c>
      <c r="BL70" s="38">
        <f t="shared" si="120"/>
        <v>500</v>
      </c>
      <c r="BM70" s="38">
        <f t="shared" si="120"/>
        <v>600</v>
      </c>
      <c r="BN70" s="38">
        <f t="shared" si="120"/>
        <v>300</v>
      </c>
      <c r="BO70" s="38">
        <f t="shared" si="120"/>
        <v>0</v>
      </c>
      <c r="BP70" s="38">
        <f t="shared" si="120"/>
        <v>140</v>
      </c>
      <c r="BQ70" s="38">
        <f t="shared" si="120"/>
        <v>0</v>
      </c>
      <c r="BR70" s="38">
        <f t="shared" si="120"/>
        <v>0</v>
      </c>
      <c r="BS70" s="38">
        <f t="shared" si="120"/>
        <v>0</v>
      </c>
      <c r="BT70" s="38">
        <f t="shared" si="120"/>
        <v>0</v>
      </c>
      <c r="BU70" s="38">
        <f t="shared" si="120"/>
        <v>0</v>
      </c>
      <c r="BV70" s="38">
        <f t="shared" si="120"/>
        <v>0</v>
      </c>
      <c r="BW70" s="38">
        <f t="shared" si="120"/>
        <v>0</v>
      </c>
      <c r="BX70" s="38">
        <f t="shared" si="120"/>
        <v>0</v>
      </c>
    </row>
    <row r="71" spans="1:76" x14ac:dyDescent="0.25">
      <c r="A71" s="1"/>
      <c r="B71" s="1"/>
      <c r="C71" s="11" t="s">
        <v>93</v>
      </c>
      <c r="D71" s="1"/>
      <c r="E71" s="1"/>
      <c r="F71" s="47">
        <f>'Canalyst HC - Q'!C602+'Canalyst HC - Q'!C603+'Canalyst HC - Q'!C606</f>
        <v>0</v>
      </c>
      <c r="G71" s="47">
        <f>'Canalyst HC - Q'!D602+'Canalyst HC - Q'!D603+'Canalyst HC - Q'!D606</f>
        <v>-164.75700000000001</v>
      </c>
      <c r="H71" s="47">
        <f>'Canalyst HC - Q'!E602+'Canalyst HC - Q'!E603+'Canalyst HC - Q'!E606</f>
        <v>-164.75700000000001</v>
      </c>
      <c r="I71" s="47">
        <f>'Canalyst HC - Q'!F602+'Canalyst HC - Q'!F603+'Canalyst HC - Q'!F606</f>
        <v>-164.75700000000001</v>
      </c>
      <c r="J71" s="47">
        <f>'Canalyst HC - Q'!G602+'Canalyst HC - Q'!G603+'Canalyst HC - Q'!G606</f>
        <v>0</v>
      </c>
      <c r="K71" s="47">
        <f>'Canalyst HC - Q'!H602+'Canalyst HC - Q'!H603+'Canalyst HC - Q'!H606</f>
        <v>0</v>
      </c>
      <c r="L71" s="47">
        <f>'Canalyst HC - Q'!I602+'Canalyst HC - Q'!I603+'Canalyst HC - Q'!I606</f>
        <v>0</v>
      </c>
      <c r="M71" s="47">
        <f>'Canalyst HC - Q'!J602+'Canalyst HC - Q'!J603+'Canalyst HC - Q'!J606</f>
        <v>0</v>
      </c>
      <c r="N71" s="47">
        <f>'Canalyst HC - Q'!K602+'Canalyst HC - Q'!K603+'Canalyst HC - Q'!K606</f>
        <v>0</v>
      </c>
      <c r="O71" s="47">
        <f>'Canalyst HC - Q'!L602+'Canalyst HC - Q'!L603+'Canalyst HC - Q'!L606</f>
        <v>0</v>
      </c>
      <c r="P71" s="47">
        <f>'Canalyst HC - Q'!M602+'Canalyst HC - Q'!M603+'Canalyst HC - Q'!M606</f>
        <v>-7.5</v>
      </c>
      <c r="Q71" s="47">
        <f>'Canalyst HC - Q'!N602+'Canalyst HC - Q'!N603+'Canalyst HC - Q'!N606</f>
        <v>-7.5</v>
      </c>
      <c r="R71" s="47">
        <f>'Canalyst HC - Q'!O602+'Canalyst HC - Q'!O603+'Canalyst HC - Q'!O606</f>
        <v>-15</v>
      </c>
      <c r="S71" s="47">
        <f>'Canalyst HC - Q'!P602+'Canalyst HC - Q'!P603+'Canalyst HC - Q'!P606</f>
        <v>-132.5</v>
      </c>
      <c r="T71" s="47">
        <f>'Canalyst HC - Q'!Q602+'Canalyst HC - Q'!Q603+'Canalyst HC - Q'!Q606</f>
        <v>-132.5</v>
      </c>
      <c r="U71" s="47">
        <f>'Canalyst HC - Q'!R602+'Canalyst HC - Q'!R603+'Canalyst HC - Q'!R606</f>
        <v>-140</v>
      </c>
      <c r="V71" s="47">
        <f>'Canalyst HC - Q'!S602+'Canalyst HC - Q'!S603+'Canalyst HC - Q'!S606</f>
        <v>-7.5</v>
      </c>
      <c r="W71" s="47">
        <f>'Canalyst HC - Q'!T602+'Canalyst HC - Q'!T603+'Canalyst HC - Q'!T606</f>
        <v>-15</v>
      </c>
      <c r="X71" s="47">
        <f>'Canalyst HC - Q'!U602+'Canalyst HC - Q'!U603+'Canalyst HC - Q'!U606</f>
        <v>-22.5</v>
      </c>
      <c r="Y71" s="47">
        <f>'Canalyst HC - Q'!V602+'Canalyst HC - Q'!V603+'Canalyst HC - Q'!V606</f>
        <v>-45</v>
      </c>
      <c r="Z71" s="47">
        <f>'Canalyst HC - Q'!W602+'Canalyst HC - Q'!W603+'Canalyst HC - Q'!W606</f>
        <v>-31.25</v>
      </c>
      <c r="AA71" s="47">
        <f>'Canalyst HC - Q'!X602+'Canalyst HC - Q'!X603+'Canalyst HC - Q'!X606</f>
        <v>-217.5</v>
      </c>
      <c r="AB71" s="47">
        <f>'Canalyst HC - Q'!Y602+'Canalyst HC - Q'!Y603+'Canalyst HC - Q'!Y606</f>
        <v>-217.5</v>
      </c>
      <c r="AC71" s="47">
        <f>'Canalyst HC - Q'!Z602+'Canalyst HC - Q'!Z603+'Canalyst HC - Q'!Z606</f>
        <v>-287.5</v>
      </c>
      <c r="AD71" s="47">
        <f>'Canalyst HC - Q'!AA602+'Canalyst HC - Q'!AA603+'Canalyst HC - Q'!AA606</f>
        <v>0</v>
      </c>
      <c r="AE71" s="47">
        <f>'Canalyst HC - Q'!AB602+'Canalyst HC - Q'!AB603+'Canalyst HC - Q'!AB606</f>
        <v>0</v>
      </c>
      <c r="AF71" s="47">
        <f>'Canalyst HC - Q'!AC602+'Canalyst HC - Q'!AC603+'Canalyst HC - Q'!AC606</f>
        <v>-125</v>
      </c>
      <c r="AG71" s="47">
        <f>'Canalyst HC - Q'!AD602+'Canalyst HC - Q'!AD603+'Canalyst HC - Q'!AD606</f>
        <v>-125</v>
      </c>
      <c r="AH71" s="47">
        <f>'Canalyst HC - Q'!AE602+'Canalyst HC - Q'!AE603+'Canalyst HC - Q'!AE606</f>
        <v>0</v>
      </c>
      <c r="AI71" s="47">
        <f>'Canalyst HC - Q'!AF602+'Canalyst HC - Q'!AF603+'Canalyst HC - Q'!AF606</f>
        <v>0</v>
      </c>
      <c r="AJ71" s="47">
        <f>'Canalyst HC - Q'!AG602+'Canalyst HC - Q'!AG603+'Canalyst HC - Q'!AG606</f>
        <v>0</v>
      </c>
      <c r="AK71" s="47">
        <f>'Canalyst HC - Q'!AH602+'Canalyst HC - Q'!AH603+'Canalyst HC - Q'!AH606</f>
        <v>0</v>
      </c>
      <c r="AL71" s="47">
        <f>'Canalyst HC - Q'!AI602+'Canalyst HC - Q'!AI603+'Canalyst HC - Q'!AI606</f>
        <v>0</v>
      </c>
      <c r="AM71" s="47">
        <f>'Canalyst HC - Q'!AJ602+'Canalyst HC - Q'!AJ603+'Canalyst HC - Q'!AJ606</f>
        <v>0</v>
      </c>
      <c r="AN71" s="47">
        <f>'Canalyst HC - Q'!AK602+'Canalyst HC - Q'!AK603+'Canalyst HC - Q'!AK606</f>
        <v>0</v>
      </c>
      <c r="AO71" s="47">
        <f>'Canalyst HC - Q'!AL602+'Canalyst HC - Q'!AL603+'Canalyst HC - Q'!AL606</f>
        <v>0</v>
      </c>
      <c r="AP71" s="47">
        <f>'Canalyst HC - Q'!AM602+'Canalyst HC - Q'!AM603+'Canalyst HC - Q'!AM606</f>
        <v>0</v>
      </c>
      <c r="AQ71" s="47">
        <f>'Canalyst HC - Q'!AN602+'Canalyst HC - Q'!AN603+'Canalyst HC - Q'!AN606</f>
        <v>0</v>
      </c>
      <c r="AR71" s="47">
        <f>'Canalyst HC - Q'!AO602+'Canalyst HC - Q'!AO603+'Canalyst HC - Q'!AO606</f>
        <v>0</v>
      </c>
      <c r="AS71" s="47">
        <f>'Canalyst HC - Q'!AP602+'Canalyst HC - Q'!AP603+'Canalyst HC - Q'!AP606</f>
        <v>0</v>
      </c>
      <c r="AT71" s="38">
        <f>0</f>
        <v>0</v>
      </c>
      <c r="AU71" s="38">
        <f>0</f>
        <v>0</v>
      </c>
      <c r="AV71" s="38">
        <f>0</f>
        <v>0</v>
      </c>
      <c r="AW71" s="38">
        <f>0</f>
        <v>0</v>
      </c>
      <c r="AX71" s="38">
        <f>0</f>
        <v>0</v>
      </c>
      <c r="AY71" s="38">
        <f>0</f>
        <v>0</v>
      </c>
      <c r="AZ71" s="38">
        <f>0</f>
        <v>0</v>
      </c>
      <c r="BA71" s="38">
        <f>0</f>
        <v>0</v>
      </c>
      <c r="BB71" s="38">
        <f>0</f>
        <v>0</v>
      </c>
      <c r="BC71" s="38">
        <f>0</f>
        <v>0</v>
      </c>
      <c r="BD71" s="38">
        <f>0</f>
        <v>0</v>
      </c>
      <c r="BE71" s="38">
        <f>0</f>
        <v>0</v>
      </c>
      <c r="BF71" s="38">
        <f>0</f>
        <v>0</v>
      </c>
      <c r="BG71" s="38">
        <f>0</f>
        <v>0</v>
      </c>
      <c r="BH71" s="38">
        <f>0</f>
        <v>0</v>
      </c>
      <c r="BI71" s="38">
        <f>0</f>
        <v>0</v>
      </c>
      <c r="BJ71" s="1"/>
      <c r="BK71" s="38">
        <f t="shared" si="120"/>
        <v>-494.27100000000002</v>
      </c>
      <c r="BL71" s="38">
        <f t="shared" si="120"/>
        <v>0</v>
      </c>
      <c r="BM71" s="38">
        <f t="shared" si="120"/>
        <v>-15</v>
      </c>
      <c r="BN71" s="38">
        <f t="shared" si="120"/>
        <v>-420</v>
      </c>
      <c r="BO71" s="38">
        <f t="shared" si="120"/>
        <v>-90</v>
      </c>
      <c r="BP71" s="38">
        <f t="shared" si="120"/>
        <v>-753.75</v>
      </c>
      <c r="BQ71" s="38">
        <f t="shared" si="120"/>
        <v>-250</v>
      </c>
      <c r="BR71" s="38">
        <f t="shared" si="120"/>
        <v>0</v>
      </c>
      <c r="BS71" s="38">
        <f t="shared" si="120"/>
        <v>0</v>
      </c>
      <c r="BT71" s="38">
        <f t="shared" si="120"/>
        <v>0</v>
      </c>
      <c r="BU71" s="38">
        <f t="shared" si="120"/>
        <v>0</v>
      </c>
      <c r="BV71" s="38">
        <f t="shared" si="120"/>
        <v>0</v>
      </c>
      <c r="BW71" s="38">
        <f t="shared" si="120"/>
        <v>0</v>
      </c>
      <c r="BX71" s="38">
        <f t="shared" si="120"/>
        <v>0</v>
      </c>
    </row>
    <row r="72" spans="1:76" x14ac:dyDescent="0.25">
      <c r="A72" s="1"/>
      <c r="B72" s="1"/>
      <c r="C72" s="11" t="s">
        <v>94</v>
      </c>
      <c r="D72" s="1"/>
      <c r="E72" s="1"/>
      <c r="F72" s="47">
        <f>'Canalyst HC - Q'!C619</f>
        <v>0</v>
      </c>
      <c r="G72" s="47">
        <f>'Canalyst HC - Q'!D619</f>
        <v>0</v>
      </c>
      <c r="H72" s="47">
        <f>'Canalyst HC - Q'!E619</f>
        <v>0</v>
      </c>
      <c r="I72" s="47">
        <f>'Canalyst HC - Q'!F619</f>
        <v>0</v>
      </c>
      <c r="J72" s="47">
        <f>'Canalyst HC - Q'!G619</f>
        <v>0</v>
      </c>
      <c r="K72" s="47">
        <f>'Canalyst HC - Q'!H619</f>
        <v>0</v>
      </c>
      <c r="L72" s="47">
        <f>'Canalyst HC - Q'!I619</f>
        <v>0</v>
      </c>
      <c r="M72" s="47">
        <f>'Canalyst HC - Q'!J619</f>
        <v>0</v>
      </c>
      <c r="N72" s="47">
        <f>'Canalyst HC - Q'!K619</f>
        <v>0</v>
      </c>
      <c r="O72" s="47">
        <f>'Canalyst HC - Q'!L619</f>
        <v>0</v>
      </c>
      <c r="P72" s="47">
        <f>'Canalyst HC - Q'!M619</f>
        <v>0</v>
      </c>
      <c r="Q72" s="47">
        <f>'Canalyst HC - Q'!N619</f>
        <v>0</v>
      </c>
      <c r="R72" s="47">
        <f>'Canalyst HC - Q'!O619</f>
        <v>0</v>
      </c>
      <c r="S72" s="47">
        <f>'Canalyst HC - Q'!P619</f>
        <v>0</v>
      </c>
      <c r="T72" s="47">
        <f>'Canalyst HC - Q'!Q619</f>
        <v>0</v>
      </c>
      <c r="U72" s="47">
        <f>'Canalyst HC - Q'!R619</f>
        <v>0</v>
      </c>
      <c r="V72" s="47">
        <f>'Canalyst HC - Q'!S619</f>
        <v>0</v>
      </c>
      <c r="W72" s="47">
        <f>'Canalyst HC - Q'!T619</f>
        <v>0</v>
      </c>
      <c r="X72" s="47">
        <f>'Canalyst HC - Q'!U619</f>
        <v>0</v>
      </c>
      <c r="Y72" s="47">
        <f>'Canalyst HC - Q'!V619</f>
        <v>0</v>
      </c>
      <c r="Z72" s="47">
        <f>'Canalyst HC - Q'!W619</f>
        <v>0</v>
      </c>
      <c r="AA72" s="47">
        <f>'Canalyst HC - Q'!X619</f>
        <v>0</v>
      </c>
      <c r="AB72" s="47">
        <f>'Canalyst HC - Q'!Y619</f>
        <v>0</v>
      </c>
      <c r="AC72" s="47">
        <f>'Canalyst HC - Q'!Z619</f>
        <v>0</v>
      </c>
      <c r="AD72" s="47">
        <f>'Canalyst HC - Q'!AA619</f>
        <v>0</v>
      </c>
      <c r="AE72" s="47">
        <f>'Canalyst HC - Q'!AB619</f>
        <v>0</v>
      </c>
      <c r="AF72" s="47">
        <f>'Canalyst HC - Q'!AC619</f>
        <v>0</v>
      </c>
      <c r="AG72" s="47">
        <f>'Canalyst HC - Q'!AD619</f>
        <v>0</v>
      </c>
      <c r="AH72" s="47">
        <f>'Canalyst HC - Q'!AE619</f>
        <v>0</v>
      </c>
      <c r="AI72" s="47">
        <f>'Canalyst HC - Q'!AF619</f>
        <v>0</v>
      </c>
      <c r="AJ72" s="47">
        <f>'Canalyst HC - Q'!AG619</f>
        <v>0</v>
      </c>
      <c r="AK72" s="47">
        <f>'Canalyst HC - Q'!AH619</f>
        <v>0</v>
      </c>
      <c r="AL72" s="47">
        <f>'Canalyst HC - Q'!AI619</f>
        <v>0</v>
      </c>
      <c r="AM72" s="47">
        <f>'Canalyst HC - Q'!AJ619</f>
        <v>-14.471</v>
      </c>
      <c r="AN72" s="47">
        <f>'Canalyst HC - Q'!AK619</f>
        <v>-574.00900000000001</v>
      </c>
      <c r="AO72" s="47">
        <f>'Canalyst HC - Q'!AL619</f>
        <v>-625.654</v>
      </c>
      <c r="AP72" s="47">
        <f>'Canalyst HC - Q'!AM619</f>
        <v>0</v>
      </c>
      <c r="AQ72" s="47">
        <f>'Canalyst HC - Q'!AN619</f>
        <v>-34.409999999999997</v>
      </c>
      <c r="AR72" s="47">
        <f>'Canalyst HC - Q'!AO619</f>
        <v>-145.69800000000001</v>
      </c>
      <c r="AS72" s="47">
        <f>'Canalyst HC - Q'!AP619</f>
        <v>-2606.0309999999999</v>
      </c>
      <c r="AT72" s="38">
        <f ca="1">IF(AT$79&gt;0,AT$79*-0.5,0)</f>
        <v>0</v>
      </c>
      <c r="AU72" s="38">
        <f t="shared" ref="AU72:BI73" ca="1" si="131">IF(AU$79&gt;0,AU$79*-0.5,0)</f>
        <v>-20.857831525129626</v>
      </c>
      <c r="AV72" s="38">
        <f t="shared" ca="1" si="131"/>
        <v>-25.959335682391881</v>
      </c>
      <c r="AW72" s="38">
        <f t="shared" ca="1" si="131"/>
        <v>0</v>
      </c>
      <c r="AX72" s="38">
        <f t="shared" ca="1" si="131"/>
        <v>0</v>
      </c>
      <c r="AY72" s="38">
        <f t="shared" ca="1" si="131"/>
        <v>-26.716103366451577</v>
      </c>
      <c r="AZ72" s="38">
        <f t="shared" ca="1" si="131"/>
        <v>-33.105334147412023</v>
      </c>
      <c r="BA72" s="38">
        <f t="shared" ca="1" si="131"/>
        <v>-5.8243082008862004</v>
      </c>
      <c r="BB72" s="38">
        <f t="shared" ca="1" si="131"/>
        <v>0</v>
      </c>
      <c r="BC72" s="38">
        <f t="shared" ca="1" si="131"/>
        <v>-31.091572534953229</v>
      </c>
      <c r="BD72" s="38">
        <f t="shared" ca="1" si="131"/>
        <v>-36.664998132559205</v>
      </c>
      <c r="BE72" s="38">
        <f t="shared" ca="1" si="131"/>
        <v>-6.9262578109083108</v>
      </c>
      <c r="BF72" s="38">
        <f t="shared" ca="1" si="131"/>
        <v>0</v>
      </c>
      <c r="BG72" s="38">
        <f t="shared" ca="1" si="131"/>
        <v>-31.401885943516049</v>
      </c>
      <c r="BH72" s="38">
        <f t="shared" ca="1" si="131"/>
        <v>-37.483719485879092</v>
      </c>
      <c r="BI72" s="38">
        <f t="shared" ca="1" si="131"/>
        <v>-6.6019793803366298</v>
      </c>
      <c r="BJ72" s="1"/>
      <c r="BK72" s="38">
        <f t="shared" si="120"/>
        <v>0</v>
      </c>
      <c r="BL72" s="38">
        <f t="shared" si="120"/>
        <v>0</v>
      </c>
      <c r="BM72" s="38">
        <f t="shared" si="120"/>
        <v>0</v>
      </c>
      <c r="BN72" s="38">
        <f t="shared" si="120"/>
        <v>0</v>
      </c>
      <c r="BO72" s="38">
        <f t="shared" si="120"/>
        <v>0</v>
      </c>
      <c r="BP72" s="38">
        <f t="shared" si="120"/>
        <v>0</v>
      </c>
      <c r="BQ72" s="38">
        <f t="shared" si="120"/>
        <v>0</v>
      </c>
      <c r="BR72" s="38">
        <f t="shared" si="120"/>
        <v>0</v>
      </c>
      <c r="BS72" s="38">
        <f t="shared" si="120"/>
        <v>-1214.134</v>
      </c>
      <c r="BT72" s="38">
        <f t="shared" si="120"/>
        <v>-2786.1390000000001</v>
      </c>
      <c r="BU72" s="38">
        <f t="shared" ca="1" si="120"/>
        <v>-46.817167207521507</v>
      </c>
      <c r="BV72" s="38">
        <f t="shared" ca="1" si="120"/>
        <v>-65.645745714749808</v>
      </c>
      <c r="BW72" s="38">
        <f t="shared" ca="1" si="120"/>
        <v>-74.682828478420745</v>
      </c>
      <c r="BX72" s="38">
        <f t="shared" ca="1" si="120"/>
        <v>-75.487584809731771</v>
      </c>
    </row>
    <row r="73" spans="1:76" x14ac:dyDescent="0.25">
      <c r="A73" s="1"/>
      <c r="B73" s="1"/>
      <c r="C73" s="11" t="s">
        <v>832</v>
      </c>
      <c r="D73" s="1"/>
      <c r="E73" s="1"/>
      <c r="F73" s="47">
        <f>'Canalyst HC - Q'!C613</f>
        <v>-2.323</v>
      </c>
      <c r="G73" s="47">
        <f>'Canalyst HC - Q'!D613</f>
        <v>-4.6520000000000001</v>
      </c>
      <c r="H73" s="47">
        <f>'Canalyst HC - Q'!E613</f>
        <v>-6.98</v>
      </c>
      <c r="I73" s="47">
        <f>'Canalyst HC - Q'!F613</f>
        <v>-9.3070000000000004</v>
      </c>
      <c r="J73" s="47">
        <f>'Canalyst HC - Q'!G613</f>
        <v>-2.3279999999999998</v>
      </c>
      <c r="K73" s="47">
        <f>'Canalyst HC - Q'!H613</f>
        <v>-4.6619999999999999</v>
      </c>
      <c r="L73" s="47">
        <f>'Canalyst HC - Q'!I613</f>
        <v>-6.9950000000000001</v>
      </c>
      <c r="M73" s="47">
        <f>'Canalyst HC - Q'!J613</f>
        <v>-9.3279999999999994</v>
      </c>
      <c r="N73" s="47">
        <f>'Canalyst HC - Q'!K613</f>
        <v>-2.3330000000000002</v>
      </c>
      <c r="O73" s="47">
        <f>'Canalyst HC - Q'!L613</f>
        <v>-4.6710000000000003</v>
      </c>
      <c r="P73" s="47">
        <f>'Canalyst HC - Q'!M613</f>
        <v>-7.0140000000000002</v>
      </c>
      <c r="Q73" s="47">
        <f>'Canalyst HC - Q'!N613</f>
        <v>-9.3529999999999998</v>
      </c>
      <c r="R73" s="47">
        <f>'Canalyst HC - Q'!O613</f>
        <v>-2.339</v>
      </c>
      <c r="S73" s="47">
        <f>'Canalyst HC - Q'!P613</f>
        <v>-4.6820000000000004</v>
      </c>
      <c r="T73" s="47">
        <f>'Canalyst HC - Q'!Q613</f>
        <v>-7.0259999999999998</v>
      </c>
      <c r="U73" s="47">
        <f>'Canalyst HC - Q'!R613</f>
        <v>-9.3689999999999998</v>
      </c>
      <c r="V73" s="47">
        <f>'Canalyst HC - Q'!S613</f>
        <v>-2.3439999999999999</v>
      </c>
      <c r="W73" s="47">
        <f>'Canalyst HC - Q'!T613</f>
        <v>-4.6859999999999999</v>
      </c>
      <c r="X73" s="47">
        <f>'Canalyst HC - Q'!U613</f>
        <v>-7.03</v>
      </c>
      <c r="Y73" s="47">
        <f>'Canalyst HC - Q'!V613</f>
        <v>-9.3740000000000006</v>
      </c>
      <c r="Z73" s="47">
        <f>'Canalyst HC - Q'!W613</f>
        <v>-2.343</v>
      </c>
      <c r="AA73" s="47">
        <f>'Canalyst HC - Q'!X613</f>
        <v>-4.6870000000000003</v>
      </c>
      <c r="AB73" s="47">
        <f>'Canalyst HC - Q'!Y613</f>
        <v>-7.03</v>
      </c>
      <c r="AC73" s="47">
        <f>'Canalyst HC - Q'!Z613</f>
        <v>-9.3740000000000006</v>
      </c>
      <c r="AD73" s="47">
        <f>'Canalyst HC - Q'!AA613</f>
        <v>-2.3439999999999999</v>
      </c>
      <c r="AE73" s="47">
        <f>'Canalyst HC - Q'!AB613</f>
        <v>-4.6870000000000003</v>
      </c>
      <c r="AF73" s="47">
        <f>'Canalyst HC - Q'!AC613</f>
        <v>-7.03</v>
      </c>
      <c r="AG73" s="47">
        <f>'Canalyst HC - Q'!AD613</f>
        <v>-9.3740000000000006</v>
      </c>
      <c r="AH73" s="47">
        <f>'Canalyst HC - Q'!AE613</f>
        <v>-32.808</v>
      </c>
      <c r="AI73" s="47">
        <f>'Canalyst HC - Q'!AF613</f>
        <v>-37.494999999999997</v>
      </c>
      <c r="AJ73" s="47">
        <f>'Canalyst HC - Q'!AG613</f>
        <v>-42.182000000000002</v>
      </c>
      <c r="AK73" s="47">
        <f>'Canalyst HC - Q'!AH613</f>
        <v>-46.868000000000002</v>
      </c>
      <c r="AL73" s="47">
        <f>'Canalyst HC - Q'!AI613</f>
        <v>-154.666</v>
      </c>
      <c r="AM73" s="47">
        <f>'Canalyst HC - Q'!AJ613</f>
        <v>-159.35300000000001</v>
      </c>
      <c r="AN73" s="47">
        <f>'Canalyst HC - Q'!AK613</f>
        <v>-163.733</v>
      </c>
      <c r="AO73" s="47">
        <f>'Canalyst HC - Q'!AL613</f>
        <v>-185.63499999999999</v>
      </c>
      <c r="AP73" s="47">
        <f>'Canalyst HC - Q'!AM613</f>
        <v>-21.794</v>
      </c>
      <c r="AQ73" s="47">
        <f>'Canalyst HC - Q'!AN613</f>
        <v>-43.588999999999999</v>
      </c>
      <c r="AR73" s="47">
        <f>'Canalyst HC - Q'!AO613</f>
        <v>-65.31</v>
      </c>
      <c r="AS73" s="47">
        <f>'Canalyst HC - Q'!AP613</f>
        <v>-86.673000000000002</v>
      </c>
      <c r="AT73" s="38">
        <f ca="1">IF(AT$79&gt;0,AT$79*-0.5,0)</f>
        <v>0</v>
      </c>
      <c r="AU73" s="38">
        <f t="shared" ca="1" si="131"/>
        <v>-20.857831525129626</v>
      </c>
      <c r="AV73" s="38">
        <f t="shared" ca="1" si="131"/>
        <v>-25.959335682391881</v>
      </c>
      <c r="AW73" s="38">
        <f t="shared" ca="1" si="131"/>
        <v>0</v>
      </c>
      <c r="AX73" s="38">
        <f t="shared" ca="1" si="131"/>
        <v>0</v>
      </c>
      <c r="AY73" s="38">
        <f t="shared" ca="1" si="131"/>
        <v>-26.716103366451577</v>
      </c>
      <c r="AZ73" s="38">
        <f t="shared" ca="1" si="131"/>
        <v>-33.105334147412023</v>
      </c>
      <c r="BA73" s="38">
        <f t="shared" ca="1" si="131"/>
        <v>-5.8243082008862004</v>
      </c>
      <c r="BB73" s="38">
        <f t="shared" ca="1" si="131"/>
        <v>0</v>
      </c>
      <c r="BC73" s="38">
        <f t="shared" ca="1" si="131"/>
        <v>-31.091572534953229</v>
      </c>
      <c r="BD73" s="38">
        <f t="shared" ca="1" si="131"/>
        <v>-36.664998132559205</v>
      </c>
      <c r="BE73" s="38">
        <f t="shared" ca="1" si="131"/>
        <v>-6.9262578109083108</v>
      </c>
      <c r="BF73" s="38">
        <f t="shared" ca="1" si="131"/>
        <v>0</v>
      </c>
      <c r="BG73" s="38">
        <f t="shared" ca="1" si="131"/>
        <v>-31.401885943516049</v>
      </c>
      <c r="BH73" s="38">
        <f t="shared" ca="1" si="131"/>
        <v>-37.483719485879092</v>
      </c>
      <c r="BI73" s="38">
        <f t="shared" ca="1" si="131"/>
        <v>-6.6019793803366298</v>
      </c>
      <c r="BJ73" s="1"/>
      <c r="BK73" s="38">
        <f t="shared" si="120"/>
        <v>-23.262</v>
      </c>
      <c r="BL73" s="38">
        <f t="shared" si="120"/>
        <v>-23.312999999999999</v>
      </c>
      <c r="BM73" s="38">
        <f t="shared" si="120"/>
        <v>-23.371000000000002</v>
      </c>
      <c r="BN73" s="38">
        <f t="shared" si="120"/>
        <v>-23.416</v>
      </c>
      <c r="BO73" s="38">
        <f t="shared" si="120"/>
        <v>-23.433999999999997</v>
      </c>
      <c r="BP73" s="38">
        <f t="shared" si="120"/>
        <v>-23.434000000000001</v>
      </c>
      <c r="BQ73" s="38">
        <f t="shared" si="120"/>
        <v>-23.435000000000002</v>
      </c>
      <c r="BR73" s="38">
        <f t="shared" si="120"/>
        <v>-159.35300000000001</v>
      </c>
      <c r="BS73" s="38">
        <f t="shared" si="120"/>
        <v>-663.38699999999994</v>
      </c>
      <c r="BT73" s="38">
        <f t="shared" si="120"/>
        <v>-217.36599999999999</v>
      </c>
      <c r="BU73" s="38">
        <f t="shared" ca="1" si="120"/>
        <v>-46.817167207521507</v>
      </c>
      <c r="BV73" s="38">
        <f t="shared" ca="1" si="120"/>
        <v>-65.645745714749808</v>
      </c>
      <c r="BW73" s="38">
        <f t="shared" ca="1" si="120"/>
        <v>-74.682828478420745</v>
      </c>
      <c r="BX73" s="38">
        <f t="shared" ca="1" si="120"/>
        <v>-75.487584809731771</v>
      </c>
    </row>
    <row r="74" spans="1:76" x14ac:dyDescent="0.25">
      <c r="A74" s="1"/>
      <c r="B74" s="1"/>
      <c r="C74" s="11" t="s">
        <v>65</v>
      </c>
      <c r="D74" s="1"/>
      <c r="E74" s="1"/>
      <c r="F74" s="48">
        <f>F75-F70-F71-F72-F73</f>
        <v>133.40700000000001</v>
      </c>
      <c r="G74" s="48">
        <f t="shared" ref="G74:AS74" si="132">G75-G70-G71-G72-G73</f>
        <v>62.709000000000017</v>
      </c>
      <c r="H74" s="48">
        <f t="shared" si="132"/>
        <v>48.384</v>
      </c>
      <c r="I74" s="48">
        <f t="shared" si="132"/>
        <v>130.44699999999997</v>
      </c>
      <c r="J74" s="48">
        <f t="shared" si="132"/>
        <v>-32.040999999999997</v>
      </c>
      <c r="K74" s="48">
        <f t="shared" si="132"/>
        <v>37.535999999999994</v>
      </c>
      <c r="L74" s="48">
        <f t="shared" si="132"/>
        <v>77.543000000000006</v>
      </c>
      <c r="M74" s="48">
        <f t="shared" si="132"/>
        <v>30.459</v>
      </c>
      <c r="N74" s="48">
        <f t="shared" si="132"/>
        <v>-35.120000000000005</v>
      </c>
      <c r="O74" s="48">
        <f t="shared" si="132"/>
        <v>-123.992</v>
      </c>
      <c r="P74" s="48">
        <f t="shared" si="132"/>
        <v>-63.033999999999999</v>
      </c>
      <c r="Q74" s="48">
        <f t="shared" si="132"/>
        <v>-161.435</v>
      </c>
      <c r="R74" s="48">
        <f t="shared" si="132"/>
        <v>40.465999999999994</v>
      </c>
      <c r="S74" s="48">
        <f t="shared" si="132"/>
        <v>2.6380000000000177</v>
      </c>
      <c r="T74" s="48">
        <f t="shared" si="132"/>
        <v>-70.529999999999987</v>
      </c>
      <c r="U74" s="48">
        <f t="shared" si="132"/>
        <v>-71.25800000000001</v>
      </c>
      <c r="V74" s="48">
        <f t="shared" si="132"/>
        <v>48.017000000000003</v>
      </c>
      <c r="W74" s="48">
        <f t="shared" si="132"/>
        <v>-68.677000000000021</v>
      </c>
      <c r="X74" s="48">
        <f t="shared" si="132"/>
        <v>-81.572000000000003</v>
      </c>
      <c r="Y74" s="48">
        <f t="shared" si="132"/>
        <v>-194.489</v>
      </c>
      <c r="Z74" s="48">
        <f t="shared" si="132"/>
        <v>-11.639999999999997</v>
      </c>
      <c r="AA74" s="48">
        <f t="shared" si="132"/>
        <v>32.564999999999984</v>
      </c>
      <c r="AB74" s="48">
        <f t="shared" si="132"/>
        <v>-33.662999999999982</v>
      </c>
      <c r="AC74" s="48">
        <f t="shared" si="132"/>
        <v>-45.416999999999994</v>
      </c>
      <c r="AD74" s="48">
        <f t="shared" si="132"/>
        <v>-11.245000000000001</v>
      </c>
      <c r="AE74" s="48">
        <f t="shared" si="132"/>
        <v>-20.744999999999997</v>
      </c>
      <c r="AF74" s="48">
        <f t="shared" si="132"/>
        <v>-31.080999999999989</v>
      </c>
      <c r="AG74" s="48">
        <f t="shared" si="132"/>
        <v>-39.813000000000009</v>
      </c>
      <c r="AH74" s="48">
        <f t="shared" si="132"/>
        <v>-7.2110000000000127</v>
      </c>
      <c r="AI74" s="48">
        <f t="shared" si="132"/>
        <v>-14.660000000000004</v>
      </c>
      <c r="AJ74" s="48">
        <f t="shared" si="132"/>
        <v>-22.935000000000002</v>
      </c>
      <c r="AK74" s="48">
        <f t="shared" si="132"/>
        <v>-30.850999999999992</v>
      </c>
      <c r="AL74" s="48">
        <f t="shared" si="132"/>
        <v>-10.354000000000013</v>
      </c>
      <c r="AM74" s="48">
        <f t="shared" si="132"/>
        <v>1162.8909999999998</v>
      </c>
      <c r="AN74" s="48">
        <f t="shared" si="132"/>
        <v>1138.5440000000001</v>
      </c>
      <c r="AO74" s="48">
        <f t="shared" si="132"/>
        <v>1117.6879999999999</v>
      </c>
      <c r="AP74" s="48">
        <f t="shared" si="132"/>
        <v>-20.700999999999997</v>
      </c>
      <c r="AQ74" s="48">
        <f t="shared" si="132"/>
        <v>-36.762</v>
      </c>
      <c r="AR74" s="48">
        <f t="shared" si="132"/>
        <v>-53.580999999999989</v>
      </c>
      <c r="AS74" s="48">
        <f t="shared" si="132"/>
        <v>925.91100000000006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1"/>
      <c r="BK74" s="38">
        <f t="shared" si="120"/>
        <v>374.947</v>
      </c>
      <c r="BL74" s="38">
        <f t="shared" si="120"/>
        <v>113.49700000000001</v>
      </c>
      <c r="BM74" s="38">
        <f t="shared" si="120"/>
        <v>-383.58100000000002</v>
      </c>
      <c r="BN74" s="38">
        <f t="shared" si="120"/>
        <v>-98.683999999999983</v>
      </c>
      <c r="BO74" s="38">
        <f t="shared" si="120"/>
        <v>-296.721</v>
      </c>
      <c r="BP74" s="38">
        <f t="shared" si="120"/>
        <v>-58.154999999999987</v>
      </c>
      <c r="BQ74" s="38">
        <f t="shared" si="120"/>
        <v>-102.88399999999999</v>
      </c>
      <c r="BR74" s="38">
        <f t="shared" si="120"/>
        <v>-75.657000000000011</v>
      </c>
      <c r="BS74" s="38">
        <f t="shared" si="120"/>
        <v>3408.7690000000002</v>
      </c>
      <c r="BT74" s="38">
        <f t="shared" si="120"/>
        <v>814.86700000000008</v>
      </c>
      <c r="BU74" s="38">
        <f t="shared" si="120"/>
        <v>0</v>
      </c>
      <c r="BV74" s="38">
        <f t="shared" si="120"/>
        <v>0</v>
      </c>
      <c r="BW74" s="38">
        <f t="shared" si="120"/>
        <v>0</v>
      </c>
      <c r="BX74" s="38">
        <f t="shared" si="120"/>
        <v>0</v>
      </c>
    </row>
    <row r="75" spans="1:76" ht="15" customHeight="1" x14ac:dyDescent="0.25">
      <c r="A75" s="1"/>
      <c r="B75" s="3" t="s">
        <v>95</v>
      </c>
      <c r="C75" s="1"/>
      <c r="D75" s="1"/>
      <c r="E75" s="1"/>
      <c r="F75" s="45">
        <f>'Canalyst HC - Q'!C622</f>
        <v>131.084</v>
      </c>
      <c r="G75" s="45">
        <f>'Canalyst HC - Q'!D622</f>
        <v>193.3</v>
      </c>
      <c r="H75" s="45">
        <f>'Canalyst HC - Q'!E622</f>
        <v>176.64699999999999</v>
      </c>
      <c r="I75" s="45">
        <f>'Canalyst HC - Q'!F622</f>
        <v>256.38299999999998</v>
      </c>
      <c r="J75" s="45">
        <f>'Canalyst HC - Q'!G622</f>
        <v>90.631</v>
      </c>
      <c r="K75" s="45">
        <f>'Canalyst HC - Q'!H622</f>
        <v>157.874</v>
      </c>
      <c r="L75" s="45">
        <f>'Canalyst HC - Q'!I622</f>
        <v>195.548</v>
      </c>
      <c r="M75" s="45">
        <f>'Canalyst HC - Q'!J622</f>
        <v>146.131</v>
      </c>
      <c r="N75" s="45">
        <f>'Canalyst HC - Q'!K622</f>
        <v>112.547</v>
      </c>
      <c r="O75" s="45">
        <f>'Canalyst HC - Q'!L622</f>
        <v>21.337</v>
      </c>
      <c r="P75" s="45">
        <f>'Canalyst HC - Q'!M622</f>
        <v>72.451999999999998</v>
      </c>
      <c r="Q75" s="45">
        <f>'Canalyst HC - Q'!N622</f>
        <v>-28.288</v>
      </c>
      <c r="R75" s="45">
        <f>'Canalyst HC - Q'!O622</f>
        <v>23.126999999999999</v>
      </c>
      <c r="S75" s="45">
        <f>'Canalyst HC - Q'!P622</f>
        <v>-34.543999999999997</v>
      </c>
      <c r="T75" s="45">
        <f>'Canalyst HC - Q'!Q622</f>
        <v>-110.056</v>
      </c>
      <c r="U75" s="45">
        <f>'Canalyst HC - Q'!R622</f>
        <v>-120.627</v>
      </c>
      <c r="V75" s="45">
        <f>'Canalyst HC - Q'!S622</f>
        <v>38.173000000000002</v>
      </c>
      <c r="W75" s="45">
        <f>'Canalyst HC - Q'!T622</f>
        <v>-88.363000000000014</v>
      </c>
      <c r="X75" s="45">
        <f>'Canalyst HC - Q'!U622</f>
        <v>-111.102</v>
      </c>
      <c r="Y75" s="45">
        <f>'Canalyst HC - Q'!V622</f>
        <v>-248.863</v>
      </c>
      <c r="Z75" s="45">
        <f>'Canalyst HC - Q'!W622</f>
        <v>-45.232999999999997</v>
      </c>
      <c r="AA75" s="45">
        <f>'Canalyst HC - Q'!X622</f>
        <v>-189.62200000000001</v>
      </c>
      <c r="AB75" s="45">
        <f>'Canalyst HC - Q'!Y622</f>
        <v>-188.19300000000001</v>
      </c>
      <c r="AC75" s="45">
        <f>'Canalyst HC - Q'!Z622</f>
        <v>-272.291</v>
      </c>
      <c r="AD75" s="45">
        <f>'Canalyst HC - Q'!AA622</f>
        <v>-13.589</v>
      </c>
      <c r="AE75" s="45">
        <f>'Canalyst HC - Q'!AB622</f>
        <v>-25.431999999999999</v>
      </c>
      <c r="AF75" s="45">
        <f>'Canalyst HC - Q'!AC622</f>
        <v>-163.11099999999999</v>
      </c>
      <c r="AG75" s="45">
        <f>'Canalyst HC - Q'!AD622</f>
        <v>-174.18700000000001</v>
      </c>
      <c r="AH75" s="45">
        <f>'Canalyst HC - Q'!AE622</f>
        <v>-40.019000000000013</v>
      </c>
      <c r="AI75" s="45">
        <f>'Canalyst HC - Q'!AF622</f>
        <v>-52.155000000000001</v>
      </c>
      <c r="AJ75" s="45">
        <f>'Canalyst HC - Q'!AG622</f>
        <v>-65.117000000000004</v>
      </c>
      <c r="AK75" s="45">
        <f>'Canalyst HC - Q'!AH622</f>
        <v>-77.718999999999994</v>
      </c>
      <c r="AL75" s="45">
        <f>'Canalyst HC - Q'!AI622</f>
        <v>-165.02</v>
      </c>
      <c r="AM75" s="45">
        <f>'Canalyst HC - Q'!AJ622</f>
        <v>989.06699999999989</v>
      </c>
      <c r="AN75" s="45">
        <f>'Canalyst HC - Q'!AK622</f>
        <v>400.80200000000002</v>
      </c>
      <c r="AO75" s="45">
        <f>'Canalyst HC - Q'!AL622</f>
        <v>306.39899999999989</v>
      </c>
      <c r="AP75" s="45">
        <f>'Canalyst HC - Q'!AM622</f>
        <v>-42.494999999999997</v>
      </c>
      <c r="AQ75" s="45">
        <f>'Canalyst HC - Q'!AN622</f>
        <v>-114.761</v>
      </c>
      <c r="AR75" s="45">
        <f>'Canalyst HC - Q'!AO622</f>
        <v>-264.589</v>
      </c>
      <c r="AS75" s="45">
        <f>'Canalyst HC - Q'!AP622</f>
        <v>-1766.7929999999999</v>
      </c>
      <c r="AT75" s="46">
        <f t="shared" ref="AT75:BI75" ca="1" si="133">SUM(AT70:AT74)</f>
        <v>0</v>
      </c>
      <c r="AU75" s="46">
        <f t="shared" ca="1" si="133"/>
        <v>-41.715663050259252</v>
      </c>
      <c r="AV75" s="46">
        <f t="shared" ca="1" si="133"/>
        <v>-51.918671364783762</v>
      </c>
      <c r="AW75" s="46">
        <f t="shared" ca="1" si="133"/>
        <v>0</v>
      </c>
      <c r="AX75" s="46">
        <f t="shared" ca="1" si="133"/>
        <v>0</v>
      </c>
      <c r="AY75" s="46">
        <f t="shared" ca="1" si="133"/>
        <v>-53.432206732903154</v>
      </c>
      <c r="AZ75" s="46">
        <f t="shared" ca="1" si="133"/>
        <v>-66.210668294824046</v>
      </c>
      <c r="BA75" s="46">
        <f t="shared" ca="1" si="133"/>
        <v>-11.648616401772401</v>
      </c>
      <c r="BB75" s="46">
        <f t="shared" ca="1" si="133"/>
        <v>0</v>
      </c>
      <c r="BC75" s="46">
        <f t="shared" ca="1" si="133"/>
        <v>-62.183145069906459</v>
      </c>
      <c r="BD75" s="46">
        <f t="shared" ca="1" si="133"/>
        <v>-73.32999626511841</v>
      </c>
      <c r="BE75" s="46">
        <f t="shared" ca="1" si="133"/>
        <v>-13.852515621816622</v>
      </c>
      <c r="BF75" s="46">
        <f t="shared" ca="1" si="133"/>
        <v>0</v>
      </c>
      <c r="BG75" s="46">
        <f t="shared" ca="1" si="133"/>
        <v>-62.803771887032099</v>
      </c>
      <c r="BH75" s="46">
        <f t="shared" ca="1" si="133"/>
        <v>-74.967438971758185</v>
      </c>
      <c r="BI75" s="46">
        <f t="shared" ca="1" si="133"/>
        <v>-13.20395876067326</v>
      </c>
      <c r="BJ75" s="1"/>
      <c r="BK75" s="46">
        <f t="shared" si="120"/>
        <v>757.41399999999999</v>
      </c>
      <c r="BL75" s="46">
        <f t="shared" si="120"/>
        <v>590.18399999999997</v>
      </c>
      <c r="BM75" s="46">
        <f t="shared" si="120"/>
        <v>178.04799999999997</v>
      </c>
      <c r="BN75" s="46">
        <f t="shared" si="120"/>
        <v>-242.1</v>
      </c>
      <c r="BO75" s="46">
        <f t="shared" si="120"/>
        <v>-410.15500000000003</v>
      </c>
      <c r="BP75" s="46">
        <f t="shared" si="120"/>
        <v>-695.33899999999994</v>
      </c>
      <c r="BQ75" s="46">
        <f t="shared" si="120"/>
        <v>-376.31900000000002</v>
      </c>
      <c r="BR75" s="46">
        <f t="shared" si="120"/>
        <v>-235.01</v>
      </c>
      <c r="BS75" s="46">
        <f t="shared" si="120"/>
        <v>1531.2479999999998</v>
      </c>
      <c r="BT75" s="46">
        <f t="shared" si="120"/>
        <v>-2188.6379999999999</v>
      </c>
      <c r="BU75" s="46">
        <f t="shared" ca="1" si="120"/>
        <v>-93.634334415043014</v>
      </c>
      <c r="BV75" s="46">
        <f t="shared" ca="1" si="120"/>
        <v>-131.29149142949962</v>
      </c>
      <c r="BW75" s="46">
        <f t="shared" ca="1" si="120"/>
        <v>-149.36565695684149</v>
      </c>
      <c r="BX75" s="46">
        <f t="shared" ca="1" si="120"/>
        <v>-150.97516961946354</v>
      </c>
    </row>
    <row r="76" spans="1:7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ht="15" customHeight="1" x14ac:dyDescent="0.25">
      <c r="A77" s="1"/>
      <c r="B77" s="3" t="s">
        <v>96</v>
      </c>
      <c r="C77" s="1"/>
      <c r="D77" s="1"/>
      <c r="E77" s="1"/>
      <c r="F77" s="46">
        <f t="shared" ref="F77:AK77" si="134">SUM(F65,F69,F75)</f>
        <v>-22.897999999999996</v>
      </c>
      <c r="G77" s="46">
        <f t="shared" si="134"/>
        <v>147.80700000000002</v>
      </c>
      <c r="H77" s="46">
        <f t="shared" si="134"/>
        <v>198.19399999999999</v>
      </c>
      <c r="I77" s="46">
        <f t="shared" si="134"/>
        <v>144.27999999999997</v>
      </c>
      <c r="J77" s="46">
        <f t="shared" si="134"/>
        <v>10.090000000000003</v>
      </c>
      <c r="K77" s="46">
        <f t="shared" si="134"/>
        <v>102.205</v>
      </c>
      <c r="L77" s="46">
        <f t="shared" si="134"/>
        <v>126.282</v>
      </c>
      <c r="M77" s="46">
        <f t="shared" si="134"/>
        <v>200.52800000000002</v>
      </c>
      <c r="N77" s="46">
        <f t="shared" si="134"/>
        <v>-8.4230000000000018</v>
      </c>
      <c r="O77" s="46">
        <f t="shared" si="134"/>
        <v>123.79200000000002</v>
      </c>
      <c r="P77" s="46">
        <f t="shared" si="134"/>
        <v>10.95000000000001</v>
      </c>
      <c r="Q77" s="46">
        <f t="shared" si="134"/>
        <v>76.662999999999982</v>
      </c>
      <c r="R77" s="46">
        <f t="shared" si="134"/>
        <v>-5.0510000000000126</v>
      </c>
      <c r="S77" s="46">
        <f t="shared" si="134"/>
        <v>20.322000000000031</v>
      </c>
      <c r="T77" s="46">
        <f t="shared" si="134"/>
        <v>-34.247</v>
      </c>
      <c r="U77" s="46">
        <f t="shared" si="134"/>
        <v>-106.43100000000001</v>
      </c>
      <c r="V77" s="46">
        <f t="shared" si="134"/>
        <v>38.133999999999986</v>
      </c>
      <c r="W77" s="46">
        <f t="shared" si="134"/>
        <v>67.975000000000009</v>
      </c>
      <c r="X77" s="46">
        <f t="shared" si="134"/>
        <v>-1.0900000000000034</v>
      </c>
      <c r="Y77" s="46">
        <f t="shared" si="134"/>
        <v>-221.13200000000001</v>
      </c>
      <c r="Z77" s="46">
        <f t="shared" si="134"/>
        <v>-2.9649999999999892</v>
      </c>
      <c r="AA77" s="46">
        <f t="shared" si="134"/>
        <v>-42.857000000000028</v>
      </c>
      <c r="AB77" s="46">
        <f t="shared" si="134"/>
        <v>-56.948000000000008</v>
      </c>
      <c r="AC77" s="46">
        <f t="shared" si="134"/>
        <v>-232.75700000000003</v>
      </c>
      <c r="AD77" s="46">
        <f t="shared" si="134"/>
        <v>-15.228999999999987</v>
      </c>
      <c r="AE77" s="46">
        <f t="shared" si="134"/>
        <v>48.128999999999991</v>
      </c>
      <c r="AF77" s="46">
        <f t="shared" si="134"/>
        <v>-50.991</v>
      </c>
      <c r="AG77" s="46">
        <f t="shared" si="134"/>
        <v>-128.70699999999999</v>
      </c>
      <c r="AH77" s="46">
        <f t="shared" si="134"/>
        <v>92.132999999999981</v>
      </c>
      <c r="AI77" s="46">
        <f t="shared" si="134"/>
        <v>100.37200000000001</v>
      </c>
      <c r="AJ77" s="46">
        <f t="shared" si="134"/>
        <v>133.88999999999999</v>
      </c>
      <c r="AK77" s="46">
        <f t="shared" si="134"/>
        <v>-46.064999999999998</v>
      </c>
      <c r="AL77" s="46">
        <f t="shared" ref="AL77:BI77" si="135">SUM(AL65,AL69,AL75)</f>
        <v>-234.00900000000001</v>
      </c>
      <c r="AM77" s="46">
        <f t="shared" si="135"/>
        <v>1133.0079999999998</v>
      </c>
      <c r="AN77" s="46">
        <f t="shared" si="135"/>
        <v>525.78499999999985</v>
      </c>
      <c r="AO77" s="46">
        <f t="shared" si="135"/>
        <v>300.61999999999989</v>
      </c>
      <c r="AP77" s="46">
        <f t="shared" si="135"/>
        <v>15.981000000000002</v>
      </c>
      <c r="AQ77" s="46">
        <f t="shared" si="135"/>
        <v>25.625000000000028</v>
      </c>
      <c r="AR77" s="46">
        <f t="shared" si="135"/>
        <v>197.78699999999998</v>
      </c>
      <c r="AS77" s="46">
        <f t="shared" si="135"/>
        <v>-1515.144</v>
      </c>
      <c r="AT77" s="46">
        <f t="shared" ca="1" si="135"/>
        <v>-27.123809257831425</v>
      </c>
      <c r="AU77" s="46">
        <f t="shared" ca="1" si="135"/>
        <v>0</v>
      </c>
      <c r="AV77" s="46">
        <f t="shared" ca="1" si="135"/>
        <v>0</v>
      </c>
      <c r="AW77" s="46">
        <f t="shared" ca="1" si="135"/>
        <v>-3.3745826271872374</v>
      </c>
      <c r="AX77" s="46">
        <f t="shared" ca="1" si="135"/>
        <v>-34.776321984103333</v>
      </c>
      <c r="AY77" s="46">
        <f t="shared" ca="1" si="135"/>
        <v>0</v>
      </c>
      <c r="AZ77" s="46">
        <f t="shared" ca="1" si="135"/>
        <v>0</v>
      </c>
      <c r="BA77" s="46">
        <f t="shared" ca="1" si="135"/>
        <v>0</v>
      </c>
      <c r="BB77" s="46">
        <f t="shared" ca="1" si="135"/>
        <v>-25.404879239681421</v>
      </c>
      <c r="BC77" s="46">
        <f t="shared" ca="1" si="135"/>
        <v>0</v>
      </c>
      <c r="BD77" s="46">
        <f t="shared" ca="1" si="135"/>
        <v>0</v>
      </c>
      <c r="BE77" s="46">
        <f t="shared" ca="1" si="135"/>
        <v>0</v>
      </c>
      <c r="BF77" s="46">
        <f t="shared" ca="1" si="135"/>
        <v>-26.477749891109212</v>
      </c>
      <c r="BG77" s="46">
        <f t="shared" ca="1" si="135"/>
        <v>0</v>
      </c>
      <c r="BH77" s="46">
        <f t="shared" ca="1" si="135"/>
        <v>0</v>
      </c>
      <c r="BI77" s="46">
        <f t="shared" ca="1" si="135"/>
        <v>0</v>
      </c>
      <c r="BJ77" s="1"/>
      <c r="BK77" s="46">
        <f t="shared" ref="BK77:BX77" si="136">SUMIF($F$1:$BI$1,BK$1,$F77:$BI77)</f>
        <v>467.38299999999998</v>
      </c>
      <c r="BL77" s="46">
        <f t="shared" si="136"/>
        <v>439.10500000000002</v>
      </c>
      <c r="BM77" s="46">
        <f t="shared" si="136"/>
        <v>202.982</v>
      </c>
      <c r="BN77" s="46">
        <f t="shared" si="136"/>
        <v>-125.407</v>
      </c>
      <c r="BO77" s="46">
        <f t="shared" si="136"/>
        <v>-116.11300000000001</v>
      </c>
      <c r="BP77" s="46">
        <f t="shared" si="136"/>
        <v>-335.52700000000004</v>
      </c>
      <c r="BQ77" s="46">
        <f t="shared" si="136"/>
        <v>-146.798</v>
      </c>
      <c r="BR77" s="46">
        <f t="shared" si="136"/>
        <v>280.33</v>
      </c>
      <c r="BS77" s="46">
        <f t="shared" si="136"/>
        <v>1725.4039999999995</v>
      </c>
      <c r="BT77" s="46">
        <f t="shared" si="136"/>
        <v>-1275.751</v>
      </c>
      <c r="BU77" s="46">
        <f t="shared" ca="1" si="136"/>
        <v>-30.498391885018663</v>
      </c>
      <c r="BV77" s="46">
        <f t="shared" ca="1" si="136"/>
        <v>-34.776321984103333</v>
      </c>
      <c r="BW77" s="46">
        <f t="shared" ca="1" si="136"/>
        <v>-25.404879239681421</v>
      </c>
      <c r="BX77" s="46">
        <f t="shared" ca="1" si="136"/>
        <v>-26.477749891109212</v>
      </c>
    </row>
    <row r="78" spans="1:7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 ht="15" customHeight="1" x14ac:dyDescent="0.25">
      <c r="A79" s="1"/>
      <c r="B79" s="3" t="s">
        <v>97</v>
      </c>
      <c r="C79" s="1"/>
      <c r="D79" s="1"/>
      <c r="E79" s="1"/>
      <c r="F79" s="46">
        <f t="shared" ref="F79:AK79" si="137">F65+F66</f>
        <v>-52.001999999999995</v>
      </c>
      <c r="G79" s="46">
        <f t="shared" si="137"/>
        <v>33.573999999999984</v>
      </c>
      <c r="H79" s="46">
        <f t="shared" si="137"/>
        <v>21.954000000000001</v>
      </c>
      <c r="I79" s="46">
        <f t="shared" si="137"/>
        <v>-14.117000000000012</v>
      </c>
      <c r="J79" s="46">
        <f t="shared" si="137"/>
        <v>74.938000000000002</v>
      </c>
      <c r="K79" s="46">
        <f t="shared" si="137"/>
        <v>24.426000000000002</v>
      </c>
      <c r="L79" s="46">
        <f t="shared" si="137"/>
        <v>-11.891999999999985</v>
      </c>
      <c r="M79" s="46">
        <f t="shared" si="137"/>
        <v>43.743000000000002</v>
      </c>
      <c r="N79" s="46">
        <f t="shared" si="137"/>
        <v>-122.79400000000001</v>
      </c>
      <c r="O79" s="46">
        <f t="shared" si="137"/>
        <v>94.757000000000005</v>
      </c>
      <c r="P79" s="46">
        <f t="shared" si="137"/>
        <v>-59.036999999999992</v>
      </c>
      <c r="Q79" s="46">
        <f t="shared" si="137"/>
        <v>117.71799999999998</v>
      </c>
      <c r="R79" s="46">
        <f t="shared" si="137"/>
        <v>-23.719000000000015</v>
      </c>
      <c r="S79" s="46">
        <f t="shared" si="137"/>
        <v>54.724000000000025</v>
      </c>
      <c r="T79" s="46">
        <f t="shared" si="137"/>
        <v>76.831000000000003</v>
      </c>
      <c r="U79" s="46">
        <f t="shared" si="137"/>
        <v>11.159999999999982</v>
      </c>
      <c r="V79" s="46">
        <f t="shared" si="137"/>
        <v>-0.80400000000001626</v>
      </c>
      <c r="W79" s="46">
        <f t="shared" si="137"/>
        <v>156.92099999999999</v>
      </c>
      <c r="X79" s="46">
        <f t="shared" si="137"/>
        <v>109.56699999999999</v>
      </c>
      <c r="Y79" s="46">
        <f t="shared" si="137"/>
        <v>26.743000000000009</v>
      </c>
      <c r="Z79" s="46">
        <f t="shared" si="137"/>
        <v>44.70600000000001</v>
      </c>
      <c r="AA79" s="46">
        <f t="shared" si="137"/>
        <v>146.37099999999998</v>
      </c>
      <c r="AB79" s="46">
        <f t="shared" si="137"/>
        <v>129.178</v>
      </c>
      <c r="AC79" s="46">
        <f t="shared" si="137"/>
        <v>45.80699999999996</v>
      </c>
      <c r="AD79" s="46">
        <f t="shared" si="137"/>
        <v>26.528000000000006</v>
      </c>
      <c r="AE79" s="46">
        <f t="shared" si="137"/>
        <v>71.825000000000003</v>
      </c>
      <c r="AF79" s="46">
        <f t="shared" si="137"/>
        <v>112.02699999999999</v>
      </c>
      <c r="AG79" s="46">
        <f t="shared" si="137"/>
        <v>45.515000000000001</v>
      </c>
      <c r="AH79" s="46">
        <f t="shared" si="137"/>
        <v>131.99399999999997</v>
      </c>
      <c r="AI79" s="46">
        <f t="shared" si="137"/>
        <v>158.45100000000002</v>
      </c>
      <c r="AJ79" s="46">
        <f t="shared" si="137"/>
        <v>201.84400000000002</v>
      </c>
      <c r="AK79" s="46">
        <f t="shared" si="137"/>
        <v>36.09699999999998</v>
      </c>
      <c r="AL79" s="46">
        <f t="shared" ref="AL79:BI79" si="138">AL65+AL66</f>
        <v>117.23299999999999</v>
      </c>
      <c r="AM79" s="46">
        <f t="shared" si="138"/>
        <v>160.49799999999988</v>
      </c>
      <c r="AN79" s="46">
        <f t="shared" si="138"/>
        <v>142.82899999999989</v>
      </c>
      <c r="AO79" s="46">
        <f t="shared" si="138"/>
        <v>84.782000000000039</v>
      </c>
      <c r="AP79" s="46">
        <f t="shared" si="138"/>
        <v>100.30499999999999</v>
      </c>
      <c r="AQ79" s="46">
        <f t="shared" si="138"/>
        <v>148.53300000000002</v>
      </c>
      <c r="AR79" s="46">
        <f t="shared" si="138"/>
        <v>264.08100000000002</v>
      </c>
      <c r="AS79" s="46">
        <f t="shared" si="138"/>
        <v>106.67000000000002</v>
      </c>
      <c r="AT79" s="46">
        <f t="shared" ca="1" si="138"/>
        <v>-27.123809257831425</v>
      </c>
      <c r="AU79" s="46">
        <f t="shared" ca="1" si="138"/>
        <v>41.715663050259252</v>
      </c>
      <c r="AV79" s="46">
        <f t="shared" ca="1" si="138"/>
        <v>51.918671364783762</v>
      </c>
      <c r="AW79" s="46">
        <f t="shared" ca="1" si="138"/>
        <v>-3.3745826271872374</v>
      </c>
      <c r="AX79" s="46">
        <f t="shared" ca="1" si="138"/>
        <v>-34.776321984103333</v>
      </c>
      <c r="AY79" s="46">
        <f t="shared" ca="1" si="138"/>
        <v>53.432206732903154</v>
      </c>
      <c r="AZ79" s="46">
        <f t="shared" ca="1" si="138"/>
        <v>66.210668294824046</v>
      </c>
      <c r="BA79" s="46">
        <f t="shared" ca="1" si="138"/>
        <v>11.648616401772401</v>
      </c>
      <c r="BB79" s="46">
        <f t="shared" ca="1" si="138"/>
        <v>-25.404879239681421</v>
      </c>
      <c r="BC79" s="46">
        <f t="shared" ca="1" si="138"/>
        <v>62.183145069906459</v>
      </c>
      <c r="BD79" s="46">
        <f t="shared" ca="1" si="138"/>
        <v>73.32999626511841</v>
      </c>
      <c r="BE79" s="46">
        <f t="shared" ca="1" si="138"/>
        <v>13.852515621816622</v>
      </c>
      <c r="BF79" s="46">
        <f t="shared" ca="1" si="138"/>
        <v>-26.477749891109212</v>
      </c>
      <c r="BG79" s="46">
        <f t="shared" ca="1" si="138"/>
        <v>62.803771887032099</v>
      </c>
      <c r="BH79" s="46">
        <f t="shared" ca="1" si="138"/>
        <v>74.967438971758185</v>
      </c>
      <c r="BI79" s="46">
        <f t="shared" ca="1" si="138"/>
        <v>13.20395876067326</v>
      </c>
      <c r="BJ79" s="1"/>
      <c r="BK79" s="46">
        <f t="shared" ref="BK79:BX79" si="139">SUMIF($F$1:$BI$1,BK$1,$F79:$BI79)</f>
        <v>-10.591000000000022</v>
      </c>
      <c r="BL79" s="46">
        <f t="shared" si="139"/>
        <v>131.21500000000003</v>
      </c>
      <c r="BM79" s="46">
        <f t="shared" si="139"/>
        <v>30.643999999999977</v>
      </c>
      <c r="BN79" s="46">
        <f t="shared" si="139"/>
        <v>118.996</v>
      </c>
      <c r="BO79" s="46">
        <f t="shared" si="139"/>
        <v>292.42699999999996</v>
      </c>
      <c r="BP79" s="46">
        <f t="shared" si="139"/>
        <v>366.06199999999995</v>
      </c>
      <c r="BQ79" s="46">
        <f t="shared" si="139"/>
        <v>255.89499999999998</v>
      </c>
      <c r="BR79" s="46">
        <f t="shared" si="139"/>
        <v>528.38599999999997</v>
      </c>
      <c r="BS79" s="46">
        <f t="shared" si="139"/>
        <v>505.34199999999981</v>
      </c>
      <c r="BT79" s="46">
        <f t="shared" si="139"/>
        <v>619.58900000000017</v>
      </c>
      <c r="BU79" s="46">
        <f t="shared" ca="1" si="139"/>
        <v>63.135942530024352</v>
      </c>
      <c r="BV79" s="46">
        <f t="shared" ca="1" si="139"/>
        <v>96.515169445396268</v>
      </c>
      <c r="BW79" s="46">
        <f t="shared" ca="1" si="139"/>
        <v>123.96077771716007</v>
      </c>
      <c r="BX79" s="46">
        <f t="shared" ca="1" si="139"/>
        <v>124.49741972835433</v>
      </c>
    </row>
    <row r="80" spans="1:76" x14ac:dyDescent="0.25">
      <c r="A80" s="1"/>
      <c r="B80" s="1"/>
      <c r="C80" s="11" t="s">
        <v>98</v>
      </c>
      <c r="D80" s="1"/>
      <c r="E80" s="1"/>
      <c r="F80" s="44">
        <f t="shared" ref="F80:AK80" si="140">IF(F35=0,0,F79/F35)</f>
        <v>-1.3536194913710071</v>
      </c>
      <c r="G80" s="44">
        <f t="shared" si="140"/>
        <v>0.39995234975281418</v>
      </c>
      <c r="H80" s="44">
        <f t="shared" si="140"/>
        <v>0.30320272901791245</v>
      </c>
      <c r="I80" s="44">
        <f t="shared" si="140"/>
        <v>-0.24824590711660688</v>
      </c>
      <c r="J80" s="44">
        <f t="shared" si="140"/>
        <v>1.479555371280777</v>
      </c>
      <c r="K80" s="44">
        <f t="shared" si="140"/>
        <v>0.26580047009663138</v>
      </c>
      <c r="L80" s="44">
        <f t="shared" si="140"/>
        <v>-0.14632345703317229</v>
      </c>
      <c r="M80" s="44">
        <f t="shared" si="140"/>
        <v>0.89044274809161272</v>
      </c>
      <c r="N80" s="44">
        <f t="shared" si="140"/>
        <v>-4.2379292493528764</v>
      </c>
      <c r="O80" s="44">
        <f t="shared" si="140"/>
        <v>1.4071010661994008</v>
      </c>
      <c r="P80" s="44">
        <f t="shared" si="140"/>
        <v>-0.62966755191501689</v>
      </c>
      <c r="Q80" s="44">
        <f t="shared" si="140"/>
        <v>1.9397244924861787</v>
      </c>
      <c r="R80" s="44">
        <f t="shared" si="140"/>
        <v>-0.34895764370099036</v>
      </c>
      <c r="S80" s="44">
        <f t="shared" si="140"/>
        <v>0.48743208337044608</v>
      </c>
      <c r="T80" s="44">
        <f t="shared" si="140"/>
        <v>0.77268338797594349</v>
      </c>
      <c r="U80" s="44">
        <f t="shared" si="140"/>
        <v>0.13439306358381525</v>
      </c>
      <c r="V80" s="44">
        <f t="shared" si="140"/>
        <v>-1.0526315789473901E-2</v>
      </c>
      <c r="W80" s="44">
        <f t="shared" si="140"/>
        <v>1.2458497082291304</v>
      </c>
      <c r="X80" s="44">
        <f t="shared" si="140"/>
        <v>0.7211344175546448</v>
      </c>
      <c r="Y80" s="44">
        <f t="shared" si="140"/>
        <v>0.19361728314618137</v>
      </c>
      <c r="Z80" s="44">
        <f t="shared" si="140"/>
        <v>0.32463873357054684</v>
      </c>
      <c r="AA80" s="44">
        <f t="shared" si="140"/>
        <v>0.88592647290246818</v>
      </c>
      <c r="AB80" s="44">
        <f t="shared" si="140"/>
        <v>0.70019350747199016</v>
      </c>
      <c r="AC80" s="44">
        <f t="shared" si="140"/>
        <v>0.34618611083820189</v>
      </c>
      <c r="AD80" s="44">
        <f t="shared" si="140"/>
        <v>0.15223753830615092</v>
      </c>
      <c r="AE80" s="44">
        <f t="shared" si="140"/>
        <v>0.37827318881796562</v>
      </c>
      <c r="AF80" s="44">
        <f t="shared" si="140"/>
        <v>0.48191739689668367</v>
      </c>
      <c r="AG80" s="44">
        <f t="shared" si="140"/>
        <v>0.21067272710441276</v>
      </c>
      <c r="AH80" s="44">
        <f t="shared" si="140"/>
        <v>0.52890051810564831</v>
      </c>
      <c r="AI80" s="44">
        <f t="shared" si="140"/>
        <v>0.57131164682382307</v>
      </c>
      <c r="AJ80" s="44">
        <f t="shared" si="140"/>
        <v>0.77521690203594051</v>
      </c>
      <c r="AK80" s="44">
        <f t="shared" si="140"/>
        <v>0.16104882281818692</v>
      </c>
      <c r="AL80" s="44">
        <f t="shared" ref="AL80:BI80" si="141">IF(AL35=0,0,AL79/AL35)</f>
        <v>0.44718622809995545</v>
      </c>
      <c r="AM80" s="44">
        <f t="shared" si="141"/>
        <v>0.52313900351371201</v>
      </c>
      <c r="AN80" s="44">
        <f t="shared" si="141"/>
        <v>0.51782470769509614</v>
      </c>
      <c r="AO80" s="44">
        <f t="shared" si="141"/>
        <v>0.314752321234328</v>
      </c>
      <c r="AP80" s="44">
        <f t="shared" si="141"/>
        <v>0.41245019387893561</v>
      </c>
      <c r="AQ80" s="44">
        <f t="shared" si="141"/>
        <v>0.45443920587182451</v>
      </c>
      <c r="AR80" s="44">
        <f t="shared" si="141"/>
        <v>0.87525188916876551</v>
      </c>
      <c r="AS80" s="44">
        <f t="shared" si="141"/>
        <v>0.35864624240142062</v>
      </c>
      <c r="AT80" s="44">
        <f t="shared" ca="1" si="141"/>
        <v>-0.12126824103340469</v>
      </c>
      <c r="AU80" s="44">
        <f t="shared" ca="1" si="141"/>
        <v>0.19036757756404571</v>
      </c>
      <c r="AV80" s="44">
        <f t="shared" ca="1" si="141"/>
        <v>0.24701112233049061</v>
      </c>
      <c r="AW80" s="44">
        <f t="shared" ca="1" si="141"/>
        <v>-1.5402259786590121E-2</v>
      </c>
      <c r="AX80" s="44">
        <f t="shared" ca="1" si="141"/>
        <v>-0.16204049909772295</v>
      </c>
      <c r="AY80" s="44">
        <f t="shared" ca="1" si="141"/>
        <v>0.22842786916012492</v>
      </c>
      <c r="AZ80" s="44">
        <f t="shared" ca="1" si="141"/>
        <v>0.29216893430378782</v>
      </c>
      <c r="BA80" s="44">
        <f t="shared" ca="1" si="141"/>
        <v>4.8610980974946635E-2</v>
      </c>
      <c r="BB80" s="44">
        <f t="shared" ca="1" si="141"/>
        <v>-0.11128069984853643</v>
      </c>
      <c r="BC80" s="44">
        <f t="shared" ca="1" si="141"/>
        <v>0.25410547216613188</v>
      </c>
      <c r="BD80" s="44">
        <f t="shared" ca="1" si="141"/>
        <v>0.31417476216825146</v>
      </c>
      <c r="BE80" s="44">
        <f t="shared" ca="1" si="141"/>
        <v>5.6986351192209329E-2</v>
      </c>
      <c r="BF80" s="44">
        <f t="shared" ca="1" si="141"/>
        <v>-0.11608671845510739</v>
      </c>
      <c r="BG80" s="44">
        <f t="shared" ca="1" si="141"/>
        <v>0.25671029646804921</v>
      </c>
      <c r="BH80" s="44">
        <f t="shared" ca="1" si="141"/>
        <v>0.32202280456689697</v>
      </c>
      <c r="BI80" s="44">
        <f t="shared" ca="1" si="141"/>
        <v>5.4392656339467889E-2</v>
      </c>
      <c r="BJ80" s="1"/>
      <c r="BK80" s="44">
        <f t="shared" ref="BK80:BX80" si="142">AVERAGEIF($F$1:$BI$1,BK$1,$F80:$BI80)</f>
        <v>-0.22467757992922185</v>
      </c>
      <c r="BL80" s="44">
        <f t="shared" si="142"/>
        <v>0.62236878310896226</v>
      </c>
      <c r="BM80" s="44">
        <f t="shared" si="142"/>
        <v>-0.38019281064557847</v>
      </c>
      <c r="BN80" s="44">
        <f t="shared" si="142"/>
        <v>0.2613877228073036</v>
      </c>
      <c r="BO80" s="44">
        <f t="shared" si="142"/>
        <v>0.53751877328512065</v>
      </c>
      <c r="BP80" s="44">
        <f t="shared" si="142"/>
        <v>0.56423620619580184</v>
      </c>
      <c r="BQ80" s="44">
        <f t="shared" si="142"/>
        <v>0.30577521278130326</v>
      </c>
      <c r="BR80" s="44">
        <f t="shared" si="142"/>
        <v>0.50911947244589972</v>
      </c>
      <c r="BS80" s="44">
        <f t="shared" si="142"/>
        <v>0.45072556513577289</v>
      </c>
      <c r="BT80" s="44">
        <f t="shared" si="142"/>
        <v>0.52519688283023658</v>
      </c>
      <c r="BU80" s="44">
        <f t="shared" ca="1" si="142"/>
        <v>7.5177049768635387E-2</v>
      </c>
      <c r="BV80" s="44">
        <f t="shared" ca="1" si="142"/>
        <v>0.10179182133528411</v>
      </c>
      <c r="BW80" s="44">
        <f t="shared" ca="1" si="142"/>
        <v>0.12849647141951406</v>
      </c>
      <c r="BX80" s="44">
        <f t="shared" ca="1" si="142"/>
        <v>0.12925975972982667</v>
      </c>
    </row>
    <row r="81" spans="1:76" ht="15" customHeight="1" x14ac:dyDescent="0.25">
      <c r="A81" s="1"/>
      <c r="B81" s="3" t="s">
        <v>99</v>
      </c>
      <c r="C81" s="1"/>
      <c r="D81" s="1"/>
      <c r="E81" s="1"/>
      <c r="F81" s="21">
        <f t="shared" ref="F81:AK81" si="143">F79/F50</f>
        <v>-0.55928156592815648</v>
      </c>
      <c r="G81" s="21">
        <f t="shared" si="143"/>
        <v>0.35896503795573598</v>
      </c>
      <c r="H81" s="21">
        <f t="shared" si="143"/>
        <v>0.23472682561744895</v>
      </c>
      <c r="I81" s="21">
        <f t="shared" si="143"/>
        <v>-0.15093552870736673</v>
      </c>
      <c r="J81" s="21">
        <f t="shared" si="143"/>
        <v>0.80414207532997095</v>
      </c>
      <c r="K81" s="21">
        <f t="shared" si="143"/>
        <v>0.26057179432472799</v>
      </c>
      <c r="L81" s="21">
        <f t="shared" si="143"/>
        <v>-0.12686153189673549</v>
      </c>
      <c r="M81" s="21">
        <f t="shared" si="143"/>
        <v>0.46664177512267974</v>
      </c>
      <c r="N81" s="21">
        <f t="shared" si="143"/>
        <v>-1.314710920770878</v>
      </c>
      <c r="O81" s="21">
        <f t="shared" si="143"/>
        <v>1.0130104768013686</v>
      </c>
      <c r="P81" s="21">
        <f t="shared" si="143"/>
        <v>-0.62771929824561401</v>
      </c>
      <c r="Q81" s="21">
        <f t="shared" si="143"/>
        <v>1.2584776566174898</v>
      </c>
      <c r="R81" s="21">
        <f t="shared" si="143"/>
        <v>-0.25340811965811982</v>
      </c>
      <c r="S81" s="21">
        <f t="shared" si="143"/>
        <v>0.58087251884088764</v>
      </c>
      <c r="T81" s="21">
        <f t="shared" si="143"/>
        <v>0.81622224583023484</v>
      </c>
      <c r="U81" s="21">
        <f t="shared" si="143"/>
        <v>0.1190654006187985</v>
      </c>
      <c r="V81" s="21">
        <f t="shared" si="143"/>
        <v>-8.5133418043203749E-3</v>
      </c>
      <c r="W81" s="21">
        <f t="shared" si="143"/>
        <v>1.6622987288135593</v>
      </c>
      <c r="X81" s="21">
        <f t="shared" si="143"/>
        <v>1.1618981972428419</v>
      </c>
      <c r="Y81" s="21">
        <f t="shared" si="143"/>
        <v>0.28434875066454024</v>
      </c>
      <c r="Z81" s="21">
        <f t="shared" si="143"/>
        <v>0.47514082261664375</v>
      </c>
      <c r="AA81" s="21">
        <f t="shared" si="143"/>
        <v>1.555979589667269</v>
      </c>
      <c r="AB81" s="21">
        <f t="shared" si="143"/>
        <v>1.3729195451163778</v>
      </c>
      <c r="AC81" s="21">
        <f t="shared" si="143"/>
        <v>0.48787943337948625</v>
      </c>
      <c r="AD81" s="21">
        <f t="shared" si="143"/>
        <v>0.28233290762026397</v>
      </c>
      <c r="AE81" s="21">
        <f t="shared" si="143"/>
        <v>0.76417704011065013</v>
      </c>
      <c r="AF81" s="21">
        <f t="shared" si="143"/>
        <v>1.1910163725281733</v>
      </c>
      <c r="AG81" s="21">
        <f t="shared" si="143"/>
        <v>0.48466616973698223</v>
      </c>
      <c r="AH81" s="21">
        <f t="shared" si="143"/>
        <v>1.4049387972325704</v>
      </c>
      <c r="AI81" s="21">
        <f t="shared" si="143"/>
        <v>1.686366538952746</v>
      </c>
      <c r="AJ81" s="21">
        <f t="shared" si="143"/>
        <v>2.1484193720063867</v>
      </c>
      <c r="AK81" s="21">
        <f t="shared" si="143"/>
        <v>0.38466538789428795</v>
      </c>
      <c r="AL81" s="21">
        <f t="shared" ref="AL81:BI81" si="144">AL79/AL50</f>
        <v>1.2488867582827312</v>
      </c>
      <c r="AM81" s="21">
        <f t="shared" si="144"/>
        <v>1.7218967921896779</v>
      </c>
      <c r="AN81" s="21">
        <f t="shared" si="144"/>
        <v>1.6282375740994059</v>
      </c>
      <c r="AO81" s="21">
        <f t="shared" si="144"/>
        <v>0.9694911377930252</v>
      </c>
      <c r="AP81" s="21">
        <f t="shared" si="144"/>
        <v>1.1494957597983038</v>
      </c>
      <c r="AQ81" s="21">
        <f t="shared" si="144"/>
        <v>1.7042004658260383</v>
      </c>
      <c r="AR81" s="21">
        <f t="shared" si="144"/>
        <v>3.0449335854625961</v>
      </c>
      <c r="AS81" s="21">
        <f t="shared" si="144"/>
        <v>1.427367125194027</v>
      </c>
      <c r="AT81" s="21">
        <f t="shared" ca="1" si="144"/>
        <v>-0.47568220865136668</v>
      </c>
      <c r="AU81" s="21">
        <f t="shared" ca="1" si="144"/>
        <v>0.73158598582071088</v>
      </c>
      <c r="AV81" s="21">
        <f t="shared" ca="1" si="144"/>
        <v>0.91334962515619311</v>
      </c>
      <c r="AW81" s="21">
        <f t="shared" ca="1" si="144"/>
        <v>-5.9588078867717546E-2</v>
      </c>
      <c r="AX81" s="21">
        <f t="shared" ca="1" si="144"/>
        <v>-0.6140771899976093</v>
      </c>
      <c r="AY81" s="21">
        <f t="shared" ca="1" si="144"/>
        <v>0.94350113795561918</v>
      </c>
      <c r="AZ81" s="21">
        <f t="shared" ca="1" si="144"/>
        <v>1.1732845898961963</v>
      </c>
      <c r="BA81" s="21">
        <f t="shared" ca="1" si="144"/>
        <v>0.20731822058325017</v>
      </c>
      <c r="BB81" s="21">
        <f t="shared" ca="1" si="144"/>
        <v>-0.45249234877578892</v>
      </c>
      <c r="BC81" s="21">
        <f t="shared" ca="1" si="144"/>
        <v>1.1075587922102021</v>
      </c>
      <c r="BD81" s="21">
        <f t="shared" ca="1" si="144"/>
        <v>1.3114508242254408</v>
      </c>
      <c r="BE81" s="21">
        <f t="shared" ca="1" si="144"/>
        <v>0.24894763155483274</v>
      </c>
      <c r="BF81" s="21">
        <f t="shared" ca="1" si="144"/>
        <v>-0.4762780755978327</v>
      </c>
      <c r="BG81" s="21">
        <f t="shared" ca="1" si="144"/>
        <v>1.1297054975462582</v>
      </c>
      <c r="BH81" s="21">
        <f t="shared" ca="1" si="144"/>
        <v>1.3541634033012553</v>
      </c>
      <c r="BI81" s="21">
        <f t="shared" ca="1" si="144"/>
        <v>0.23970866756547046</v>
      </c>
      <c r="BJ81" s="1"/>
      <c r="BK81" s="21">
        <f t="shared" ref="BK81:BX81" si="145">BK79/BK50</f>
        <v>-0.1134031105281476</v>
      </c>
      <c r="BL81" s="21">
        <f t="shared" si="145"/>
        <v>1.4018322160198715</v>
      </c>
      <c r="BM81" s="21">
        <f t="shared" si="145"/>
        <v>0.32727952366966578</v>
      </c>
      <c r="BN81" s="21">
        <f t="shared" si="145"/>
        <v>1.2670269119173745</v>
      </c>
      <c r="BO81" s="21">
        <f t="shared" si="145"/>
        <v>3.1011108459927352</v>
      </c>
      <c r="BP81" s="21">
        <f t="shared" si="145"/>
        <v>3.8928271388312861</v>
      </c>
      <c r="BQ81" s="21">
        <f t="shared" si="145"/>
        <v>2.7228665673547563</v>
      </c>
      <c r="BR81" s="21">
        <f t="shared" si="145"/>
        <v>5.6256161831248326</v>
      </c>
      <c r="BS81" s="21">
        <f t="shared" si="145"/>
        <v>5.5800358868184947</v>
      </c>
      <c r="BT81" s="21">
        <f t="shared" si="145"/>
        <v>7.3787606772717425</v>
      </c>
      <c r="BU81" s="21">
        <f t="shared" ca="1" si="145"/>
        <v>1.1099956061385063</v>
      </c>
      <c r="BV81" s="21">
        <f t="shared" ca="1" si="145"/>
        <v>1.7091201158028047</v>
      </c>
      <c r="BW81" s="21">
        <f t="shared" ca="1" si="145"/>
        <v>2.215087187088606</v>
      </c>
      <c r="BX81" s="21">
        <f t="shared" ca="1" si="145"/>
        <v>2.2469400393465677</v>
      </c>
    </row>
    <row r="82" spans="1:7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 ht="15" customHeight="1" x14ac:dyDescent="0.25">
      <c r="A83" s="11" t="s">
        <v>53</v>
      </c>
      <c r="B83" s="41" t="s">
        <v>100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 x14ac:dyDescent="0.25">
      <c r="A84" s="1"/>
      <c r="B84" s="1"/>
      <c r="C84" s="11" t="s">
        <v>44</v>
      </c>
      <c r="D84" s="1"/>
      <c r="E84" s="1"/>
      <c r="F84" s="53">
        <f>'Canalyst HC - Q'!C448</f>
        <v>92.98</v>
      </c>
      <c r="G84" s="53">
        <f>'Canalyst HC - Q'!D448</f>
        <v>93.53</v>
      </c>
      <c r="H84" s="53">
        <f>'Canalyst HC - Q'!E448</f>
        <v>93.53</v>
      </c>
      <c r="I84" s="53">
        <f>'Canalyst HC - Q'!F448</f>
        <v>93.53</v>
      </c>
      <c r="J84" s="53">
        <f>'Canalyst HC - Q'!G448</f>
        <v>93.190000000000012</v>
      </c>
      <c r="K84" s="53">
        <f>'Canalyst HC - Q'!H448</f>
        <v>93.740000000000009</v>
      </c>
      <c r="L84" s="53">
        <f>'Canalyst HC - Q'!I448</f>
        <v>93.740000000000009</v>
      </c>
      <c r="M84" s="53">
        <f>'Canalyst HC - Q'!J448</f>
        <v>93.740000000000009</v>
      </c>
      <c r="N84" s="53">
        <f>'Canalyst HC - Q'!K448</f>
        <v>93.4</v>
      </c>
      <c r="O84" s="53">
        <f>'Canalyst HC - Q'!L448</f>
        <v>93.539999999999992</v>
      </c>
      <c r="P84" s="53">
        <f>'Canalyst HC - Q'!M448</f>
        <v>94.05</v>
      </c>
      <c r="Q84" s="53">
        <f>'Canalyst HC - Q'!N448</f>
        <v>93.539999999999992</v>
      </c>
      <c r="R84" s="53">
        <f>'Canalyst HC - Q'!O448</f>
        <v>93.6</v>
      </c>
      <c r="S84" s="53">
        <f>'Canalyst HC - Q'!P448</f>
        <v>94.21</v>
      </c>
      <c r="T84" s="53">
        <f>'Canalyst HC - Q'!Q448</f>
        <v>94.13</v>
      </c>
      <c r="U84" s="53">
        <f>'Canalyst HC - Q'!R448</f>
        <v>93.72999999999999</v>
      </c>
      <c r="V84" s="53">
        <f>'Canalyst HC - Q'!S448</f>
        <v>94.440000000000012</v>
      </c>
      <c r="W84" s="53">
        <f>'Canalyst HC - Q'!T448</f>
        <v>94.399999999999991</v>
      </c>
      <c r="X84" s="53">
        <f>'Canalyst HC - Q'!U448</f>
        <v>94.3</v>
      </c>
      <c r="Y84" s="53">
        <f>'Canalyst HC - Q'!V448</f>
        <v>94.05</v>
      </c>
      <c r="Z84" s="53">
        <f>'Canalyst HC - Q'!W448</f>
        <v>94.09</v>
      </c>
      <c r="AA84" s="53">
        <f>'Canalyst HC - Q'!X448</f>
        <v>94.07</v>
      </c>
      <c r="AB84" s="53">
        <f>'Canalyst HC - Q'!Y448</f>
        <v>94.09</v>
      </c>
      <c r="AC84" s="53">
        <f>'Canalyst HC - Q'!Z448</f>
        <v>93.889999999999986</v>
      </c>
      <c r="AD84" s="53">
        <f>'Canalyst HC - Q'!AA448</f>
        <v>93.960000000000008</v>
      </c>
      <c r="AE84" s="53">
        <f>'Canalyst HC - Q'!AB448</f>
        <v>93.99</v>
      </c>
      <c r="AF84" s="53">
        <f>'Canalyst HC - Q'!AC448</f>
        <v>94.06</v>
      </c>
      <c r="AG84" s="53">
        <f>'Canalyst HC - Q'!AD448</f>
        <v>93.91</v>
      </c>
      <c r="AH84" s="53">
        <f>'Canalyst HC - Q'!AE448</f>
        <v>93.949999999999989</v>
      </c>
      <c r="AI84" s="53">
        <f>'Canalyst HC - Q'!AF448</f>
        <v>93.960000000000008</v>
      </c>
      <c r="AJ84" s="53">
        <f>'Canalyst HC - Q'!AG448</f>
        <v>93.949999999999989</v>
      </c>
      <c r="AK84" s="53">
        <f>'Canalyst HC - Q'!AH448</f>
        <v>93.84</v>
      </c>
      <c r="AL84" s="53">
        <f>'Canalyst HC - Q'!AI448</f>
        <v>93.87</v>
      </c>
      <c r="AM84" s="53">
        <f>'Canalyst HC - Q'!AJ448</f>
        <v>93.21</v>
      </c>
      <c r="AN84" s="53">
        <f>'Canalyst HC - Q'!AK448</f>
        <v>87.72</v>
      </c>
      <c r="AO84" s="53">
        <f>'Canalyst HC - Q'!AL448</f>
        <v>87.449999999999989</v>
      </c>
      <c r="AP84" s="53">
        <f>'Canalyst HC - Q'!AM448</f>
        <v>87.26</v>
      </c>
      <c r="AQ84" s="53">
        <f>'Canalyst HC - Q'!AN448</f>
        <v>87.156999999999996</v>
      </c>
      <c r="AR84" s="53">
        <f>'Canalyst HC - Q'!AO448</f>
        <v>86.727999999999994</v>
      </c>
      <c r="AS84" s="53">
        <f>'Canalyst HC - Q'!AP448</f>
        <v>74.731999999999999</v>
      </c>
      <c r="AT84" s="51">
        <f>AS84+AS96</f>
        <v>57.020861332467447</v>
      </c>
      <c r="AU84" s="51">
        <f t="shared" ref="AU84:BI84" ca="1" si="146">AT84+AT96</f>
        <v>57.020861332467447</v>
      </c>
      <c r="AV84" s="51">
        <f t="shared" ca="1" si="146"/>
        <v>56.844246644219162</v>
      </c>
      <c r="AW84" s="51">
        <f t="shared" ca="1" si="146"/>
        <v>56.631841323138417</v>
      </c>
      <c r="AX84" s="51">
        <f t="shared" ca="1" si="146"/>
        <v>56.631841323138417</v>
      </c>
      <c r="AY84" s="51">
        <f t="shared" ca="1" si="146"/>
        <v>56.631841323138417</v>
      </c>
      <c r="AZ84" s="51">
        <f t="shared" ca="1" si="146"/>
        <v>56.431891175423935</v>
      </c>
      <c r="BA84" s="51">
        <f t="shared" ca="1" si="146"/>
        <v>56.187132848242889</v>
      </c>
      <c r="BB84" s="51">
        <f t="shared" ca="1" si="146"/>
        <v>56.144328867469099</v>
      </c>
      <c r="BC84" s="51">
        <f t="shared" ca="1" si="146"/>
        <v>56.144328867469099</v>
      </c>
      <c r="BD84" s="51">
        <f t="shared" ca="1" si="146"/>
        <v>55.915170367465379</v>
      </c>
      <c r="BE84" s="51">
        <f t="shared" ca="1" si="146"/>
        <v>55.64429569102164</v>
      </c>
      <c r="BF84" s="51">
        <f t="shared" ca="1" si="146"/>
        <v>55.593047943418078</v>
      </c>
      <c r="BG84" s="51">
        <f t="shared" ca="1" si="146"/>
        <v>55.593047943418078</v>
      </c>
      <c r="BH84" s="51">
        <f t="shared" ca="1" si="146"/>
        <v>55.360703729696411</v>
      </c>
      <c r="BI84" s="51">
        <f t="shared" ca="1" si="146"/>
        <v>55.083359708162938</v>
      </c>
      <c r="BJ84" s="1"/>
      <c r="BK84" s="51">
        <f t="shared" ref="BK84:BX88" si="147">AVERAGEIF($F$1:$BI$1,BK$1,$F84:$BI84)</f>
        <v>93.392499999999984</v>
      </c>
      <c r="BL84" s="51">
        <f t="shared" si="147"/>
        <v>93.602500000000006</v>
      </c>
      <c r="BM84" s="51">
        <f t="shared" si="147"/>
        <v>93.632499999999993</v>
      </c>
      <c r="BN84" s="51">
        <f t="shared" si="147"/>
        <v>93.91749999999999</v>
      </c>
      <c r="BO84" s="51">
        <f t="shared" si="147"/>
        <v>94.297499999999999</v>
      </c>
      <c r="BP84" s="51">
        <f t="shared" si="147"/>
        <v>94.034999999999997</v>
      </c>
      <c r="BQ84" s="51">
        <f t="shared" si="147"/>
        <v>93.97999999999999</v>
      </c>
      <c r="BR84" s="51">
        <f t="shared" si="147"/>
        <v>93.925000000000011</v>
      </c>
      <c r="BS84" s="51">
        <f t="shared" si="147"/>
        <v>90.562499999999986</v>
      </c>
      <c r="BT84" s="51">
        <f t="shared" si="147"/>
        <v>83.969249999999988</v>
      </c>
      <c r="BU84" s="51">
        <f t="shared" ca="1" si="147"/>
        <v>56.87945265807312</v>
      </c>
      <c r="BV84" s="51">
        <f t="shared" ca="1" si="147"/>
        <v>56.470676667485918</v>
      </c>
      <c r="BW84" s="51">
        <f t="shared" ca="1" si="147"/>
        <v>55.962030948356301</v>
      </c>
      <c r="BX84" s="51">
        <f t="shared" ca="1" si="147"/>
        <v>55.407539831173871</v>
      </c>
    </row>
    <row r="85" spans="1:76" x14ac:dyDescent="0.25">
      <c r="A85" s="1"/>
      <c r="B85" s="1"/>
      <c r="C85" s="11" t="s">
        <v>101</v>
      </c>
      <c r="D85" s="1"/>
      <c r="E85" s="1"/>
      <c r="F85" s="38">
        <f t="shared" ref="F85:AK85" si="148">F84*F87</f>
        <v>1581.2849475409837</v>
      </c>
      <c r="G85" s="38">
        <f t="shared" si="148"/>
        <v>1367.537934453125</v>
      </c>
      <c r="H85" s="38">
        <f t="shared" si="148"/>
        <v>1383.8654261904762</v>
      </c>
      <c r="I85" s="38">
        <f t="shared" si="148"/>
        <v>1466.9096739682539</v>
      </c>
      <c r="J85" s="38">
        <f t="shared" si="148"/>
        <v>1661.5205835483873</v>
      </c>
      <c r="K85" s="38">
        <f t="shared" si="148"/>
        <v>2024.7274584126981</v>
      </c>
      <c r="L85" s="38">
        <f t="shared" si="148"/>
        <v>2069.7085230158732</v>
      </c>
      <c r="M85" s="38">
        <f t="shared" si="148"/>
        <v>2041.0374744444439</v>
      </c>
      <c r="N85" s="38">
        <f t="shared" si="148"/>
        <v>1784.4024065573776</v>
      </c>
      <c r="O85" s="38">
        <f t="shared" si="148"/>
        <v>1379.5556896874998</v>
      </c>
      <c r="P85" s="38">
        <f t="shared" si="148"/>
        <v>1506.6989142857144</v>
      </c>
      <c r="Q85" s="38">
        <f t="shared" si="148"/>
        <v>1733.4048270967735</v>
      </c>
      <c r="R85" s="38">
        <f t="shared" si="148"/>
        <v>2131.3912645161286</v>
      </c>
      <c r="S85" s="38">
        <f t="shared" si="148"/>
        <v>2951.1192776190469</v>
      </c>
      <c r="T85" s="38">
        <f t="shared" si="148"/>
        <v>2943.7155369841262</v>
      </c>
      <c r="U85" s="38">
        <f t="shared" si="148"/>
        <v>2619.1613644444442</v>
      </c>
      <c r="V85" s="38">
        <f t="shared" si="148"/>
        <v>2353.5559954838704</v>
      </c>
      <c r="W85" s="38">
        <f t="shared" si="148"/>
        <v>2210.5423238095232</v>
      </c>
      <c r="X85" s="38">
        <f t="shared" si="148"/>
        <v>2366.4450285714283</v>
      </c>
      <c r="Y85" s="38">
        <f t="shared" si="148"/>
        <v>2393.5635428571422</v>
      </c>
      <c r="Z85" s="38">
        <f t="shared" si="148"/>
        <v>2584.5551748387097</v>
      </c>
      <c r="AA85" s="38">
        <f t="shared" si="148"/>
        <v>3315.8555119047614</v>
      </c>
      <c r="AB85" s="38">
        <f t="shared" si="148"/>
        <v>3743.7395425396826</v>
      </c>
      <c r="AC85" s="38">
        <f t="shared" si="148"/>
        <v>4650.0423398412686</v>
      </c>
      <c r="AD85" s="38">
        <f t="shared" si="148"/>
        <v>5072.8810114285734</v>
      </c>
      <c r="AE85" s="38">
        <f t="shared" si="148"/>
        <v>4909.5449104838717</v>
      </c>
      <c r="AF85" s="38">
        <f t="shared" si="148"/>
        <v>4615.5122558730172</v>
      </c>
      <c r="AG85" s="38">
        <f t="shared" si="148"/>
        <v>4490.5302452380947</v>
      </c>
      <c r="AH85" s="38">
        <f t="shared" si="148"/>
        <v>4851.8386354838703</v>
      </c>
      <c r="AI85" s="38">
        <f t="shared" si="148"/>
        <v>5811.3517412903229</v>
      </c>
      <c r="AJ85" s="38">
        <f t="shared" si="148"/>
        <v>6245.3888833333313</v>
      </c>
      <c r="AK85" s="38">
        <f t="shared" si="148"/>
        <v>6794.4390247619067</v>
      </c>
      <c r="AL85" s="38">
        <f t="shared" ref="AL85:BI85" si="149">AL84*AL87</f>
        <v>8089.9951322950819</v>
      </c>
      <c r="AM85" s="38">
        <f t="shared" si="149"/>
        <v>8627.0345354761921</v>
      </c>
      <c r="AN85" s="38">
        <f t="shared" si="149"/>
        <v>10764.240944761905</v>
      </c>
      <c r="AO85" s="38">
        <f t="shared" si="149"/>
        <v>10940.471116666666</v>
      </c>
      <c r="AP85" s="38">
        <f t="shared" si="149"/>
        <v>11717.350046557382</v>
      </c>
      <c r="AQ85" s="38">
        <f t="shared" si="149"/>
        <v>10525.113058193547</v>
      </c>
      <c r="AR85" s="38">
        <f t="shared" si="149"/>
        <v>10049.434920634918</v>
      </c>
      <c r="AS85" s="38">
        <f t="shared" si="149"/>
        <v>10996.125791111115</v>
      </c>
      <c r="AT85" s="38">
        <f ca="1">AT87*AT84</f>
        <v>6523.6215082865738</v>
      </c>
      <c r="AU85" s="38">
        <f t="shared" ca="1" si="149"/>
        <v>6734.0464764652188</v>
      </c>
      <c r="AV85" s="38">
        <f t="shared" ca="1" si="149"/>
        <v>6947.2783108338263</v>
      </c>
      <c r="AW85" s="38">
        <f t="shared" ca="1" si="149"/>
        <v>7219.9492781025338</v>
      </c>
      <c r="AX85" s="38">
        <f t="shared" ca="1" si="149"/>
        <v>7412.047625548701</v>
      </c>
      <c r="AY85" s="38">
        <f t="shared" ca="1" si="149"/>
        <v>7566.7967436657464</v>
      </c>
      <c r="AZ85" s="38">
        <f t="shared" ca="1" si="149"/>
        <v>7632.8214669929976</v>
      </c>
      <c r="BA85" s="38">
        <f t="shared" ca="1" si="149"/>
        <v>7645.3444917128018</v>
      </c>
      <c r="BB85" s="38">
        <f t="shared" ca="1" si="149"/>
        <v>7624.1922233628984</v>
      </c>
      <c r="BC85" s="38">
        <f t="shared" ca="1" si="149"/>
        <v>7617.5026166641692</v>
      </c>
      <c r="BD85" s="38">
        <f t="shared" ca="1" si="149"/>
        <v>7568.554004459218</v>
      </c>
      <c r="BE85" s="38">
        <f t="shared" ca="1" si="149"/>
        <v>7520.4619848632492</v>
      </c>
      <c r="BF85" s="38">
        <f t="shared" ca="1" si="149"/>
        <v>7513.53572705234</v>
      </c>
      <c r="BG85" s="38">
        <f t="shared" ca="1" si="149"/>
        <v>7513.53572705234</v>
      </c>
      <c r="BH85" s="38">
        <f t="shared" ca="1" si="149"/>
        <v>7482.1338411088245</v>
      </c>
      <c r="BI85" s="38">
        <f t="shared" ca="1" si="149"/>
        <v>7444.6501216229453</v>
      </c>
      <c r="BJ85" s="1"/>
      <c r="BK85" s="38">
        <f t="shared" si="147"/>
        <v>1449.8994955382095</v>
      </c>
      <c r="BL85" s="38">
        <f t="shared" si="147"/>
        <v>1949.2485098553507</v>
      </c>
      <c r="BM85" s="38">
        <f t="shared" si="147"/>
        <v>1601.0154594068413</v>
      </c>
      <c r="BN85" s="38">
        <f t="shared" si="147"/>
        <v>2661.3468608909366</v>
      </c>
      <c r="BO85" s="38">
        <f t="shared" si="147"/>
        <v>2331.0267226804908</v>
      </c>
      <c r="BP85" s="38">
        <f t="shared" si="147"/>
        <v>3573.5481422811054</v>
      </c>
      <c r="BQ85" s="38">
        <f t="shared" si="147"/>
        <v>4772.1171057558895</v>
      </c>
      <c r="BR85" s="38">
        <f t="shared" si="147"/>
        <v>5925.7545712173578</v>
      </c>
      <c r="BS85" s="38">
        <f t="shared" si="147"/>
        <v>9605.4354322999625</v>
      </c>
      <c r="BT85" s="38">
        <f t="shared" si="147"/>
        <v>10822.005954124241</v>
      </c>
      <c r="BU85" s="38">
        <f t="shared" ca="1" si="147"/>
        <v>6856.2238934220377</v>
      </c>
      <c r="BV85" s="38">
        <f t="shared" ca="1" si="147"/>
        <v>7564.2525819800612</v>
      </c>
      <c r="BW85" s="38">
        <f t="shared" ca="1" si="147"/>
        <v>7582.6777073373833</v>
      </c>
      <c r="BX85" s="38">
        <f t="shared" ca="1" si="147"/>
        <v>7488.4638542091125</v>
      </c>
    </row>
    <row r="86" spans="1:76" x14ac:dyDescent="0.25">
      <c r="A86" s="1"/>
      <c r="B86" s="1"/>
      <c r="C86" s="11" t="s">
        <v>102</v>
      </c>
      <c r="D86" s="1"/>
      <c r="E86" s="1"/>
      <c r="F86" s="38">
        <f t="shared" ref="F86:AK86" si="150">F85+F57</f>
        <v>2362.7789475409836</v>
      </c>
      <c r="G86" s="38">
        <f t="shared" si="150"/>
        <v>2200.3289344531249</v>
      </c>
      <c r="H86" s="38">
        <f t="shared" si="150"/>
        <v>2200.2164261904763</v>
      </c>
      <c r="I86" s="38">
        <f t="shared" si="150"/>
        <v>2401.0346739682536</v>
      </c>
      <c r="J86" s="38">
        <f t="shared" si="150"/>
        <v>2678.7825835483873</v>
      </c>
      <c r="K86" s="38">
        <f t="shared" si="150"/>
        <v>3106.8174584126982</v>
      </c>
      <c r="L86" s="38">
        <f t="shared" si="150"/>
        <v>3228.7605230158733</v>
      </c>
      <c r="M86" s="38">
        <f t="shared" si="150"/>
        <v>3155.6224744444439</v>
      </c>
      <c r="N86" s="38">
        <f t="shared" si="150"/>
        <v>3028.4484065573779</v>
      </c>
      <c r="O86" s="38">
        <f t="shared" si="150"/>
        <v>2530.4196896875001</v>
      </c>
      <c r="P86" s="38">
        <f t="shared" si="150"/>
        <v>2728.7489142857144</v>
      </c>
      <c r="Q86" s="38">
        <f t="shared" si="150"/>
        <v>2859.5078270967733</v>
      </c>
      <c r="R86" s="38">
        <f t="shared" si="150"/>
        <v>3379.6422645161283</v>
      </c>
      <c r="S86" s="38">
        <f t="shared" si="150"/>
        <v>4171.3552776190472</v>
      </c>
      <c r="T86" s="38">
        <f t="shared" si="150"/>
        <v>4110.9035369841258</v>
      </c>
      <c r="U86" s="38">
        <f t="shared" si="150"/>
        <v>3779.062364444444</v>
      </c>
      <c r="V86" s="38">
        <f t="shared" si="150"/>
        <v>3549.4669954838705</v>
      </c>
      <c r="W86" s="38">
        <f t="shared" si="150"/>
        <v>3259.8403238095234</v>
      </c>
      <c r="X86" s="38">
        <f t="shared" si="150"/>
        <v>3381.5860285714284</v>
      </c>
      <c r="Y86" s="38">
        <f t="shared" si="150"/>
        <v>3494.7685428571422</v>
      </c>
      <c r="Z86" s="38">
        <f t="shared" si="150"/>
        <v>3651.5711748387098</v>
      </c>
      <c r="AA86" s="38">
        <f t="shared" si="150"/>
        <v>4249.3585119047611</v>
      </c>
      <c r="AB86" s="38">
        <f t="shared" si="150"/>
        <v>4566.5925425396827</v>
      </c>
      <c r="AC86" s="38">
        <f t="shared" si="150"/>
        <v>5446.3313398412683</v>
      </c>
      <c r="AD86" s="38">
        <f t="shared" si="150"/>
        <v>5824.1750114285733</v>
      </c>
      <c r="AE86" s="38">
        <f t="shared" si="150"/>
        <v>5597.1079104838718</v>
      </c>
      <c r="AF86" s="38">
        <f t="shared" si="150"/>
        <v>5207.4972558730169</v>
      </c>
      <c r="AG86" s="38">
        <f t="shared" si="150"/>
        <v>5047.9192452380948</v>
      </c>
      <c r="AH86" s="38">
        <f t="shared" si="150"/>
        <v>5310.5426354838701</v>
      </c>
      <c r="AI86" s="38">
        <f t="shared" si="150"/>
        <v>6123.8037412903232</v>
      </c>
      <c r="AJ86" s="38">
        <f t="shared" si="150"/>
        <v>6366.0568833333309</v>
      </c>
      <c r="AK86" s="38">
        <f t="shared" si="150"/>
        <v>6894.3130247619065</v>
      </c>
      <c r="AL86" s="38">
        <f t="shared" ref="AL86:BI86" si="151">AL85+AL57</f>
        <v>8417.0101322950813</v>
      </c>
      <c r="AM86" s="38">
        <f t="shared" si="151"/>
        <v>8835.3175354761916</v>
      </c>
      <c r="AN86" s="38">
        <f t="shared" si="151"/>
        <v>11427.873944761905</v>
      </c>
      <c r="AO86" s="38">
        <f t="shared" si="151"/>
        <v>11711.645116666665</v>
      </c>
      <c r="AP86" s="38">
        <f t="shared" si="151"/>
        <v>12467.594046557382</v>
      </c>
      <c r="AQ86" s="38">
        <f t="shared" si="151"/>
        <v>11207.737058193547</v>
      </c>
      <c r="AR86" s="38">
        <f t="shared" si="151"/>
        <v>10433.381920634918</v>
      </c>
      <c r="AS86" s="38">
        <f t="shared" si="151"/>
        <v>13621.448791111115</v>
      </c>
      <c r="AT86" s="38">
        <f ca="1">AT85+AT58</f>
        <v>9056.5803175444053</v>
      </c>
      <c r="AU86" s="38">
        <f t="shared" ca="1" si="151"/>
        <v>9386.4932857230506</v>
      </c>
      <c r="AV86" s="38">
        <f t="shared" ca="1" si="151"/>
        <v>9599.725120091658</v>
      </c>
      <c r="AW86" s="38">
        <f t="shared" ca="1" si="151"/>
        <v>9875.7706699875525</v>
      </c>
      <c r="AX86" s="38">
        <f t="shared" ca="1" si="151"/>
        <v>10102.645339417822</v>
      </c>
      <c r="AY86" s="38">
        <f t="shared" ca="1" si="151"/>
        <v>10257.394457534869</v>
      </c>
      <c r="AZ86" s="38">
        <f t="shared" ca="1" si="151"/>
        <v>10323.41918086212</v>
      </c>
      <c r="BA86" s="38">
        <f t="shared" ca="1" si="151"/>
        <v>10335.942205581923</v>
      </c>
      <c r="BB86" s="38">
        <f t="shared" ca="1" si="151"/>
        <v>10340.194816471701</v>
      </c>
      <c r="BC86" s="38">
        <f t="shared" ca="1" si="151"/>
        <v>10333.505209772973</v>
      </c>
      <c r="BD86" s="38">
        <f t="shared" ca="1" si="151"/>
        <v>10284.556597568022</v>
      </c>
      <c r="BE86" s="38">
        <f t="shared" ca="1" si="151"/>
        <v>10236.464577972052</v>
      </c>
      <c r="BF86" s="38">
        <f t="shared" ca="1" si="151"/>
        <v>10256.016070052254</v>
      </c>
      <c r="BG86" s="38">
        <f t="shared" ca="1" si="151"/>
        <v>10256.016070052254</v>
      </c>
      <c r="BH86" s="38">
        <f t="shared" ca="1" si="151"/>
        <v>10224.614184108737</v>
      </c>
      <c r="BI86" s="38">
        <f t="shared" ca="1" si="151"/>
        <v>10187.130464622858</v>
      </c>
      <c r="BJ86" s="1"/>
      <c r="BK86" s="38">
        <f t="shared" si="147"/>
        <v>2291.0897455382096</v>
      </c>
      <c r="BL86" s="38">
        <f t="shared" si="147"/>
        <v>3042.495759855351</v>
      </c>
      <c r="BM86" s="38">
        <f t="shared" si="147"/>
        <v>2786.7812094068413</v>
      </c>
      <c r="BN86" s="38">
        <f t="shared" si="147"/>
        <v>3860.2408608909363</v>
      </c>
      <c r="BO86" s="38">
        <f t="shared" si="147"/>
        <v>3421.4154726804909</v>
      </c>
      <c r="BP86" s="38">
        <f t="shared" si="147"/>
        <v>4478.4633922811054</v>
      </c>
      <c r="BQ86" s="38">
        <f t="shared" si="147"/>
        <v>5419.1748557558894</v>
      </c>
      <c r="BR86" s="38">
        <f t="shared" si="147"/>
        <v>6173.679071217357</v>
      </c>
      <c r="BS86" s="38">
        <f t="shared" si="147"/>
        <v>10097.96168229996</v>
      </c>
      <c r="BT86" s="38">
        <f t="shared" si="147"/>
        <v>11932.540454124241</v>
      </c>
      <c r="BU86" s="38">
        <f t="shared" ca="1" si="147"/>
        <v>9479.6423483366671</v>
      </c>
      <c r="BV86" s="38">
        <f t="shared" ca="1" si="147"/>
        <v>10254.850295849183</v>
      </c>
      <c r="BW86" s="38">
        <f t="shared" ca="1" si="147"/>
        <v>10298.680300446187</v>
      </c>
      <c r="BX86" s="38">
        <f t="shared" ca="1" si="147"/>
        <v>10230.944197209026</v>
      </c>
    </row>
    <row r="87" spans="1:76" x14ac:dyDescent="0.25">
      <c r="A87" s="1"/>
      <c r="B87" s="1"/>
      <c r="C87" s="11" t="s">
        <v>103</v>
      </c>
      <c r="D87" s="1"/>
      <c r="E87" s="1"/>
      <c r="F87" s="33">
        <f>_xll.BDP("COKE US Equity","INTERVAL_AVG","CALC_INTERVAL=1Q","END_DATE_OVERRIDE",F4)</f>
        <v>17.00672131147541</v>
      </c>
      <c r="G87" s="33">
        <f>_xll.BDP("COKE US Equity","INTERVAL_AVG","CALC_INTERVAL=1Q","END_DATE_OVERRIDE",G4)</f>
        <v>14.6213828125</v>
      </c>
      <c r="H87" s="33">
        <f>_xll.BDP("COKE US Equity","INTERVAL_AVG","CALC_INTERVAL=1Q","END_DATE_OVERRIDE",H4)</f>
        <v>14.795952380952381</v>
      </c>
      <c r="I87" s="33">
        <f>_xll.BDP("COKE US Equity","INTERVAL_AVG","CALC_INTERVAL=1Q","END_DATE_OVERRIDE",I4)</f>
        <v>15.683841269841269</v>
      </c>
      <c r="J87" s="33">
        <f>_xll.BDP("COKE US Equity","INTERVAL_AVG","CALC_INTERVAL=1Q","END_DATE_OVERRIDE",J4)</f>
        <v>17.829387096774195</v>
      </c>
      <c r="K87" s="33">
        <f>_xll.BDP("COKE US Equity","INTERVAL_AVG","CALC_INTERVAL=1Q","END_DATE_OVERRIDE",K4)</f>
        <v>21.59939682539682</v>
      </c>
      <c r="L87" s="33">
        <f>_xll.BDP("COKE US Equity","INTERVAL_AVG","CALC_INTERVAL=1Q","END_DATE_OVERRIDE",L4)</f>
        <v>22.079246031746031</v>
      </c>
      <c r="M87" s="33">
        <f>_xll.BDP("COKE US Equity","INTERVAL_AVG","CALC_INTERVAL=1Q","END_DATE_OVERRIDE",M4)</f>
        <v>21.773388888888881</v>
      </c>
      <c r="N87" s="33">
        <f>_xll.BDP("COKE US Equity","INTERVAL_AVG","CALC_INTERVAL=1Q","END_DATE_OVERRIDE",N4)</f>
        <v>19.104950819672137</v>
      </c>
      <c r="O87" s="33">
        <f>_xll.BDP("COKE US Equity","INTERVAL_AVG","CALC_INTERVAL=1Q","END_DATE_OVERRIDE",O4)</f>
        <v>14.748296874999999</v>
      </c>
      <c r="P87" s="33">
        <f>_xll.BDP("COKE US Equity","INTERVAL_AVG","CALC_INTERVAL=1Q","END_DATE_OVERRIDE",P4)</f>
        <v>16.020190476190479</v>
      </c>
      <c r="Q87" s="33">
        <f>_xll.BDP("COKE US Equity","INTERVAL_AVG","CALC_INTERVAL=1Q","END_DATE_OVERRIDE",Q4)</f>
        <v>18.531161290322576</v>
      </c>
      <c r="R87" s="33">
        <f>_xll.BDP("COKE US Equity","INTERVAL_AVG","CALC_INTERVAL=1Q","END_DATE_OVERRIDE",R4)</f>
        <v>22.771274193548383</v>
      </c>
      <c r="S87" s="33">
        <f>_xll.BDP("COKE US Equity","INTERVAL_AVG","CALC_INTERVAL=1Q","END_DATE_OVERRIDE",S4)</f>
        <v>31.324904761904758</v>
      </c>
      <c r="T87" s="33">
        <f>_xll.BDP("COKE US Equity","INTERVAL_AVG","CALC_INTERVAL=1Q","END_DATE_OVERRIDE",T4)</f>
        <v>31.272873015873007</v>
      </c>
      <c r="U87" s="33">
        <f>_xll.BDP("COKE US Equity","INTERVAL_AVG","CALC_INTERVAL=1Q","END_DATE_OVERRIDE",U4)</f>
        <v>27.943682539682538</v>
      </c>
      <c r="V87" s="33">
        <f>_xll.BDP("COKE US Equity","INTERVAL_AVG","CALC_INTERVAL=1Q","END_DATE_OVERRIDE",V4)</f>
        <v>24.92117741935483</v>
      </c>
      <c r="W87" s="33">
        <f>_xll.BDP("COKE US Equity","INTERVAL_AVG","CALC_INTERVAL=1Q","END_DATE_OVERRIDE",W4)</f>
        <v>23.416761904761902</v>
      </c>
      <c r="X87" s="33">
        <f>_xll.BDP("COKE US Equity","INTERVAL_AVG","CALC_INTERVAL=1Q","END_DATE_OVERRIDE",X4)</f>
        <v>25.094857142857141</v>
      </c>
      <c r="Y87" s="33">
        <f>_xll.BDP("COKE US Equity","INTERVAL_AVG","CALC_INTERVAL=1Q","END_DATE_OVERRIDE",Y4)</f>
        <v>25.449904761904758</v>
      </c>
      <c r="Z87" s="33">
        <f>_xll.BDP("COKE US Equity","INTERVAL_AVG","CALC_INTERVAL=1Q","END_DATE_OVERRIDE",Z4)</f>
        <v>27.468967741935483</v>
      </c>
      <c r="AA87" s="33">
        <f>_xll.BDP("COKE US Equity","INTERVAL_AVG","CALC_INTERVAL=1Q","END_DATE_OVERRIDE",AA4)</f>
        <v>35.24880952380952</v>
      </c>
      <c r="AB87" s="33">
        <f>_xll.BDP("COKE US Equity","INTERVAL_AVG","CALC_INTERVAL=1Q","END_DATE_OVERRIDE",AB4)</f>
        <v>39.788920634920636</v>
      </c>
      <c r="AC87" s="33">
        <f>_xll.BDP("COKE US Equity","INTERVAL_AVG","CALC_INTERVAL=1Q","END_DATE_OVERRIDE",AC4)</f>
        <v>49.526492063492057</v>
      </c>
      <c r="AD87" s="33">
        <f>_xll.BDP("COKE US Equity","INTERVAL_AVG","CALC_INTERVAL=1Q","END_DATE_OVERRIDE",AD4)</f>
        <v>53.989793650793665</v>
      </c>
      <c r="AE87" s="33">
        <f>_xll.BDP("COKE US Equity","INTERVAL_AVG","CALC_INTERVAL=1Q","END_DATE_OVERRIDE",AE4)</f>
        <v>52.234758064516143</v>
      </c>
      <c r="AF87" s="33">
        <f>_xll.BDP("COKE US Equity","INTERVAL_AVG","CALC_INTERVAL=1Q","END_DATE_OVERRIDE",AF4)</f>
        <v>49.069873015873029</v>
      </c>
      <c r="AG87" s="33">
        <f>_xll.BDP("COKE US Equity","INTERVAL_AVG","CALC_INTERVAL=1Q","END_DATE_OVERRIDE",AG4)</f>
        <v>47.817380952380944</v>
      </c>
      <c r="AH87" s="33">
        <f>_xll.BDP("COKE US Equity","INTERVAL_AVG","CALC_INTERVAL=1Q","END_DATE_OVERRIDE",AH4)</f>
        <v>51.642774193548384</v>
      </c>
      <c r="AI87" s="33">
        <f>_xll.BDP("COKE US Equity","INTERVAL_AVG","CALC_INTERVAL=1Q","END_DATE_OVERRIDE",AI4)</f>
        <v>61.849209677419353</v>
      </c>
      <c r="AJ87" s="33">
        <f>_xll.BDP("COKE US Equity","INTERVAL_AVG","CALC_INTERVAL=1Q","END_DATE_OVERRIDE",AJ4)</f>
        <v>66.475666666666655</v>
      </c>
      <c r="AK87" s="33">
        <f>_xll.BDP("COKE US Equity","INTERVAL_AVG","CALC_INTERVAL=1Q","END_DATE_OVERRIDE",AK4)</f>
        <v>72.404507936507954</v>
      </c>
      <c r="AL87" s="33">
        <f>_xll.BDP("COKE US Equity","INTERVAL_AVG","CALC_INTERVAL=1Q","END_DATE_OVERRIDE",AL4)</f>
        <v>86.18296721311475</v>
      </c>
      <c r="AM87" s="33">
        <f>_xll.BDP("COKE US Equity","INTERVAL_AVG","CALC_INTERVAL=1Q","END_DATE_OVERRIDE",AM4)</f>
        <v>92.55481746031748</v>
      </c>
      <c r="AN87" s="33">
        <f>_xll.BDP("COKE US Equity","INTERVAL_AVG","CALC_INTERVAL=1Q","END_DATE_OVERRIDE",AN4)</f>
        <v>122.71136507936508</v>
      </c>
      <c r="AO87" s="33">
        <f>_xll.BDP("COKE US Equity","INTERVAL_AVG","CALC_INTERVAL=1Q","END_DATE_OVERRIDE",AO4)</f>
        <v>125.10544444444444</v>
      </c>
      <c r="AP87" s="33">
        <f>_xll.BDP("COKE US Equity","INTERVAL_AVG","CALC_INTERVAL=1Q","END_DATE_OVERRIDE",AP4)</f>
        <v>134.28088524590169</v>
      </c>
      <c r="AQ87" s="33">
        <f>_xll.BDP("COKE US Equity","INTERVAL_AVG","CALC_INTERVAL=1Q","END_DATE_OVERRIDE",AQ4)</f>
        <v>120.76038709677418</v>
      </c>
      <c r="AR87" s="33">
        <f>_xll.BDP("COKE US Equity","INTERVAL_AVG","CALC_INTERVAL=1Q","END_DATE_OVERRIDE",AR4)</f>
        <v>115.87301587301586</v>
      </c>
      <c r="AS87" s="33">
        <f>_xll.BDP("COKE US Equity","INTERVAL_AVG","CALC_INTERVAL=1Q","END_DATE_OVERRIDE",AS4)</f>
        <v>147.14079365079371</v>
      </c>
      <c r="AT87" s="52">
        <f t="shared" ref="AT87:BD87" ca="1" si="152">AT88*SUM(AU51:AX51)</f>
        <v>114.40762810643704</v>
      </c>
      <c r="AU87" s="52">
        <f t="shared" ca="1" si="152"/>
        <v>118.09794350322474</v>
      </c>
      <c r="AV87" s="52">
        <f t="shared" ca="1" si="152"/>
        <v>122.21603223549637</v>
      </c>
      <c r="AW87" s="52">
        <f t="shared" ca="1" si="152"/>
        <v>127.48921886940968</v>
      </c>
      <c r="AX87" s="52">
        <f t="shared" ca="1" si="152"/>
        <v>130.88127375596662</v>
      </c>
      <c r="AY87" s="52">
        <f t="shared" ca="1" si="152"/>
        <v>133.61381913812326</v>
      </c>
      <c r="AZ87" s="52">
        <f t="shared" ca="1" si="152"/>
        <v>135.25722957554197</v>
      </c>
      <c r="BA87" s="52">
        <f t="shared" ca="1" si="152"/>
        <v>136.06930581050017</v>
      </c>
      <c r="BB87" s="52">
        <f t="shared" ca="1" si="152"/>
        <v>135.79629392731329</v>
      </c>
      <c r="BC87" s="52">
        <f t="shared" ca="1" si="152"/>
        <v>135.6771412980093</v>
      </c>
      <c r="BD87" s="52">
        <f t="shared" ca="1" si="152"/>
        <v>135.35777934484395</v>
      </c>
      <c r="BE87" s="52">
        <f ca="1">BE88*SUM($BF$51:$BI$51)</f>
        <v>135.15241786454627</v>
      </c>
      <c r="BF87" s="52">
        <f t="shared" ref="BF87:BI87" ca="1" si="153">BF88*SUM($BF$51:$BI$51)</f>
        <v>135.15241786454627</v>
      </c>
      <c r="BG87" s="52">
        <f t="shared" ca="1" si="153"/>
        <v>135.15241786454627</v>
      </c>
      <c r="BH87" s="52">
        <f t="shared" ca="1" si="153"/>
        <v>135.15241786454627</v>
      </c>
      <c r="BI87" s="52">
        <f t="shared" ca="1" si="153"/>
        <v>135.15241786454627</v>
      </c>
      <c r="BJ87" s="1"/>
      <c r="BK87" s="52">
        <f t="shared" si="147"/>
        <v>15.526974443692264</v>
      </c>
      <c r="BL87" s="52">
        <f t="shared" si="147"/>
        <v>20.82035471070148</v>
      </c>
      <c r="BM87" s="52">
        <f t="shared" si="147"/>
        <v>17.101149865296296</v>
      </c>
      <c r="BN87" s="52">
        <f t="shared" si="147"/>
        <v>28.328183627752171</v>
      </c>
      <c r="BO87" s="52">
        <f t="shared" si="147"/>
        <v>24.720675307219658</v>
      </c>
      <c r="BP87" s="52">
        <f t="shared" si="147"/>
        <v>38.008297491039428</v>
      </c>
      <c r="BQ87" s="52">
        <f t="shared" si="147"/>
        <v>50.77795142089095</v>
      </c>
      <c r="BR87" s="52">
        <f t="shared" si="147"/>
        <v>63.093039618535585</v>
      </c>
      <c r="BS87" s="52">
        <f t="shared" si="147"/>
        <v>106.63864854931045</v>
      </c>
      <c r="BT87" s="52">
        <f t="shared" si="147"/>
        <v>129.51377046662137</v>
      </c>
      <c r="BU87" s="52">
        <f t="shared" ca="1" si="147"/>
        <v>120.55270567864196</v>
      </c>
      <c r="BV87" s="52">
        <f t="shared" ca="1" si="147"/>
        <v>133.955407070033</v>
      </c>
      <c r="BW87" s="52">
        <f t="shared" ca="1" si="147"/>
        <v>135.49590810867821</v>
      </c>
      <c r="BX87" s="52">
        <f t="shared" ca="1" si="147"/>
        <v>135.15241786454627</v>
      </c>
    </row>
    <row r="88" spans="1:76" x14ac:dyDescent="0.25">
      <c r="A88" s="1"/>
      <c r="B88" s="1"/>
      <c r="C88" s="11" t="s">
        <v>32</v>
      </c>
      <c r="D88" s="1"/>
      <c r="E88" s="1"/>
      <c r="F88" s="54">
        <f>F87/SUM(G51:J51)</f>
        <v>30.227955096125687</v>
      </c>
      <c r="G88" s="54">
        <f t="shared" ref="G88:AS88" si="154">G87/SUM(H51:K51)</f>
        <v>24.47416920143527</v>
      </c>
      <c r="H88" s="54">
        <f t="shared" si="154"/>
        <v>28.595106165098056</v>
      </c>
      <c r="I88" s="54">
        <f t="shared" si="154"/>
        <v>33.610805580595255</v>
      </c>
      <c r="J88" s="54">
        <f t="shared" si="154"/>
        <v>54.588482600662374</v>
      </c>
      <c r="K88" s="54">
        <f t="shared" si="154"/>
        <v>107.82518340916624</v>
      </c>
      <c r="L88" s="54">
        <f t="shared" si="154"/>
        <v>66.601250805061142</v>
      </c>
      <c r="M88" s="54">
        <f t="shared" si="154"/>
        <v>43.319102741091719</v>
      </c>
      <c r="N88" s="54">
        <f t="shared" si="154"/>
        <v>30.192253069679424</v>
      </c>
      <c r="O88" s="54">
        <f t="shared" si="154"/>
        <v>15.180613147033892</v>
      </c>
      <c r="P88" s="54">
        <f t="shared" si="154"/>
        <v>15.730961538639015</v>
      </c>
      <c r="Q88" s="54">
        <f t="shared" si="154"/>
        <v>18.956688546293552</v>
      </c>
      <c r="R88" s="54">
        <f t="shared" si="154"/>
        <v>20.107290972562733</v>
      </c>
      <c r="S88" s="54">
        <f t="shared" si="154"/>
        <v>26.0641412413719</v>
      </c>
      <c r="T88" s="54">
        <f t="shared" si="154"/>
        <v>19.874841533928898</v>
      </c>
      <c r="U88" s="54">
        <f t="shared" si="154"/>
        <v>13.748783878873839</v>
      </c>
      <c r="V88" s="54">
        <f t="shared" si="154"/>
        <v>9.9961927984342633</v>
      </c>
      <c r="W88" s="54">
        <f t="shared" si="154"/>
        <v>8.2095996081759459</v>
      </c>
      <c r="X88" s="54">
        <f t="shared" si="154"/>
        <v>7.9850110461740309</v>
      </c>
      <c r="Y88" s="54">
        <f t="shared" si="154"/>
        <v>7.9317156658769985</v>
      </c>
      <c r="Z88" s="54">
        <f t="shared" si="154"/>
        <v>8.0835592527496942</v>
      </c>
      <c r="AA88" s="54">
        <f t="shared" si="154"/>
        <v>9.489614878888883</v>
      </c>
      <c r="AB88" s="54">
        <f t="shared" si="154"/>
        <v>9.508007935624839</v>
      </c>
      <c r="AC88" s="54">
        <f t="shared" si="154"/>
        <v>10.182925895066193</v>
      </c>
      <c r="AD88" s="54">
        <f t="shared" si="154"/>
        <v>9.5744629579336991</v>
      </c>
      <c r="AE88" s="54">
        <f t="shared" si="154"/>
        <v>8.3167551684156891</v>
      </c>
      <c r="AF88" s="54">
        <f t="shared" si="154"/>
        <v>7.4900950343224828</v>
      </c>
      <c r="AG88" s="54">
        <f t="shared" si="154"/>
        <v>7.3171734933688066</v>
      </c>
      <c r="AH88" s="54">
        <f t="shared" si="154"/>
        <v>7.7659456900251378</v>
      </c>
      <c r="AI88" s="54">
        <f t="shared" si="154"/>
        <v>8.9866944463668599</v>
      </c>
      <c r="AJ88" s="54">
        <f t="shared" si="154"/>
        <v>9.4471428752738529</v>
      </c>
      <c r="AK88" s="54">
        <f t="shared" si="154"/>
        <v>9.666236655939576</v>
      </c>
      <c r="AL88" s="54">
        <f t="shared" si="154"/>
        <v>11.771701797986115</v>
      </c>
      <c r="AM88" s="54">
        <f t="shared" si="154"/>
        <v>12.353417780769584</v>
      </c>
      <c r="AN88" s="54">
        <f t="shared" si="154"/>
        <v>16.022588556106776</v>
      </c>
      <c r="AO88" s="54">
        <f t="shared" si="154"/>
        <v>15.679002376731852</v>
      </c>
      <c r="AP88" s="54">
        <f t="shared" ca="1" si="154"/>
        <v>17.041995894874077</v>
      </c>
      <c r="AQ88" s="54">
        <f t="shared" ca="1" si="154"/>
        <v>16.772988407509416</v>
      </c>
      <c r="AR88" s="54">
        <f t="shared" ca="1" si="154"/>
        <v>17.937716344703485</v>
      </c>
      <c r="AS88" s="54">
        <f t="shared" ca="1" si="154"/>
        <v>25.135165862195166</v>
      </c>
      <c r="AT88" s="55">
        <v>20</v>
      </c>
      <c r="AU88" s="55">
        <v>20</v>
      </c>
      <c r="AV88" s="55">
        <v>20</v>
      </c>
      <c r="AW88" s="55">
        <v>20</v>
      </c>
      <c r="AX88" s="55">
        <v>20</v>
      </c>
      <c r="AY88" s="55">
        <v>20</v>
      </c>
      <c r="AZ88" s="55">
        <v>20</v>
      </c>
      <c r="BA88" s="55">
        <v>20</v>
      </c>
      <c r="BB88" s="55">
        <v>20</v>
      </c>
      <c r="BC88" s="55">
        <v>20</v>
      </c>
      <c r="BD88" s="55">
        <v>20</v>
      </c>
      <c r="BE88" s="55">
        <v>20</v>
      </c>
      <c r="BF88" s="55">
        <v>20</v>
      </c>
      <c r="BG88" s="55">
        <v>20</v>
      </c>
      <c r="BH88" s="55">
        <v>20</v>
      </c>
      <c r="BI88" s="55">
        <v>20</v>
      </c>
      <c r="BJ88" s="1"/>
      <c r="BK88" s="54">
        <f t="shared" si="147"/>
        <v>29.227009010813568</v>
      </c>
      <c r="BL88" s="54">
        <f t="shared" si="147"/>
        <v>68.083504888995364</v>
      </c>
      <c r="BM88" s="54">
        <f t="shared" si="147"/>
        <v>20.015129075411473</v>
      </c>
      <c r="BN88" s="54">
        <f t="shared" si="147"/>
        <v>19.948764406684344</v>
      </c>
      <c r="BO88" s="54">
        <f t="shared" si="147"/>
        <v>8.5306297796653094</v>
      </c>
      <c r="BP88" s="54">
        <f t="shared" si="147"/>
        <v>9.3160269905824027</v>
      </c>
      <c r="BQ88" s="54">
        <f t="shared" si="147"/>
        <v>8.1746216635101696</v>
      </c>
      <c r="BR88" s="54">
        <f t="shared" si="147"/>
        <v>8.9665049169013571</v>
      </c>
      <c r="BS88" s="54">
        <f t="shared" si="147"/>
        <v>13.956677627898582</v>
      </c>
      <c r="BT88" s="54">
        <f t="shared" ca="1" si="147"/>
        <v>19.221966627320537</v>
      </c>
      <c r="BU88" s="54">
        <f t="shared" si="147"/>
        <v>20</v>
      </c>
      <c r="BV88" s="54">
        <f t="shared" si="147"/>
        <v>20</v>
      </c>
      <c r="BW88" s="54">
        <f t="shared" si="147"/>
        <v>20</v>
      </c>
      <c r="BX88" s="54">
        <f t="shared" si="147"/>
        <v>20</v>
      </c>
    </row>
    <row r="89" spans="1:7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 x14ac:dyDescent="0.25">
      <c r="A90" s="1"/>
      <c r="B90" s="1"/>
      <c r="C90" s="11" t="s">
        <v>104</v>
      </c>
      <c r="D90" s="1"/>
      <c r="E90" s="1"/>
      <c r="F90" s="38">
        <f t="shared" ref="F90:AK90" si="155">F72</f>
        <v>0</v>
      </c>
      <c r="G90" s="38">
        <f t="shared" si="155"/>
        <v>0</v>
      </c>
      <c r="H90" s="38">
        <f t="shared" si="155"/>
        <v>0</v>
      </c>
      <c r="I90" s="38">
        <f t="shared" si="155"/>
        <v>0</v>
      </c>
      <c r="J90" s="38">
        <f t="shared" si="155"/>
        <v>0</v>
      </c>
      <c r="K90" s="38">
        <f t="shared" si="155"/>
        <v>0</v>
      </c>
      <c r="L90" s="38">
        <f t="shared" si="155"/>
        <v>0</v>
      </c>
      <c r="M90" s="38">
        <f t="shared" si="155"/>
        <v>0</v>
      </c>
      <c r="N90" s="38">
        <f t="shared" si="155"/>
        <v>0</v>
      </c>
      <c r="O90" s="38">
        <f t="shared" si="155"/>
        <v>0</v>
      </c>
      <c r="P90" s="38">
        <f t="shared" si="155"/>
        <v>0</v>
      </c>
      <c r="Q90" s="38">
        <f t="shared" si="155"/>
        <v>0</v>
      </c>
      <c r="R90" s="38">
        <f t="shared" si="155"/>
        <v>0</v>
      </c>
      <c r="S90" s="38">
        <f t="shared" si="155"/>
        <v>0</v>
      </c>
      <c r="T90" s="38">
        <f t="shared" si="155"/>
        <v>0</v>
      </c>
      <c r="U90" s="38">
        <f t="shared" si="155"/>
        <v>0</v>
      </c>
      <c r="V90" s="38">
        <f t="shared" si="155"/>
        <v>0</v>
      </c>
      <c r="W90" s="38">
        <f t="shared" si="155"/>
        <v>0</v>
      </c>
      <c r="X90" s="38">
        <f t="shared" si="155"/>
        <v>0</v>
      </c>
      <c r="Y90" s="38">
        <f t="shared" si="155"/>
        <v>0</v>
      </c>
      <c r="Z90" s="38">
        <f t="shared" si="155"/>
        <v>0</v>
      </c>
      <c r="AA90" s="38">
        <f t="shared" si="155"/>
        <v>0</v>
      </c>
      <c r="AB90" s="38">
        <f t="shared" si="155"/>
        <v>0</v>
      </c>
      <c r="AC90" s="38">
        <f t="shared" si="155"/>
        <v>0</v>
      </c>
      <c r="AD90" s="38">
        <f t="shared" si="155"/>
        <v>0</v>
      </c>
      <c r="AE90" s="38">
        <f t="shared" si="155"/>
        <v>0</v>
      </c>
      <c r="AF90" s="38">
        <f t="shared" si="155"/>
        <v>0</v>
      </c>
      <c r="AG90" s="38">
        <f t="shared" si="155"/>
        <v>0</v>
      </c>
      <c r="AH90" s="38">
        <f t="shared" si="155"/>
        <v>0</v>
      </c>
      <c r="AI90" s="38">
        <f t="shared" si="155"/>
        <v>0</v>
      </c>
      <c r="AJ90" s="38">
        <f t="shared" si="155"/>
        <v>0</v>
      </c>
      <c r="AK90" s="38">
        <f t="shared" si="155"/>
        <v>0</v>
      </c>
      <c r="AL90" s="38">
        <f t="shared" ref="AL90:BI90" si="156">AL72</f>
        <v>0</v>
      </c>
      <c r="AM90" s="38">
        <f t="shared" si="156"/>
        <v>-14.471</v>
      </c>
      <c r="AN90" s="38">
        <f t="shared" si="156"/>
        <v>-574.00900000000001</v>
      </c>
      <c r="AO90" s="38">
        <f t="shared" si="156"/>
        <v>-625.654</v>
      </c>
      <c r="AP90" s="38">
        <f t="shared" si="156"/>
        <v>0</v>
      </c>
      <c r="AQ90" s="38">
        <f t="shared" si="156"/>
        <v>-34.409999999999997</v>
      </c>
      <c r="AR90" s="38">
        <f t="shared" si="156"/>
        <v>-145.69800000000001</v>
      </c>
      <c r="AS90" s="38">
        <f t="shared" si="156"/>
        <v>-2606.0309999999999</v>
      </c>
      <c r="AT90" s="38">
        <f t="shared" ca="1" si="156"/>
        <v>0</v>
      </c>
      <c r="AU90" s="38">
        <f t="shared" ca="1" si="156"/>
        <v>-20.857831525129626</v>
      </c>
      <c r="AV90" s="38">
        <f t="shared" ca="1" si="156"/>
        <v>-25.959335682391881</v>
      </c>
      <c r="AW90" s="38">
        <f t="shared" ca="1" si="156"/>
        <v>0</v>
      </c>
      <c r="AX90" s="38">
        <f t="shared" ca="1" si="156"/>
        <v>0</v>
      </c>
      <c r="AY90" s="38">
        <f t="shared" ca="1" si="156"/>
        <v>-26.716103366451577</v>
      </c>
      <c r="AZ90" s="38">
        <f t="shared" ca="1" si="156"/>
        <v>-33.105334147412023</v>
      </c>
      <c r="BA90" s="38">
        <f t="shared" ca="1" si="156"/>
        <v>-5.8243082008862004</v>
      </c>
      <c r="BB90" s="38">
        <f t="shared" ca="1" si="156"/>
        <v>0</v>
      </c>
      <c r="BC90" s="38">
        <f t="shared" ca="1" si="156"/>
        <v>-31.091572534953229</v>
      </c>
      <c r="BD90" s="38">
        <f t="shared" ca="1" si="156"/>
        <v>-36.664998132559205</v>
      </c>
      <c r="BE90" s="38">
        <f t="shared" ca="1" si="156"/>
        <v>-6.9262578109083108</v>
      </c>
      <c r="BF90" s="38">
        <f t="shared" ca="1" si="156"/>
        <v>0</v>
      </c>
      <c r="BG90" s="38">
        <f t="shared" ca="1" si="156"/>
        <v>-31.401885943516049</v>
      </c>
      <c r="BH90" s="38">
        <f t="shared" ca="1" si="156"/>
        <v>-37.483719485879092</v>
      </c>
      <c r="BI90" s="38">
        <f t="shared" ca="1" si="156"/>
        <v>-6.6019793803366298</v>
      </c>
      <c r="BJ90" s="1"/>
      <c r="BK90" s="38">
        <f t="shared" ref="BK90:BX91" si="157">SUMIF($F$1:$BI$1,BK$1,$F90:$BI90)</f>
        <v>0</v>
      </c>
      <c r="BL90" s="38">
        <f t="shared" si="157"/>
        <v>0</v>
      </c>
      <c r="BM90" s="38">
        <f t="shared" si="157"/>
        <v>0</v>
      </c>
      <c r="BN90" s="38">
        <f t="shared" si="157"/>
        <v>0</v>
      </c>
      <c r="BO90" s="38">
        <f t="shared" si="157"/>
        <v>0</v>
      </c>
      <c r="BP90" s="38">
        <f t="shared" si="157"/>
        <v>0</v>
      </c>
      <c r="BQ90" s="38">
        <f t="shared" si="157"/>
        <v>0</v>
      </c>
      <c r="BR90" s="38">
        <f t="shared" si="157"/>
        <v>0</v>
      </c>
      <c r="BS90" s="38">
        <f t="shared" si="157"/>
        <v>-1214.134</v>
      </c>
      <c r="BT90" s="38">
        <f t="shared" si="157"/>
        <v>-2786.1390000000001</v>
      </c>
      <c r="BU90" s="38">
        <f t="shared" ca="1" si="157"/>
        <v>-46.817167207521507</v>
      </c>
      <c r="BV90" s="38">
        <f t="shared" ca="1" si="157"/>
        <v>-65.645745714749808</v>
      </c>
      <c r="BW90" s="38">
        <f t="shared" ca="1" si="157"/>
        <v>-74.682828478420745</v>
      </c>
      <c r="BX90" s="38">
        <f t="shared" ca="1" si="157"/>
        <v>-75.487584809731771</v>
      </c>
    </row>
    <row r="91" spans="1:76" x14ac:dyDescent="0.25">
      <c r="A91" s="1"/>
      <c r="B91" s="1"/>
      <c r="C91" s="11" t="s">
        <v>105</v>
      </c>
      <c r="D91" s="1"/>
      <c r="E91" s="1"/>
      <c r="F91" s="51">
        <f t="shared" ref="F91:AK91" si="158">IFERROR(IF(F87=0,0,F90/F87),0)</f>
        <v>0</v>
      </c>
      <c r="G91" s="51">
        <f t="shared" si="158"/>
        <v>0</v>
      </c>
      <c r="H91" s="51">
        <f t="shared" si="158"/>
        <v>0</v>
      </c>
      <c r="I91" s="51">
        <f t="shared" si="158"/>
        <v>0</v>
      </c>
      <c r="J91" s="51">
        <f t="shared" si="158"/>
        <v>0</v>
      </c>
      <c r="K91" s="51">
        <f t="shared" si="158"/>
        <v>0</v>
      </c>
      <c r="L91" s="51">
        <f t="shared" si="158"/>
        <v>0</v>
      </c>
      <c r="M91" s="51">
        <f t="shared" si="158"/>
        <v>0</v>
      </c>
      <c r="N91" s="51">
        <f t="shared" si="158"/>
        <v>0</v>
      </c>
      <c r="O91" s="51">
        <f t="shared" si="158"/>
        <v>0</v>
      </c>
      <c r="P91" s="51">
        <f t="shared" si="158"/>
        <v>0</v>
      </c>
      <c r="Q91" s="51">
        <f t="shared" si="158"/>
        <v>0</v>
      </c>
      <c r="R91" s="51">
        <f t="shared" si="158"/>
        <v>0</v>
      </c>
      <c r="S91" s="51">
        <f t="shared" si="158"/>
        <v>0</v>
      </c>
      <c r="T91" s="51">
        <f t="shared" si="158"/>
        <v>0</v>
      </c>
      <c r="U91" s="51">
        <f t="shared" si="158"/>
        <v>0</v>
      </c>
      <c r="V91" s="51">
        <f t="shared" si="158"/>
        <v>0</v>
      </c>
      <c r="W91" s="51">
        <f t="shared" si="158"/>
        <v>0</v>
      </c>
      <c r="X91" s="51">
        <f t="shared" si="158"/>
        <v>0</v>
      </c>
      <c r="Y91" s="51">
        <f t="shared" si="158"/>
        <v>0</v>
      </c>
      <c r="Z91" s="51">
        <f t="shared" si="158"/>
        <v>0</v>
      </c>
      <c r="AA91" s="51">
        <f t="shared" si="158"/>
        <v>0</v>
      </c>
      <c r="AB91" s="51">
        <f t="shared" si="158"/>
        <v>0</v>
      </c>
      <c r="AC91" s="51">
        <f t="shared" si="158"/>
        <v>0</v>
      </c>
      <c r="AD91" s="51">
        <f t="shared" si="158"/>
        <v>0</v>
      </c>
      <c r="AE91" s="51">
        <f t="shared" si="158"/>
        <v>0</v>
      </c>
      <c r="AF91" s="51">
        <f t="shared" si="158"/>
        <v>0</v>
      </c>
      <c r="AG91" s="51">
        <f t="shared" si="158"/>
        <v>0</v>
      </c>
      <c r="AH91" s="51">
        <f t="shared" si="158"/>
        <v>0</v>
      </c>
      <c r="AI91" s="51">
        <f t="shared" si="158"/>
        <v>0</v>
      </c>
      <c r="AJ91" s="51">
        <f t="shared" si="158"/>
        <v>0</v>
      </c>
      <c r="AK91" s="51">
        <f t="shared" si="158"/>
        <v>0</v>
      </c>
      <c r="AL91" s="51">
        <f t="shared" ref="AL91:BI91" si="159">IFERROR(IF(AL87=0,0,AL90/AL87),0)</f>
        <v>0</v>
      </c>
      <c r="AM91" s="51">
        <f t="shared" si="159"/>
        <v>-0.1563505865721618</v>
      </c>
      <c r="AN91" s="51">
        <f t="shared" si="159"/>
        <v>-4.6777166860522872</v>
      </c>
      <c r="AO91" s="51">
        <f t="shared" si="159"/>
        <v>-5.0010133673905299</v>
      </c>
      <c r="AP91" s="51">
        <f t="shared" si="159"/>
        <v>0</v>
      </c>
      <c r="AQ91" s="51">
        <f t="shared" si="159"/>
        <v>-0.28494443275032511</v>
      </c>
      <c r="AR91" s="51">
        <f t="shared" si="159"/>
        <v>-1.2573936986301373</v>
      </c>
      <c r="AS91" s="51">
        <f t="shared" si="159"/>
        <v>-17.711138667532548</v>
      </c>
      <c r="AT91" s="51">
        <f t="shared" ca="1" si="159"/>
        <v>0</v>
      </c>
      <c r="AU91" s="51">
        <f t="shared" ca="1" si="159"/>
        <v>-0.17661468867626887</v>
      </c>
      <c r="AV91" s="51">
        <f t="shared" ca="1" si="159"/>
        <v>-0.21240532201512807</v>
      </c>
      <c r="AW91" s="51">
        <f t="shared" ca="1" si="159"/>
        <v>0</v>
      </c>
      <c r="AX91" s="51">
        <f t="shared" ca="1" si="159"/>
        <v>0</v>
      </c>
      <c r="AY91" s="51">
        <f t="shared" ca="1" si="159"/>
        <v>-0.19995015140487685</v>
      </c>
      <c r="AZ91" s="51">
        <f t="shared" ca="1" si="159"/>
        <v>-0.24475833381551332</v>
      </c>
      <c r="BA91" s="51">
        <f t="shared" ca="1" si="159"/>
        <v>-4.280398261895705E-2</v>
      </c>
      <c r="BB91" s="51">
        <f t="shared" ca="1" si="159"/>
        <v>0</v>
      </c>
      <c r="BC91" s="51">
        <f t="shared" ca="1" si="159"/>
        <v>-0.22915851732652487</v>
      </c>
      <c r="BD91" s="51">
        <f t="shared" ca="1" si="159"/>
        <v>-0.27087470191978918</v>
      </c>
      <c r="BE91" s="51">
        <f t="shared" ca="1" si="159"/>
        <v>-5.1247753612887713E-2</v>
      </c>
      <c r="BF91" s="51">
        <f t="shared" ca="1" si="159"/>
        <v>0</v>
      </c>
      <c r="BG91" s="51">
        <f t="shared" ca="1" si="159"/>
        <v>-0.23234424096643203</v>
      </c>
      <c r="BH91" s="51">
        <f t="shared" ca="1" si="159"/>
        <v>-0.27734405405492918</v>
      </c>
      <c r="BI91" s="51">
        <f t="shared" ca="1" si="159"/>
        <v>-4.8848400085252847E-2</v>
      </c>
      <c r="BJ91" s="1"/>
      <c r="BK91" s="51">
        <f t="shared" si="157"/>
        <v>0</v>
      </c>
      <c r="BL91" s="51">
        <f t="shared" si="157"/>
        <v>0</v>
      </c>
      <c r="BM91" s="51">
        <f t="shared" si="157"/>
        <v>0</v>
      </c>
      <c r="BN91" s="51">
        <f t="shared" si="157"/>
        <v>0</v>
      </c>
      <c r="BO91" s="51">
        <f t="shared" si="157"/>
        <v>0</v>
      </c>
      <c r="BP91" s="51">
        <f t="shared" si="157"/>
        <v>0</v>
      </c>
      <c r="BQ91" s="51">
        <f t="shared" si="157"/>
        <v>0</v>
      </c>
      <c r="BR91" s="51">
        <f t="shared" si="157"/>
        <v>0</v>
      </c>
      <c r="BS91" s="51">
        <f t="shared" si="157"/>
        <v>-9.8350806400149793</v>
      </c>
      <c r="BT91" s="51">
        <f t="shared" si="157"/>
        <v>-19.25347679891301</v>
      </c>
      <c r="BU91" s="51">
        <f t="shared" ca="1" si="157"/>
        <v>-0.38902001069139691</v>
      </c>
      <c r="BV91" s="51">
        <f t="shared" ca="1" si="157"/>
        <v>-0.48751246783934726</v>
      </c>
      <c r="BW91" s="51">
        <f t="shared" ca="1" si="157"/>
        <v>-0.55128097285920175</v>
      </c>
      <c r="BX91" s="51">
        <f t="shared" ca="1" si="157"/>
        <v>-0.55853669510661408</v>
      </c>
    </row>
    <row r="92" spans="1:7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 x14ac:dyDescent="0.25">
      <c r="A93" s="1"/>
      <c r="B93" s="1"/>
      <c r="C93" s="11" t="s">
        <v>74</v>
      </c>
      <c r="D93" s="1"/>
      <c r="E93" s="1"/>
      <c r="F93" s="38">
        <f t="shared" ref="F93:AK93" si="160">F32</f>
        <v>1.627</v>
      </c>
      <c r="G93" s="38">
        <f t="shared" si="160"/>
        <v>1.2689999999999999</v>
      </c>
      <c r="H93" s="38">
        <f t="shared" si="160"/>
        <v>1.5489999999999999</v>
      </c>
      <c r="I93" s="38">
        <f t="shared" si="160"/>
        <v>2.7090000000000001</v>
      </c>
      <c r="J93" s="38">
        <f t="shared" si="160"/>
        <v>2.06</v>
      </c>
      <c r="K93" s="38">
        <f t="shared" si="160"/>
        <v>2.5169999999999999</v>
      </c>
      <c r="L93" s="38">
        <f t="shared" si="160"/>
        <v>1.8959999999999999</v>
      </c>
      <c r="M93" s="38">
        <f t="shared" si="160"/>
        <v>1.4490000000000001</v>
      </c>
      <c r="N93" s="38">
        <f t="shared" si="160"/>
        <v>0.752</v>
      </c>
      <c r="O93" s="38">
        <f t="shared" si="160"/>
        <v>0.97599999999999998</v>
      </c>
      <c r="P93" s="38">
        <f t="shared" si="160"/>
        <v>2.766</v>
      </c>
      <c r="Q93" s="38">
        <f t="shared" si="160"/>
        <v>1.1120000000000001</v>
      </c>
      <c r="R93" s="38">
        <f t="shared" si="160"/>
        <v>2.0449999999999999</v>
      </c>
      <c r="S93" s="38">
        <f t="shared" si="160"/>
        <v>0</v>
      </c>
      <c r="T93" s="38">
        <f t="shared" si="160"/>
        <v>0</v>
      </c>
      <c r="U93" s="38">
        <f t="shared" si="160"/>
        <v>0</v>
      </c>
      <c r="V93" s="38">
        <f t="shared" si="160"/>
        <v>0</v>
      </c>
      <c r="W93" s="38">
        <f t="shared" si="160"/>
        <v>0</v>
      </c>
      <c r="X93" s="38">
        <f t="shared" si="160"/>
        <v>0</v>
      </c>
      <c r="Y93" s="38">
        <f t="shared" si="160"/>
        <v>0</v>
      </c>
      <c r="Z93" s="38">
        <f t="shared" si="160"/>
        <v>0</v>
      </c>
      <c r="AA93" s="38">
        <f t="shared" si="160"/>
        <v>0</v>
      </c>
      <c r="AB93" s="38">
        <f t="shared" si="160"/>
        <v>0</v>
      </c>
      <c r="AC93" s="38">
        <f t="shared" si="160"/>
        <v>0</v>
      </c>
      <c r="AD93" s="38">
        <f t="shared" si="160"/>
        <v>0</v>
      </c>
      <c r="AE93" s="38">
        <f t="shared" si="160"/>
        <v>0</v>
      </c>
      <c r="AF93" s="38">
        <f t="shared" si="160"/>
        <v>0</v>
      </c>
      <c r="AG93" s="38">
        <f t="shared" si="160"/>
        <v>0</v>
      </c>
      <c r="AH93" s="38">
        <f t="shared" si="160"/>
        <v>0</v>
      </c>
      <c r="AI93" s="38">
        <f t="shared" si="160"/>
        <v>0</v>
      </c>
      <c r="AJ93" s="38">
        <f t="shared" si="160"/>
        <v>0</v>
      </c>
      <c r="AK93" s="38">
        <f t="shared" si="160"/>
        <v>0</v>
      </c>
      <c r="AL93" s="38">
        <f t="shared" ref="AL93:BI93" si="161">AL32</f>
        <v>0</v>
      </c>
      <c r="AM93" s="38">
        <f t="shared" si="161"/>
        <v>0</v>
      </c>
      <c r="AN93" s="38">
        <f t="shared" si="161"/>
        <v>0</v>
      </c>
      <c r="AO93" s="38">
        <f t="shared" si="161"/>
        <v>0</v>
      </c>
      <c r="AP93" s="38">
        <f t="shared" si="161"/>
        <v>0</v>
      </c>
      <c r="AQ93" s="38">
        <f t="shared" si="161"/>
        <v>0</v>
      </c>
      <c r="AR93" s="38">
        <f t="shared" si="161"/>
        <v>0</v>
      </c>
      <c r="AS93" s="38">
        <f t="shared" si="161"/>
        <v>0</v>
      </c>
      <c r="AT93" s="38">
        <f t="shared" ca="1" si="161"/>
        <v>0</v>
      </c>
      <c r="AU93" s="38">
        <f t="shared" ca="1" si="161"/>
        <v>0</v>
      </c>
      <c r="AV93" s="38">
        <f t="shared" ca="1" si="161"/>
        <v>0</v>
      </c>
      <c r="AW93" s="38">
        <f t="shared" ca="1" si="161"/>
        <v>0</v>
      </c>
      <c r="AX93" s="38">
        <f t="shared" ca="1" si="161"/>
        <v>0</v>
      </c>
      <c r="AY93" s="38">
        <f t="shared" ca="1" si="161"/>
        <v>0</v>
      </c>
      <c r="AZ93" s="38">
        <f t="shared" ca="1" si="161"/>
        <v>0</v>
      </c>
      <c r="BA93" s="38">
        <f t="shared" ca="1" si="161"/>
        <v>0</v>
      </c>
      <c r="BB93" s="38">
        <f t="shared" ca="1" si="161"/>
        <v>0</v>
      </c>
      <c r="BC93" s="38">
        <f t="shared" ca="1" si="161"/>
        <v>0</v>
      </c>
      <c r="BD93" s="38">
        <f t="shared" ca="1" si="161"/>
        <v>0</v>
      </c>
      <c r="BE93" s="38">
        <f t="shared" ca="1" si="161"/>
        <v>0</v>
      </c>
      <c r="BF93" s="38">
        <f t="shared" ca="1" si="161"/>
        <v>0</v>
      </c>
      <c r="BG93" s="38">
        <f t="shared" ca="1" si="161"/>
        <v>0</v>
      </c>
      <c r="BH93" s="38">
        <f t="shared" ca="1" si="161"/>
        <v>0</v>
      </c>
      <c r="BI93" s="38">
        <f t="shared" ca="1" si="161"/>
        <v>0</v>
      </c>
      <c r="BJ93" s="1"/>
      <c r="BK93" s="38">
        <f t="shared" ref="BK93:BX94" si="162">SUMIF($F$1:$BI$1,BK$1,$F93:$BI93)</f>
        <v>7.1539999999999999</v>
      </c>
      <c r="BL93" s="38">
        <f t="shared" si="162"/>
        <v>7.9219999999999997</v>
      </c>
      <c r="BM93" s="38">
        <f t="shared" si="162"/>
        <v>5.6059999999999999</v>
      </c>
      <c r="BN93" s="38">
        <f t="shared" si="162"/>
        <v>2.0449999999999999</v>
      </c>
      <c r="BO93" s="38">
        <f t="shared" si="162"/>
        <v>0</v>
      </c>
      <c r="BP93" s="38">
        <f t="shared" si="162"/>
        <v>0</v>
      </c>
      <c r="BQ93" s="38">
        <f t="shared" si="162"/>
        <v>0</v>
      </c>
      <c r="BR93" s="38">
        <f t="shared" si="162"/>
        <v>0</v>
      </c>
      <c r="BS93" s="38">
        <f t="shared" si="162"/>
        <v>0</v>
      </c>
      <c r="BT93" s="38">
        <f t="shared" si="162"/>
        <v>0</v>
      </c>
      <c r="BU93" s="38">
        <f t="shared" ca="1" si="162"/>
        <v>0</v>
      </c>
      <c r="BV93" s="38">
        <f t="shared" ca="1" si="162"/>
        <v>0</v>
      </c>
      <c r="BW93" s="38">
        <f t="shared" ca="1" si="162"/>
        <v>0</v>
      </c>
      <c r="BX93" s="38">
        <f t="shared" ca="1" si="162"/>
        <v>0</v>
      </c>
    </row>
    <row r="94" spans="1:76" x14ac:dyDescent="0.25">
      <c r="A94" s="1"/>
      <c r="B94" s="1"/>
      <c r="C94" s="11" t="s">
        <v>106</v>
      </c>
      <c r="D94" s="1"/>
      <c r="E94" s="1"/>
      <c r="F94" s="51">
        <f t="shared" ref="F94:AK94" si="163">IFERROR(IF(F87=0,0,F93/F87),0)</f>
        <v>9.566805795201512E-2</v>
      </c>
      <c r="G94" s="51">
        <f t="shared" si="163"/>
        <v>8.6790696630630326E-2</v>
      </c>
      <c r="H94" s="51">
        <f t="shared" si="163"/>
        <v>0.10469079381426709</v>
      </c>
      <c r="I94" s="51">
        <f t="shared" si="163"/>
        <v>0.17272554302173304</v>
      </c>
      <c r="J94" s="51">
        <f t="shared" si="163"/>
        <v>0.11553958578714735</v>
      </c>
      <c r="K94" s="51">
        <f t="shared" si="163"/>
        <v>0.11653103187772736</v>
      </c>
      <c r="L94" s="51">
        <f t="shared" si="163"/>
        <v>8.587249751526338E-2</v>
      </c>
      <c r="M94" s="51">
        <f t="shared" si="163"/>
        <v>6.6549125971815781E-2</v>
      </c>
      <c r="N94" s="51">
        <f t="shared" si="163"/>
        <v>3.9361525035996152E-2</v>
      </c>
      <c r="O94" s="51">
        <f t="shared" si="163"/>
        <v>6.617713274096268E-2</v>
      </c>
      <c r="P94" s="51">
        <f t="shared" si="163"/>
        <v>0.17265712315411502</v>
      </c>
      <c r="Q94" s="51">
        <f t="shared" si="163"/>
        <v>6.0007032618118412E-2</v>
      </c>
      <c r="R94" s="51">
        <f t="shared" si="163"/>
        <v>8.9806129539268156E-2</v>
      </c>
      <c r="S94" s="51">
        <f t="shared" si="163"/>
        <v>0</v>
      </c>
      <c r="T94" s="51">
        <f t="shared" si="163"/>
        <v>0</v>
      </c>
      <c r="U94" s="51">
        <f t="shared" si="163"/>
        <v>0</v>
      </c>
      <c r="V94" s="51">
        <f t="shared" si="163"/>
        <v>0</v>
      </c>
      <c r="W94" s="51">
        <f t="shared" si="163"/>
        <v>0</v>
      </c>
      <c r="X94" s="51">
        <f t="shared" si="163"/>
        <v>0</v>
      </c>
      <c r="Y94" s="51">
        <f t="shared" si="163"/>
        <v>0</v>
      </c>
      <c r="Z94" s="51">
        <f t="shared" si="163"/>
        <v>0</v>
      </c>
      <c r="AA94" s="51">
        <f t="shared" si="163"/>
        <v>0</v>
      </c>
      <c r="AB94" s="51">
        <f t="shared" si="163"/>
        <v>0</v>
      </c>
      <c r="AC94" s="51">
        <f t="shared" si="163"/>
        <v>0</v>
      </c>
      <c r="AD94" s="51">
        <f t="shared" si="163"/>
        <v>0</v>
      </c>
      <c r="AE94" s="51">
        <f t="shared" si="163"/>
        <v>0</v>
      </c>
      <c r="AF94" s="51">
        <f t="shared" si="163"/>
        <v>0</v>
      </c>
      <c r="AG94" s="51">
        <f t="shared" si="163"/>
        <v>0</v>
      </c>
      <c r="AH94" s="51">
        <f t="shared" si="163"/>
        <v>0</v>
      </c>
      <c r="AI94" s="51">
        <f t="shared" si="163"/>
        <v>0</v>
      </c>
      <c r="AJ94" s="51">
        <f t="shared" si="163"/>
        <v>0</v>
      </c>
      <c r="AK94" s="51">
        <f t="shared" si="163"/>
        <v>0</v>
      </c>
      <c r="AL94" s="51">
        <f t="shared" ref="AL94:BI94" si="164">IFERROR(IF(AL87=0,0,AL93/AL87),0)</f>
        <v>0</v>
      </c>
      <c r="AM94" s="51">
        <f t="shared" si="164"/>
        <v>0</v>
      </c>
      <c r="AN94" s="51">
        <f t="shared" si="164"/>
        <v>0</v>
      </c>
      <c r="AO94" s="51">
        <f t="shared" si="164"/>
        <v>0</v>
      </c>
      <c r="AP94" s="51">
        <f t="shared" si="164"/>
        <v>0</v>
      </c>
      <c r="AQ94" s="51">
        <f t="shared" si="164"/>
        <v>0</v>
      </c>
      <c r="AR94" s="51">
        <f t="shared" si="164"/>
        <v>0</v>
      </c>
      <c r="AS94" s="51">
        <f t="shared" si="164"/>
        <v>0</v>
      </c>
      <c r="AT94" s="51">
        <f t="shared" ca="1" si="164"/>
        <v>0</v>
      </c>
      <c r="AU94" s="51">
        <f t="shared" ca="1" si="164"/>
        <v>0</v>
      </c>
      <c r="AV94" s="51">
        <f t="shared" ca="1" si="164"/>
        <v>0</v>
      </c>
      <c r="AW94" s="51">
        <f t="shared" ca="1" si="164"/>
        <v>0</v>
      </c>
      <c r="AX94" s="51">
        <f t="shared" ca="1" si="164"/>
        <v>0</v>
      </c>
      <c r="AY94" s="51">
        <f t="shared" ca="1" si="164"/>
        <v>0</v>
      </c>
      <c r="AZ94" s="51">
        <f t="shared" ca="1" si="164"/>
        <v>0</v>
      </c>
      <c r="BA94" s="51">
        <f t="shared" ca="1" si="164"/>
        <v>0</v>
      </c>
      <c r="BB94" s="51">
        <f t="shared" ca="1" si="164"/>
        <v>0</v>
      </c>
      <c r="BC94" s="51">
        <f t="shared" ca="1" si="164"/>
        <v>0</v>
      </c>
      <c r="BD94" s="51">
        <f t="shared" ca="1" si="164"/>
        <v>0</v>
      </c>
      <c r="BE94" s="51">
        <f t="shared" ca="1" si="164"/>
        <v>0</v>
      </c>
      <c r="BF94" s="51">
        <f t="shared" ca="1" si="164"/>
        <v>0</v>
      </c>
      <c r="BG94" s="51">
        <f t="shared" ca="1" si="164"/>
        <v>0</v>
      </c>
      <c r="BH94" s="51">
        <f t="shared" ca="1" si="164"/>
        <v>0</v>
      </c>
      <c r="BI94" s="51">
        <f t="shared" ca="1" si="164"/>
        <v>0</v>
      </c>
      <c r="BJ94" s="1"/>
      <c r="BK94" s="51">
        <f t="shared" si="162"/>
        <v>0.45987509141864558</v>
      </c>
      <c r="BL94" s="51">
        <f t="shared" si="162"/>
        <v>0.38449224115195385</v>
      </c>
      <c r="BM94" s="51">
        <f t="shared" si="162"/>
        <v>0.33820281354919229</v>
      </c>
      <c r="BN94" s="51">
        <f t="shared" si="162"/>
        <v>8.9806129539268156E-2</v>
      </c>
      <c r="BO94" s="51">
        <f t="shared" si="162"/>
        <v>0</v>
      </c>
      <c r="BP94" s="51">
        <f t="shared" si="162"/>
        <v>0</v>
      </c>
      <c r="BQ94" s="51">
        <f t="shared" si="162"/>
        <v>0</v>
      </c>
      <c r="BR94" s="51">
        <f t="shared" si="162"/>
        <v>0</v>
      </c>
      <c r="BS94" s="51">
        <f t="shared" si="162"/>
        <v>0</v>
      </c>
      <c r="BT94" s="51">
        <f t="shared" si="162"/>
        <v>0</v>
      </c>
      <c r="BU94" s="51">
        <f t="shared" ca="1" si="162"/>
        <v>0</v>
      </c>
      <c r="BV94" s="51">
        <f t="shared" ca="1" si="162"/>
        <v>0</v>
      </c>
      <c r="BW94" s="51">
        <f t="shared" ca="1" si="162"/>
        <v>0</v>
      </c>
      <c r="BX94" s="51">
        <f t="shared" ca="1" si="162"/>
        <v>0</v>
      </c>
    </row>
    <row r="95" spans="1:7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 x14ac:dyDescent="0.25">
      <c r="A96" s="1"/>
      <c r="B96" s="1"/>
      <c r="C96" s="11" t="s">
        <v>107</v>
      </c>
      <c r="D96" s="1"/>
      <c r="E96" s="1"/>
      <c r="F96" s="51">
        <f t="shared" ref="F96:AK96" si="165">F91+F94</f>
        <v>9.566805795201512E-2</v>
      </c>
      <c r="G96" s="51">
        <f t="shared" si="165"/>
        <v>8.6790696630630326E-2</v>
      </c>
      <c r="H96" s="51">
        <f t="shared" si="165"/>
        <v>0.10469079381426709</v>
      </c>
      <c r="I96" s="51">
        <f t="shared" si="165"/>
        <v>0.17272554302173304</v>
      </c>
      <c r="J96" s="51">
        <f t="shared" si="165"/>
        <v>0.11553958578714735</v>
      </c>
      <c r="K96" s="51">
        <f t="shared" si="165"/>
        <v>0.11653103187772736</v>
      </c>
      <c r="L96" s="51">
        <f t="shared" si="165"/>
        <v>8.587249751526338E-2</v>
      </c>
      <c r="M96" s="51">
        <f t="shared" si="165"/>
        <v>6.6549125971815781E-2</v>
      </c>
      <c r="N96" s="51">
        <f t="shared" si="165"/>
        <v>3.9361525035996152E-2</v>
      </c>
      <c r="O96" s="51">
        <f t="shared" si="165"/>
        <v>6.617713274096268E-2</v>
      </c>
      <c r="P96" s="51">
        <f t="shared" si="165"/>
        <v>0.17265712315411502</v>
      </c>
      <c r="Q96" s="51">
        <f t="shared" si="165"/>
        <v>6.0007032618118412E-2</v>
      </c>
      <c r="R96" s="51">
        <f t="shared" si="165"/>
        <v>8.9806129539268156E-2</v>
      </c>
      <c r="S96" s="51">
        <f t="shared" si="165"/>
        <v>0</v>
      </c>
      <c r="T96" s="51">
        <f t="shared" si="165"/>
        <v>0</v>
      </c>
      <c r="U96" s="51">
        <f t="shared" si="165"/>
        <v>0</v>
      </c>
      <c r="V96" s="51">
        <f t="shared" si="165"/>
        <v>0</v>
      </c>
      <c r="W96" s="51">
        <f t="shared" si="165"/>
        <v>0</v>
      </c>
      <c r="X96" s="51">
        <f t="shared" si="165"/>
        <v>0</v>
      </c>
      <c r="Y96" s="51">
        <f t="shared" si="165"/>
        <v>0</v>
      </c>
      <c r="Z96" s="51">
        <f t="shared" si="165"/>
        <v>0</v>
      </c>
      <c r="AA96" s="51">
        <f t="shared" si="165"/>
        <v>0</v>
      </c>
      <c r="AB96" s="51">
        <f t="shared" si="165"/>
        <v>0</v>
      </c>
      <c r="AC96" s="51">
        <f t="shared" si="165"/>
        <v>0</v>
      </c>
      <c r="AD96" s="51">
        <f t="shared" si="165"/>
        <v>0</v>
      </c>
      <c r="AE96" s="51">
        <f t="shared" si="165"/>
        <v>0</v>
      </c>
      <c r="AF96" s="51">
        <f t="shared" si="165"/>
        <v>0</v>
      </c>
      <c r="AG96" s="51">
        <f t="shared" si="165"/>
        <v>0</v>
      </c>
      <c r="AH96" s="51">
        <f t="shared" si="165"/>
        <v>0</v>
      </c>
      <c r="AI96" s="51">
        <f t="shared" si="165"/>
        <v>0</v>
      </c>
      <c r="AJ96" s="51">
        <f t="shared" si="165"/>
        <v>0</v>
      </c>
      <c r="AK96" s="51">
        <f t="shared" si="165"/>
        <v>0</v>
      </c>
      <c r="AL96" s="51">
        <f t="shared" ref="AL96:BI96" si="166">AL91+AL94</f>
        <v>0</v>
      </c>
      <c r="AM96" s="51">
        <f t="shared" si="166"/>
        <v>-0.1563505865721618</v>
      </c>
      <c r="AN96" s="51">
        <f t="shared" si="166"/>
        <v>-4.6777166860522872</v>
      </c>
      <c r="AO96" s="51">
        <f t="shared" si="166"/>
        <v>-5.0010133673905299</v>
      </c>
      <c r="AP96" s="51">
        <f t="shared" si="166"/>
        <v>0</v>
      </c>
      <c r="AQ96" s="51">
        <f t="shared" si="166"/>
        <v>-0.28494443275032511</v>
      </c>
      <c r="AR96" s="51">
        <f t="shared" si="166"/>
        <v>-1.2573936986301373</v>
      </c>
      <c r="AS96" s="51">
        <f t="shared" si="166"/>
        <v>-17.711138667532548</v>
      </c>
      <c r="AT96" s="51">
        <f t="shared" ca="1" si="166"/>
        <v>0</v>
      </c>
      <c r="AU96" s="51">
        <f t="shared" ca="1" si="166"/>
        <v>-0.17661468867626887</v>
      </c>
      <c r="AV96" s="51">
        <f t="shared" ca="1" si="166"/>
        <v>-0.21240532201512807</v>
      </c>
      <c r="AW96" s="51">
        <f t="shared" ca="1" si="166"/>
        <v>0</v>
      </c>
      <c r="AX96" s="51">
        <f t="shared" ca="1" si="166"/>
        <v>0</v>
      </c>
      <c r="AY96" s="51">
        <f t="shared" ca="1" si="166"/>
        <v>-0.19995015140487685</v>
      </c>
      <c r="AZ96" s="51">
        <f t="shared" ca="1" si="166"/>
        <v>-0.24475833381551332</v>
      </c>
      <c r="BA96" s="51">
        <f t="shared" ca="1" si="166"/>
        <v>-4.280398261895705E-2</v>
      </c>
      <c r="BB96" s="51">
        <f t="shared" ca="1" si="166"/>
        <v>0</v>
      </c>
      <c r="BC96" s="51">
        <f t="shared" ca="1" si="166"/>
        <v>-0.22915851732652487</v>
      </c>
      <c r="BD96" s="51">
        <f t="shared" ca="1" si="166"/>
        <v>-0.27087470191978918</v>
      </c>
      <c r="BE96" s="51">
        <f t="shared" ca="1" si="166"/>
        <v>-5.1247753612887713E-2</v>
      </c>
      <c r="BF96" s="51">
        <f t="shared" ca="1" si="166"/>
        <v>0</v>
      </c>
      <c r="BG96" s="51">
        <f t="shared" ca="1" si="166"/>
        <v>-0.23234424096643203</v>
      </c>
      <c r="BH96" s="51">
        <f t="shared" ca="1" si="166"/>
        <v>-0.27734405405492918</v>
      </c>
      <c r="BI96" s="51">
        <f t="shared" ca="1" si="166"/>
        <v>-4.8848400085252847E-2</v>
      </c>
      <c r="BJ96" s="1"/>
      <c r="BK96" s="51">
        <f t="shared" ref="BK96:BX96" si="167">SUMIF($F$1:$BI$1,BK$1,$F96:$BI96)</f>
        <v>0.45987509141864558</v>
      </c>
      <c r="BL96" s="51">
        <f t="shared" si="167"/>
        <v>0.38449224115195385</v>
      </c>
      <c r="BM96" s="51">
        <f t="shared" si="167"/>
        <v>0.33820281354919229</v>
      </c>
      <c r="BN96" s="51">
        <f t="shared" si="167"/>
        <v>8.9806129539268156E-2</v>
      </c>
      <c r="BO96" s="51">
        <f t="shared" si="167"/>
        <v>0</v>
      </c>
      <c r="BP96" s="51">
        <f t="shared" si="167"/>
        <v>0</v>
      </c>
      <c r="BQ96" s="51">
        <f t="shared" si="167"/>
        <v>0</v>
      </c>
      <c r="BR96" s="51">
        <f t="shared" si="167"/>
        <v>0</v>
      </c>
      <c r="BS96" s="51">
        <f t="shared" si="167"/>
        <v>-9.8350806400149793</v>
      </c>
      <c r="BT96" s="51">
        <f t="shared" si="167"/>
        <v>-19.25347679891301</v>
      </c>
      <c r="BU96" s="51">
        <f t="shared" ca="1" si="167"/>
        <v>-0.38902001069139691</v>
      </c>
      <c r="BV96" s="51">
        <f t="shared" ca="1" si="167"/>
        <v>-0.48751246783934726</v>
      </c>
      <c r="BW96" s="51">
        <f t="shared" ca="1" si="167"/>
        <v>-0.55128097285920175</v>
      </c>
      <c r="BX96" s="51">
        <f t="shared" ca="1" si="167"/>
        <v>-0.55853669510661408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3"/>
  <sheetViews>
    <sheetView workbookViewId="0">
      <pane xSplit="5" ySplit="5" topLeftCell="AI6" activePane="bottomRight" state="frozen"/>
      <selection pane="topRight"/>
      <selection pane="bottomLeft"/>
      <selection pane="bottomRight" activeCell="AV47" sqref="AV47:AW51"/>
    </sheetView>
  </sheetViews>
  <sheetFormatPr defaultColWidth="8.85546875" defaultRowHeight="15" x14ac:dyDescent="0.25"/>
  <cols>
    <col min="1" max="3" width="1" customWidth="1"/>
    <col min="4" max="5" width="20" customWidth="1"/>
    <col min="6" max="61" width="11" customWidth="1"/>
    <col min="63" max="76" width="11" customWidth="1"/>
  </cols>
  <sheetData>
    <row r="1" spans="1:76" x14ac:dyDescent="0.25">
      <c r="A1" s="36" t="s">
        <v>0</v>
      </c>
      <c r="B1" s="1"/>
      <c r="C1" s="1"/>
      <c r="D1" s="1"/>
      <c r="E1" s="1"/>
      <c r="F1" s="11">
        <v>16</v>
      </c>
      <c r="G1" s="11">
        <f>F1</f>
        <v>16</v>
      </c>
      <c r="H1" s="11">
        <f>G1</f>
        <v>16</v>
      </c>
      <c r="I1" s="11">
        <f>H1</f>
        <v>16</v>
      </c>
      <c r="J1" s="11">
        <f>I1+1</f>
        <v>17</v>
      </c>
      <c r="K1" s="11">
        <f>J1</f>
        <v>17</v>
      </c>
      <c r="L1" s="11">
        <f>K1</f>
        <v>17</v>
      </c>
      <c r="M1" s="11">
        <f>L1</f>
        <v>17</v>
      </c>
      <c r="N1" s="11">
        <f>M1+1</f>
        <v>18</v>
      </c>
      <c r="O1" s="11">
        <f>N1</f>
        <v>18</v>
      </c>
      <c r="P1" s="11">
        <f>O1</f>
        <v>18</v>
      </c>
      <c r="Q1" s="11">
        <f>P1</f>
        <v>18</v>
      </c>
      <c r="R1" s="11">
        <f>Q1+1</f>
        <v>19</v>
      </c>
      <c r="S1" s="11">
        <f>R1</f>
        <v>19</v>
      </c>
      <c r="T1" s="11">
        <f>S1</f>
        <v>19</v>
      </c>
      <c r="U1" s="11">
        <f>T1</f>
        <v>19</v>
      </c>
      <c r="V1" s="11">
        <f>U1+1</f>
        <v>20</v>
      </c>
      <c r="W1" s="11">
        <f>V1</f>
        <v>20</v>
      </c>
      <c r="X1" s="11">
        <f>W1</f>
        <v>20</v>
      </c>
      <c r="Y1" s="11">
        <f>X1</f>
        <v>20</v>
      </c>
      <c r="Z1" s="11">
        <f>Y1+1</f>
        <v>21</v>
      </c>
      <c r="AA1" s="11">
        <f>Z1</f>
        <v>21</v>
      </c>
      <c r="AB1" s="11">
        <f>AA1</f>
        <v>21</v>
      </c>
      <c r="AC1" s="11">
        <f>AB1</f>
        <v>21</v>
      </c>
      <c r="AD1" s="11">
        <f>AC1+1</f>
        <v>22</v>
      </c>
      <c r="AE1" s="11">
        <f>AD1</f>
        <v>22</v>
      </c>
      <c r="AF1" s="11">
        <f>AE1</f>
        <v>22</v>
      </c>
      <c r="AG1" s="11">
        <f>AF1</f>
        <v>22</v>
      </c>
      <c r="AH1" s="11">
        <f>AG1+1</f>
        <v>23</v>
      </c>
      <c r="AI1" s="11">
        <f>AH1</f>
        <v>23</v>
      </c>
      <c r="AJ1" s="11">
        <f>AI1</f>
        <v>23</v>
      </c>
      <c r="AK1" s="11">
        <f>AJ1</f>
        <v>23</v>
      </c>
      <c r="AL1" s="11">
        <f>AK1+1</f>
        <v>24</v>
      </c>
      <c r="AM1" s="11">
        <f>AL1</f>
        <v>24</v>
      </c>
      <c r="AN1" s="11">
        <f>AM1</f>
        <v>24</v>
      </c>
      <c r="AO1" s="11">
        <f>AN1</f>
        <v>24</v>
      </c>
      <c r="AP1" s="11">
        <f>AO1+1</f>
        <v>25</v>
      </c>
      <c r="AQ1" s="11">
        <f>AP1</f>
        <v>25</v>
      </c>
      <c r="AR1" s="11">
        <f>AQ1</f>
        <v>25</v>
      </c>
      <c r="AS1" s="11">
        <f>AR1</f>
        <v>25</v>
      </c>
      <c r="AT1" s="11">
        <f>AS1+1</f>
        <v>26</v>
      </c>
      <c r="AU1" s="11">
        <f>AT1</f>
        <v>26</v>
      </c>
      <c r="AV1" s="11">
        <f>AU1</f>
        <v>26</v>
      </c>
      <c r="AW1" s="11">
        <f>AV1</f>
        <v>26</v>
      </c>
      <c r="AX1" s="11">
        <f>AW1+1</f>
        <v>27</v>
      </c>
      <c r="AY1" s="11">
        <f>AX1</f>
        <v>27</v>
      </c>
      <c r="AZ1" s="11">
        <f>AY1</f>
        <v>27</v>
      </c>
      <c r="BA1" s="11">
        <f>AZ1</f>
        <v>27</v>
      </c>
      <c r="BB1" s="11">
        <f>BA1+1</f>
        <v>28</v>
      </c>
      <c r="BC1" s="11">
        <f>BB1</f>
        <v>28</v>
      </c>
      <c r="BD1" s="11">
        <f>BC1</f>
        <v>28</v>
      </c>
      <c r="BE1" s="11">
        <f>BD1</f>
        <v>28</v>
      </c>
      <c r="BF1" s="11">
        <f>BE1+1</f>
        <v>29</v>
      </c>
      <c r="BG1" s="11">
        <f>BF1</f>
        <v>29</v>
      </c>
      <c r="BH1" s="11">
        <f>BG1</f>
        <v>29</v>
      </c>
      <c r="BI1" s="11">
        <f>BH1</f>
        <v>29</v>
      </c>
      <c r="BJ1" s="1"/>
      <c r="BK1" s="11">
        <v>16</v>
      </c>
      <c r="BL1" s="11">
        <v>17</v>
      </c>
      <c r="BM1" s="11">
        <v>18</v>
      </c>
      <c r="BN1" s="11">
        <v>19</v>
      </c>
      <c r="BO1" s="11">
        <v>20</v>
      </c>
      <c r="BP1" s="11">
        <v>21</v>
      </c>
      <c r="BQ1" s="11">
        <v>22</v>
      </c>
      <c r="BR1" s="11">
        <v>23</v>
      </c>
      <c r="BS1" s="11">
        <v>24</v>
      </c>
      <c r="BT1" s="11">
        <v>25</v>
      </c>
      <c r="BU1" s="11">
        <v>26</v>
      </c>
      <c r="BV1" s="11">
        <v>27</v>
      </c>
      <c r="BW1" s="11">
        <v>28</v>
      </c>
      <c r="BX1" s="11">
        <v>29</v>
      </c>
    </row>
    <row r="2" spans="1:76" x14ac:dyDescent="0.25">
      <c r="A2" s="36" t="s">
        <v>46</v>
      </c>
      <c r="B2" s="1"/>
      <c r="C2" s="1"/>
      <c r="D2" s="1"/>
      <c r="E2" s="1"/>
      <c r="F2" s="11" t="s">
        <v>47</v>
      </c>
      <c r="G2" s="11" t="s">
        <v>48</v>
      </c>
      <c r="H2" s="11" t="s">
        <v>49</v>
      </c>
      <c r="I2" s="11" t="s">
        <v>50</v>
      </c>
      <c r="J2" s="11" t="str">
        <f t="shared" ref="J2:AO2" si="0">F2</f>
        <v>Q1</v>
      </c>
      <c r="K2" s="11" t="str">
        <f t="shared" si="0"/>
        <v>Q2</v>
      </c>
      <c r="L2" s="11" t="str">
        <f t="shared" si="0"/>
        <v>Q3</v>
      </c>
      <c r="M2" s="11" t="str">
        <f t="shared" si="0"/>
        <v>Q4</v>
      </c>
      <c r="N2" s="11" t="str">
        <f t="shared" si="0"/>
        <v>Q1</v>
      </c>
      <c r="O2" s="11" t="str">
        <f t="shared" si="0"/>
        <v>Q2</v>
      </c>
      <c r="P2" s="11" t="str">
        <f t="shared" si="0"/>
        <v>Q3</v>
      </c>
      <c r="Q2" s="11" t="str">
        <f t="shared" si="0"/>
        <v>Q4</v>
      </c>
      <c r="R2" s="11" t="str">
        <f t="shared" si="0"/>
        <v>Q1</v>
      </c>
      <c r="S2" s="11" t="str">
        <f t="shared" si="0"/>
        <v>Q2</v>
      </c>
      <c r="T2" s="11" t="str">
        <f t="shared" si="0"/>
        <v>Q3</v>
      </c>
      <c r="U2" s="11" t="str">
        <f t="shared" si="0"/>
        <v>Q4</v>
      </c>
      <c r="V2" s="11" t="str">
        <f t="shared" si="0"/>
        <v>Q1</v>
      </c>
      <c r="W2" s="11" t="str">
        <f t="shared" si="0"/>
        <v>Q2</v>
      </c>
      <c r="X2" s="11" t="str">
        <f t="shared" si="0"/>
        <v>Q3</v>
      </c>
      <c r="Y2" s="11" t="str">
        <f t="shared" si="0"/>
        <v>Q4</v>
      </c>
      <c r="Z2" s="11" t="str">
        <f t="shared" si="0"/>
        <v>Q1</v>
      </c>
      <c r="AA2" s="11" t="str">
        <f t="shared" si="0"/>
        <v>Q2</v>
      </c>
      <c r="AB2" s="11" t="str">
        <f t="shared" si="0"/>
        <v>Q3</v>
      </c>
      <c r="AC2" s="11" t="str">
        <f t="shared" si="0"/>
        <v>Q4</v>
      </c>
      <c r="AD2" s="11" t="str">
        <f t="shared" si="0"/>
        <v>Q1</v>
      </c>
      <c r="AE2" s="11" t="str">
        <f t="shared" si="0"/>
        <v>Q2</v>
      </c>
      <c r="AF2" s="11" t="str">
        <f t="shared" si="0"/>
        <v>Q3</v>
      </c>
      <c r="AG2" s="11" t="str">
        <f t="shared" si="0"/>
        <v>Q4</v>
      </c>
      <c r="AH2" s="11" t="str">
        <f t="shared" si="0"/>
        <v>Q1</v>
      </c>
      <c r="AI2" s="11" t="str">
        <f t="shared" si="0"/>
        <v>Q2</v>
      </c>
      <c r="AJ2" s="11" t="str">
        <f t="shared" si="0"/>
        <v>Q3</v>
      </c>
      <c r="AK2" s="11" t="str">
        <f t="shared" si="0"/>
        <v>Q4</v>
      </c>
      <c r="AL2" s="11" t="str">
        <f t="shared" si="0"/>
        <v>Q1</v>
      </c>
      <c r="AM2" s="11" t="str">
        <f t="shared" si="0"/>
        <v>Q2</v>
      </c>
      <c r="AN2" s="11" t="str">
        <f t="shared" si="0"/>
        <v>Q3</v>
      </c>
      <c r="AO2" s="11" t="str">
        <f t="shared" si="0"/>
        <v>Q4</v>
      </c>
      <c r="AP2" s="11" t="str">
        <f t="shared" ref="AP2:BI2" si="1">AL2</f>
        <v>Q1</v>
      </c>
      <c r="AQ2" s="11" t="str">
        <f t="shared" si="1"/>
        <v>Q2</v>
      </c>
      <c r="AR2" s="11" t="str">
        <f t="shared" si="1"/>
        <v>Q3</v>
      </c>
      <c r="AS2" s="11" t="str">
        <f t="shared" si="1"/>
        <v>Q4</v>
      </c>
      <c r="AT2" s="11" t="str">
        <f t="shared" si="1"/>
        <v>Q1</v>
      </c>
      <c r="AU2" s="11" t="str">
        <f t="shared" si="1"/>
        <v>Q2</v>
      </c>
      <c r="AV2" s="11" t="str">
        <f t="shared" si="1"/>
        <v>Q3</v>
      </c>
      <c r="AW2" s="11" t="str">
        <f t="shared" si="1"/>
        <v>Q4</v>
      </c>
      <c r="AX2" s="11" t="str">
        <f t="shared" si="1"/>
        <v>Q1</v>
      </c>
      <c r="AY2" s="11" t="str">
        <f t="shared" si="1"/>
        <v>Q2</v>
      </c>
      <c r="AZ2" s="11" t="str">
        <f t="shared" si="1"/>
        <v>Q3</v>
      </c>
      <c r="BA2" s="11" t="str">
        <f t="shared" si="1"/>
        <v>Q4</v>
      </c>
      <c r="BB2" s="11" t="str">
        <f t="shared" si="1"/>
        <v>Q1</v>
      </c>
      <c r="BC2" s="11" t="str">
        <f t="shared" si="1"/>
        <v>Q2</v>
      </c>
      <c r="BD2" s="11" t="str">
        <f t="shared" si="1"/>
        <v>Q3</v>
      </c>
      <c r="BE2" s="11" t="str">
        <f t="shared" si="1"/>
        <v>Q4</v>
      </c>
      <c r="BF2" s="11" t="str">
        <f t="shared" si="1"/>
        <v>Q1</v>
      </c>
      <c r="BG2" s="11" t="str">
        <f t="shared" si="1"/>
        <v>Q2</v>
      </c>
      <c r="BH2" s="11" t="str">
        <f t="shared" si="1"/>
        <v>Q3</v>
      </c>
      <c r="BI2" s="11" t="str">
        <f t="shared" si="1"/>
        <v>Q4</v>
      </c>
      <c r="BJ2" s="1"/>
      <c r="BK2" s="11" t="s">
        <v>50</v>
      </c>
      <c r="BL2" s="11" t="s">
        <v>50</v>
      </c>
      <c r="BM2" s="11" t="s">
        <v>50</v>
      </c>
      <c r="BN2" s="11" t="s">
        <v>50</v>
      </c>
      <c r="BO2" s="11" t="s">
        <v>50</v>
      </c>
      <c r="BP2" s="11" t="s">
        <v>50</v>
      </c>
      <c r="BQ2" s="11" t="s">
        <v>50</v>
      </c>
      <c r="BR2" s="11" t="s">
        <v>50</v>
      </c>
      <c r="BS2" s="11" t="s">
        <v>50</v>
      </c>
      <c r="BT2" s="11" t="s">
        <v>50</v>
      </c>
      <c r="BU2" s="11" t="s">
        <v>50</v>
      </c>
      <c r="BV2" s="11" t="s">
        <v>50</v>
      </c>
      <c r="BW2" s="11" t="s">
        <v>50</v>
      </c>
      <c r="BX2" s="11" t="s">
        <v>50</v>
      </c>
    </row>
    <row r="3" spans="1:76" x14ac:dyDescent="0.25">
      <c r="A3" s="37" t="s">
        <v>51</v>
      </c>
      <c r="B3" s="1"/>
      <c r="C3" s="1"/>
      <c r="D3" s="1"/>
      <c r="E3" s="1"/>
      <c r="F3" s="38">
        <v>90</v>
      </c>
      <c r="G3" s="38">
        <v>91</v>
      </c>
      <c r="H3" s="38">
        <v>92</v>
      </c>
      <c r="I3" s="38">
        <v>92</v>
      </c>
      <c r="J3" s="38">
        <v>90</v>
      </c>
      <c r="K3" s="38">
        <v>91</v>
      </c>
      <c r="L3" s="38">
        <v>92</v>
      </c>
      <c r="M3" s="38">
        <v>92</v>
      </c>
      <c r="N3" s="38">
        <v>90</v>
      </c>
      <c r="O3" s="38">
        <v>91</v>
      </c>
      <c r="P3" s="38">
        <v>92</v>
      </c>
      <c r="Q3" s="38">
        <v>92</v>
      </c>
      <c r="R3" s="38">
        <v>90</v>
      </c>
      <c r="S3" s="38">
        <v>91</v>
      </c>
      <c r="T3" s="38">
        <v>92</v>
      </c>
      <c r="U3" s="38">
        <v>92</v>
      </c>
      <c r="V3" s="38">
        <v>90</v>
      </c>
      <c r="W3" s="38">
        <v>91</v>
      </c>
      <c r="X3" s="38">
        <v>92</v>
      </c>
      <c r="Y3" s="38">
        <v>92</v>
      </c>
      <c r="Z3" s="38">
        <v>90</v>
      </c>
      <c r="AA3" s="38">
        <v>91</v>
      </c>
      <c r="AB3" s="38">
        <v>92</v>
      </c>
      <c r="AC3" s="38">
        <v>92</v>
      </c>
      <c r="AD3" s="38">
        <v>90</v>
      </c>
      <c r="AE3" s="38">
        <v>91</v>
      </c>
      <c r="AF3" s="38">
        <v>92</v>
      </c>
      <c r="AG3" s="38">
        <v>92</v>
      </c>
      <c r="AH3" s="38">
        <v>90</v>
      </c>
      <c r="AI3" s="38">
        <v>91</v>
      </c>
      <c r="AJ3" s="38">
        <v>92</v>
      </c>
      <c r="AK3" s="38">
        <v>92</v>
      </c>
      <c r="AL3" s="38">
        <v>90</v>
      </c>
      <c r="AM3" s="38">
        <v>91</v>
      </c>
      <c r="AN3" s="38">
        <v>92</v>
      </c>
      <c r="AO3" s="38">
        <v>92</v>
      </c>
      <c r="AP3" s="38">
        <v>90</v>
      </c>
      <c r="AQ3" s="38">
        <v>91</v>
      </c>
      <c r="AR3" s="38">
        <v>92</v>
      </c>
      <c r="AS3" s="38">
        <v>92</v>
      </c>
      <c r="AT3" s="38">
        <v>90</v>
      </c>
      <c r="AU3" s="38">
        <v>91</v>
      </c>
      <c r="AV3" s="38">
        <v>92</v>
      </c>
      <c r="AW3" s="38">
        <v>92</v>
      </c>
      <c r="AX3" s="38">
        <v>90</v>
      </c>
      <c r="AY3" s="38">
        <v>91</v>
      </c>
      <c r="AZ3" s="38">
        <v>92</v>
      </c>
      <c r="BA3" s="38">
        <v>92</v>
      </c>
      <c r="BB3" s="38">
        <v>90</v>
      </c>
      <c r="BC3" s="38">
        <v>91</v>
      </c>
      <c r="BD3" s="38">
        <v>92</v>
      </c>
      <c r="BE3" s="38">
        <v>92</v>
      </c>
      <c r="BF3" s="38">
        <v>90</v>
      </c>
      <c r="BG3" s="38">
        <v>91</v>
      </c>
      <c r="BH3" s="38">
        <v>92</v>
      </c>
      <c r="BI3" s="38">
        <v>92</v>
      </c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x14ac:dyDescent="0.25">
      <c r="A4" s="1"/>
      <c r="B4" s="1"/>
      <c r="C4" s="1"/>
      <c r="D4" s="1"/>
      <c r="E4" s="1"/>
      <c r="F4" s="39">
        <v>42460</v>
      </c>
      <c r="G4" s="2">
        <f t="shared" ref="G4:AL4" si="2">EOMONTH(F4,3)</f>
        <v>42551</v>
      </c>
      <c r="H4" s="2">
        <f t="shared" si="2"/>
        <v>42643</v>
      </c>
      <c r="I4" s="2">
        <f t="shared" si="2"/>
        <v>42735</v>
      </c>
      <c r="J4" s="2">
        <f t="shared" si="2"/>
        <v>42825</v>
      </c>
      <c r="K4" s="2">
        <f t="shared" si="2"/>
        <v>42916</v>
      </c>
      <c r="L4" s="2">
        <f t="shared" si="2"/>
        <v>43008</v>
      </c>
      <c r="M4" s="2">
        <f t="shared" si="2"/>
        <v>43100</v>
      </c>
      <c r="N4" s="2">
        <f t="shared" si="2"/>
        <v>43190</v>
      </c>
      <c r="O4" s="2">
        <f t="shared" si="2"/>
        <v>43281</v>
      </c>
      <c r="P4" s="2">
        <f t="shared" si="2"/>
        <v>43373</v>
      </c>
      <c r="Q4" s="2">
        <f t="shared" si="2"/>
        <v>43465</v>
      </c>
      <c r="R4" s="2">
        <f t="shared" si="2"/>
        <v>43555</v>
      </c>
      <c r="S4" s="2">
        <f t="shared" si="2"/>
        <v>43646</v>
      </c>
      <c r="T4" s="2">
        <f t="shared" si="2"/>
        <v>43738</v>
      </c>
      <c r="U4" s="2">
        <f t="shared" si="2"/>
        <v>43830</v>
      </c>
      <c r="V4" s="2">
        <f t="shared" si="2"/>
        <v>43921</v>
      </c>
      <c r="W4" s="2">
        <f t="shared" si="2"/>
        <v>44012</v>
      </c>
      <c r="X4" s="2">
        <f t="shared" si="2"/>
        <v>44104</v>
      </c>
      <c r="Y4" s="2">
        <f t="shared" si="2"/>
        <v>44196</v>
      </c>
      <c r="Z4" s="2">
        <f t="shared" si="2"/>
        <v>44286</v>
      </c>
      <c r="AA4" s="2">
        <f t="shared" si="2"/>
        <v>44377</v>
      </c>
      <c r="AB4" s="2">
        <f t="shared" si="2"/>
        <v>44469</v>
      </c>
      <c r="AC4" s="2">
        <f t="shared" si="2"/>
        <v>44561</v>
      </c>
      <c r="AD4" s="2">
        <f t="shared" si="2"/>
        <v>44651</v>
      </c>
      <c r="AE4" s="2">
        <f t="shared" si="2"/>
        <v>44742</v>
      </c>
      <c r="AF4" s="2">
        <f t="shared" si="2"/>
        <v>44834</v>
      </c>
      <c r="AG4" s="2">
        <f t="shared" si="2"/>
        <v>44926</v>
      </c>
      <c r="AH4" s="2">
        <f t="shared" si="2"/>
        <v>45016</v>
      </c>
      <c r="AI4" s="2">
        <f t="shared" si="2"/>
        <v>45107</v>
      </c>
      <c r="AJ4" s="2">
        <f t="shared" si="2"/>
        <v>45199</v>
      </c>
      <c r="AK4" s="2">
        <f t="shared" si="2"/>
        <v>45291</v>
      </c>
      <c r="AL4" s="2">
        <f t="shared" si="2"/>
        <v>45382</v>
      </c>
      <c r="AM4" s="2">
        <f t="shared" ref="AM4:BI4" si="3">EOMONTH(AL4,3)</f>
        <v>45473</v>
      </c>
      <c r="AN4" s="2">
        <f t="shared" si="3"/>
        <v>45565</v>
      </c>
      <c r="AO4" s="2">
        <f t="shared" si="3"/>
        <v>45657</v>
      </c>
      <c r="AP4" s="2">
        <f t="shared" si="3"/>
        <v>45747</v>
      </c>
      <c r="AQ4" s="2">
        <f t="shared" si="3"/>
        <v>45838</v>
      </c>
      <c r="AR4" s="2">
        <f t="shared" si="3"/>
        <v>45930</v>
      </c>
      <c r="AS4" s="2">
        <f t="shared" si="3"/>
        <v>46022</v>
      </c>
      <c r="AT4" s="2">
        <f t="shared" si="3"/>
        <v>46112</v>
      </c>
      <c r="AU4" s="2">
        <f t="shared" si="3"/>
        <v>46203</v>
      </c>
      <c r="AV4" s="2">
        <f t="shared" si="3"/>
        <v>46295</v>
      </c>
      <c r="AW4" s="2">
        <f t="shared" si="3"/>
        <v>46387</v>
      </c>
      <c r="AX4" s="2">
        <f t="shared" si="3"/>
        <v>46477</v>
      </c>
      <c r="AY4" s="2">
        <f t="shared" si="3"/>
        <v>46568</v>
      </c>
      <c r="AZ4" s="2">
        <f t="shared" si="3"/>
        <v>46660</v>
      </c>
      <c r="BA4" s="2">
        <f t="shared" si="3"/>
        <v>46752</v>
      </c>
      <c r="BB4" s="2">
        <f t="shared" si="3"/>
        <v>46843</v>
      </c>
      <c r="BC4" s="2">
        <f t="shared" si="3"/>
        <v>46934</v>
      </c>
      <c r="BD4" s="2">
        <f t="shared" si="3"/>
        <v>47026</v>
      </c>
      <c r="BE4" s="2">
        <f t="shared" si="3"/>
        <v>47118</v>
      </c>
      <c r="BF4" s="2">
        <f t="shared" si="3"/>
        <v>47208</v>
      </c>
      <c r="BG4" s="2">
        <f t="shared" si="3"/>
        <v>47299</v>
      </c>
      <c r="BH4" s="2">
        <f t="shared" si="3"/>
        <v>47391</v>
      </c>
      <c r="BI4" s="2">
        <f t="shared" si="3"/>
        <v>47483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5" customHeight="1" x14ac:dyDescent="0.25">
      <c r="A5" s="1"/>
      <c r="B5" s="1"/>
      <c r="C5" s="1"/>
      <c r="D5" s="1"/>
      <c r="E5" s="1"/>
      <c r="F5" s="40" t="s">
        <v>52</v>
      </c>
      <c r="G5" s="40" t="str">
        <f t="shared" ref="G5:AL5" si="4">G2&amp;" "&amp;G1</f>
        <v>Q2 16</v>
      </c>
      <c r="H5" s="40" t="str">
        <f t="shared" si="4"/>
        <v>Q3 16</v>
      </c>
      <c r="I5" s="40" t="str">
        <f t="shared" si="4"/>
        <v>Q4 16</v>
      </c>
      <c r="J5" s="40" t="str">
        <f t="shared" si="4"/>
        <v>Q1 17</v>
      </c>
      <c r="K5" s="40" t="str">
        <f t="shared" si="4"/>
        <v>Q2 17</v>
      </c>
      <c r="L5" s="40" t="str">
        <f t="shared" si="4"/>
        <v>Q3 17</v>
      </c>
      <c r="M5" s="40" t="str">
        <f t="shared" si="4"/>
        <v>Q4 17</v>
      </c>
      <c r="N5" s="40" t="str">
        <f t="shared" si="4"/>
        <v>Q1 18</v>
      </c>
      <c r="O5" s="40" t="str">
        <f t="shared" si="4"/>
        <v>Q2 18</v>
      </c>
      <c r="P5" s="40" t="str">
        <f t="shared" si="4"/>
        <v>Q3 18</v>
      </c>
      <c r="Q5" s="40" t="str">
        <f t="shared" si="4"/>
        <v>Q4 18</v>
      </c>
      <c r="R5" s="40" t="str">
        <f t="shared" si="4"/>
        <v>Q1 19</v>
      </c>
      <c r="S5" s="40" t="str">
        <f t="shared" si="4"/>
        <v>Q2 19</v>
      </c>
      <c r="T5" s="40" t="str">
        <f t="shared" si="4"/>
        <v>Q3 19</v>
      </c>
      <c r="U5" s="40" t="str">
        <f t="shared" si="4"/>
        <v>Q4 19</v>
      </c>
      <c r="V5" s="40" t="str">
        <f t="shared" si="4"/>
        <v>Q1 20</v>
      </c>
      <c r="W5" s="40" t="str">
        <f t="shared" si="4"/>
        <v>Q2 20</v>
      </c>
      <c r="X5" s="40" t="str">
        <f t="shared" si="4"/>
        <v>Q3 20</v>
      </c>
      <c r="Y5" s="40" t="str">
        <f t="shared" si="4"/>
        <v>Q4 20</v>
      </c>
      <c r="Z5" s="40" t="str">
        <f t="shared" si="4"/>
        <v>Q1 21</v>
      </c>
      <c r="AA5" s="40" t="str">
        <f t="shared" si="4"/>
        <v>Q2 21</v>
      </c>
      <c r="AB5" s="40" t="str">
        <f t="shared" si="4"/>
        <v>Q3 21</v>
      </c>
      <c r="AC5" s="40" t="str">
        <f t="shared" si="4"/>
        <v>Q4 21</v>
      </c>
      <c r="AD5" s="40" t="str">
        <f t="shared" si="4"/>
        <v>Q1 22</v>
      </c>
      <c r="AE5" s="40" t="str">
        <f t="shared" si="4"/>
        <v>Q2 22</v>
      </c>
      <c r="AF5" s="40" t="str">
        <f t="shared" si="4"/>
        <v>Q3 22</v>
      </c>
      <c r="AG5" s="40" t="str">
        <f t="shared" si="4"/>
        <v>Q4 22</v>
      </c>
      <c r="AH5" s="40" t="str">
        <f t="shared" si="4"/>
        <v>Q1 23</v>
      </c>
      <c r="AI5" s="40" t="str">
        <f t="shared" si="4"/>
        <v>Q2 23</v>
      </c>
      <c r="AJ5" s="40" t="str">
        <f t="shared" si="4"/>
        <v>Q3 23</v>
      </c>
      <c r="AK5" s="40" t="str">
        <f t="shared" si="4"/>
        <v>Q4 23</v>
      </c>
      <c r="AL5" s="40" t="str">
        <f t="shared" si="4"/>
        <v>Q1 24</v>
      </c>
      <c r="AM5" s="40" t="str">
        <f t="shared" ref="AM5:BI5" si="5">AM2&amp;" "&amp;AM1</f>
        <v>Q2 24</v>
      </c>
      <c r="AN5" s="40" t="str">
        <f t="shared" si="5"/>
        <v>Q3 24</v>
      </c>
      <c r="AO5" s="40" t="str">
        <f t="shared" si="5"/>
        <v>Q4 24</v>
      </c>
      <c r="AP5" s="40" t="str">
        <f t="shared" si="5"/>
        <v>Q1 25</v>
      </c>
      <c r="AQ5" s="40" t="str">
        <f t="shared" si="5"/>
        <v>Q2 25</v>
      </c>
      <c r="AR5" s="40" t="str">
        <f t="shared" si="5"/>
        <v>Q3 25</v>
      </c>
      <c r="AS5" s="40" t="str">
        <f t="shared" si="5"/>
        <v>Q4 25</v>
      </c>
      <c r="AT5" s="40" t="str">
        <f t="shared" si="5"/>
        <v>Q1 26</v>
      </c>
      <c r="AU5" s="40" t="str">
        <f t="shared" si="5"/>
        <v>Q2 26</v>
      </c>
      <c r="AV5" s="40" t="str">
        <f t="shared" si="5"/>
        <v>Q3 26</v>
      </c>
      <c r="AW5" s="40" t="str">
        <f t="shared" si="5"/>
        <v>Q4 26</v>
      </c>
      <c r="AX5" s="40" t="str">
        <f t="shared" si="5"/>
        <v>Q1 27</v>
      </c>
      <c r="AY5" s="40" t="str">
        <f t="shared" si="5"/>
        <v>Q2 27</v>
      </c>
      <c r="AZ5" s="40" t="str">
        <f t="shared" si="5"/>
        <v>Q3 27</v>
      </c>
      <c r="BA5" s="40" t="str">
        <f t="shared" si="5"/>
        <v>Q4 27</v>
      </c>
      <c r="BB5" s="40" t="str">
        <f t="shared" si="5"/>
        <v>Q1 28</v>
      </c>
      <c r="BC5" s="40" t="str">
        <f t="shared" si="5"/>
        <v>Q2 28</v>
      </c>
      <c r="BD5" s="40" t="str">
        <f t="shared" si="5"/>
        <v>Q3 28</v>
      </c>
      <c r="BE5" s="40" t="str">
        <f t="shared" si="5"/>
        <v>Q4 28</v>
      </c>
      <c r="BF5" s="40" t="str">
        <f t="shared" si="5"/>
        <v>Q1 29</v>
      </c>
      <c r="BG5" s="40" t="str">
        <f t="shared" si="5"/>
        <v>Q2 29</v>
      </c>
      <c r="BH5" s="40" t="str">
        <f t="shared" si="5"/>
        <v>Q3 29</v>
      </c>
      <c r="BI5" s="40" t="str">
        <f t="shared" si="5"/>
        <v>Q4 29</v>
      </c>
      <c r="BJ5" s="1"/>
      <c r="BK5" s="40">
        <v>2016</v>
      </c>
      <c r="BL5" s="40">
        <v>2017</v>
      </c>
      <c r="BM5" s="40">
        <v>2018</v>
      </c>
      <c r="BN5" s="40">
        <v>2019</v>
      </c>
      <c r="BO5" s="40">
        <v>2020</v>
      </c>
      <c r="BP5" s="40">
        <v>2021</v>
      </c>
      <c r="BQ5" s="40">
        <v>2022</v>
      </c>
      <c r="BR5" s="40">
        <v>2023</v>
      </c>
      <c r="BS5" s="40">
        <v>2024</v>
      </c>
      <c r="BT5" s="40">
        <v>2025</v>
      </c>
      <c r="BU5" s="40">
        <v>2026</v>
      </c>
      <c r="BV5" s="40">
        <v>2027</v>
      </c>
      <c r="BW5" s="40">
        <v>2028</v>
      </c>
      <c r="BX5" s="40">
        <v>2029</v>
      </c>
    </row>
    <row r="6" spans="1:76" ht="15" customHeight="1" x14ac:dyDescent="0.25">
      <c r="A6" s="11" t="s">
        <v>53</v>
      </c>
      <c r="B6" s="41" t="s">
        <v>108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ht="15" customHeight="1" x14ac:dyDescent="0.25">
      <c r="A8" s="1"/>
      <c r="B8" s="3" t="s">
        <v>109</v>
      </c>
      <c r="C8" s="1"/>
      <c r="D8" s="1"/>
      <c r="E8" s="1"/>
      <c r="F8" s="694">
        <f t="shared" ref="F8:AK8" si="6">F17+F30+F38+F42</f>
        <v>625.45600000000002</v>
      </c>
      <c r="G8" s="694">
        <f t="shared" si="6"/>
        <v>840.38400000000001</v>
      </c>
      <c r="H8" s="694">
        <f t="shared" si="6"/>
        <v>849.02800000000002</v>
      </c>
      <c r="I8" s="694">
        <f t="shared" si="6"/>
        <v>841.55999999999983</v>
      </c>
      <c r="J8" s="694">
        <f t="shared" si="6"/>
        <v>865.702</v>
      </c>
      <c r="K8" s="694">
        <f t="shared" si="6"/>
        <v>1169.2910000000002</v>
      </c>
      <c r="L8" s="694">
        <f t="shared" si="6"/>
        <v>1162.5260000000001</v>
      </c>
      <c r="M8" s="694">
        <f t="shared" si="6"/>
        <v>1126.1490000000001</v>
      </c>
      <c r="N8" s="694">
        <f t="shared" si="6"/>
        <v>1064.7570000000001</v>
      </c>
      <c r="O8" s="694">
        <f t="shared" si="6"/>
        <v>1220.0029999999999</v>
      </c>
      <c r="P8" s="694">
        <f t="shared" si="6"/>
        <v>1204.0329999999999</v>
      </c>
      <c r="Q8" s="694">
        <f t="shared" si="6"/>
        <v>1136.5709999999999</v>
      </c>
      <c r="R8" s="694">
        <f t="shared" si="6"/>
        <v>1102.9119999999998</v>
      </c>
      <c r="S8" s="694">
        <f t="shared" si="6"/>
        <v>1273.6590000000001</v>
      </c>
      <c r="T8" s="694">
        <f t="shared" si="6"/>
        <v>1271.0289999999998</v>
      </c>
      <c r="U8" s="694">
        <f t="shared" si="6"/>
        <v>1178.9490000000003</v>
      </c>
      <c r="V8" s="694">
        <f t="shared" si="6"/>
        <v>1173.0210000000002</v>
      </c>
      <c r="W8" s="694">
        <f t="shared" si="6"/>
        <v>1227.2150000000001</v>
      </c>
      <c r="X8" s="694">
        <f t="shared" si="6"/>
        <v>1328.4840000000002</v>
      </c>
      <c r="Y8" s="694">
        <f t="shared" si="6"/>
        <v>1278.6369999999999</v>
      </c>
      <c r="Z8" s="694">
        <f t="shared" si="6"/>
        <v>1269.8569999999997</v>
      </c>
      <c r="AA8" s="694">
        <f t="shared" si="6"/>
        <v>1433.086</v>
      </c>
      <c r="AB8" s="694">
        <f t="shared" si="6"/>
        <v>1457.432</v>
      </c>
      <c r="AC8" s="694">
        <f t="shared" si="6"/>
        <v>1402.3389999999999</v>
      </c>
      <c r="AD8" s="694">
        <f t="shared" si="6"/>
        <v>1404.3579999999999</v>
      </c>
      <c r="AE8" s="694">
        <f t="shared" si="6"/>
        <v>1595.2149999999997</v>
      </c>
      <c r="AF8" s="694">
        <f t="shared" si="6"/>
        <v>1628.5889999999999</v>
      </c>
      <c r="AG8" s="694">
        <f t="shared" si="6"/>
        <v>1576.558</v>
      </c>
      <c r="AH8" s="694">
        <f t="shared" si="6"/>
        <v>1571.6420000000001</v>
      </c>
      <c r="AI8" s="694">
        <f t="shared" si="6"/>
        <v>1738.8320000000001</v>
      </c>
      <c r="AJ8" s="694">
        <f t="shared" si="6"/>
        <v>1712.4279999999999</v>
      </c>
      <c r="AK8" s="694">
        <f t="shared" si="6"/>
        <v>1645.7700000000002</v>
      </c>
      <c r="AL8" s="694">
        <f t="shared" ref="AL8:BI8" si="7">AL17+AL30+AL38+AL42</f>
        <v>1591.626</v>
      </c>
      <c r="AM8" s="694">
        <f t="shared" si="7"/>
        <v>1795.943</v>
      </c>
      <c r="AN8" s="694">
        <f t="shared" si="7"/>
        <v>1765.652</v>
      </c>
      <c r="AO8" s="694">
        <f t="shared" si="7"/>
        <v>1758.1889999999999</v>
      </c>
      <c r="AP8" s="694">
        <f t="shared" si="7"/>
        <v>1579.9769999999999</v>
      </c>
      <c r="AQ8" s="694">
        <f t="shared" si="7"/>
        <v>1855.519</v>
      </c>
      <c r="AR8" s="694">
        <f t="shared" si="7"/>
        <v>1888.317</v>
      </c>
      <c r="AS8" s="694">
        <f t="shared" si="7"/>
        <v>1904.2760000000003</v>
      </c>
      <c r="AT8" s="694">
        <f t="shared" ca="1" si="7"/>
        <v>1758.8330634000004</v>
      </c>
      <c r="AU8" s="694">
        <f t="shared" ca="1" si="7"/>
        <v>1859.8329465999998</v>
      </c>
      <c r="AV8" s="694">
        <f t="shared" ca="1" si="7"/>
        <v>1893.0010874</v>
      </c>
      <c r="AW8" s="694">
        <f t="shared" ca="1" si="7"/>
        <v>1909.1115500000001</v>
      </c>
      <c r="AX8" s="694">
        <f t="shared" ca="1" si="7"/>
        <v>1811.9216034166805</v>
      </c>
      <c r="AY8" s="694">
        <f t="shared" ca="1" si="7"/>
        <v>1915.9691076773197</v>
      </c>
      <c r="AZ8" s="694">
        <f t="shared" ca="1" si="7"/>
        <v>1950.1363706934801</v>
      </c>
      <c r="BA8" s="694">
        <f t="shared" ca="1" si="7"/>
        <v>1966.7323217540002</v>
      </c>
      <c r="BB8" s="694">
        <f t="shared" ca="1" si="7"/>
        <v>1866.6125707869239</v>
      </c>
      <c r="BC8" s="694">
        <f t="shared" ca="1" si="7"/>
        <v>1973.7996570018752</v>
      </c>
      <c r="BD8" s="694">
        <f t="shared" ca="1" si="7"/>
        <v>2008.9961390560434</v>
      </c>
      <c r="BE8" s="694">
        <f t="shared" ca="1" si="7"/>
        <v>2026.0922089032911</v>
      </c>
      <c r="BF8" s="694">
        <f t="shared" ca="1" si="7"/>
        <v>1922.954333420161</v>
      </c>
      <c r="BG8" s="694">
        <f t="shared" ca="1" si="7"/>
        <v>2033.3757373842127</v>
      </c>
      <c r="BH8" s="694">
        <f t="shared" ca="1" si="7"/>
        <v>2069.6324419221846</v>
      </c>
      <c r="BI8" s="694">
        <f t="shared" ca="1" si="7"/>
        <v>2087.2437017754601</v>
      </c>
      <c r="BJ8" s="1"/>
      <c r="BK8" s="694">
        <f t="shared" ref="BK8:BX9" si="8">SUMIF($F$1:$BI$1,BK$1,$F8:$BI8)</f>
        <v>3156.4280000000003</v>
      </c>
      <c r="BL8" s="694">
        <f t="shared" si="8"/>
        <v>4323.6680000000006</v>
      </c>
      <c r="BM8" s="694">
        <f t="shared" si="8"/>
        <v>4625.3639999999996</v>
      </c>
      <c r="BN8" s="694">
        <f t="shared" si="8"/>
        <v>4826.549</v>
      </c>
      <c r="BO8" s="694">
        <f t="shared" si="8"/>
        <v>5007.357</v>
      </c>
      <c r="BP8" s="694">
        <f t="shared" si="8"/>
        <v>5562.7139999999999</v>
      </c>
      <c r="BQ8" s="694">
        <f t="shared" si="8"/>
        <v>6204.7199999999993</v>
      </c>
      <c r="BR8" s="694">
        <f t="shared" si="8"/>
        <v>6668.6720000000005</v>
      </c>
      <c r="BS8" s="694">
        <f t="shared" si="8"/>
        <v>6911.41</v>
      </c>
      <c r="BT8" s="694">
        <f t="shared" si="8"/>
        <v>7228.0889999999999</v>
      </c>
      <c r="BU8" s="694">
        <f t="shared" ca="1" si="8"/>
        <v>7420.7786474000004</v>
      </c>
      <c r="BV8" s="694">
        <f t="shared" ca="1" si="8"/>
        <v>7644.7594035414804</v>
      </c>
      <c r="BW8" s="694">
        <f t="shared" ca="1" si="8"/>
        <v>7875.5005757481331</v>
      </c>
      <c r="BX8" s="694">
        <f t="shared" ca="1" si="8"/>
        <v>8113.2062145020182</v>
      </c>
    </row>
    <row r="9" spans="1:76" ht="15" customHeight="1" x14ac:dyDescent="0.25">
      <c r="A9" s="1"/>
      <c r="B9" s="3" t="s">
        <v>879</v>
      </c>
      <c r="C9" s="1"/>
      <c r="D9" s="1"/>
      <c r="E9" s="1"/>
      <c r="F9" s="694">
        <f>F12+F25</f>
        <v>0</v>
      </c>
      <c r="G9" s="694">
        <f t="shared" ref="G9:BI9" si="9">G12+G25</f>
        <v>0</v>
      </c>
      <c r="H9" s="694">
        <f t="shared" si="9"/>
        <v>0</v>
      </c>
      <c r="I9" s="694">
        <f t="shared" si="9"/>
        <v>0</v>
      </c>
      <c r="J9" s="694">
        <f t="shared" si="9"/>
        <v>65.2</v>
      </c>
      <c r="K9" s="694">
        <f t="shared" si="9"/>
        <v>88.5</v>
      </c>
      <c r="L9" s="694">
        <f t="shared" si="9"/>
        <v>86.8</v>
      </c>
      <c r="M9" s="694">
        <f t="shared" si="9"/>
        <v>83.300000000000026</v>
      </c>
      <c r="N9" s="694">
        <f t="shared" si="9"/>
        <v>78</v>
      </c>
      <c r="O9" s="694">
        <f t="shared" si="9"/>
        <v>90.1</v>
      </c>
      <c r="P9" s="694">
        <f t="shared" si="9"/>
        <v>86.700000000000017</v>
      </c>
      <c r="Q9" s="694">
        <f t="shared" si="9"/>
        <v>82.9</v>
      </c>
      <c r="R9" s="694">
        <f t="shared" si="9"/>
        <v>78.2</v>
      </c>
      <c r="S9" s="694">
        <f t="shared" si="9"/>
        <v>90.5</v>
      </c>
      <c r="T9" s="694">
        <f t="shared" si="9"/>
        <v>90.6</v>
      </c>
      <c r="U9" s="694">
        <f t="shared" si="9"/>
        <v>83.9</v>
      </c>
      <c r="V9" s="694">
        <f t="shared" si="9"/>
        <v>83</v>
      </c>
      <c r="W9" s="694">
        <f t="shared" si="9"/>
        <v>91.1</v>
      </c>
      <c r="X9" s="694">
        <f t="shared" si="9"/>
        <v>94.1</v>
      </c>
      <c r="Y9" s="694">
        <f t="shared" si="9"/>
        <v>90.6</v>
      </c>
      <c r="Z9" s="694">
        <f t="shared" si="9"/>
        <v>86.9</v>
      </c>
      <c r="AA9" s="694">
        <f t="shared" si="9"/>
        <v>96.4</v>
      </c>
      <c r="AB9" s="694">
        <f t="shared" si="9"/>
        <v>93.5</v>
      </c>
      <c r="AC9" s="694">
        <f t="shared" si="9"/>
        <v>89.23599999999999</v>
      </c>
      <c r="AD9" s="694">
        <f t="shared" si="9"/>
        <v>86.402000000000001</v>
      </c>
      <c r="AE9" s="694">
        <f t="shared" si="9"/>
        <v>97.408000000000001</v>
      </c>
      <c r="AF9" s="694">
        <f t="shared" si="9"/>
        <v>94.067999999999998</v>
      </c>
      <c r="AG9" s="694">
        <f t="shared" si="9"/>
        <v>82.47</v>
      </c>
      <c r="AH9" s="694">
        <f t="shared" si="9"/>
        <v>82.47</v>
      </c>
      <c r="AI9" s="694">
        <f t="shared" si="9"/>
        <v>92.555000000000007</v>
      </c>
      <c r="AJ9" s="694">
        <f t="shared" si="9"/>
        <v>91.796999999999997</v>
      </c>
      <c r="AK9" s="694">
        <f t="shared" si="9"/>
        <v>88.545000000000002</v>
      </c>
      <c r="AL9" s="694">
        <f t="shared" si="9"/>
        <v>82.11099999999999</v>
      </c>
      <c r="AM9" s="694">
        <f t="shared" si="9"/>
        <v>91.453000000000003</v>
      </c>
      <c r="AN9" s="694">
        <f t="shared" si="9"/>
        <v>89.859000000000009</v>
      </c>
      <c r="AO9" s="694">
        <f t="shared" si="9"/>
        <v>89.679999999999964</v>
      </c>
      <c r="AP9" s="694">
        <f t="shared" si="9"/>
        <v>76.727000000000004</v>
      </c>
      <c r="AQ9" s="694">
        <f t="shared" si="9"/>
        <v>90.705999999999989</v>
      </c>
      <c r="AR9" s="694">
        <f t="shared" si="9"/>
        <v>92.816999999999993</v>
      </c>
      <c r="AS9" s="694">
        <f t="shared" si="9"/>
        <v>93.798000000000059</v>
      </c>
      <c r="AT9" s="694">
        <f t="shared" ca="1" si="9"/>
        <v>85.166970000000006</v>
      </c>
      <c r="AU9" s="694">
        <f t="shared" ca="1" si="9"/>
        <v>89.798940000000002</v>
      </c>
      <c r="AV9" s="694">
        <f t="shared" ca="1" si="9"/>
        <v>91.888829999999984</v>
      </c>
      <c r="AW9" s="694">
        <f t="shared" ca="1" si="9"/>
        <v>92.860020000000048</v>
      </c>
      <c r="AX9" s="694">
        <f t="shared" ca="1" si="9"/>
        <v>86.018639700000008</v>
      </c>
      <c r="AY9" s="694">
        <f t="shared" ca="1" si="9"/>
        <v>90.696929399999988</v>
      </c>
      <c r="AZ9" s="694">
        <f t="shared" ca="1" si="9"/>
        <v>92.807718299999991</v>
      </c>
      <c r="BA9" s="694">
        <f t="shared" ca="1" si="9"/>
        <v>93.788620200000054</v>
      </c>
      <c r="BB9" s="694">
        <f t="shared" ca="1" si="9"/>
        <v>86.878826097000015</v>
      </c>
      <c r="BC9" s="694">
        <f t="shared" ca="1" si="9"/>
        <v>91.603898693999994</v>
      </c>
      <c r="BD9" s="694">
        <f t="shared" ca="1" si="9"/>
        <v>93.735795483000004</v>
      </c>
      <c r="BE9" s="694">
        <f t="shared" ca="1" si="9"/>
        <v>94.726506402000055</v>
      </c>
      <c r="BF9" s="694">
        <f t="shared" ca="1" si="9"/>
        <v>87.747614357970008</v>
      </c>
      <c r="BG9" s="694">
        <f t="shared" ca="1" si="9"/>
        <v>92.519937680939989</v>
      </c>
      <c r="BH9" s="694">
        <f t="shared" ca="1" si="9"/>
        <v>94.673153437829995</v>
      </c>
      <c r="BI9" s="694">
        <f t="shared" ca="1" si="9"/>
        <v>95.673771466020057</v>
      </c>
      <c r="BJ9" s="1"/>
      <c r="BK9" s="694">
        <f t="shared" si="8"/>
        <v>0</v>
      </c>
      <c r="BL9" s="694">
        <f t="shared" si="8"/>
        <v>323.8</v>
      </c>
      <c r="BM9" s="694">
        <f t="shared" si="8"/>
        <v>337.70000000000005</v>
      </c>
      <c r="BN9" s="694">
        <f t="shared" si="8"/>
        <v>343.19999999999993</v>
      </c>
      <c r="BO9" s="694">
        <f t="shared" si="8"/>
        <v>358.79999999999995</v>
      </c>
      <c r="BP9" s="694">
        <f t="shared" si="8"/>
        <v>366.036</v>
      </c>
      <c r="BQ9" s="694">
        <f t="shared" si="8"/>
        <v>360.34799999999996</v>
      </c>
      <c r="BR9" s="694">
        <f t="shared" si="8"/>
        <v>355.36700000000002</v>
      </c>
      <c r="BS9" s="694">
        <f t="shared" si="8"/>
        <v>353.10299999999995</v>
      </c>
      <c r="BT9" s="694">
        <f t="shared" si="8"/>
        <v>354.04800000000006</v>
      </c>
      <c r="BU9" s="694">
        <f t="shared" ca="1" si="8"/>
        <v>359.71476000000007</v>
      </c>
      <c r="BV9" s="694">
        <f t="shared" ca="1" si="8"/>
        <v>363.31190760000004</v>
      </c>
      <c r="BW9" s="694">
        <f t="shared" ca="1" si="8"/>
        <v>366.94502667600005</v>
      </c>
      <c r="BX9" s="694">
        <f t="shared" ca="1" si="8"/>
        <v>370.61447694276006</v>
      </c>
    </row>
    <row r="10" spans="1:7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9"/>
      <c r="BM10" s="59">
        <f t="shared" ref="BM10:BX10" si="10">BM9/BL9-1</f>
        <v>4.2927733168622639E-2</v>
      </c>
      <c r="BN10" s="59">
        <f t="shared" si="10"/>
        <v>1.6286644951139628E-2</v>
      </c>
      <c r="BO10" s="59">
        <f t="shared" si="10"/>
        <v>4.5454545454545636E-2</v>
      </c>
      <c r="BP10" s="59">
        <f t="shared" si="10"/>
        <v>2.0167224080267721E-2</v>
      </c>
      <c r="BQ10" s="59">
        <f t="shared" si="10"/>
        <v>-1.5539455135560543E-2</v>
      </c>
      <c r="BR10" s="59">
        <f t="shared" si="10"/>
        <v>-1.3822749120294686E-2</v>
      </c>
      <c r="BS10" s="59">
        <f t="shared" si="10"/>
        <v>-6.3708785565347315E-3</v>
      </c>
      <c r="BT10" s="59">
        <f t="shared" si="10"/>
        <v>2.676272928862522E-3</v>
      </c>
      <c r="BU10" s="59">
        <f t="shared" ca="1" si="10"/>
        <v>1.6005626355748426E-2</v>
      </c>
      <c r="BV10" s="59">
        <f t="shared" ca="1" si="10"/>
        <v>1.0000000000000009E-2</v>
      </c>
      <c r="BW10" s="59">
        <f t="shared" ca="1" si="10"/>
        <v>1.0000000000000009E-2</v>
      </c>
      <c r="BX10" s="59">
        <f t="shared" ca="1" si="10"/>
        <v>1.0000000000000009E-2</v>
      </c>
    </row>
    <row r="11" spans="1:76" ht="15" customHeight="1" x14ac:dyDescent="0.25">
      <c r="A11" s="1"/>
      <c r="B11" s="3" t="s">
        <v>111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 x14ac:dyDescent="0.25">
      <c r="A12" s="1"/>
      <c r="B12" s="1"/>
      <c r="C12" s="11" t="s">
        <v>112</v>
      </c>
      <c r="D12" s="1"/>
      <c r="E12" s="1"/>
      <c r="F12" s="53">
        <f>'Canalyst HC - Q'!C42</f>
        <v>0</v>
      </c>
      <c r="G12" s="53">
        <f>'Canalyst HC - Q'!D42</f>
        <v>0</v>
      </c>
      <c r="H12" s="53">
        <f>'Canalyst HC - Q'!E42</f>
        <v>0</v>
      </c>
      <c r="I12" s="53">
        <f>'Canalyst HC - Q'!F42</f>
        <v>0</v>
      </c>
      <c r="J12" s="53">
        <f>'Canalyst HC - Q'!G42</f>
        <v>46.552799999999998</v>
      </c>
      <c r="K12" s="53">
        <f>'Canalyst HC - Q'!H42</f>
        <v>60.091500000000003</v>
      </c>
      <c r="L12" s="53">
        <f>'Canalyst HC - Q'!I42</f>
        <v>56.506799999999998</v>
      </c>
      <c r="M12" s="53">
        <f>'Canalyst HC - Q'!J42</f>
        <v>61.2423</v>
      </c>
      <c r="N12" s="53">
        <f>'Canalyst HC - Q'!K42</f>
        <v>56.16</v>
      </c>
      <c r="O12" s="53">
        <f>'Canalyst HC - Q'!L42</f>
        <v>63.340299999999992</v>
      </c>
      <c r="P12" s="53">
        <f>'Canalyst HC - Q'!M42</f>
        <v>58.782600000000009</v>
      </c>
      <c r="Q12" s="53">
        <f>'Canalyst HC - Q'!N42</f>
        <v>63.510300000000001</v>
      </c>
      <c r="R12" s="53">
        <f>'Canalyst HC - Q'!O42</f>
        <v>56.695</v>
      </c>
      <c r="S12" s="53">
        <f>'Canalyst HC - Q'!P42</f>
        <v>63.168999999999997</v>
      </c>
      <c r="T12" s="53">
        <f>'Canalyst HC - Q'!Q42</f>
        <v>61.336199999999998</v>
      </c>
      <c r="U12" s="53">
        <f>'Canalyst HC - Q'!R42</f>
        <v>61.442199999999993</v>
      </c>
      <c r="V12" s="53">
        <f>'Canalyst HC - Q'!S42</f>
        <v>58.680999999999997</v>
      </c>
      <c r="W12" s="53">
        <f>'Canalyst HC - Q'!T42</f>
        <v>65.591999999999999</v>
      </c>
      <c r="X12" s="53">
        <f>'Canalyst HC - Q'!U42</f>
        <v>63.517499999999998</v>
      </c>
      <c r="Y12" s="53">
        <f>'Canalyst HC - Q'!V42</f>
        <v>65.522299999999973</v>
      </c>
      <c r="Z12" s="53">
        <f>'Canalyst HC - Q'!W42</f>
        <v>61.090699999999998</v>
      </c>
      <c r="AA12" s="53">
        <f>'Canalyst HC - Q'!X42</f>
        <v>65.552000000000007</v>
      </c>
      <c r="AB12" s="53">
        <f>'Canalyst HC - Q'!Y42</f>
        <v>63.112499999999997</v>
      </c>
      <c r="AC12" s="53">
        <f>'Canalyst HC - Q'!Z42</f>
        <v>64.272799999999989</v>
      </c>
      <c r="AD12" s="723">
        <v>60.182000000000002</v>
      </c>
      <c r="AE12" s="723">
        <v>66.738</v>
      </c>
      <c r="AF12" s="723">
        <v>63.655999999999999</v>
      </c>
      <c r="AG12" s="723">
        <v>61.317</v>
      </c>
      <c r="AH12" s="53">
        <f>'Canalyst HC - Q'!AE42</f>
        <v>61.317</v>
      </c>
      <c r="AI12" s="53">
        <f>'Canalyst HC - Q'!AF42</f>
        <v>67.900000000000006</v>
      </c>
      <c r="AJ12" s="53">
        <f>'Canalyst HC - Q'!AG42</f>
        <v>66.251000000000005</v>
      </c>
      <c r="AK12" s="53">
        <f>'Canalyst HC - Q'!AH42</f>
        <v>68.403999999999996</v>
      </c>
      <c r="AL12" s="53">
        <f>'Canalyst HC - Q'!AI42</f>
        <v>61.784999999999997</v>
      </c>
      <c r="AM12" s="53">
        <f>'Canalyst HC - Q'!AJ42</f>
        <v>67.662000000000006</v>
      </c>
      <c r="AN12" s="53">
        <f>'Canalyst HC - Q'!AK42</f>
        <v>66.781000000000006</v>
      </c>
      <c r="AO12" s="53">
        <f>'Canalyst HC - Q'!AL42</f>
        <v>70.45799999999997</v>
      </c>
      <c r="AP12" s="53">
        <f>'Canalyst HC - Q'!AM42</f>
        <v>58.628999999999998</v>
      </c>
      <c r="AQ12" s="53">
        <f>'Canalyst HC - Q'!AN42</f>
        <v>67.486999999999995</v>
      </c>
      <c r="AR12" s="53">
        <f>'Canalyst HC - Q'!AO42</f>
        <v>67.694999999999993</v>
      </c>
      <c r="AS12" s="53">
        <f>'Canalyst HC - Q'!AP42</f>
        <v>72.938000000000045</v>
      </c>
      <c r="AT12" s="56">
        <f t="shared" ref="AT12:BI12" ca="1" si="11">AP12*(1+AT13)</f>
        <v>65.078190000000006</v>
      </c>
      <c r="AU12" s="56">
        <f t="shared" ca="1" si="11"/>
        <v>66.812129999999996</v>
      </c>
      <c r="AV12" s="56">
        <f t="shared" ca="1" si="11"/>
        <v>67.018049999999988</v>
      </c>
      <c r="AW12" s="56">
        <f t="shared" ca="1" si="11"/>
        <v>72.208620000000039</v>
      </c>
      <c r="AX12" s="56">
        <f t="shared" ca="1" si="11"/>
        <v>65.728971900000005</v>
      </c>
      <c r="AY12" s="56">
        <f t="shared" ca="1" si="11"/>
        <v>67.480251299999992</v>
      </c>
      <c r="AZ12" s="56">
        <f t="shared" ca="1" si="11"/>
        <v>67.688230499999989</v>
      </c>
      <c r="BA12" s="56">
        <f t="shared" ca="1" si="11"/>
        <v>72.930706200000046</v>
      </c>
      <c r="BB12" s="56">
        <f t="shared" ca="1" si="11"/>
        <v>66.38626161900001</v>
      </c>
      <c r="BC12" s="56">
        <f t="shared" ca="1" si="11"/>
        <v>68.155053812999995</v>
      </c>
      <c r="BD12" s="56">
        <f t="shared" ca="1" si="11"/>
        <v>68.365112804999995</v>
      </c>
      <c r="BE12" s="56">
        <f t="shared" ca="1" si="11"/>
        <v>73.660013262000049</v>
      </c>
      <c r="BF12" s="56">
        <f t="shared" ca="1" si="11"/>
        <v>67.050124235190012</v>
      </c>
      <c r="BG12" s="56">
        <f t="shared" ca="1" si="11"/>
        <v>68.836604351129992</v>
      </c>
      <c r="BH12" s="56">
        <f t="shared" ca="1" si="11"/>
        <v>69.048763933049997</v>
      </c>
      <c r="BI12" s="56">
        <f t="shared" ca="1" si="11"/>
        <v>74.396613394620047</v>
      </c>
      <c r="BJ12" s="1"/>
      <c r="BK12" s="694">
        <f t="shared" ref="BK12:BX12" si="12">SUMIF($F$1:$BI$1,BK$1,$F12:$BI12)</f>
        <v>0</v>
      </c>
      <c r="BL12" s="694">
        <f t="shared" si="12"/>
        <v>224.39339999999999</v>
      </c>
      <c r="BM12" s="694">
        <f t="shared" si="12"/>
        <v>241.79319999999998</v>
      </c>
      <c r="BN12" s="694">
        <f t="shared" si="12"/>
        <v>242.64239999999998</v>
      </c>
      <c r="BO12" s="694">
        <f t="shared" si="12"/>
        <v>253.31279999999998</v>
      </c>
      <c r="BP12" s="694">
        <f t="shared" si="12"/>
        <v>254.02799999999999</v>
      </c>
      <c r="BQ12" s="694">
        <f t="shared" si="12"/>
        <v>251.893</v>
      </c>
      <c r="BR12" s="694">
        <f t="shared" si="12"/>
        <v>263.87200000000001</v>
      </c>
      <c r="BS12" s="694">
        <f t="shared" si="12"/>
        <v>266.68599999999998</v>
      </c>
      <c r="BT12" s="694">
        <f t="shared" si="12"/>
        <v>266.74900000000002</v>
      </c>
      <c r="BU12" s="694">
        <f t="shared" ca="1" si="12"/>
        <v>271.11699000000004</v>
      </c>
      <c r="BV12" s="694">
        <f t="shared" ca="1" si="12"/>
        <v>273.8281599</v>
      </c>
      <c r="BW12" s="694">
        <f t="shared" ca="1" si="12"/>
        <v>276.56644149900006</v>
      </c>
      <c r="BX12" s="694">
        <f t="shared" ca="1" si="12"/>
        <v>279.33210591399006</v>
      </c>
    </row>
    <row r="13" spans="1:76" x14ac:dyDescent="0.25">
      <c r="A13" s="1"/>
      <c r="B13" s="1"/>
      <c r="C13" s="57" t="s">
        <v>113</v>
      </c>
      <c r="D13" s="1"/>
      <c r="E13" s="1"/>
      <c r="F13" s="58"/>
      <c r="G13" s="58"/>
      <c r="H13" s="58"/>
      <c r="I13" s="58"/>
      <c r="J13" s="59">
        <f t="shared" ref="J13:AS13" si="13">IF(F12=0,0,J12/F12-1)</f>
        <v>0</v>
      </c>
      <c r="K13" s="59">
        <f t="shared" si="13"/>
        <v>0</v>
      </c>
      <c r="L13" s="59">
        <f t="shared" si="13"/>
        <v>0</v>
      </c>
      <c r="M13" s="59">
        <f t="shared" si="13"/>
        <v>0</v>
      </c>
      <c r="N13" s="59">
        <f t="shared" si="13"/>
        <v>0.20637211939990729</v>
      </c>
      <c r="O13" s="59">
        <f t="shared" si="13"/>
        <v>5.4064218733098413E-2</v>
      </c>
      <c r="P13" s="59">
        <f t="shared" si="13"/>
        <v>4.0274798785279176E-2</v>
      </c>
      <c r="Q13" s="59">
        <f t="shared" si="13"/>
        <v>3.7033227034255711E-2</v>
      </c>
      <c r="R13" s="59">
        <f t="shared" si="13"/>
        <v>9.5263532763534275E-3</v>
      </c>
      <c r="S13" s="59">
        <f t="shared" si="13"/>
        <v>-2.704439353776289E-3</v>
      </c>
      <c r="T13" s="59">
        <f t="shared" si="13"/>
        <v>4.344142654458949E-2</v>
      </c>
      <c r="U13" s="59">
        <f t="shared" si="13"/>
        <v>-3.2563222028552996E-2</v>
      </c>
      <c r="V13" s="59">
        <f t="shared" si="13"/>
        <v>3.5029544051503603E-2</v>
      </c>
      <c r="W13" s="59">
        <f t="shared" si="13"/>
        <v>3.8357422153271425E-2</v>
      </c>
      <c r="X13" s="59">
        <f t="shared" si="13"/>
        <v>3.5563011728799721E-2</v>
      </c>
      <c r="Y13" s="59">
        <f t="shared" si="13"/>
        <v>6.6405499803066537E-2</v>
      </c>
      <c r="Z13" s="59">
        <f t="shared" si="13"/>
        <v>4.1064399038871269E-2</v>
      </c>
      <c r="AA13" s="59">
        <f t="shared" si="13"/>
        <v>-6.0983046713003475E-4</v>
      </c>
      <c r="AB13" s="59">
        <f t="shared" si="13"/>
        <v>-6.3761955366631318E-3</v>
      </c>
      <c r="AC13" s="59">
        <f t="shared" si="13"/>
        <v>-1.9069843396828046E-2</v>
      </c>
      <c r="AD13" s="59">
        <f t="shared" si="13"/>
        <v>-1.4874604481533105E-2</v>
      </c>
      <c r="AE13" s="59">
        <f t="shared" si="13"/>
        <v>1.8092506712228396E-2</v>
      </c>
      <c r="AF13" s="59">
        <f t="shared" si="13"/>
        <v>8.6116062586651942E-3</v>
      </c>
      <c r="AG13" s="59">
        <f t="shared" si="13"/>
        <v>-4.5988349659575878E-2</v>
      </c>
      <c r="AH13" s="59">
        <f t="shared" si="13"/>
        <v>1.8859459639094744E-2</v>
      </c>
      <c r="AI13" s="59">
        <f t="shared" si="13"/>
        <v>1.741136983427749E-2</v>
      </c>
      <c r="AJ13" s="59">
        <f t="shared" si="13"/>
        <v>4.0765992208118718E-2</v>
      </c>
      <c r="AK13" s="59">
        <f t="shared" si="13"/>
        <v>0.11557969241808963</v>
      </c>
      <c r="AL13" s="59">
        <f t="shared" si="13"/>
        <v>7.6324673418464162E-3</v>
      </c>
      <c r="AM13" s="59">
        <f t="shared" si="13"/>
        <v>-3.5051546391752231E-3</v>
      </c>
      <c r="AN13" s="59">
        <f t="shared" si="13"/>
        <v>7.9998792471056568E-3</v>
      </c>
      <c r="AO13" s="59">
        <f t="shared" si="13"/>
        <v>3.0027483772878449E-2</v>
      </c>
      <c r="AP13" s="59">
        <f t="shared" si="13"/>
        <v>-5.1080359310512247E-2</v>
      </c>
      <c r="AQ13" s="59">
        <f t="shared" si="13"/>
        <v>-2.5863852679496313E-3</v>
      </c>
      <c r="AR13" s="59">
        <f t="shared" si="13"/>
        <v>1.3686527605156984E-2</v>
      </c>
      <c r="AS13" s="59">
        <f t="shared" si="13"/>
        <v>3.5198274149139674E-2</v>
      </c>
      <c r="AT13" s="59">
        <f ca="1">OFFSET(AT13,LEFT(Summary!$D$4,1),0)</f>
        <v>0.11</v>
      </c>
      <c r="AU13" s="59">
        <f ca="1">OFFSET(AU13,LEFT(Summary!$D$4,1),0)</f>
        <v>-0.01</v>
      </c>
      <c r="AV13" s="59">
        <f ca="1">OFFSET(AV13,LEFT(Summary!$D$4,1),0)</f>
        <v>-0.01</v>
      </c>
      <c r="AW13" s="59">
        <f ca="1">OFFSET(AW13,LEFT(Summary!$D$4,1),0)</f>
        <v>-0.01</v>
      </c>
      <c r="AX13" s="59">
        <f ca="1">OFFSET(AX13,LEFT(Summary!$D$4,1),0)</f>
        <v>0.01</v>
      </c>
      <c r="AY13" s="59">
        <f ca="1">OFFSET(AY13,LEFT(Summary!$D$4,1),0)</f>
        <v>0.01</v>
      </c>
      <c r="AZ13" s="59">
        <f ca="1">OFFSET(AZ13,LEFT(Summary!$D$4,1),0)</f>
        <v>0.01</v>
      </c>
      <c r="BA13" s="59">
        <f ca="1">OFFSET(BA13,LEFT(Summary!$D$4,1),0)</f>
        <v>0.01</v>
      </c>
      <c r="BB13" s="59">
        <f ca="1">OFFSET(BB13,LEFT(Summary!$D$4,1),0)</f>
        <v>0.01</v>
      </c>
      <c r="BC13" s="59">
        <f ca="1">OFFSET(BC13,LEFT(Summary!$D$4,1),0)</f>
        <v>0.01</v>
      </c>
      <c r="BD13" s="59">
        <f ca="1">OFFSET(BD13,LEFT(Summary!$D$4,1),0)</f>
        <v>0.01</v>
      </c>
      <c r="BE13" s="59">
        <f ca="1">OFFSET(BE13,LEFT(Summary!$D$4,1),0)</f>
        <v>0.01</v>
      </c>
      <c r="BF13" s="59">
        <f ca="1">OFFSET(BF13,LEFT(Summary!$D$4,1),0)</f>
        <v>0.01</v>
      </c>
      <c r="BG13" s="59">
        <f ca="1">OFFSET(BG13,LEFT(Summary!$D$4,1),0)</f>
        <v>0.01</v>
      </c>
      <c r="BH13" s="59">
        <f ca="1">OFFSET(BH13,LEFT(Summary!$D$4,1),0)</f>
        <v>0.01</v>
      </c>
      <c r="BI13" s="59">
        <f ca="1">OFFSET(BI13,LEFT(Summary!$D$4,1),0)</f>
        <v>0.01</v>
      </c>
      <c r="BJ13" s="1"/>
      <c r="BK13" s="1"/>
      <c r="BL13" s="59"/>
      <c r="BM13" s="59">
        <f t="shared" ref="BM13:BX13" si="14">BM12/BL12-1</f>
        <v>7.7541496318519254E-2</v>
      </c>
      <c r="BN13" s="59">
        <f t="shared" si="14"/>
        <v>3.5120921514748549E-3</v>
      </c>
      <c r="BO13" s="59">
        <f t="shared" si="14"/>
        <v>4.397582615404394E-2</v>
      </c>
      <c r="BP13" s="59">
        <f t="shared" si="14"/>
        <v>2.8233867376619148E-3</v>
      </c>
      <c r="BQ13" s="59">
        <f t="shared" si="14"/>
        <v>-8.4045853213031707E-3</v>
      </c>
      <c r="BR13" s="59">
        <f t="shared" si="14"/>
        <v>4.7555906674659587E-2</v>
      </c>
      <c r="BS13" s="59">
        <f t="shared" si="14"/>
        <v>1.0664261460101798E-2</v>
      </c>
      <c r="BT13" s="59">
        <f t="shared" si="14"/>
        <v>2.3623287311691499E-4</v>
      </c>
      <c r="BU13" s="59">
        <f t="shared" ca="1" si="14"/>
        <v>1.6374906747541829E-2</v>
      </c>
      <c r="BV13" s="59">
        <f t="shared" ca="1" si="14"/>
        <v>9.9999999999997868E-3</v>
      </c>
      <c r="BW13" s="59">
        <f t="shared" ca="1" si="14"/>
        <v>1.0000000000000231E-2</v>
      </c>
      <c r="BX13" s="59">
        <f t="shared" ca="1" si="14"/>
        <v>1.0000000000000009E-2</v>
      </c>
    </row>
    <row r="14" spans="1:76" x14ac:dyDescent="0.25">
      <c r="A14" s="1"/>
      <c r="B14" s="1"/>
      <c r="C14" s="1"/>
      <c r="D14" s="11" t="s">
        <v>13</v>
      </c>
      <c r="E14" s="1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60">
        <f>AT15+0.01</f>
        <v>0.12</v>
      </c>
      <c r="AU14" s="60">
        <f t="shared" ref="AU14:BI14" si="15">AU15+0.01</f>
        <v>0</v>
      </c>
      <c r="AV14" s="60">
        <f t="shared" si="15"/>
        <v>0</v>
      </c>
      <c r="AW14" s="60">
        <f t="shared" si="15"/>
        <v>0</v>
      </c>
      <c r="AX14" s="60">
        <f t="shared" si="15"/>
        <v>0.02</v>
      </c>
      <c r="AY14" s="60">
        <f t="shared" si="15"/>
        <v>0.02</v>
      </c>
      <c r="AZ14" s="60">
        <f t="shared" si="15"/>
        <v>0.02</v>
      </c>
      <c r="BA14" s="60">
        <f t="shared" si="15"/>
        <v>0.02</v>
      </c>
      <c r="BB14" s="60">
        <f t="shared" si="15"/>
        <v>0.02</v>
      </c>
      <c r="BC14" s="60">
        <f t="shared" si="15"/>
        <v>0.02</v>
      </c>
      <c r="BD14" s="60">
        <f t="shared" si="15"/>
        <v>0.02</v>
      </c>
      <c r="BE14" s="60">
        <f t="shared" si="15"/>
        <v>0.02</v>
      </c>
      <c r="BF14" s="60">
        <f t="shared" si="15"/>
        <v>0.02</v>
      </c>
      <c r="BG14" s="60">
        <f t="shared" si="15"/>
        <v>0.02</v>
      </c>
      <c r="BH14" s="60">
        <f t="shared" si="15"/>
        <v>0.02</v>
      </c>
      <c r="BI14" s="60">
        <f t="shared" si="15"/>
        <v>0.02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 x14ac:dyDescent="0.25">
      <c r="A15" s="1"/>
      <c r="B15" s="1"/>
      <c r="C15" s="1"/>
      <c r="D15" s="11" t="s">
        <v>16</v>
      </c>
      <c r="E15" s="1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 t="s">
        <v>874</v>
      </c>
      <c r="AP15" s="60">
        <v>6.1000000000000004E-3</v>
      </c>
      <c r="AQ15" s="60">
        <v>2.1700000000000001E-2</v>
      </c>
      <c r="AR15" s="60">
        <v>-2.6499999999999999E-2</v>
      </c>
      <c r="AS15" s="58"/>
      <c r="AT15" s="60">
        <v>0.11</v>
      </c>
      <c r="AU15" s="60">
        <v>-0.01</v>
      </c>
      <c r="AV15" s="60">
        <v>-0.01</v>
      </c>
      <c r="AW15" s="60">
        <v>-0.01</v>
      </c>
      <c r="AX15" s="60">
        <v>0.01</v>
      </c>
      <c r="AY15" s="60">
        <v>0.01</v>
      </c>
      <c r="AZ15" s="60">
        <v>0.01</v>
      </c>
      <c r="BA15" s="60">
        <v>0.01</v>
      </c>
      <c r="BB15" s="60">
        <v>0.01</v>
      </c>
      <c r="BC15" s="60">
        <v>0.01</v>
      </c>
      <c r="BD15" s="60">
        <v>0.01</v>
      </c>
      <c r="BE15" s="60">
        <v>0.01</v>
      </c>
      <c r="BF15" s="60">
        <v>0.01</v>
      </c>
      <c r="BG15" s="60">
        <v>0.01</v>
      </c>
      <c r="BH15" s="60">
        <v>0.01</v>
      </c>
      <c r="BI15" s="60">
        <v>0.01</v>
      </c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x14ac:dyDescent="0.25">
      <c r="A16" s="1"/>
      <c r="B16" s="1"/>
      <c r="C16" s="1"/>
      <c r="D16" s="11" t="s">
        <v>17</v>
      </c>
      <c r="E16" s="1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60">
        <f>AT15-0.01</f>
        <v>0.1</v>
      </c>
      <c r="AU16" s="60">
        <f t="shared" ref="AU16:AW16" si="16">AU15-0.01</f>
        <v>-0.02</v>
      </c>
      <c r="AV16" s="60">
        <f t="shared" si="16"/>
        <v>-0.02</v>
      </c>
      <c r="AW16" s="60">
        <f t="shared" si="16"/>
        <v>-0.02</v>
      </c>
      <c r="AX16" s="60">
        <f>AX15-0.02</f>
        <v>-0.01</v>
      </c>
      <c r="AY16" s="60">
        <f t="shared" ref="AY16:BI16" si="17">AY15-0.02</f>
        <v>-0.01</v>
      </c>
      <c r="AZ16" s="60">
        <f t="shared" si="17"/>
        <v>-0.01</v>
      </c>
      <c r="BA16" s="60">
        <f t="shared" si="17"/>
        <v>-0.01</v>
      </c>
      <c r="BB16" s="60">
        <f t="shared" si="17"/>
        <v>-0.01</v>
      </c>
      <c r="BC16" s="60">
        <f t="shared" si="17"/>
        <v>-0.01</v>
      </c>
      <c r="BD16" s="60">
        <f t="shared" si="17"/>
        <v>-0.01</v>
      </c>
      <c r="BE16" s="60">
        <f t="shared" si="17"/>
        <v>-0.01</v>
      </c>
      <c r="BF16" s="60">
        <f t="shared" si="17"/>
        <v>-0.01</v>
      </c>
      <c r="BG16" s="60">
        <f t="shared" si="17"/>
        <v>-0.01</v>
      </c>
      <c r="BH16" s="60">
        <f t="shared" si="17"/>
        <v>-0.01</v>
      </c>
      <c r="BI16" s="60">
        <f t="shared" si="17"/>
        <v>-0.01</v>
      </c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15" customHeight="1" x14ac:dyDescent="0.25">
      <c r="A17" s="1"/>
      <c r="B17" s="1"/>
      <c r="C17" s="3" t="s">
        <v>61</v>
      </c>
      <c r="D17" s="1"/>
      <c r="E17" s="1"/>
      <c r="F17" s="45">
        <f>'Canalyst HC - Q'!C19</f>
        <v>352.67</v>
      </c>
      <c r="G17" s="45">
        <f>'Canalyst HC - Q'!D19</f>
        <v>464.85899999999998</v>
      </c>
      <c r="H17" s="45">
        <f>'Canalyst HC - Q'!E19</f>
        <v>455.74799999999999</v>
      </c>
      <c r="I17" s="45">
        <f>'Canalyst HC - Q'!F19</f>
        <v>491.28099999999989</v>
      </c>
      <c r="J17" s="45">
        <f>'Canalyst HC - Q'!G19</f>
        <v>479.76</v>
      </c>
      <c r="K17" s="45">
        <f>'Canalyst HC - Q'!H19</f>
        <v>607.62300000000005</v>
      </c>
      <c r="L17" s="45">
        <f>'Canalyst HC - Q'!I19</f>
        <v>582.71</v>
      </c>
      <c r="M17" s="45">
        <f>'Canalyst HC - Q'!J19</f>
        <v>615.52800000000002</v>
      </c>
      <c r="N17" s="45">
        <f>'Canalyst HC - Q'!K19</f>
        <v>560.10500000000002</v>
      </c>
      <c r="O17" s="45">
        <f>'Canalyst HC - Q'!L19</f>
        <v>637.21500000000003</v>
      </c>
      <c r="P17" s="45">
        <f>'Canalyst HC - Q'!M19</f>
        <v>619.70500000000004</v>
      </c>
      <c r="Q17" s="45">
        <f>'Canalyst HC - Q'!N19</f>
        <v>578.1880000000001</v>
      </c>
      <c r="R17" s="45">
        <f>'Canalyst HC - Q'!O19</f>
        <v>585.97299999999996</v>
      </c>
      <c r="S17" s="45">
        <f>'Canalyst HC - Q'!P19</f>
        <v>671.62400000000002</v>
      </c>
      <c r="T17" s="45">
        <f>'Canalyst HC - Q'!Q19</f>
        <v>657.50699999999995</v>
      </c>
      <c r="U17" s="45">
        <f>'Canalyst HC - Q'!R19</f>
        <v>667.37400000000025</v>
      </c>
      <c r="V17" s="45">
        <f>'Canalyst HC - Q'!S19</f>
        <v>631.11300000000006</v>
      </c>
      <c r="W17" s="45">
        <f>'Canalyst HC - Q'!T19</f>
        <v>694.16200000000003</v>
      </c>
      <c r="X17" s="45">
        <f>'Canalyst HC - Q'!U19</f>
        <v>703.54899999999998</v>
      </c>
      <c r="Y17" s="45">
        <f>'Canalyst HC - Q'!V19</f>
        <v>732.00300000000016</v>
      </c>
      <c r="Z17" s="45">
        <f>'Canalyst HC - Q'!W19</f>
        <v>694.17899999999997</v>
      </c>
      <c r="AA17" s="45">
        <f>'Canalyst HC - Q'!X19</f>
        <v>754.68299999999999</v>
      </c>
      <c r="AB17" s="45">
        <f>'Canalyst HC - Q'!Y19</f>
        <v>773.48900000000003</v>
      </c>
      <c r="AC17" s="45">
        <f>'Canalyst HC - Q'!Z19</f>
        <v>798.53600000000006</v>
      </c>
      <c r="AD17" s="45">
        <f>'Canalyst HC - Q'!AA19</f>
        <v>775.58399999999995</v>
      </c>
      <c r="AE17" s="45">
        <f>'Canalyst HC - Q'!AB19</f>
        <v>879.93499999999995</v>
      </c>
      <c r="AF17" s="45">
        <f>'Canalyst HC - Q'!AC19</f>
        <v>917.16200000000003</v>
      </c>
      <c r="AG17" s="45">
        <f>'Canalyst HC - Q'!AD19</f>
        <v>948.5</v>
      </c>
      <c r="AH17" s="45">
        <f>'Canalyst HC - Q'!AE19</f>
        <v>920.56200000000001</v>
      </c>
      <c r="AI17" s="45">
        <f>'Canalyst HC - Q'!AF19</f>
        <v>1004.438</v>
      </c>
      <c r="AJ17" s="45">
        <f>'Canalyst HC - Q'!AG19</f>
        <v>977.66300000000001</v>
      </c>
      <c r="AK17" s="45">
        <f>'Canalyst HC - Q'!AH19</f>
        <v>1006.1</v>
      </c>
      <c r="AL17" s="45">
        <f>'Canalyst HC - Q'!AI19</f>
        <v>951.99199999999996</v>
      </c>
      <c r="AM17" s="45">
        <f>'Canalyst HC - Q'!AJ19</f>
        <v>1048.874</v>
      </c>
      <c r="AN17" s="45">
        <f>'Canalyst HC - Q'!AK19</f>
        <v>1034.69</v>
      </c>
      <c r="AO17" s="45">
        <f>'Canalyst HC - Q'!AL19</f>
        <v>1083.5</v>
      </c>
      <c r="AP17" s="45">
        <f>'Canalyst HC - Q'!AM19</f>
        <v>933.83699999999999</v>
      </c>
      <c r="AQ17" s="45">
        <f>'Canalyst HC - Q'!AN19</f>
        <v>1079.9559999999999</v>
      </c>
      <c r="AR17" s="45">
        <f>'Canalyst HC - Q'!AO19</f>
        <v>1083.1389999999999</v>
      </c>
      <c r="AS17" s="45">
        <f>'Canalyst HC - Q'!AP19</f>
        <v>1152.9000000000001</v>
      </c>
      <c r="AT17" s="694">
        <f t="shared" ref="AT17:BI17" ca="1" si="18">AT18*AT12</f>
        <v>1046.9246607000002</v>
      </c>
      <c r="AU17" s="694">
        <f t="shared" ca="1" si="18"/>
        <v>1079.8480043999998</v>
      </c>
      <c r="AV17" s="694">
        <f t="shared" ca="1" si="18"/>
        <v>1083.0306860999997</v>
      </c>
      <c r="AW17" s="694">
        <f t="shared" ca="1" si="18"/>
        <v>1152.7847100000001</v>
      </c>
      <c r="AX17" s="694">
        <f t="shared" ca="1" si="18"/>
        <v>1078.5417854531402</v>
      </c>
      <c r="AY17" s="694">
        <f t="shared" ca="1" si="18"/>
        <v>1112.4594141328798</v>
      </c>
      <c r="AZ17" s="694">
        <f t="shared" ca="1" si="18"/>
        <v>1115.7382128202198</v>
      </c>
      <c r="BA17" s="694">
        <f t="shared" ca="1" si="18"/>
        <v>1187.5988082420004</v>
      </c>
      <c r="BB17" s="694">
        <f t="shared" ca="1" si="18"/>
        <v>1111.1137473738249</v>
      </c>
      <c r="BC17" s="694">
        <f t="shared" ca="1" si="18"/>
        <v>1146.0556884396931</v>
      </c>
      <c r="BD17" s="694">
        <f t="shared" ca="1" si="18"/>
        <v>1149.4335068473906</v>
      </c>
      <c r="BE17" s="694">
        <f t="shared" ca="1" si="18"/>
        <v>1223.4642922509088</v>
      </c>
      <c r="BF17" s="694">
        <f t="shared" ca="1" si="18"/>
        <v>1144.6693825445145</v>
      </c>
      <c r="BG17" s="694">
        <f t="shared" ca="1" si="18"/>
        <v>1180.6665702305716</v>
      </c>
      <c r="BH17" s="694">
        <f t="shared" ca="1" si="18"/>
        <v>1184.146398754182</v>
      </c>
      <c r="BI17" s="694">
        <f t="shared" ca="1" si="18"/>
        <v>1260.412913876886</v>
      </c>
      <c r="BJ17" s="1"/>
      <c r="BK17" s="694">
        <f t="shared" ref="BK17:BX17" si="19">SUMIF($F$1:$BI$1,BK$1,$F17:$BI17)</f>
        <v>1764.558</v>
      </c>
      <c r="BL17" s="694">
        <f t="shared" si="19"/>
        <v>2285.6210000000001</v>
      </c>
      <c r="BM17" s="694">
        <f t="shared" si="19"/>
        <v>2395.2130000000002</v>
      </c>
      <c r="BN17" s="694">
        <f t="shared" si="19"/>
        <v>2582.4780000000001</v>
      </c>
      <c r="BO17" s="694">
        <f t="shared" si="19"/>
        <v>2760.8270000000002</v>
      </c>
      <c r="BP17" s="694">
        <f t="shared" si="19"/>
        <v>3020.8870000000002</v>
      </c>
      <c r="BQ17" s="694">
        <f t="shared" si="19"/>
        <v>3521.1809999999996</v>
      </c>
      <c r="BR17" s="694">
        <f t="shared" si="19"/>
        <v>3908.7629999999999</v>
      </c>
      <c r="BS17" s="694">
        <f t="shared" si="19"/>
        <v>4119.0560000000005</v>
      </c>
      <c r="BT17" s="694">
        <f t="shared" si="19"/>
        <v>4249.8320000000003</v>
      </c>
      <c r="BU17" s="694">
        <f t="shared" ca="1" si="19"/>
        <v>4362.5880612000001</v>
      </c>
      <c r="BV17" s="694">
        <f t="shared" ca="1" si="19"/>
        <v>4494.3382206482402</v>
      </c>
      <c r="BW17" s="694">
        <f t="shared" ca="1" si="19"/>
        <v>4630.0672349118176</v>
      </c>
      <c r="BX17" s="694">
        <f t="shared" ca="1" si="19"/>
        <v>4769.8952654061541</v>
      </c>
    </row>
    <row r="18" spans="1:76" x14ac:dyDescent="0.25">
      <c r="A18" s="1"/>
      <c r="B18" s="1"/>
      <c r="C18" s="11" t="s">
        <v>114</v>
      </c>
      <c r="D18" s="1"/>
      <c r="E18" s="1"/>
      <c r="F18" s="15">
        <f t="shared" ref="F18:AS18" si="20">IF(F12=0,0,F17/F12)</f>
        <v>0</v>
      </c>
      <c r="G18" s="15">
        <f t="shared" si="20"/>
        <v>0</v>
      </c>
      <c r="H18" s="15">
        <f t="shared" si="20"/>
        <v>0</v>
      </c>
      <c r="I18" s="15">
        <f t="shared" si="20"/>
        <v>0</v>
      </c>
      <c r="J18" s="15">
        <f t="shared" si="20"/>
        <v>10.30571737897613</v>
      </c>
      <c r="K18" s="15">
        <f t="shared" si="20"/>
        <v>10.111629764608972</v>
      </c>
      <c r="L18" s="15">
        <f t="shared" si="20"/>
        <v>10.312210211868306</v>
      </c>
      <c r="M18" s="15">
        <f t="shared" si="20"/>
        <v>10.050700251296899</v>
      </c>
      <c r="N18" s="15">
        <f t="shared" si="20"/>
        <v>9.9733796296296298</v>
      </c>
      <c r="O18" s="15">
        <f t="shared" si="20"/>
        <v>10.060182853570319</v>
      </c>
      <c r="P18" s="15">
        <f t="shared" si="20"/>
        <v>10.542320346497092</v>
      </c>
      <c r="Q18" s="15">
        <f t="shared" si="20"/>
        <v>9.1038461477902022</v>
      </c>
      <c r="R18" s="15">
        <f t="shared" si="20"/>
        <v>10.335532233883058</v>
      </c>
      <c r="S18" s="15">
        <f t="shared" si="20"/>
        <v>10.632177175513306</v>
      </c>
      <c r="T18" s="15">
        <f t="shared" si="20"/>
        <v>10.719721795611726</v>
      </c>
      <c r="U18" s="15">
        <f t="shared" si="20"/>
        <v>10.861818098961306</v>
      </c>
      <c r="V18" s="15">
        <f t="shared" si="20"/>
        <v>10.75498031730884</v>
      </c>
      <c r="W18" s="15">
        <f t="shared" si="20"/>
        <v>10.583028418099769</v>
      </c>
      <c r="X18" s="15">
        <f t="shared" si="20"/>
        <v>11.076459243515567</v>
      </c>
      <c r="Y18" s="15">
        <f t="shared" si="20"/>
        <v>11.171814786721475</v>
      </c>
      <c r="Z18" s="15">
        <f t="shared" si="20"/>
        <v>11.36308799866428</v>
      </c>
      <c r="AA18" s="15">
        <f t="shared" si="20"/>
        <v>11.51273797900903</v>
      </c>
      <c r="AB18" s="15">
        <f t="shared" si="20"/>
        <v>12.255717963953259</v>
      </c>
      <c r="AC18" s="15">
        <f t="shared" si="20"/>
        <v>12.424166988212747</v>
      </c>
      <c r="AD18" s="15">
        <f t="shared" si="20"/>
        <v>12.887308497557408</v>
      </c>
      <c r="AE18" s="15">
        <f t="shared" si="20"/>
        <v>13.184917138661632</v>
      </c>
      <c r="AF18" s="15">
        <f t="shared" si="20"/>
        <v>14.408099786351642</v>
      </c>
      <c r="AG18" s="15">
        <f t="shared" si="20"/>
        <v>15.468793319960207</v>
      </c>
      <c r="AH18" s="15">
        <f t="shared" si="20"/>
        <v>15.013161113557414</v>
      </c>
      <c r="AI18" s="15">
        <f t="shared" si="20"/>
        <v>14.792901325478644</v>
      </c>
      <c r="AJ18" s="15">
        <f t="shared" si="20"/>
        <v>14.756954612005856</v>
      </c>
      <c r="AK18" s="15">
        <f t="shared" si="20"/>
        <v>14.708204198584879</v>
      </c>
      <c r="AL18" s="15">
        <f t="shared" si="20"/>
        <v>15.408141134579591</v>
      </c>
      <c r="AM18" s="15">
        <f t="shared" si="20"/>
        <v>15.501670065915874</v>
      </c>
      <c r="AN18" s="15">
        <f t="shared" si="20"/>
        <v>15.493778170437698</v>
      </c>
      <c r="AO18" s="15">
        <f t="shared" si="20"/>
        <v>15.37795566152886</v>
      </c>
      <c r="AP18" s="15">
        <f t="shared" si="20"/>
        <v>15.927902573811595</v>
      </c>
      <c r="AQ18" s="15">
        <f t="shared" si="20"/>
        <v>16.002430097648435</v>
      </c>
      <c r="AR18" s="15">
        <f t="shared" si="20"/>
        <v>16.000280670655144</v>
      </c>
      <c r="AS18" s="15">
        <f t="shared" si="20"/>
        <v>15.806575447640453</v>
      </c>
      <c r="AT18" s="15">
        <f t="shared" ref="AT18:BI18" ca="1" si="21">AP18*(1+AT19)</f>
        <v>16.087181599549712</v>
      </c>
      <c r="AU18" s="15">
        <f t="shared" ca="1" si="21"/>
        <v>16.16245439862492</v>
      </c>
      <c r="AV18" s="15">
        <f t="shared" ca="1" si="21"/>
        <v>16.160283477361695</v>
      </c>
      <c r="AW18" s="15">
        <f t="shared" ca="1" si="21"/>
        <v>15.964641202116859</v>
      </c>
      <c r="AX18" s="15">
        <f t="shared" ca="1" si="21"/>
        <v>16.408925231540707</v>
      </c>
      <c r="AY18" s="15">
        <f t="shared" ca="1" si="21"/>
        <v>16.485703486597419</v>
      </c>
      <c r="AZ18" s="15">
        <f t="shared" ca="1" si="21"/>
        <v>16.48348914690893</v>
      </c>
      <c r="BA18" s="15">
        <f t="shared" ca="1" si="21"/>
        <v>16.283934026159198</v>
      </c>
      <c r="BB18" s="15">
        <f t="shared" ca="1" si="21"/>
        <v>16.73710373617152</v>
      </c>
      <c r="BC18" s="15">
        <f t="shared" ca="1" si="21"/>
        <v>16.815417556329368</v>
      </c>
      <c r="BD18" s="15">
        <f t="shared" ca="1" si="21"/>
        <v>16.813158929847109</v>
      </c>
      <c r="BE18" s="15">
        <f t="shared" ca="1" si="21"/>
        <v>16.60961270668238</v>
      </c>
      <c r="BF18" s="15">
        <f t="shared" ca="1" si="21"/>
        <v>17.071845810894949</v>
      </c>
      <c r="BG18" s="15">
        <f t="shared" ca="1" si="21"/>
        <v>17.151725907455955</v>
      </c>
      <c r="BH18" s="15">
        <f t="shared" ca="1" si="21"/>
        <v>17.149422108444053</v>
      </c>
      <c r="BI18" s="15">
        <f t="shared" ca="1" si="21"/>
        <v>16.941804960816029</v>
      </c>
      <c r="BJ18" s="1"/>
      <c r="BK18" s="1"/>
      <c r="BL18" s="1"/>
      <c r="BM18" s="59">
        <f t="shared" ref="BM18" si="22">BM17/BL17-1</f>
        <v>4.794845689639704E-2</v>
      </c>
      <c r="BN18" s="59">
        <f t="shared" ref="BN18" si="23">BN17/BM17-1</f>
        <v>7.8183025893730385E-2</v>
      </c>
      <c r="BO18" s="59">
        <f t="shared" ref="BO18" si="24">BO17/BN17-1</f>
        <v>6.9061188517385297E-2</v>
      </c>
      <c r="BP18" s="59">
        <f t="shared" ref="BP18" si="25">BP17/BO17-1</f>
        <v>9.4196412886428549E-2</v>
      </c>
      <c r="BQ18" s="59">
        <f t="shared" ref="BQ18" si="26">BQ17/BP17-1</f>
        <v>0.16561162334109136</v>
      </c>
      <c r="BR18" s="59">
        <f t="shared" ref="BR18" si="27">BR17/BQ17-1</f>
        <v>0.11007159245719</v>
      </c>
      <c r="BS18" s="59">
        <f t="shared" ref="BS18" si="28">BS17/BR17-1</f>
        <v>5.3800396698392872E-2</v>
      </c>
      <c r="BT18" s="59">
        <f t="shared" ref="BT18" si="29">BT17/BS17-1</f>
        <v>3.1749022106035918E-2</v>
      </c>
      <c r="BU18" s="59">
        <f t="shared" ref="BU18" ca="1" si="30">BU17/BT17-1</f>
        <v>2.6531886719286746E-2</v>
      </c>
      <c r="BV18" s="59">
        <f t="shared" ref="BV18" ca="1" si="31">BV17/BU17-1</f>
        <v>3.0200000000000005E-2</v>
      </c>
      <c r="BW18" s="59">
        <f t="shared" ref="BW18" ca="1" si="32">BW17/BV17-1</f>
        <v>3.0200000000000227E-2</v>
      </c>
      <c r="BX18" s="59">
        <f t="shared" ref="BX18" ca="1" si="33">BX17/BW17-1</f>
        <v>3.0200000000000005E-2</v>
      </c>
    </row>
    <row r="19" spans="1:76" x14ac:dyDescent="0.25">
      <c r="A19" s="1"/>
      <c r="B19" s="1"/>
      <c r="C19" s="57" t="s">
        <v>113</v>
      </c>
      <c r="D19" s="1"/>
      <c r="E19" s="1"/>
      <c r="F19" s="58"/>
      <c r="G19" s="58"/>
      <c r="H19" s="58"/>
      <c r="I19" s="58"/>
      <c r="J19" s="59">
        <f t="shared" ref="J19:AS19" si="34">IF(F18=0,0,J18/F18-1)</f>
        <v>0</v>
      </c>
      <c r="K19" s="59">
        <f t="shared" si="34"/>
        <v>0</v>
      </c>
      <c r="L19" s="59">
        <f t="shared" si="34"/>
        <v>0</v>
      </c>
      <c r="M19" s="59">
        <f t="shared" si="34"/>
        <v>0</v>
      </c>
      <c r="N19" s="59">
        <f t="shared" si="34"/>
        <v>-3.224790057065563E-2</v>
      </c>
      <c r="O19" s="59">
        <f t="shared" si="34"/>
        <v>-5.0878950511734633E-3</v>
      </c>
      <c r="P19" s="59">
        <f t="shared" si="34"/>
        <v>2.2314337072371959E-2</v>
      </c>
      <c r="Q19" s="59">
        <f t="shared" si="34"/>
        <v>-9.4207774566206881E-2</v>
      </c>
      <c r="R19" s="59">
        <f t="shared" si="34"/>
        <v>3.6311924112215621E-2</v>
      </c>
      <c r="S19" s="59">
        <f t="shared" si="34"/>
        <v>5.6857249044930391E-2</v>
      </c>
      <c r="T19" s="59">
        <f t="shared" si="34"/>
        <v>1.6827552501151199E-2</v>
      </c>
      <c r="U19" s="59">
        <f t="shared" si="34"/>
        <v>0.19310211559295976</v>
      </c>
      <c r="V19" s="59">
        <f t="shared" si="34"/>
        <v>4.0583114051030877E-2</v>
      </c>
      <c r="W19" s="59">
        <f t="shared" si="34"/>
        <v>-4.6226428136214581E-3</v>
      </c>
      <c r="X19" s="59">
        <f t="shared" si="34"/>
        <v>3.3278610649194018E-2</v>
      </c>
      <c r="Y19" s="59">
        <f t="shared" si="34"/>
        <v>2.8540036754050702E-2</v>
      </c>
      <c r="Z19" s="59">
        <f t="shared" si="34"/>
        <v>5.6541961343877567E-2</v>
      </c>
      <c r="AA19" s="59">
        <f t="shared" si="34"/>
        <v>8.7849103695045727E-2</v>
      </c>
      <c r="AB19" s="59">
        <f t="shared" si="34"/>
        <v>0.10646531481872779</v>
      </c>
      <c r="AC19" s="59">
        <f t="shared" si="34"/>
        <v>0.11209926277866544</v>
      </c>
      <c r="AD19" s="59">
        <f t="shared" si="34"/>
        <v>0.13413787687574863</v>
      </c>
      <c r="AE19" s="59">
        <f t="shared" si="34"/>
        <v>0.14524600166367518</v>
      </c>
      <c r="AF19" s="59">
        <f t="shared" si="34"/>
        <v>0.17562266272192351</v>
      </c>
      <c r="AG19" s="59">
        <f t="shared" si="34"/>
        <v>0.2450567780227042</v>
      </c>
      <c r="AH19" s="59">
        <f t="shared" si="34"/>
        <v>0.16495706736615556</v>
      </c>
      <c r="AI19" s="59">
        <f t="shared" si="34"/>
        <v>0.12195633616095924</v>
      </c>
      <c r="AJ19" s="59">
        <f t="shared" si="34"/>
        <v>2.4212410437681298E-2</v>
      </c>
      <c r="AK19" s="59">
        <f t="shared" si="34"/>
        <v>-4.9169260047834507E-2</v>
      </c>
      <c r="AL19" s="59">
        <f t="shared" si="34"/>
        <v>2.6308917757866146E-2</v>
      </c>
      <c r="AM19" s="59">
        <f t="shared" si="34"/>
        <v>4.7912760643950225E-2</v>
      </c>
      <c r="AN19" s="59">
        <f t="shared" si="34"/>
        <v>4.993059732205074E-2</v>
      </c>
      <c r="AO19" s="59">
        <f t="shared" si="34"/>
        <v>4.5535910020097603E-2</v>
      </c>
      <c r="AP19" s="59">
        <f t="shared" si="34"/>
        <v>3.3732910069569355E-2</v>
      </c>
      <c r="AQ19" s="59">
        <f t="shared" si="34"/>
        <v>3.2303618229728714E-2</v>
      </c>
      <c r="AR19" s="59">
        <f t="shared" si="34"/>
        <v>3.2690702980623376E-2</v>
      </c>
      <c r="AS19" s="59">
        <f t="shared" si="34"/>
        <v>2.7872351536548878E-2</v>
      </c>
      <c r="AT19" s="59">
        <f ca="1">OFFSET(AT19,LEFT(Summary!$D$4,1),0)</f>
        <v>0.01</v>
      </c>
      <c r="AU19" s="59">
        <f ca="1">OFFSET(AU19,LEFT(Summary!$D$4,1),0)</f>
        <v>0.01</v>
      </c>
      <c r="AV19" s="59">
        <f ca="1">OFFSET(AV19,LEFT(Summary!$D$4,1),0)</f>
        <v>0.01</v>
      </c>
      <c r="AW19" s="59">
        <f ca="1">OFFSET(AW19,LEFT(Summary!$D$4,1),0)</f>
        <v>0.01</v>
      </c>
      <c r="AX19" s="59">
        <f ca="1">OFFSET(AX19,LEFT(Summary!$D$4,1),0)</f>
        <v>0.02</v>
      </c>
      <c r="AY19" s="59">
        <f ca="1">OFFSET(AY19,LEFT(Summary!$D$4,1),0)</f>
        <v>0.02</v>
      </c>
      <c r="AZ19" s="59">
        <f ca="1">OFFSET(AZ19,LEFT(Summary!$D$4,1),0)</f>
        <v>0.02</v>
      </c>
      <c r="BA19" s="59">
        <f ca="1">OFFSET(BA19,LEFT(Summary!$D$4,1),0)</f>
        <v>0.02</v>
      </c>
      <c r="BB19" s="59">
        <f ca="1">OFFSET(BB19,LEFT(Summary!$D$4,1),0)</f>
        <v>0.02</v>
      </c>
      <c r="BC19" s="59">
        <f ca="1">OFFSET(BC19,LEFT(Summary!$D$4,1),0)</f>
        <v>0.02</v>
      </c>
      <c r="BD19" s="59">
        <f ca="1">OFFSET(BD19,LEFT(Summary!$D$4,1),0)</f>
        <v>0.02</v>
      </c>
      <c r="BE19" s="59">
        <f ca="1">OFFSET(BE19,LEFT(Summary!$D$4,1),0)</f>
        <v>0.02</v>
      </c>
      <c r="BF19" s="59">
        <f ca="1">OFFSET(BF19,LEFT(Summary!$D$4,1),0)</f>
        <v>0.02</v>
      </c>
      <c r="BG19" s="59">
        <f ca="1">OFFSET(BG19,LEFT(Summary!$D$4,1),0)</f>
        <v>0.02</v>
      </c>
      <c r="BH19" s="59">
        <f ca="1">OFFSET(BH19,LEFT(Summary!$D$4,1),0)</f>
        <v>0.02</v>
      </c>
      <c r="BI19" s="59">
        <f ca="1">OFFSET(BI19,LEFT(Summary!$D$4,1),0)</f>
        <v>0.02</v>
      </c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x14ac:dyDescent="0.25">
      <c r="A20" s="1"/>
      <c r="B20" s="1"/>
      <c r="C20" s="1"/>
      <c r="D20" s="11" t="s">
        <v>13</v>
      </c>
      <c r="E20" s="1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60">
        <f>AT21+0.01</f>
        <v>0.02</v>
      </c>
      <c r="AU20" s="60">
        <f t="shared" ref="AU20" si="35">AU21+0.01</f>
        <v>0.02</v>
      </c>
      <c r="AV20" s="60">
        <f t="shared" ref="AV20" si="36">AV21+0.01</f>
        <v>0.02</v>
      </c>
      <c r="AW20" s="60">
        <f t="shared" ref="AW20" si="37">AW21+0.01</f>
        <v>0.02</v>
      </c>
      <c r="AX20" s="60">
        <f t="shared" ref="AX20" si="38">AX21+0.01</f>
        <v>0.03</v>
      </c>
      <c r="AY20" s="60">
        <f t="shared" ref="AY20" si="39">AY21+0.01</f>
        <v>0.03</v>
      </c>
      <c r="AZ20" s="60">
        <f t="shared" ref="AZ20" si="40">AZ21+0.01</f>
        <v>0.03</v>
      </c>
      <c r="BA20" s="60">
        <f t="shared" ref="BA20" si="41">BA21+0.01</f>
        <v>0.03</v>
      </c>
      <c r="BB20" s="60">
        <f t="shared" ref="BB20" si="42">BB21+0.01</f>
        <v>0.03</v>
      </c>
      <c r="BC20" s="60">
        <f t="shared" ref="BC20" si="43">BC21+0.01</f>
        <v>0.03</v>
      </c>
      <c r="BD20" s="60">
        <f t="shared" ref="BD20" si="44">BD21+0.01</f>
        <v>0.03</v>
      </c>
      <c r="BE20" s="60">
        <f t="shared" ref="BE20" si="45">BE21+0.01</f>
        <v>0.03</v>
      </c>
      <c r="BF20" s="60">
        <f t="shared" ref="BF20" si="46">BF21+0.01</f>
        <v>0.03</v>
      </c>
      <c r="BG20" s="60">
        <f t="shared" ref="BG20" si="47">BG21+0.01</f>
        <v>0.03</v>
      </c>
      <c r="BH20" s="60">
        <f t="shared" ref="BH20" si="48">BH21+0.01</f>
        <v>0.03</v>
      </c>
      <c r="BI20" s="60">
        <f t="shared" ref="BI20" si="49">BI21+0.01</f>
        <v>0.03</v>
      </c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x14ac:dyDescent="0.25">
      <c r="A21" s="1"/>
      <c r="B21" s="1"/>
      <c r="C21" s="1"/>
      <c r="D21" s="11" t="s">
        <v>16</v>
      </c>
      <c r="E21" s="1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60">
        <v>0.01</v>
      </c>
      <c r="AU21" s="60">
        <v>0.01</v>
      </c>
      <c r="AV21" s="60">
        <v>0.01</v>
      </c>
      <c r="AW21" s="60">
        <v>0.01</v>
      </c>
      <c r="AX21" s="60">
        <v>0.02</v>
      </c>
      <c r="AY21" s="60">
        <v>0.02</v>
      </c>
      <c r="AZ21" s="60">
        <v>0.02</v>
      </c>
      <c r="BA21" s="60">
        <v>0.02</v>
      </c>
      <c r="BB21" s="60">
        <v>0.02</v>
      </c>
      <c r="BC21" s="60">
        <v>0.02</v>
      </c>
      <c r="BD21" s="60">
        <v>0.02</v>
      </c>
      <c r="BE21" s="60">
        <v>0.02</v>
      </c>
      <c r="BF21" s="60">
        <v>0.02</v>
      </c>
      <c r="BG21" s="60">
        <v>0.02</v>
      </c>
      <c r="BH21" s="60">
        <v>0.02</v>
      </c>
      <c r="BI21" s="60">
        <v>0.02</v>
      </c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x14ac:dyDescent="0.25">
      <c r="A22" s="1"/>
      <c r="B22" s="1"/>
      <c r="C22" s="1"/>
      <c r="D22" s="11" t="s">
        <v>17</v>
      </c>
      <c r="E22" s="1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60">
        <f>AT21-0.01</f>
        <v>0</v>
      </c>
      <c r="AU22" s="60">
        <f t="shared" ref="AU22" si="50">AU21-0.01</f>
        <v>0</v>
      </c>
      <c r="AV22" s="60">
        <f t="shared" ref="AV22" si="51">AV21-0.01</f>
        <v>0</v>
      </c>
      <c r="AW22" s="60">
        <f t="shared" ref="AW22" si="52">AW21-0.01</f>
        <v>0</v>
      </c>
      <c r="AX22" s="60">
        <f t="shared" ref="AX22" si="53">AX21-0.01</f>
        <v>0.01</v>
      </c>
      <c r="AY22" s="60">
        <f t="shared" ref="AY22" si="54">AY21-0.01</f>
        <v>0.01</v>
      </c>
      <c r="AZ22" s="60">
        <f t="shared" ref="AZ22" si="55">AZ21-0.01</f>
        <v>0.01</v>
      </c>
      <c r="BA22" s="60">
        <f t="shared" ref="BA22" si="56">BA21-0.01</f>
        <v>0.01</v>
      </c>
      <c r="BB22" s="60">
        <f t="shared" ref="BB22" si="57">BB21-0.01</f>
        <v>0.01</v>
      </c>
      <c r="BC22" s="60">
        <f t="shared" ref="BC22" si="58">BC21-0.01</f>
        <v>0.01</v>
      </c>
      <c r="BD22" s="60">
        <f t="shared" ref="BD22" si="59">BD21-0.01</f>
        <v>0.01</v>
      </c>
      <c r="BE22" s="60">
        <f t="shared" ref="BE22" si="60">BE21-0.01</f>
        <v>0.01</v>
      </c>
      <c r="BF22" s="60">
        <f t="shared" ref="BF22" si="61">BF21-0.01</f>
        <v>0.01</v>
      </c>
      <c r="BG22" s="60">
        <f t="shared" ref="BG22" si="62">BG21-0.01</f>
        <v>0.01</v>
      </c>
      <c r="BH22" s="60">
        <f t="shared" ref="BH22" si="63">BH21-0.01</f>
        <v>0.01</v>
      </c>
      <c r="BI22" s="60">
        <f t="shared" ref="BI22" si="64">BI21-0.01</f>
        <v>0.01</v>
      </c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15" customHeight="1" x14ac:dyDescent="0.25">
      <c r="A24" s="1"/>
      <c r="B24" s="3" t="s">
        <v>115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x14ac:dyDescent="0.25">
      <c r="A25" s="1"/>
      <c r="B25" s="1"/>
      <c r="C25" s="11" t="s">
        <v>112</v>
      </c>
      <c r="D25" s="1"/>
      <c r="E25" s="1"/>
      <c r="F25" s="53">
        <f>'Canalyst HC - Q'!C43</f>
        <v>0</v>
      </c>
      <c r="G25" s="53">
        <f>'Canalyst HC - Q'!D43</f>
        <v>0</v>
      </c>
      <c r="H25" s="53">
        <f>'Canalyst HC - Q'!E43</f>
        <v>0</v>
      </c>
      <c r="I25" s="53">
        <f>'Canalyst HC - Q'!F43</f>
        <v>0</v>
      </c>
      <c r="J25" s="53">
        <f>'Canalyst HC - Q'!G43</f>
        <v>18.647200000000002</v>
      </c>
      <c r="K25" s="53">
        <f>'Canalyst HC - Q'!H43</f>
        <v>28.4085</v>
      </c>
      <c r="L25" s="53">
        <f>'Canalyst HC - Q'!I43</f>
        <v>30.293199999999999</v>
      </c>
      <c r="M25" s="53">
        <f>'Canalyst HC - Q'!J43</f>
        <v>22.057700000000029</v>
      </c>
      <c r="N25" s="53">
        <f>'Canalyst HC - Q'!K43</f>
        <v>21.84</v>
      </c>
      <c r="O25" s="53">
        <f>'Canalyst HC - Q'!L43</f>
        <v>26.759699999999999</v>
      </c>
      <c r="P25" s="53">
        <f>'Canalyst HC - Q'!M43</f>
        <v>27.917400000000001</v>
      </c>
      <c r="Q25" s="53">
        <f>'Canalyst HC - Q'!N43</f>
        <v>19.389700000000001</v>
      </c>
      <c r="R25" s="53">
        <f>'Canalyst HC - Q'!O43</f>
        <v>21.504999999999999</v>
      </c>
      <c r="S25" s="53">
        <f>'Canalyst HC - Q'!P43</f>
        <v>27.331</v>
      </c>
      <c r="T25" s="53">
        <f>'Canalyst HC - Q'!Q43</f>
        <v>29.263799999999989</v>
      </c>
      <c r="U25" s="53">
        <f>'Canalyst HC - Q'!R43</f>
        <v>22.45780000000001</v>
      </c>
      <c r="V25" s="53">
        <f>'Canalyst HC - Q'!S43</f>
        <v>24.318999999999999</v>
      </c>
      <c r="W25" s="53">
        <f>'Canalyst HC - Q'!T43</f>
        <v>25.507999999999999</v>
      </c>
      <c r="X25" s="53">
        <f>'Canalyst HC - Q'!U43</f>
        <v>30.582499999999989</v>
      </c>
      <c r="Y25" s="53">
        <f>'Canalyst HC - Q'!V43</f>
        <v>25.077700000000021</v>
      </c>
      <c r="Z25" s="53">
        <f>'Canalyst HC - Q'!W43</f>
        <v>25.8093</v>
      </c>
      <c r="AA25" s="53">
        <f>'Canalyst HC - Q'!X43</f>
        <v>30.847999999999999</v>
      </c>
      <c r="AB25" s="53">
        <f>'Canalyst HC - Q'!Y43</f>
        <v>30.387499999999999</v>
      </c>
      <c r="AC25" s="53">
        <f>'Canalyst HC - Q'!Z43</f>
        <v>24.963200000000001</v>
      </c>
      <c r="AD25" s="723">
        <v>26.22</v>
      </c>
      <c r="AE25" s="723">
        <v>30.67</v>
      </c>
      <c r="AF25" s="723">
        <v>30.411999999999999</v>
      </c>
      <c r="AG25" s="723">
        <v>21.152999999999999</v>
      </c>
      <c r="AH25" s="53">
        <f>'Canalyst HC - Q'!AE43</f>
        <v>21.152999999999999</v>
      </c>
      <c r="AI25" s="53">
        <f>'Canalyst HC - Q'!AF43</f>
        <v>24.655000000000001</v>
      </c>
      <c r="AJ25" s="53">
        <f>'Canalyst HC - Q'!AG43</f>
        <v>25.545999999999999</v>
      </c>
      <c r="AK25" s="53">
        <f>'Canalyst HC - Q'!AH43</f>
        <v>20.141000000000009</v>
      </c>
      <c r="AL25" s="53">
        <f>'Canalyst HC - Q'!AI43</f>
        <v>20.326000000000001</v>
      </c>
      <c r="AM25" s="53">
        <f>'Canalyst HC - Q'!AJ43</f>
        <v>23.791</v>
      </c>
      <c r="AN25" s="53">
        <f>'Canalyst HC - Q'!AK43</f>
        <v>23.077999999999999</v>
      </c>
      <c r="AO25" s="53">
        <f>'Canalyst HC - Q'!AL43</f>
        <v>19.221999999999991</v>
      </c>
      <c r="AP25" s="53">
        <f>'Canalyst HC - Q'!AM43</f>
        <v>18.097999999999999</v>
      </c>
      <c r="AQ25" s="53">
        <f>'Canalyst HC - Q'!AN43</f>
        <v>23.219000000000001</v>
      </c>
      <c r="AR25" s="53">
        <f>'Canalyst HC - Q'!AO43</f>
        <v>25.122</v>
      </c>
      <c r="AS25" s="53">
        <f>'Canalyst HC - Q'!AP43</f>
        <v>20.86000000000001</v>
      </c>
      <c r="AT25" s="56">
        <f t="shared" ref="AT25:BI25" ca="1" si="65">AP25*(1+AT26)</f>
        <v>20.08878</v>
      </c>
      <c r="AU25" s="56">
        <f t="shared" ca="1" si="65"/>
        <v>22.986810000000002</v>
      </c>
      <c r="AV25" s="56">
        <f t="shared" ca="1" si="65"/>
        <v>24.87078</v>
      </c>
      <c r="AW25" s="56">
        <f t="shared" ca="1" si="65"/>
        <v>20.65140000000001</v>
      </c>
      <c r="AX25" s="56">
        <f t="shared" ca="1" si="65"/>
        <v>20.2896678</v>
      </c>
      <c r="AY25" s="56">
        <f t="shared" ca="1" si="65"/>
        <v>23.216678100000003</v>
      </c>
      <c r="AZ25" s="56">
        <f t="shared" ca="1" si="65"/>
        <v>25.119487800000002</v>
      </c>
      <c r="BA25" s="56">
        <f t="shared" ca="1" si="65"/>
        <v>20.857914000000008</v>
      </c>
      <c r="BB25" s="56">
        <f t="shared" ca="1" si="65"/>
        <v>20.492564478000002</v>
      </c>
      <c r="BC25" s="56">
        <f t="shared" ca="1" si="65"/>
        <v>23.448844881000003</v>
      </c>
      <c r="BD25" s="56">
        <f t="shared" ca="1" si="65"/>
        <v>25.370682678000001</v>
      </c>
      <c r="BE25" s="56">
        <f t="shared" ca="1" si="65"/>
        <v>21.066493140000009</v>
      </c>
      <c r="BF25" s="56">
        <f t="shared" ca="1" si="65"/>
        <v>20.697490122780003</v>
      </c>
      <c r="BG25" s="56">
        <f t="shared" ca="1" si="65"/>
        <v>23.683333329810004</v>
      </c>
      <c r="BH25" s="56">
        <f t="shared" ca="1" si="65"/>
        <v>25.624389504780002</v>
      </c>
      <c r="BI25" s="56">
        <f t="shared" ca="1" si="65"/>
        <v>21.277158071400009</v>
      </c>
      <c r="BJ25" s="1"/>
      <c r="BK25" s="694">
        <f t="shared" ref="BK25:BX25" si="66">SUMIF($F$1:$BI$1,BK$1,$F25:$BI25)</f>
        <v>0</v>
      </c>
      <c r="BL25" s="694">
        <f t="shared" si="66"/>
        <v>99.406600000000026</v>
      </c>
      <c r="BM25" s="694">
        <f t="shared" si="66"/>
        <v>95.906800000000004</v>
      </c>
      <c r="BN25" s="694">
        <f t="shared" si="66"/>
        <v>100.55759999999999</v>
      </c>
      <c r="BO25" s="694">
        <f t="shared" si="66"/>
        <v>105.4872</v>
      </c>
      <c r="BP25" s="694">
        <f t="shared" si="66"/>
        <v>112.008</v>
      </c>
      <c r="BQ25" s="694">
        <f t="shared" si="66"/>
        <v>108.45499999999998</v>
      </c>
      <c r="BR25" s="694">
        <f t="shared" si="66"/>
        <v>91.495000000000005</v>
      </c>
      <c r="BS25" s="694">
        <f t="shared" si="66"/>
        <v>86.417000000000002</v>
      </c>
      <c r="BT25" s="694">
        <f t="shared" si="66"/>
        <v>87.299000000000007</v>
      </c>
      <c r="BU25" s="694">
        <f t="shared" ca="1" si="66"/>
        <v>88.597770000000011</v>
      </c>
      <c r="BV25" s="694">
        <f t="shared" ca="1" si="66"/>
        <v>89.483747700000009</v>
      </c>
      <c r="BW25" s="694">
        <f t="shared" ca="1" si="66"/>
        <v>90.378585177000019</v>
      </c>
      <c r="BX25" s="694">
        <f t="shared" ca="1" si="66"/>
        <v>91.282371028770015</v>
      </c>
    </row>
    <row r="26" spans="1:76" x14ac:dyDescent="0.25">
      <c r="A26" s="1"/>
      <c r="B26" s="1"/>
      <c r="C26" s="57" t="s">
        <v>113</v>
      </c>
      <c r="D26" s="1"/>
      <c r="E26" s="1"/>
      <c r="F26" s="58"/>
      <c r="G26" s="58"/>
      <c r="H26" s="58"/>
      <c r="I26" s="58"/>
      <c r="J26" s="59">
        <f t="shared" ref="J26:AS26" si="67">IF(F25=0,0,J25/F25-1)</f>
        <v>0</v>
      </c>
      <c r="K26" s="59">
        <f t="shared" si="67"/>
        <v>0</v>
      </c>
      <c r="L26" s="59">
        <f t="shared" si="67"/>
        <v>0</v>
      </c>
      <c r="M26" s="59">
        <f t="shared" si="67"/>
        <v>0</v>
      </c>
      <c r="N26" s="59">
        <f t="shared" si="67"/>
        <v>0.17122141662018953</v>
      </c>
      <c r="O26" s="59">
        <f t="shared" si="67"/>
        <v>-5.8038967210518044E-2</v>
      </c>
      <c r="P26" s="59">
        <f t="shared" si="67"/>
        <v>-7.8426841667436853E-2</v>
      </c>
      <c r="Q26" s="59">
        <f t="shared" si="67"/>
        <v>-0.12095549399982886</v>
      </c>
      <c r="R26" s="59">
        <f t="shared" si="67"/>
        <v>-1.5338827838827895E-2</v>
      </c>
      <c r="S26" s="59">
        <f t="shared" si="67"/>
        <v>2.1349267742164502E-2</v>
      </c>
      <c r="T26" s="59">
        <f t="shared" si="67"/>
        <v>4.8227986846912207E-2</v>
      </c>
      <c r="U26" s="59">
        <f t="shared" si="67"/>
        <v>0.15823349510307061</v>
      </c>
      <c r="V26" s="59">
        <f t="shared" si="67"/>
        <v>0.13085328993257384</v>
      </c>
      <c r="W26" s="59">
        <f t="shared" si="67"/>
        <v>-6.6700815923310564E-2</v>
      </c>
      <c r="X26" s="59">
        <f t="shared" si="67"/>
        <v>4.5062500427148988E-2</v>
      </c>
      <c r="Y26" s="59">
        <f t="shared" si="67"/>
        <v>0.1166588000605584</v>
      </c>
      <c r="Z26" s="59">
        <f t="shared" si="67"/>
        <v>6.1281302685143313E-2</v>
      </c>
      <c r="AA26" s="59">
        <f t="shared" si="67"/>
        <v>0.20934608750196015</v>
      </c>
      <c r="AB26" s="59">
        <f t="shared" si="67"/>
        <v>-6.3761955366627987E-3</v>
      </c>
      <c r="AC26" s="59">
        <f t="shared" si="67"/>
        <v>-4.5658094641861657E-3</v>
      </c>
      <c r="AD26" s="59">
        <f t="shared" si="67"/>
        <v>1.5912868617126374E-2</v>
      </c>
      <c r="AE26" s="59">
        <f t="shared" si="67"/>
        <v>-5.7702282157675588E-3</v>
      </c>
      <c r="AF26" s="59">
        <f t="shared" si="67"/>
        <v>8.0625257095845448E-4</v>
      </c>
      <c r="AG26" s="59">
        <f t="shared" si="67"/>
        <v>-0.15263267529803881</v>
      </c>
      <c r="AH26" s="59">
        <f t="shared" si="67"/>
        <v>-0.19324942791762012</v>
      </c>
      <c r="AI26" s="59">
        <f t="shared" si="67"/>
        <v>-0.19611998695793931</v>
      </c>
      <c r="AJ26" s="59">
        <f t="shared" si="67"/>
        <v>-0.16000263054057606</v>
      </c>
      <c r="AK26" s="59">
        <f t="shared" si="67"/>
        <v>-4.7841913676546555E-2</v>
      </c>
      <c r="AL26" s="59">
        <f t="shared" si="67"/>
        <v>-3.9096109298917381E-2</v>
      </c>
      <c r="AM26" s="59">
        <f t="shared" si="67"/>
        <v>-3.5043601703508398E-2</v>
      </c>
      <c r="AN26" s="59">
        <f t="shared" si="67"/>
        <v>-9.6610036796367371E-2</v>
      </c>
      <c r="AO26" s="59">
        <f t="shared" si="67"/>
        <v>-4.5628320341592699E-2</v>
      </c>
      <c r="AP26" s="59">
        <f t="shared" si="67"/>
        <v>-0.10961330315851625</v>
      </c>
      <c r="AQ26" s="59">
        <f t="shared" si="67"/>
        <v>-2.4042705224664784E-2</v>
      </c>
      <c r="AR26" s="59">
        <f t="shared" si="67"/>
        <v>8.8569200103995271E-2</v>
      </c>
      <c r="AS26" s="59">
        <f t="shared" si="67"/>
        <v>8.5214857975237868E-2</v>
      </c>
      <c r="AT26" s="59">
        <f ca="1">OFFSET(AT26,LEFT(Summary!$D$4,1),0)</f>
        <v>0.11</v>
      </c>
      <c r="AU26" s="59">
        <f ca="1">OFFSET(AU26,LEFT(Summary!$D$4,1),0)</f>
        <v>-0.01</v>
      </c>
      <c r="AV26" s="59">
        <f ca="1">OFFSET(AV26,LEFT(Summary!$D$4,1),0)</f>
        <v>-0.01</v>
      </c>
      <c r="AW26" s="59">
        <f ca="1">OFFSET(AW26,LEFT(Summary!$D$4,1),0)</f>
        <v>-0.01</v>
      </c>
      <c r="AX26" s="59">
        <f ca="1">OFFSET(AX26,LEFT(Summary!$D$4,1),0)</f>
        <v>0.01</v>
      </c>
      <c r="AY26" s="59">
        <f ca="1">OFFSET(AY26,LEFT(Summary!$D$4,1),0)</f>
        <v>0.01</v>
      </c>
      <c r="AZ26" s="59">
        <f ca="1">OFFSET(AZ26,LEFT(Summary!$D$4,1),0)</f>
        <v>0.01</v>
      </c>
      <c r="BA26" s="59">
        <f ca="1">OFFSET(BA26,LEFT(Summary!$D$4,1),0)</f>
        <v>0.01</v>
      </c>
      <c r="BB26" s="59">
        <f ca="1">OFFSET(BB26,LEFT(Summary!$D$4,1),0)</f>
        <v>0.01</v>
      </c>
      <c r="BC26" s="59">
        <f ca="1">OFFSET(BC26,LEFT(Summary!$D$4,1),0)</f>
        <v>0.01</v>
      </c>
      <c r="BD26" s="59">
        <f ca="1">OFFSET(BD26,LEFT(Summary!$D$4,1),0)</f>
        <v>0.01</v>
      </c>
      <c r="BE26" s="59">
        <f ca="1">OFFSET(BE26,LEFT(Summary!$D$4,1),0)</f>
        <v>0.01</v>
      </c>
      <c r="BF26" s="59">
        <f ca="1">OFFSET(BF26,LEFT(Summary!$D$4,1),0)</f>
        <v>0.01</v>
      </c>
      <c r="BG26" s="59">
        <f ca="1">OFFSET(BG26,LEFT(Summary!$D$4,1),0)</f>
        <v>0.01</v>
      </c>
      <c r="BH26" s="59">
        <f ca="1">OFFSET(BH26,LEFT(Summary!$D$4,1),0)</f>
        <v>0.01</v>
      </c>
      <c r="BI26" s="59">
        <f ca="1">OFFSET(BI26,LEFT(Summary!$D$4,1),0)</f>
        <v>0.01</v>
      </c>
      <c r="BJ26" s="1"/>
      <c r="BK26" s="1"/>
      <c r="BL26" s="1"/>
      <c r="BM26" s="59">
        <f t="shared" ref="BM26" si="68">BM25/BL25-1</f>
        <v>-3.520691785052521E-2</v>
      </c>
      <c r="BN26" s="59">
        <f t="shared" ref="BN26" si="69">BN25/BM25-1</f>
        <v>4.8492911868605715E-2</v>
      </c>
      <c r="BO26" s="59">
        <f t="shared" ref="BO26" si="70">BO25/BN25-1</f>
        <v>4.9022649705243726E-2</v>
      </c>
      <c r="BP26" s="59">
        <f t="shared" ref="BP26:BQ26" si="71">BP25/BO25-1</f>
        <v>6.1816030760130092E-2</v>
      </c>
      <c r="BQ26" s="59">
        <f t="shared" si="71"/>
        <v>-3.1720948503678459E-2</v>
      </c>
      <c r="BR26" s="59">
        <f t="shared" ref="BR26" si="72">BR25/BQ25-1</f>
        <v>-0.15637822138213986</v>
      </c>
      <c r="BS26" s="59">
        <f t="shared" ref="BS26" si="73">BS25/BR25-1</f>
        <v>-5.5500300562872362E-2</v>
      </c>
      <c r="BT26" s="59">
        <f t="shared" ref="BT26" si="74">BT25/BS25-1</f>
        <v>1.0206325144358264E-2</v>
      </c>
      <c r="BU26" s="59">
        <f t="shared" ref="BU26" ca="1" si="75">BU25/BT25-1</f>
        <v>1.4877260907914192E-2</v>
      </c>
      <c r="BV26" s="59">
        <f t="shared" ref="BV26" ca="1" si="76">BV25/BU25-1</f>
        <v>1.0000000000000009E-2</v>
      </c>
      <c r="BW26" s="59">
        <f t="shared" ref="BW26" ca="1" si="77">BW25/BV25-1</f>
        <v>1.0000000000000009E-2</v>
      </c>
      <c r="BX26" s="59">
        <f t="shared" ref="BX26" ca="1" si="78">BX25/BW25-1</f>
        <v>1.0000000000000009E-2</v>
      </c>
    </row>
    <row r="27" spans="1:76" x14ac:dyDescent="0.25">
      <c r="A27" s="1"/>
      <c r="B27" s="1"/>
      <c r="C27" s="1"/>
      <c r="D27" s="11" t="s">
        <v>13</v>
      </c>
      <c r="E27" s="1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60">
        <f>AT28+0.01</f>
        <v>0.12</v>
      </c>
      <c r="AU27" s="60">
        <f t="shared" ref="AU27" si="79">AU28+0.01</f>
        <v>0</v>
      </c>
      <c r="AV27" s="60">
        <f t="shared" ref="AV27" si="80">AV28+0.01</f>
        <v>0</v>
      </c>
      <c r="AW27" s="60">
        <f t="shared" ref="AW27" si="81">AW28+0.01</f>
        <v>0</v>
      </c>
      <c r="AX27" s="60">
        <f t="shared" ref="AX27" si="82">AX28+0.01</f>
        <v>0.02</v>
      </c>
      <c r="AY27" s="60">
        <f t="shared" ref="AY27" si="83">AY28+0.01</f>
        <v>0.02</v>
      </c>
      <c r="AZ27" s="60">
        <f t="shared" ref="AZ27" si="84">AZ28+0.01</f>
        <v>0.02</v>
      </c>
      <c r="BA27" s="60">
        <f t="shared" ref="BA27" si="85">BA28+0.01</f>
        <v>0.02</v>
      </c>
      <c r="BB27" s="60">
        <f t="shared" ref="BB27" si="86">BB28+0.01</f>
        <v>0.02</v>
      </c>
      <c r="BC27" s="60">
        <f t="shared" ref="BC27" si="87">BC28+0.01</f>
        <v>0.02</v>
      </c>
      <c r="BD27" s="60">
        <f t="shared" ref="BD27" si="88">BD28+0.01</f>
        <v>0.02</v>
      </c>
      <c r="BE27" s="60">
        <f t="shared" ref="BE27" si="89">BE28+0.01</f>
        <v>0.02</v>
      </c>
      <c r="BF27" s="60">
        <f t="shared" ref="BF27" si="90">BF28+0.01</f>
        <v>0.02</v>
      </c>
      <c r="BG27" s="60">
        <f t="shared" ref="BG27" si="91">BG28+0.01</f>
        <v>0.02</v>
      </c>
      <c r="BH27" s="60">
        <f t="shared" ref="BH27" si="92">BH28+0.01</f>
        <v>0.02</v>
      </c>
      <c r="BI27" s="60">
        <f t="shared" ref="BI27" si="93">BI28+0.01</f>
        <v>0.02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x14ac:dyDescent="0.25">
      <c r="A28" s="1"/>
      <c r="B28" s="1"/>
      <c r="C28" s="1"/>
      <c r="D28" s="11" t="s">
        <v>16</v>
      </c>
      <c r="E28" s="1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60">
        <v>0.11</v>
      </c>
      <c r="AU28" s="60">
        <v>-0.01</v>
      </c>
      <c r="AV28" s="60">
        <v>-0.01</v>
      </c>
      <c r="AW28" s="60">
        <v>-0.01</v>
      </c>
      <c r="AX28" s="60">
        <v>0.01</v>
      </c>
      <c r="AY28" s="60">
        <v>0.01</v>
      </c>
      <c r="AZ28" s="60">
        <v>0.01</v>
      </c>
      <c r="BA28" s="60">
        <v>0.01</v>
      </c>
      <c r="BB28" s="60">
        <v>0.01</v>
      </c>
      <c r="BC28" s="60">
        <v>0.01</v>
      </c>
      <c r="BD28" s="60">
        <v>0.01</v>
      </c>
      <c r="BE28" s="60">
        <v>0.01</v>
      </c>
      <c r="BF28" s="60">
        <v>0.01</v>
      </c>
      <c r="BG28" s="60">
        <v>0.01</v>
      </c>
      <c r="BH28" s="60">
        <v>0.01</v>
      </c>
      <c r="BI28" s="60">
        <v>0.01</v>
      </c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x14ac:dyDescent="0.25">
      <c r="A29" s="1"/>
      <c r="B29" s="1"/>
      <c r="C29" s="1"/>
      <c r="D29" s="11" t="s">
        <v>17</v>
      </c>
      <c r="E29" s="1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60">
        <f>AT28-0.01</f>
        <v>0.1</v>
      </c>
      <c r="AU29" s="60">
        <f t="shared" ref="AU29" si="94">AU28-0.01</f>
        <v>-0.02</v>
      </c>
      <c r="AV29" s="60">
        <f t="shared" ref="AV29" si="95">AV28-0.01</f>
        <v>-0.02</v>
      </c>
      <c r="AW29" s="60">
        <f t="shared" ref="AW29" si="96">AW28-0.01</f>
        <v>-0.02</v>
      </c>
      <c r="AX29" s="60">
        <f>AX28-0.02</f>
        <v>-0.01</v>
      </c>
      <c r="AY29" s="60">
        <f t="shared" ref="AY29:BI29" si="97">AY28-0.02</f>
        <v>-0.01</v>
      </c>
      <c r="AZ29" s="60">
        <f t="shared" si="97"/>
        <v>-0.01</v>
      </c>
      <c r="BA29" s="60">
        <f t="shared" si="97"/>
        <v>-0.01</v>
      </c>
      <c r="BB29" s="60">
        <f t="shared" si="97"/>
        <v>-0.01</v>
      </c>
      <c r="BC29" s="60">
        <f t="shared" si="97"/>
        <v>-0.01</v>
      </c>
      <c r="BD29" s="60">
        <f t="shared" si="97"/>
        <v>-0.01</v>
      </c>
      <c r="BE29" s="60">
        <f t="shared" si="97"/>
        <v>-0.01</v>
      </c>
      <c r="BF29" s="60">
        <f t="shared" si="97"/>
        <v>-0.01</v>
      </c>
      <c r="BG29" s="60">
        <f t="shared" si="97"/>
        <v>-0.01</v>
      </c>
      <c r="BH29" s="60">
        <f t="shared" si="97"/>
        <v>-0.01</v>
      </c>
      <c r="BI29" s="60">
        <f t="shared" si="97"/>
        <v>-0.01</v>
      </c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spans="1:76" ht="15" customHeight="1" x14ac:dyDescent="0.25">
      <c r="A30" s="1"/>
      <c r="B30" s="1"/>
      <c r="C30" s="3" t="s">
        <v>61</v>
      </c>
      <c r="D30" s="1"/>
      <c r="E30" s="1"/>
      <c r="F30" s="45">
        <f>'Canalyst HC - Q'!C20</f>
        <v>166.19</v>
      </c>
      <c r="G30" s="45">
        <f>'Canalyst HC - Q'!D20</f>
        <v>246.37100000000001</v>
      </c>
      <c r="H30" s="45">
        <f>'Canalyst HC - Q'!E20</f>
        <v>261.50799999999998</v>
      </c>
      <c r="I30" s="45">
        <f>'Canalyst HC - Q'!F20</f>
        <v>218.05600000000001</v>
      </c>
      <c r="J30" s="45">
        <f>'Canalyst HC - Q'!G20</f>
        <v>256.05799999999999</v>
      </c>
      <c r="K30" s="45">
        <f>'Canalyst HC - Q'!H20</f>
        <v>368.95499999999998</v>
      </c>
      <c r="L30" s="45">
        <f>'Canalyst HC - Q'!I20</f>
        <v>384.495</v>
      </c>
      <c r="M30" s="45">
        <f>'Canalyst HC - Q'!J20</f>
        <v>316.46100000000013</v>
      </c>
      <c r="N30" s="45">
        <f>'Canalyst HC - Q'!K20</f>
        <v>320.91699999999997</v>
      </c>
      <c r="O30" s="45">
        <f>'Canalyst HC - Q'!L20</f>
        <v>393.01499999999999</v>
      </c>
      <c r="P30" s="45">
        <f>'Canalyst HC - Q'!M20</f>
        <v>400.79500000000002</v>
      </c>
      <c r="Q30" s="45">
        <f>'Canalyst HC - Q'!N20</f>
        <v>356.7639999999999</v>
      </c>
      <c r="R30" s="45">
        <f>'Canalyst HC - Q'!O20</f>
        <v>343.69499999999999</v>
      </c>
      <c r="S30" s="45">
        <f>'Canalyst HC - Q'!P20</f>
        <v>421.45</v>
      </c>
      <c r="T30" s="45">
        <f>'Canalyst HC - Q'!Q20</f>
        <v>438.51</v>
      </c>
      <c r="U30" s="45">
        <f>'Canalyst HC - Q'!R20</f>
        <v>355.28899999999999</v>
      </c>
      <c r="V30" s="45">
        <f>'Canalyst HC - Q'!S20</f>
        <v>373.27800000000002</v>
      </c>
      <c r="W30" s="45">
        <f>'Canalyst HC - Q'!T20</f>
        <v>397.04500000000002</v>
      </c>
      <c r="X30" s="45">
        <f>'Canalyst HC - Q'!U20</f>
        <v>464.92099999999999</v>
      </c>
      <c r="Y30" s="45">
        <f>'Canalyst HC - Q'!V20</f>
        <v>406.47199999999981</v>
      </c>
      <c r="Z30" s="45">
        <f>'Canalyst HC - Q'!W20</f>
        <v>420.05599999999998</v>
      </c>
      <c r="AA30" s="45">
        <f>'Canalyst HC - Q'!X20</f>
        <v>498.99</v>
      </c>
      <c r="AB30" s="45">
        <f>'Canalyst HC - Q'!Y20</f>
        <v>503.99</v>
      </c>
      <c r="AC30" s="45">
        <f>'Canalyst HC - Q'!Z20</f>
        <v>438.12599999999998</v>
      </c>
      <c r="AD30" s="45">
        <f>'Canalyst HC - Q'!AA20</f>
        <v>467.93299999999999</v>
      </c>
      <c r="AE30" s="45">
        <f>'Canalyst HC - Q'!AB20</f>
        <v>539.58900000000006</v>
      </c>
      <c r="AF30" s="45">
        <f>'Canalyst HC - Q'!AC20</f>
        <v>548.33299999999997</v>
      </c>
      <c r="AG30" s="45">
        <f>'Canalyst HC - Q'!AD20</f>
        <v>468.1</v>
      </c>
      <c r="AH30" s="45">
        <f>'Canalyst HC - Q'!AE20</f>
        <v>509.62799999999999</v>
      </c>
      <c r="AI30" s="45">
        <f>'Canalyst HC - Q'!AF20</f>
        <v>573.64099999999996</v>
      </c>
      <c r="AJ30" s="45">
        <f>'Canalyst HC - Q'!AG20</f>
        <v>575.95399999999995</v>
      </c>
      <c r="AK30" s="45">
        <f>'Canalyst HC - Q'!AH20</f>
        <v>488.6</v>
      </c>
      <c r="AL30" s="45">
        <f>'Canalyst HC - Q'!AI20</f>
        <v>511.642</v>
      </c>
      <c r="AM30" s="45">
        <f>'Canalyst HC - Q'!AJ20</f>
        <v>597.48500000000001</v>
      </c>
      <c r="AN30" s="45">
        <f>'Canalyst HC - Q'!AK20</f>
        <v>585.52700000000004</v>
      </c>
      <c r="AO30" s="45">
        <f>'Canalyst HC - Q'!AL20</f>
        <v>531.29999999999995</v>
      </c>
      <c r="AP30" s="45">
        <f>'Canalyst HC - Q'!AM20</f>
        <v>509.15699999999998</v>
      </c>
      <c r="AQ30" s="45">
        <f>'Canalyst HC - Q'!AN20</f>
        <v>626.07799999999997</v>
      </c>
      <c r="AR30" s="45">
        <f>'Canalyst HC - Q'!AO20</f>
        <v>643.28700000000003</v>
      </c>
      <c r="AS30" s="45">
        <f>'Canalyst HC - Q'!AP20</f>
        <v>584.4</v>
      </c>
      <c r="AT30" s="694">
        <f t="shared" ref="AT30:BI30" ca="1" si="98">AT31*AT25</f>
        <v>570.81591270000001</v>
      </c>
      <c r="AU30" s="694">
        <f t="shared" ca="1" si="98"/>
        <v>626.01539219999995</v>
      </c>
      <c r="AV30" s="694">
        <f t="shared" ca="1" si="98"/>
        <v>643.22267130000012</v>
      </c>
      <c r="AW30" s="694">
        <f t="shared" ca="1" si="98"/>
        <v>584.34155999999996</v>
      </c>
      <c r="AX30" s="694">
        <f t="shared" ca="1" si="98"/>
        <v>588.05455326354001</v>
      </c>
      <c r="AY30" s="694">
        <f t="shared" ca="1" si="98"/>
        <v>644.92105704443998</v>
      </c>
      <c r="AZ30" s="694">
        <f t="shared" ca="1" si="98"/>
        <v>662.64799597326021</v>
      </c>
      <c r="BA30" s="694">
        <f t="shared" ca="1" si="98"/>
        <v>601.9886751119999</v>
      </c>
      <c r="BB30" s="694">
        <f t="shared" ca="1" si="98"/>
        <v>605.81380077209894</v>
      </c>
      <c r="BC30" s="694">
        <f t="shared" ca="1" si="98"/>
        <v>664.39767296718207</v>
      </c>
      <c r="BD30" s="694">
        <f t="shared" ca="1" si="98"/>
        <v>682.65996545165262</v>
      </c>
      <c r="BE30" s="694">
        <f t="shared" ca="1" si="98"/>
        <v>620.16873310038238</v>
      </c>
      <c r="BF30" s="694">
        <f t="shared" ca="1" si="98"/>
        <v>624.10937755541647</v>
      </c>
      <c r="BG30" s="694">
        <f t="shared" ca="1" si="98"/>
        <v>684.46248269079115</v>
      </c>
      <c r="BH30" s="694">
        <f t="shared" ca="1" si="98"/>
        <v>703.27629640829252</v>
      </c>
      <c r="BI30" s="694">
        <f t="shared" ca="1" si="98"/>
        <v>638.89782884001397</v>
      </c>
      <c r="BJ30" s="1"/>
      <c r="BK30" s="694">
        <f t="shared" ref="BK30:BX30" si="99">SUMIF($F$1:$BI$1,BK$1,$F30:$BI30)</f>
        <v>892.125</v>
      </c>
      <c r="BL30" s="694">
        <f t="shared" si="99"/>
        <v>1325.9690000000001</v>
      </c>
      <c r="BM30" s="694">
        <f t="shared" si="99"/>
        <v>1471.491</v>
      </c>
      <c r="BN30" s="694">
        <f t="shared" si="99"/>
        <v>1558.944</v>
      </c>
      <c r="BO30" s="694">
        <f t="shared" si="99"/>
        <v>1641.7159999999999</v>
      </c>
      <c r="BP30" s="694">
        <f t="shared" si="99"/>
        <v>1861.162</v>
      </c>
      <c r="BQ30" s="694">
        <f t="shared" si="99"/>
        <v>2023.9549999999999</v>
      </c>
      <c r="BR30" s="694">
        <f t="shared" si="99"/>
        <v>2147.8229999999999</v>
      </c>
      <c r="BS30" s="694">
        <f t="shared" si="99"/>
        <v>2225.9539999999997</v>
      </c>
      <c r="BT30" s="694">
        <f t="shared" si="99"/>
        <v>2362.922</v>
      </c>
      <c r="BU30" s="694">
        <f t="shared" ca="1" si="99"/>
        <v>2424.3955361999997</v>
      </c>
      <c r="BV30" s="694">
        <f t="shared" ca="1" si="99"/>
        <v>2497.6122813932398</v>
      </c>
      <c r="BW30" s="694">
        <f t="shared" ca="1" si="99"/>
        <v>2573.0401722913161</v>
      </c>
      <c r="BX30" s="694">
        <f t="shared" ca="1" si="99"/>
        <v>2650.7459854945141</v>
      </c>
    </row>
    <row r="31" spans="1:76" x14ac:dyDescent="0.25">
      <c r="A31" s="1"/>
      <c r="B31" s="1"/>
      <c r="C31" s="11" t="s">
        <v>114</v>
      </c>
      <c r="D31" s="1"/>
      <c r="E31" s="1"/>
      <c r="F31" s="15">
        <f t="shared" ref="F31:AS31" si="100">IF(F25=0,0,F30/F25)</f>
        <v>0</v>
      </c>
      <c r="G31" s="15">
        <f t="shared" si="100"/>
        <v>0</v>
      </c>
      <c r="H31" s="15">
        <f t="shared" si="100"/>
        <v>0</v>
      </c>
      <c r="I31" s="15">
        <f t="shared" si="100"/>
        <v>0</v>
      </c>
      <c r="J31" s="15">
        <f t="shared" si="100"/>
        <v>13.731713072203869</v>
      </c>
      <c r="K31" s="15">
        <f t="shared" si="100"/>
        <v>12.987486139711706</v>
      </c>
      <c r="L31" s="15">
        <f t="shared" si="100"/>
        <v>12.692452431568801</v>
      </c>
      <c r="M31" s="15">
        <f t="shared" si="100"/>
        <v>14.346962738635474</v>
      </c>
      <c r="N31" s="15">
        <f t="shared" si="100"/>
        <v>14.694001831501831</v>
      </c>
      <c r="O31" s="15">
        <f t="shared" si="100"/>
        <v>14.686823843316629</v>
      </c>
      <c r="P31" s="15">
        <f t="shared" si="100"/>
        <v>14.356458696010373</v>
      </c>
      <c r="Q31" s="15">
        <f t="shared" si="100"/>
        <v>18.399665801946387</v>
      </c>
      <c r="R31" s="15">
        <f t="shared" si="100"/>
        <v>15.982097186700768</v>
      </c>
      <c r="S31" s="15">
        <f t="shared" si="100"/>
        <v>15.420218799165783</v>
      </c>
      <c r="T31" s="15">
        <f t="shared" si="100"/>
        <v>14.984725155311345</v>
      </c>
      <c r="U31" s="15">
        <f t="shared" si="100"/>
        <v>15.820294062641926</v>
      </c>
      <c r="V31" s="15">
        <f t="shared" si="100"/>
        <v>15.34923310991406</v>
      </c>
      <c r="W31" s="15">
        <f t="shared" si="100"/>
        <v>15.565508859965503</v>
      </c>
      <c r="X31" s="15">
        <f t="shared" si="100"/>
        <v>15.202190795389525</v>
      </c>
      <c r="Y31" s="15">
        <f t="shared" si="100"/>
        <v>16.208503969662267</v>
      </c>
      <c r="Z31" s="15">
        <f t="shared" si="100"/>
        <v>16.275373605638276</v>
      </c>
      <c r="AA31" s="15">
        <f t="shared" si="100"/>
        <v>16.175765041493776</v>
      </c>
      <c r="AB31" s="15">
        <f t="shared" si="100"/>
        <v>16.585438091320444</v>
      </c>
      <c r="AC31" s="15">
        <f t="shared" si="100"/>
        <v>17.55087488783489</v>
      </c>
      <c r="AD31" s="15">
        <f t="shared" si="100"/>
        <v>17.846414950419529</v>
      </c>
      <c r="AE31" s="15">
        <f t="shared" si="100"/>
        <v>17.593381154222367</v>
      </c>
      <c r="AF31" s="15">
        <f t="shared" si="100"/>
        <v>18.030152571353412</v>
      </c>
      <c r="AG31" s="15">
        <f t="shared" si="100"/>
        <v>22.129248806315893</v>
      </c>
      <c r="AH31" s="15">
        <f t="shared" si="100"/>
        <v>24.092469153311587</v>
      </c>
      <c r="AI31" s="15">
        <f t="shared" si="100"/>
        <v>23.266720746298923</v>
      </c>
      <c r="AJ31" s="15">
        <f t="shared" si="100"/>
        <v>22.545760588741874</v>
      </c>
      <c r="AK31" s="15">
        <f t="shared" si="100"/>
        <v>24.258974231666741</v>
      </c>
      <c r="AL31" s="15">
        <f t="shared" si="100"/>
        <v>25.171799665453115</v>
      </c>
      <c r="AM31" s="15">
        <f t="shared" si="100"/>
        <v>25.113908620907065</v>
      </c>
      <c r="AN31" s="15">
        <f t="shared" si="100"/>
        <v>25.371652656209381</v>
      </c>
      <c r="AO31" s="15">
        <f t="shared" si="100"/>
        <v>27.640203932993455</v>
      </c>
      <c r="AP31" s="15">
        <f t="shared" si="100"/>
        <v>28.133329649685049</v>
      </c>
      <c r="AQ31" s="15">
        <f t="shared" si="100"/>
        <v>26.964038072268398</v>
      </c>
      <c r="AR31" s="15">
        <f t="shared" si="100"/>
        <v>25.606520181514213</v>
      </c>
      <c r="AS31" s="15">
        <f t="shared" si="100"/>
        <v>28.015340364333639</v>
      </c>
      <c r="AT31" s="15">
        <f t="shared" ref="AT31:BI31" ca="1" si="101">AP31*(1+AT32)</f>
        <v>28.414662946181899</v>
      </c>
      <c r="AU31" s="15">
        <f t="shared" ca="1" si="101"/>
        <v>27.233678452991082</v>
      </c>
      <c r="AV31" s="15">
        <f t="shared" ca="1" si="101"/>
        <v>25.862585383329357</v>
      </c>
      <c r="AW31" s="15">
        <f t="shared" ca="1" si="101"/>
        <v>28.295493767976975</v>
      </c>
      <c r="AX31" s="15">
        <f t="shared" ca="1" si="101"/>
        <v>28.982956205105538</v>
      </c>
      <c r="AY31" s="15">
        <f t="shared" ca="1" si="101"/>
        <v>27.778352022050903</v>
      </c>
      <c r="AZ31" s="15">
        <f t="shared" ca="1" si="101"/>
        <v>26.379837090995945</v>
      </c>
      <c r="BA31" s="15">
        <f t="shared" ca="1" si="101"/>
        <v>28.861403643336516</v>
      </c>
      <c r="BB31" s="15">
        <f t="shared" ca="1" si="101"/>
        <v>29.562615329207649</v>
      </c>
      <c r="BC31" s="15">
        <f t="shared" ca="1" si="101"/>
        <v>28.333919062491923</v>
      </c>
      <c r="BD31" s="15">
        <f t="shared" ca="1" si="101"/>
        <v>26.907433832815865</v>
      </c>
      <c r="BE31" s="15">
        <f t="shared" ca="1" si="101"/>
        <v>29.438631716203247</v>
      </c>
      <c r="BF31" s="15">
        <f t="shared" ca="1" si="101"/>
        <v>30.153867635791801</v>
      </c>
      <c r="BG31" s="15">
        <f t="shared" ca="1" si="101"/>
        <v>28.900597443741763</v>
      </c>
      <c r="BH31" s="15">
        <f t="shared" ca="1" si="101"/>
        <v>27.445582509472182</v>
      </c>
      <c r="BI31" s="15">
        <f t="shared" ca="1" si="101"/>
        <v>30.027404350527313</v>
      </c>
      <c r="BJ31" s="1"/>
      <c r="BK31" s="1"/>
      <c r="BL31" s="1"/>
      <c r="BM31" s="59">
        <f t="shared" ref="BM31" si="102">BM30/BL30-1</f>
        <v>0.10974766378399492</v>
      </c>
      <c r="BN31" s="59">
        <f t="shared" ref="BN31" si="103">BN30/BM30-1</f>
        <v>5.9431556156306797E-2</v>
      </c>
      <c r="BO31" s="59">
        <f t="shared" ref="BO31" si="104">BO30/BN30-1</f>
        <v>5.3094915532565512E-2</v>
      </c>
      <c r="BP31" s="59">
        <f t="shared" ref="BP31" si="105">BP30/BO30-1</f>
        <v>0.13366867350991285</v>
      </c>
      <c r="BQ31" s="59">
        <f t="shared" ref="BQ31" si="106">BQ30/BP30-1</f>
        <v>8.7468473996352714E-2</v>
      </c>
      <c r="BR31" s="59">
        <f t="shared" ref="BR31" si="107">BR30/BQ30-1</f>
        <v>6.1200965436484456E-2</v>
      </c>
      <c r="BS31" s="59">
        <f t="shared" ref="BS31" si="108">BS30/BR30-1</f>
        <v>3.6376833659011787E-2</v>
      </c>
      <c r="BT31" s="59">
        <f t="shared" ref="BT31" si="109">BT30/BS30-1</f>
        <v>6.1532268860902128E-2</v>
      </c>
      <c r="BU31" s="59">
        <f t="shared" ref="BU31" ca="1" si="110">BU30/BT30-1</f>
        <v>2.6015897350822215E-2</v>
      </c>
      <c r="BV31" s="59">
        <f t="shared" ref="BV31" ca="1" si="111">BV30/BU30-1</f>
        <v>3.0200000000000005E-2</v>
      </c>
      <c r="BW31" s="59">
        <f t="shared" ref="BW31" ca="1" si="112">BW30/BV30-1</f>
        <v>3.0200000000000227E-2</v>
      </c>
      <c r="BX31" s="59">
        <f t="shared" ref="BX31" ca="1" si="113">BX30/BW30-1</f>
        <v>3.0200000000000005E-2</v>
      </c>
    </row>
    <row r="32" spans="1:76" x14ac:dyDescent="0.25">
      <c r="A32" s="1"/>
      <c r="B32" s="1"/>
      <c r="C32" s="57" t="s">
        <v>113</v>
      </c>
      <c r="D32" s="1"/>
      <c r="E32" s="1"/>
      <c r="F32" s="58"/>
      <c r="G32" s="58"/>
      <c r="H32" s="58"/>
      <c r="I32" s="58"/>
      <c r="J32" s="59">
        <f t="shared" ref="J32:AS32" si="114">IF(F31=0,0,J31/F31-1)</f>
        <v>0</v>
      </c>
      <c r="K32" s="59">
        <f t="shared" si="114"/>
        <v>0</v>
      </c>
      <c r="L32" s="59">
        <f t="shared" si="114"/>
        <v>0</v>
      </c>
      <c r="M32" s="59">
        <f t="shared" si="114"/>
        <v>0</v>
      </c>
      <c r="N32" s="59">
        <f t="shared" si="114"/>
        <v>7.007783764764608E-2</v>
      </c>
      <c r="O32" s="59">
        <f t="shared" si="114"/>
        <v>0.13084423616121343</v>
      </c>
      <c r="P32" s="59">
        <f t="shared" si="114"/>
        <v>0.13110202881697131</v>
      </c>
      <c r="Q32" s="59">
        <f t="shared" si="114"/>
        <v>0.28247812008302198</v>
      </c>
      <c r="R32" s="59">
        <f t="shared" si="114"/>
        <v>8.7661303569286808E-2</v>
      </c>
      <c r="S32" s="59">
        <f t="shared" si="114"/>
        <v>4.9935572433715159E-2</v>
      </c>
      <c r="T32" s="59">
        <f t="shared" si="114"/>
        <v>4.3761938274901047E-2</v>
      </c>
      <c r="U32" s="59">
        <f t="shared" si="114"/>
        <v>-0.14018579288715149</v>
      </c>
      <c r="V32" s="59">
        <f t="shared" si="114"/>
        <v>-3.9598312373756217E-2</v>
      </c>
      <c r="W32" s="59">
        <f t="shared" si="114"/>
        <v>9.4220492388590316E-3</v>
      </c>
      <c r="X32" s="59">
        <f t="shared" si="114"/>
        <v>1.4512487738295166E-2</v>
      </c>
      <c r="Y32" s="59">
        <f t="shared" si="114"/>
        <v>2.4538728893608974E-2</v>
      </c>
      <c r="Z32" s="59">
        <f t="shared" si="114"/>
        <v>6.0337900212488194E-2</v>
      </c>
      <c r="AA32" s="59">
        <f t="shared" si="114"/>
        <v>3.9205668572638297E-2</v>
      </c>
      <c r="AB32" s="59">
        <f t="shared" si="114"/>
        <v>9.0989997070055617E-2</v>
      </c>
      <c r="AC32" s="59">
        <f t="shared" si="114"/>
        <v>8.281892768667376E-2</v>
      </c>
      <c r="AD32" s="59">
        <f t="shared" si="114"/>
        <v>9.6528742310222571E-2</v>
      </c>
      <c r="AE32" s="59">
        <f t="shared" si="114"/>
        <v>8.7638273002367928E-2</v>
      </c>
      <c r="AF32" s="59">
        <f t="shared" si="114"/>
        <v>8.7107405428682672E-2</v>
      </c>
      <c r="AG32" s="59">
        <f t="shared" si="114"/>
        <v>0.26086300242812555</v>
      </c>
      <c r="AH32" s="59">
        <f t="shared" si="114"/>
        <v>0.34998929590310945</v>
      </c>
      <c r="AI32" s="59">
        <f t="shared" si="114"/>
        <v>0.32247011204636844</v>
      </c>
      <c r="AJ32" s="59">
        <f t="shared" si="114"/>
        <v>0.25044757660913697</v>
      </c>
      <c r="AK32" s="59">
        <f t="shared" si="114"/>
        <v>9.6240294643124225E-2</v>
      </c>
      <c r="AL32" s="59">
        <f t="shared" si="114"/>
        <v>4.479949752236867E-2</v>
      </c>
      <c r="AM32" s="59">
        <f t="shared" si="114"/>
        <v>7.9391844461019545E-2</v>
      </c>
      <c r="AN32" s="59">
        <f t="shared" si="114"/>
        <v>0.12534028543169229</v>
      </c>
      <c r="AO32" s="59">
        <f t="shared" si="114"/>
        <v>0.13938057186741992</v>
      </c>
      <c r="AP32" s="59">
        <f t="shared" si="114"/>
        <v>0.1176526916466949</v>
      </c>
      <c r="AQ32" s="59">
        <f t="shared" si="114"/>
        <v>7.366951434318425E-2</v>
      </c>
      <c r="AR32" s="59">
        <f t="shared" si="114"/>
        <v>9.2570842147072785E-3</v>
      </c>
      <c r="AS32" s="59">
        <f t="shared" si="114"/>
        <v>1.3572129650331277E-2</v>
      </c>
      <c r="AT32" s="59">
        <f ca="1">OFFSET(AT32,LEFT(Summary!$D$4,1),0)</f>
        <v>0.01</v>
      </c>
      <c r="AU32" s="59">
        <f ca="1">OFFSET(AU32,LEFT(Summary!$D$4,1),0)</f>
        <v>0.01</v>
      </c>
      <c r="AV32" s="59">
        <f ca="1">OFFSET(AV32,LEFT(Summary!$D$4,1),0)</f>
        <v>0.01</v>
      </c>
      <c r="AW32" s="59">
        <f ca="1">OFFSET(AW32,LEFT(Summary!$D$4,1),0)</f>
        <v>0.01</v>
      </c>
      <c r="AX32" s="59">
        <f ca="1">OFFSET(AX32,LEFT(Summary!$D$4,1),0)</f>
        <v>0.02</v>
      </c>
      <c r="AY32" s="59">
        <f ca="1">OFFSET(AY32,LEFT(Summary!$D$4,1),0)</f>
        <v>0.02</v>
      </c>
      <c r="AZ32" s="59">
        <f ca="1">OFFSET(AZ32,LEFT(Summary!$D$4,1),0)</f>
        <v>0.02</v>
      </c>
      <c r="BA32" s="59">
        <f ca="1">OFFSET(BA32,LEFT(Summary!$D$4,1),0)</f>
        <v>0.02</v>
      </c>
      <c r="BB32" s="59">
        <f ca="1">OFFSET(BB32,LEFT(Summary!$D$4,1),0)</f>
        <v>0.02</v>
      </c>
      <c r="BC32" s="59">
        <f ca="1">OFFSET(BC32,LEFT(Summary!$D$4,1),0)</f>
        <v>0.02</v>
      </c>
      <c r="BD32" s="59">
        <f ca="1">OFFSET(BD32,LEFT(Summary!$D$4,1),0)</f>
        <v>0.02</v>
      </c>
      <c r="BE32" s="59">
        <f ca="1">OFFSET(BE32,LEFT(Summary!$D$4,1),0)</f>
        <v>0.02</v>
      </c>
      <c r="BF32" s="59">
        <f ca="1">OFFSET(BF32,LEFT(Summary!$D$4,1),0)</f>
        <v>0.02</v>
      </c>
      <c r="BG32" s="59">
        <f ca="1">OFFSET(BG32,LEFT(Summary!$D$4,1),0)</f>
        <v>0.02</v>
      </c>
      <c r="BH32" s="59">
        <f ca="1">OFFSET(BH32,LEFT(Summary!$D$4,1),0)</f>
        <v>0.02</v>
      </c>
      <c r="BI32" s="59">
        <f ca="1">OFFSET(BI32,LEFT(Summary!$D$4,1),0)</f>
        <v>0.02</v>
      </c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 x14ac:dyDescent="0.25">
      <c r="A33" s="1"/>
      <c r="B33" s="1"/>
      <c r="C33" s="1"/>
      <c r="D33" s="11" t="s">
        <v>13</v>
      </c>
      <c r="E33" s="1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60">
        <f>AT34+0.01</f>
        <v>0.02</v>
      </c>
      <c r="AU33" s="60">
        <f t="shared" ref="AU33" si="115">AU34+0.01</f>
        <v>0.02</v>
      </c>
      <c r="AV33" s="60">
        <f t="shared" ref="AV33" si="116">AV34+0.01</f>
        <v>0.02</v>
      </c>
      <c r="AW33" s="60">
        <f t="shared" ref="AW33" si="117">AW34+0.01</f>
        <v>0.02</v>
      </c>
      <c r="AX33" s="60">
        <f t="shared" ref="AX33" si="118">AX34+0.01</f>
        <v>0.03</v>
      </c>
      <c r="AY33" s="60">
        <f t="shared" ref="AY33" si="119">AY34+0.01</f>
        <v>0.03</v>
      </c>
      <c r="AZ33" s="60">
        <f t="shared" ref="AZ33" si="120">AZ34+0.01</f>
        <v>0.03</v>
      </c>
      <c r="BA33" s="60">
        <f t="shared" ref="BA33" si="121">BA34+0.01</f>
        <v>0.03</v>
      </c>
      <c r="BB33" s="60">
        <f t="shared" ref="BB33" si="122">BB34+0.01</f>
        <v>0.03</v>
      </c>
      <c r="BC33" s="60">
        <f t="shared" ref="BC33" si="123">BC34+0.01</f>
        <v>0.03</v>
      </c>
      <c r="BD33" s="60">
        <f t="shared" ref="BD33" si="124">BD34+0.01</f>
        <v>0.03</v>
      </c>
      <c r="BE33" s="60">
        <f t="shared" ref="BE33" si="125">BE34+0.01</f>
        <v>0.03</v>
      </c>
      <c r="BF33" s="60">
        <f t="shared" ref="BF33" si="126">BF34+0.01</f>
        <v>0.03</v>
      </c>
      <c r="BG33" s="60">
        <f t="shared" ref="BG33" si="127">BG34+0.01</f>
        <v>0.03</v>
      </c>
      <c r="BH33" s="60">
        <f t="shared" ref="BH33" si="128">BH34+0.01</f>
        <v>0.03</v>
      </c>
      <c r="BI33" s="60">
        <f t="shared" ref="BI33" si="129">BI34+0.01</f>
        <v>0.03</v>
      </c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 x14ac:dyDescent="0.25">
      <c r="A34" s="1"/>
      <c r="B34" s="1"/>
      <c r="C34" s="1"/>
      <c r="D34" s="11" t="s">
        <v>16</v>
      </c>
      <c r="E34" s="1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60">
        <v>0.01</v>
      </c>
      <c r="AU34" s="60">
        <v>0.01</v>
      </c>
      <c r="AV34" s="60">
        <v>0.01</v>
      </c>
      <c r="AW34" s="60">
        <v>0.01</v>
      </c>
      <c r="AX34" s="60">
        <v>0.02</v>
      </c>
      <c r="AY34" s="60">
        <v>0.02</v>
      </c>
      <c r="AZ34" s="60">
        <v>0.02</v>
      </c>
      <c r="BA34" s="60">
        <v>0.02</v>
      </c>
      <c r="BB34" s="60">
        <v>0.02</v>
      </c>
      <c r="BC34" s="60">
        <v>0.02</v>
      </c>
      <c r="BD34" s="60">
        <v>0.02</v>
      </c>
      <c r="BE34" s="60">
        <v>0.02</v>
      </c>
      <c r="BF34" s="60">
        <v>0.02</v>
      </c>
      <c r="BG34" s="60">
        <v>0.02</v>
      </c>
      <c r="BH34" s="60">
        <v>0.02</v>
      </c>
      <c r="BI34" s="60">
        <v>0.02</v>
      </c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x14ac:dyDescent="0.25">
      <c r="A35" s="1"/>
      <c r="B35" s="1"/>
      <c r="C35" s="1"/>
      <c r="D35" s="11" t="s">
        <v>17</v>
      </c>
      <c r="E35" s="1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60">
        <f>AT34-0.01</f>
        <v>0</v>
      </c>
      <c r="AU35" s="60">
        <f t="shared" ref="AU35" si="130">AU34-0.01</f>
        <v>0</v>
      </c>
      <c r="AV35" s="60">
        <f t="shared" ref="AV35" si="131">AV34-0.01</f>
        <v>0</v>
      </c>
      <c r="AW35" s="60">
        <f t="shared" ref="AW35" si="132">AW34-0.01</f>
        <v>0</v>
      </c>
      <c r="AX35" s="60">
        <f t="shared" ref="AX35" si="133">AX34-0.01</f>
        <v>0.01</v>
      </c>
      <c r="AY35" s="60">
        <f t="shared" ref="AY35" si="134">AY34-0.01</f>
        <v>0.01</v>
      </c>
      <c r="AZ35" s="60">
        <f t="shared" ref="AZ35" si="135">AZ34-0.01</f>
        <v>0.01</v>
      </c>
      <c r="BA35" s="60">
        <f t="shared" ref="BA35" si="136">BA34-0.01</f>
        <v>0.01</v>
      </c>
      <c r="BB35" s="60">
        <f t="shared" ref="BB35" si="137">BB34-0.01</f>
        <v>0.01</v>
      </c>
      <c r="BC35" s="60">
        <f t="shared" ref="BC35" si="138">BC34-0.01</f>
        <v>0.01</v>
      </c>
      <c r="BD35" s="60">
        <f t="shared" ref="BD35" si="139">BD34-0.01</f>
        <v>0.01</v>
      </c>
      <c r="BE35" s="60">
        <f t="shared" ref="BE35" si="140">BE34-0.01</f>
        <v>0.01</v>
      </c>
      <c r="BF35" s="60">
        <f t="shared" ref="BF35" si="141">BF34-0.01</f>
        <v>0.01</v>
      </c>
      <c r="BG35" s="60">
        <f t="shared" ref="BG35" si="142">BG34-0.01</f>
        <v>0.01</v>
      </c>
      <c r="BH35" s="60">
        <f t="shared" ref="BH35" si="143">BH34-0.01</f>
        <v>0.01</v>
      </c>
      <c r="BI35" s="60">
        <f t="shared" ref="BI35" si="144">BI34-0.01</f>
        <v>0.01</v>
      </c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ht="15" customHeight="1" x14ac:dyDescent="0.25">
      <c r="A37" s="1"/>
      <c r="B37" s="3" t="s">
        <v>116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ht="15" customHeight="1" x14ac:dyDescent="0.25">
      <c r="A38" s="1"/>
      <c r="B38" s="1"/>
      <c r="C38" s="3" t="s">
        <v>61</v>
      </c>
      <c r="D38" s="1"/>
      <c r="E38" s="1"/>
      <c r="F38" s="45">
        <f>'Canalyst HC - Q'!C22</f>
        <v>50.21</v>
      </c>
      <c r="G38" s="45">
        <f>'Canalyst HC - Q'!D22</f>
        <v>61.045000000000002</v>
      </c>
      <c r="H38" s="45">
        <f>'Canalyst HC - Q'!E22</f>
        <v>58.683</v>
      </c>
      <c r="I38" s="45">
        <f>'Canalyst HC - Q'!F22</f>
        <v>68.244</v>
      </c>
      <c r="J38" s="45">
        <f>'Canalyst HC - Q'!G22</f>
        <v>64.73</v>
      </c>
      <c r="K38" s="45">
        <f>'Canalyst HC - Q'!H22</f>
        <v>104.968</v>
      </c>
      <c r="L38" s="45">
        <f>'Canalyst HC - Q'!I22</f>
        <v>104.619</v>
      </c>
      <c r="M38" s="45">
        <f>'Canalyst HC - Q'!J22</f>
        <v>108.748</v>
      </c>
      <c r="N38" s="45">
        <f>'Canalyst HC - Q'!K22</f>
        <v>101.73399999999999</v>
      </c>
      <c r="O38" s="45">
        <f>'Canalyst HC - Q'!L22</f>
        <v>106.946</v>
      </c>
      <c r="P38" s="45">
        <f>'Canalyst HC - Q'!M22</f>
        <v>92.138999999999996</v>
      </c>
      <c r="Q38" s="45">
        <f>'Canalyst HC - Q'!N22</f>
        <v>86.896999999999991</v>
      </c>
      <c r="R38" s="45">
        <f>'Canalyst HC - Q'!O22</f>
        <v>81.673000000000002</v>
      </c>
      <c r="S38" s="45">
        <f>'Canalyst HC - Q'!P22</f>
        <v>89.278000000000006</v>
      </c>
      <c r="T38" s="45">
        <f>'Canalyst HC - Q'!Q22</f>
        <v>83.25</v>
      </c>
      <c r="U38" s="45">
        <f>'Canalyst HC - Q'!R22</f>
        <v>87.86099999999999</v>
      </c>
      <c r="V38" s="45">
        <f>'Canalyst HC - Q'!S22</f>
        <v>85.239000000000004</v>
      </c>
      <c r="W38" s="45">
        <f>'Canalyst HC - Q'!T22</f>
        <v>79.903999999999996</v>
      </c>
      <c r="X38" s="45">
        <f>'Canalyst HC - Q'!U22</f>
        <v>84.852000000000004</v>
      </c>
      <c r="Y38" s="45">
        <f>'Canalyst HC - Q'!V22</f>
        <v>79.579000000000008</v>
      </c>
      <c r="Z38" s="45">
        <f>'Canalyst HC - Q'!W22</f>
        <v>81.658000000000001</v>
      </c>
      <c r="AA38" s="45">
        <f>'Canalyst HC - Q'!X22</f>
        <v>88.494</v>
      </c>
      <c r="AB38" s="45">
        <f>'Canalyst HC - Q'!Y22</f>
        <v>89.617999999999995</v>
      </c>
      <c r="AC38" s="45">
        <f>'Canalyst HC - Q'!Z22</f>
        <v>87.41500000000002</v>
      </c>
      <c r="AD38" s="45">
        <f>'Canalyst HC - Q'!AA22</f>
        <v>84.296000000000006</v>
      </c>
      <c r="AE38" s="45">
        <f>'Canalyst HC - Q'!AB22</f>
        <v>94.158000000000001</v>
      </c>
      <c r="AF38" s="45">
        <f>'Canalyst HC - Q'!AC22</f>
        <v>83.644000000000005</v>
      </c>
      <c r="AG38" s="45">
        <f>'Canalyst HC - Q'!AD22</f>
        <v>87.738999999999976</v>
      </c>
      <c r="AH38" s="45">
        <f>'Canalyst HC - Q'!AE22</f>
        <v>86.444999999999993</v>
      </c>
      <c r="AI38" s="45">
        <f>'Canalyst HC - Q'!AF22</f>
        <v>93.206999999999994</v>
      </c>
      <c r="AJ38" s="45">
        <f>'Canalyst HC - Q'!AG22</f>
        <v>87.71</v>
      </c>
      <c r="AK38" s="45">
        <f>'Canalyst HC - Q'!AH22</f>
        <v>86.45700000000005</v>
      </c>
      <c r="AL38" s="45">
        <f>'Canalyst HC - Q'!AI22</f>
        <v>78.703000000000003</v>
      </c>
      <c r="AM38" s="45">
        <f>'Canalyst HC - Q'!AJ22</f>
        <v>92.393000000000001</v>
      </c>
      <c r="AN38" s="45">
        <f>'Canalyst HC - Q'!AK22</f>
        <v>88.363</v>
      </c>
      <c r="AO38" s="45">
        <f>'Canalyst HC - Q'!AL22</f>
        <v>86.12700000000001</v>
      </c>
      <c r="AP38" s="45">
        <f>'Canalyst HC - Q'!AM22</f>
        <v>85.936000000000007</v>
      </c>
      <c r="AQ38" s="45">
        <f>'Canalyst HC - Q'!AN22</f>
        <v>95.373000000000005</v>
      </c>
      <c r="AR38" s="45">
        <f>'Canalyst HC - Q'!AO22</f>
        <v>97.622</v>
      </c>
      <c r="AS38" s="45">
        <f>'Canalyst HC - Q'!AP22</f>
        <v>104.727</v>
      </c>
      <c r="AT38" s="694">
        <f t="shared" ref="AT38:BI38" si="145">AP38*(1+AT39)</f>
        <v>88.514080000000007</v>
      </c>
      <c r="AU38" s="694">
        <f t="shared" si="145"/>
        <v>98.234190000000012</v>
      </c>
      <c r="AV38" s="694">
        <f t="shared" si="145"/>
        <v>100.55066000000001</v>
      </c>
      <c r="AW38" s="694">
        <f t="shared" si="145"/>
        <v>107.86881000000001</v>
      </c>
      <c r="AX38" s="694">
        <f t="shared" si="145"/>
        <v>91.169502400000013</v>
      </c>
      <c r="AY38" s="694">
        <f t="shared" si="145"/>
        <v>101.18121570000001</v>
      </c>
      <c r="AZ38" s="694">
        <f t="shared" si="145"/>
        <v>103.56717980000001</v>
      </c>
      <c r="BA38" s="694">
        <f t="shared" si="145"/>
        <v>111.10487430000002</v>
      </c>
      <c r="BB38" s="694">
        <f t="shared" si="145"/>
        <v>93.904587472000017</v>
      </c>
      <c r="BC38" s="694">
        <f t="shared" si="145"/>
        <v>104.21665217100001</v>
      </c>
      <c r="BD38" s="694">
        <f t="shared" si="145"/>
        <v>106.67419519400001</v>
      </c>
      <c r="BE38" s="694">
        <f t="shared" si="145"/>
        <v>114.43802052900003</v>
      </c>
      <c r="BF38" s="694">
        <f t="shared" si="145"/>
        <v>96.721725096160014</v>
      </c>
      <c r="BG38" s="694">
        <f t="shared" si="145"/>
        <v>107.34315173613001</v>
      </c>
      <c r="BH38" s="694">
        <f t="shared" si="145"/>
        <v>109.87442104982001</v>
      </c>
      <c r="BI38" s="694">
        <f t="shared" si="145"/>
        <v>117.87116114487003</v>
      </c>
      <c r="BJ38" s="1"/>
      <c r="BK38" s="35">
        <f t="shared" ref="BK38:BX38" si="146">SUMIF($F$1:$BI$1,BK$1,$F38:$BI38)</f>
        <v>238.18199999999999</v>
      </c>
      <c r="BL38" s="35">
        <f t="shared" si="146"/>
        <v>383.065</v>
      </c>
      <c r="BM38" s="35">
        <f t="shared" si="146"/>
        <v>387.71600000000001</v>
      </c>
      <c r="BN38" s="35">
        <f t="shared" si="146"/>
        <v>342.06200000000001</v>
      </c>
      <c r="BO38" s="35">
        <f t="shared" si="146"/>
        <v>329.57400000000001</v>
      </c>
      <c r="BP38" s="35">
        <f t="shared" si="146"/>
        <v>347.185</v>
      </c>
      <c r="BQ38" s="35">
        <f t="shared" si="146"/>
        <v>349.83699999999999</v>
      </c>
      <c r="BR38" s="35">
        <f t="shared" si="146"/>
        <v>353.81900000000002</v>
      </c>
      <c r="BS38" s="35">
        <f t="shared" si="146"/>
        <v>345.58600000000001</v>
      </c>
      <c r="BT38" s="35">
        <f t="shared" si="146"/>
        <v>383.65800000000002</v>
      </c>
      <c r="BU38" s="35">
        <f t="shared" si="146"/>
        <v>395.16774000000004</v>
      </c>
      <c r="BV38" s="35">
        <f t="shared" si="146"/>
        <v>407.02277220000002</v>
      </c>
      <c r="BW38" s="35">
        <f t="shared" si="146"/>
        <v>419.23345536600004</v>
      </c>
      <c r="BX38" s="35">
        <f t="shared" si="146"/>
        <v>431.81045902698008</v>
      </c>
    </row>
    <row r="39" spans="1:76" x14ac:dyDescent="0.25">
      <c r="A39" s="1"/>
      <c r="B39" s="1"/>
      <c r="C39" s="57" t="s">
        <v>113</v>
      </c>
      <c r="D39" s="1"/>
      <c r="E39" s="1"/>
      <c r="F39" s="58"/>
      <c r="G39" s="58"/>
      <c r="H39" s="58"/>
      <c r="I39" s="58"/>
      <c r="J39" s="59">
        <f t="shared" ref="J39:AS39" si="147">IF(F38=0,0,J38/F38-1)</f>
        <v>0.28918542123083046</v>
      </c>
      <c r="K39" s="59">
        <f t="shared" si="147"/>
        <v>0.71951838807437141</v>
      </c>
      <c r="L39" s="59">
        <f t="shared" si="147"/>
        <v>0.7827820663565257</v>
      </c>
      <c r="M39" s="59">
        <f t="shared" si="147"/>
        <v>0.59351737881718547</v>
      </c>
      <c r="N39" s="59">
        <f t="shared" si="147"/>
        <v>0.57166692414645426</v>
      </c>
      <c r="O39" s="59">
        <f t="shared" si="147"/>
        <v>1.8843838122094336E-2</v>
      </c>
      <c r="P39" s="59">
        <f t="shared" si="147"/>
        <v>-0.11928999512516847</v>
      </c>
      <c r="Q39" s="59">
        <f t="shared" si="147"/>
        <v>-0.20093243094125879</v>
      </c>
      <c r="R39" s="59">
        <f t="shared" si="147"/>
        <v>-0.19719071303595648</v>
      </c>
      <c r="S39" s="59">
        <f t="shared" si="147"/>
        <v>-0.16520486974734905</v>
      </c>
      <c r="T39" s="59">
        <f t="shared" si="147"/>
        <v>-9.6473805880246122E-2</v>
      </c>
      <c r="U39" s="59">
        <f t="shared" si="147"/>
        <v>1.1093593564795112E-2</v>
      </c>
      <c r="V39" s="59">
        <f t="shared" si="147"/>
        <v>4.3661920095992679E-2</v>
      </c>
      <c r="W39" s="59">
        <f t="shared" si="147"/>
        <v>-0.10499787181612497</v>
      </c>
      <c r="X39" s="59">
        <f t="shared" si="147"/>
        <v>1.9243243243243224E-2</v>
      </c>
      <c r="Y39" s="59">
        <f t="shared" si="147"/>
        <v>-9.4262528311764959E-2</v>
      </c>
      <c r="Z39" s="59">
        <f t="shared" si="147"/>
        <v>-4.2011285913724938E-2</v>
      </c>
      <c r="AA39" s="59">
        <f t="shared" si="147"/>
        <v>0.10750400480576694</v>
      </c>
      <c r="AB39" s="59">
        <f t="shared" si="147"/>
        <v>5.6168387309668555E-2</v>
      </c>
      <c r="AC39" s="59">
        <f t="shared" si="147"/>
        <v>9.8468188843790605E-2</v>
      </c>
      <c r="AD39" s="59">
        <f t="shared" si="147"/>
        <v>3.2305469151828525E-2</v>
      </c>
      <c r="AE39" s="59">
        <f t="shared" si="147"/>
        <v>6.4004339277239142E-2</v>
      </c>
      <c r="AF39" s="59">
        <f t="shared" si="147"/>
        <v>-6.6660715481264843E-2</v>
      </c>
      <c r="AG39" s="59">
        <f t="shared" si="147"/>
        <v>3.7064577017669187E-3</v>
      </c>
      <c r="AH39" s="59">
        <f t="shared" si="147"/>
        <v>2.5493499098415029E-2</v>
      </c>
      <c r="AI39" s="59">
        <f t="shared" si="147"/>
        <v>-1.0100044605875325E-2</v>
      </c>
      <c r="AJ39" s="59">
        <f t="shared" si="147"/>
        <v>4.8610779015828776E-2</v>
      </c>
      <c r="AK39" s="59">
        <f t="shared" si="147"/>
        <v>-1.4611518252999556E-2</v>
      </c>
      <c r="AL39" s="59">
        <f t="shared" si="147"/>
        <v>-8.9559835733703408E-2</v>
      </c>
      <c r="AM39" s="59">
        <f t="shared" si="147"/>
        <v>-8.7332496486314248E-3</v>
      </c>
      <c r="AN39" s="59">
        <f t="shared" si="147"/>
        <v>7.4449891688519454E-3</v>
      </c>
      <c r="AO39" s="59">
        <f t="shared" si="147"/>
        <v>-3.8169263333222014E-3</v>
      </c>
      <c r="AP39" s="59">
        <f t="shared" si="147"/>
        <v>9.1902468775014956E-2</v>
      </c>
      <c r="AQ39" s="59">
        <f t="shared" si="147"/>
        <v>3.2253525699998953E-2</v>
      </c>
      <c r="AR39" s="59">
        <f t="shared" si="147"/>
        <v>0.10478367642565334</v>
      </c>
      <c r="AS39" s="59">
        <f t="shared" si="147"/>
        <v>0.21596015186875195</v>
      </c>
      <c r="AT39" s="61">
        <v>0.03</v>
      </c>
      <c r="AU39" s="61">
        <v>0.03</v>
      </c>
      <c r="AV39" s="61">
        <v>0.03</v>
      </c>
      <c r="AW39" s="61">
        <v>0.03</v>
      </c>
      <c r="AX39" s="61">
        <v>0.03</v>
      </c>
      <c r="AY39" s="61">
        <v>0.03</v>
      </c>
      <c r="AZ39" s="61">
        <v>0.03</v>
      </c>
      <c r="BA39" s="61">
        <v>0.03</v>
      </c>
      <c r="BB39" s="61">
        <v>0.03</v>
      </c>
      <c r="BC39" s="61">
        <v>0.03</v>
      </c>
      <c r="BD39" s="61">
        <v>0.03</v>
      </c>
      <c r="BE39" s="61">
        <v>0.03</v>
      </c>
      <c r="BF39" s="61">
        <v>0.03</v>
      </c>
      <c r="BG39" s="61">
        <v>0.03</v>
      </c>
      <c r="BH39" s="61">
        <v>0.03</v>
      </c>
      <c r="BI39" s="61">
        <v>0.03</v>
      </c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ht="15" customHeight="1" x14ac:dyDescent="0.25">
      <c r="A41" s="1"/>
      <c r="B41" s="3" t="s">
        <v>117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ht="15" customHeight="1" x14ac:dyDescent="0.25">
      <c r="A42" s="1"/>
      <c r="B42" s="1"/>
      <c r="C42" s="3" t="s">
        <v>61</v>
      </c>
      <c r="D42" s="1"/>
      <c r="E42" s="1"/>
      <c r="F42" s="45">
        <f>'Canalyst HC - Q'!C23</f>
        <v>56.386000000000003</v>
      </c>
      <c r="G42" s="45">
        <f>'Canalyst HC - Q'!D23</f>
        <v>68.108999999999995</v>
      </c>
      <c r="H42" s="45">
        <f>'Canalyst HC - Q'!E23</f>
        <v>73.088999999999999</v>
      </c>
      <c r="I42" s="45">
        <f>'Canalyst HC - Q'!F23</f>
        <v>63.978999999999978</v>
      </c>
      <c r="J42" s="45">
        <f>'Canalyst HC - Q'!G23</f>
        <v>65.153999999999996</v>
      </c>
      <c r="K42" s="45">
        <f>'Canalyst HC - Q'!H23</f>
        <v>87.745000000000005</v>
      </c>
      <c r="L42" s="45">
        <f>'Canalyst HC - Q'!I23</f>
        <v>90.701999999999998</v>
      </c>
      <c r="M42" s="45">
        <f>'Canalyst HC - Q'!J23</f>
        <v>85.411999999999978</v>
      </c>
      <c r="N42" s="45">
        <f>'Canalyst HC - Q'!K23</f>
        <v>82.001000000000005</v>
      </c>
      <c r="O42" s="45">
        <f>'Canalyst HC - Q'!L23</f>
        <v>82.826999999999998</v>
      </c>
      <c r="P42" s="45">
        <f>'Canalyst HC - Q'!M23</f>
        <v>91.394000000000005</v>
      </c>
      <c r="Q42" s="45">
        <f>'Canalyst HC - Q'!N23</f>
        <v>114.72199999999999</v>
      </c>
      <c r="R42" s="45">
        <f>'Canalyst HC - Q'!O23</f>
        <v>91.570999999999998</v>
      </c>
      <c r="S42" s="45">
        <f>'Canalyst HC - Q'!P23</f>
        <v>91.307000000000002</v>
      </c>
      <c r="T42" s="45">
        <f>'Canalyst HC - Q'!Q23</f>
        <v>91.762</v>
      </c>
      <c r="U42" s="45">
        <f>'Canalyst HC - Q'!R23</f>
        <v>68.425000000000011</v>
      </c>
      <c r="V42" s="45">
        <f>'Canalyst HC - Q'!S23</f>
        <v>83.391000000000005</v>
      </c>
      <c r="W42" s="45">
        <f>'Canalyst HC - Q'!T23</f>
        <v>56.103999999999999</v>
      </c>
      <c r="X42" s="45">
        <f>'Canalyst HC - Q'!U23</f>
        <v>75.162000000000006</v>
      </c>
      <c r="Y42" s="45">
        <f>'Canalyst HC - Q'!V23</f>
        <v>60.582999999999998</v>
      </c>
      <c r="Z42" s="45">
        <f>'Canalyst HC - Q'!W23</f>
        <v>73.963999999999999</v>
      </c>
      <c r="AA42" s="45">
        <f>'Canalyst HC - Q'!X23</f>
        <v>90.918999999999997</v>
      </c>
      <c r="AB42" s="45">
        <f>'Canalyst HC - Q'!Y23</f>
        <v>90.334999999999994</v>
      </c>
      <c r="AC42" s="45">
        <f>'Canalyst HC - Q'!Z23</f>
        <v>78.262000000000057</v>
      </c>
      <c r="AD42" s="45">
        <f>'Canalyst HC - Q'!AA23</f>
        <v>76.545000000000002</v>
      </c>
      <c r="AE42" s="45">
        <f>'Canalyst HC - Q'!AB23</f>
        <v>81.533000000000001</v>
      </c>
      <c r="AF42" s="45">
        <f>'Canalyst HC - Q'!AC23</f>
        <v>79.45</v>
      </c>
      <c r="AG42" s="45">
        <f>'Canalyst HC - Q'!AD23</f>
        <v>72.218999999999994</v>
      </c>
      <c r="AH42" s="45">
        <f>'Canalyst HC - Q'!AE23</f>
        <v>55.006999999999998</v>
      </c>
      <c r="AI42" s="45">
        <f>'Canalyst HC - Q'!AF23</f>
        <v>67.546000000000006</v>
      </c>
      <c r="AJ42" s="45">
        <f>'Canalyst HC - Q'!AG23</f>
        <v>71.100999999999999</v>
      </c>
      <c r="AK42" s="45">
        <f>'Canalyst HC - Q'!AH23</f>
        <v>64.613</v>
      </c>
      <c r="AL42" s="45">
        <f>'Canalyst HC - Q'!AI23</f>
        <v>49.289000000000001</v>
      </c>
      <c r="AM42" s="45">
        <f>'Canalyst HC - Q'!AJ23</f>
        <v>57.191000000000003</v>
      </c>
      <c r="AN42" s="45">
        <f>'Canalyst HC - Q'!AK23</f>
        <v>57.072000000000003</v>
      </c>
      <c r="AO42" s="45">
        <f>'Canalyst HC - Q'!AL23</f>
        <v>57.261999999999972</v>
      </c>
      <c r="AP42" s="45">
        <f>'Canalyst HC - Q'!AM23</f>
        <v>51.046999999999997</v>
      </c>
      <c r="AQ42" s="45">
        <f>'Canalyst HC - Q'!AN23</f>
        <v>54.112000000000002</v>
      </c>
      <c r="AR42" s="45">
        <f>'Canalyst HC - Q'!AO23</f>
        <v>64.269000000000005</v>
      </c>
      <c r="AS42" s="45">
        <f>'Canalyst HC - Q'!AP23</f>
        <v>62.249000000000002</v>
      </c>
      <c r="AT42" s="694">
        <f t="shared" ref="AT42:BI42" si="148">AP42*(1+AT43)</f>
        <v>52.578409999999998</v>
      </c>
      <c r="AU42" s="694">
        <f t="shared" si="148"/>
        <v>55.73536</v>
      </c>
      <c r="AV42" s="694">
        <f t="shared" si="148"/>
        <v>66.197070000000011</v>
      </c>
      <c r="AW42" s="694">
        <f t="shared" si="148"/>
        <v>64.116470000000007</v>
      </c>
      <c r="AX42" s="694">
        <f t="shared" si="148"/>
        <v>54.155762299999999</v>
      </c>
      <c r="AY42" s="694">
        <f t="shared" si="148"/>
        <v>57.407420800000004</v>
      </c>
      <c r="AZ42" s="694">
        <f t="shared" si="148"/>
        <v>68.182982100000018</v>
      </c>
      <c r="BA42" s="694">
        <f t="shared" si="148"/>
        <v>66.039964100000006</v>
      </c>
      <c r="BB42" s="694">
        <f t="shared" si="148"/>
        <v>55.780435169</v>
      </c>
      <c r="BC42" s="694">
        <f t="shared" si="148"/>
        <v>59.129643424000008</v>
      </c>
      <c r="BD42" s="694">
        <f t="shared" si="148"/>
        <v>70.228471563000014</v>
      </c>
      <c r="BE42" s="694">
        <f t="shared" si="148"/>
        <v>68.021163023000014</v>
      </c>
      <c r="BF42" s="694">
        <f t="shared" si="148"/>
        <v>57.453848224070001</v>
      </c>
      <c r="BG42" s="694">
        <f t="shared" si="148"/>
        <v>60.903532726720009</v>
      </c>
      <c r="BH42" s="694">
        <f t="shared" si="148"/>
        <v>72.335325709890014</v>
      </c>
      <c r="BI42" s="694">
        <f t="shared" si="148"/>
        <v>70.061797913690015</v>
      </c>
      <c r="BJ42" s="1"/>
      <c r="BK42" s="35">
        <f t="shared" ref="BK42:BX42" si="149">SUMIF($F$1:$BI$1,BK$1,$F42:$BI42)</f>
        <v>261.56299999999999</v>
      </c>
      <c r="BL42" s="35">
        <f t="shared" si="149"/>
        <v>329.01299999999998</v>
      </c>
      <c r="BM42" s="35">
        <f t="shared" si="149"/>
        <v>370.94399999999996</v>
      </c>
      <c r="BN42" s="35">
        <f t="shared" si="149"/>
        <v>343.065</v>
      </c>
      <c r="BO42" s="35">
        <f t="shared" si="149"/>
        <v>275.24</v>
      </c>
      <c r="BP42" s="35">
        <f t="shared" si="149"/>
        <v>333.48</v>
      </c>
      <c r="BQ42" s="35">
        <f t="shared" si="149"/>
        <v>309.74700000000001</v>
      </c>
      <c r="BR42" s="35">
        <f t="shared" si="149"/>
        <v>258.267</v>
      </c>
      <c r="BS42" s="35">
        <f t="shared" si="149"/>
        <v>220.81399999999999</v>
      </c>
      <c r="BT42" s="35">
        <f t="shared" si="149"/>
        <v>231.67699999999999</v>
      </c>
      <c r="BU42" s="35">
        <f t="shared" si="149"/>
        <v>238.62731000000002</v>
      </c>
      <c r="BV42" s="35">
        <f t="shared" si="149"/>
        <v>245.78612930000003</v>
      </c>
      <c r="BW42" s="35">
        <f t="shared" si="149"/>
        <v>253.15971317900002</v>
      </c>
      <c r="BX42" s="35">
        <f t="shared" si="149"/>
        <v>260.75450457437</v>
      </c>
    </row>
    <row r="43" spans="1:76" x14ac:dyDescent="0.25">
      <c r="A43" s="1"/>
      <c r="B43" s="1"/>
      <c r="C43" s="57" t="s">
        <v>113</v>
      </c>
      <c r="D43" s="1"/>
      <c r="E43" s="1"/>
      <c r="F43" s="58"/>
      <c r="G43" s="58"/>
      <c r="H43" s="58"/>
      <c r="I43" s="58"/>
      <c r="J43" s="59">
        <f t="shared" ref="J43:AS43" si="150">IF(F42=0,0,J42/F42-1)</f>
        <v>0.155499592097329</v>
      </c>
      <c r="K43" s="59">
        <f t="shared" si="150"/>
        <v>0.28830257381550184</v>
      </c>
      <c r="L43" s="59">
        <f t="shared" si="150"/>
        <v>0.24098017485531331</v>
      </c>
      <c r="M43" s="59">
        <f t="shared" si="150"/>
        <v>0.33500054705450233</v>
      </c>
      <c r="N43" s="59">
        <f t="shared" si="150"/>
        <v>0.25857199864935398</v>
      </c>
      <c r="O43" s="59">
        <f t="shared" si="150"/>
        <v>-5.6048777708131547E-2</v>
      </c>
      <c r="P43" s="59">
        <f t="shared" si="150"/>
        <v>7.6293797270181596E-3</v>
      </c>
      <c r="Q43" s="59">
        <f t="shared" si="150"/>
        <v>0.343160211679858</v>
      </c>
      <c r="R43" s="59">
        <f t="shared" si="150"/>
        <v>0.11670589383056296</v>
      </c>
      <c r="S43" s="59">
        <f t="shared" si="150"/>
        <v>0.10238207347845507</v>
      </c>
      <c r="T43" s="59">
        <f t="shared" si="150"/>
        <v>4.0265225288311779E-3</v>
      </c>
      <c r="U43" s="59">
        <f t="shared" si="150"/>
        <v>-0.40355816669862787</v>
      </c>
      <c r="V43" s="59">
        <f t="shared" si="150"/>
        <v>-8.9329591246136819E-2</v>
      </c>
      <c r="W43" s="59">
        <f t="shared" si="150"/>
        <v>-0.38554546748880159</v>
      </c>
      <c r="X43" s="59">
        <f t="shared" si="150"/>
        <v>-0.18090277020989076</v>
      </c>
      <c r="Y43" s="59">
        <f t="shared" si="150"/>
        <v>-0.11460723419802721</v>
      </c>
      <c r="Z43" s="59">
        <f t="shared" si="150"/>
        <v>-0.1130457723255508</v>
      </c>
      <c r="AA43" s="59">
        <f t="shared" si="150"/>
        <v>0.62054398973335223</v>
      </c>
      <c r="AB43" s="59">
        <f t="shared" si="150"/>
        <v>0.20187062611425977</v>
      </c>
      <c r="AC43" s="59">
        <f t="shared" si="150"/>
        <v>0.29181453543073244</v>
      </c>
      <c r="AD43" s="59">
        <f t="shared" si="150"/>
        <v>3.4895354496782272E-2</v>
      </c>
      <c r="AE43" s="59">
        <f t="shared" si="150"/>
        <v>-0.10323474741253202</v>
      </c>
      <c r="AF43" s="59">
        <f t="shared" si="150"/>
        <v>-0.12049593180937612</v>
      </c>
      <c r="AG43" s="59">
        <f t="shared" si="150"/>
        <v>-7.7214995783394968E-2</v>
      </c>
      <c r="AH43" s="59">
        <f t="shared" si="150"/>
        <v>-0.28137696779672094</v>
      </c>
      <c r="AI43" s="59">
        <f t="shared" si="150"/>
        <v>-0.1715501698698686</v>
      </c>
      <c r="AJ43" s="59">
        <f t="shared" si="150"/>
        <v>-0.10508495909376969</v>
      </c>
      <c r="AK43" s="59">
        <f t="shared" si="150"/>
        <v>-0.10531854498123761</v>
      </c>
      <c r="AL43" s="59">
        <f t="shared" si="150"/>
        <v>-0.10395040631192387</v>
      </c>
      <c r="AM43" s="59">
        <f t="shared" si="150"/>
        <v>-0.15330293429662756</v>
      </c>
      <c r="AN43" s="59">
        <f t="shared" si="150"/>
        <v>-0.19731086763899242</v>
      </c>
      <c r="AO43" s="59">
        <f t="shared" si="150"/>
        <v>-0.1137696748332383</v>
      </c>
      <c r="AP43" s="59">
        <f t="shared" si="150"/>
        <v>3.5667187404897494E-2</v>
      </c>
      <c r="AQ43" s="59">
        <f t="shared" si="150"/>
        <v>-5.3837142207689981E-2</v>
      </c>
      <c r="AR43" s="59">
        <f t="shared" si="150"/>
        <v>0.12610386879730862</v>
      </c>
      <c r="AS43" s="59">
        <f t="shared" si="150"/>
        <v>8.7090915441305539E-2</v>
      </c>
      <c r="AT43" s="61">
        <v>0.03</v>
      </c>
      <c r="AU43" s="61">
        <v>0.03</v>
      </c>
      <c r="AV43" s="61">
        <v>0.03</v>
      </c>
      <c r="AW43" s="61">
        <v>0.03</v>
      </c>
      <c r="AX43" s="61">
        <v>0.03</v>
      </c>
      <c r="AY43" s="61">
        <v>0.03</v>
      </c>
      <c r="AZ43" s="61">
        <v>0.03</v>
      </c>
      <c r="BA43" s="61">
        <v>0.03</v>
      </c>
      <c r="BB43" s="61">
        <v>0.03</v>
      </c>
      <c r="BC43" s="61">
        <v>0.03</v>
      </c>
      <c r="BD43" s="61">
        <v>0.03</v>
      </c>
      <c r="BE43" s="61">
        <v>0.03</v>
      </c>
      <c r="BF43" s="61">
        <v>0.03</v>
      </c>
      <c r="BG43" s="61">
        <v>0.03</v>
      </c>
      <c r="BH43" s="61">
        <v>0.03</v>
      </c>
      <c r="BI43" s="61">
        <v>0.03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BB87-924B-41CB-AD5F-C3DB8F89886C}">
  <dimension ref="A1:BI56"/>
  <sheetViews>
    <sheetView workbookViewId="0">
      <pane xSplit="5" ySplit="5" topLeftCell="AT6" activePane="bottomRight" state="frozenSplit"/>
      <selection pane="topRight" activeCell="F1" sqref="F1"/>
      <selection pane="bottomLeft" activeCell="A6" sqref="A6"/>
      <selection pane="bottomRight" activeCell="BH14" sqref="BH14"/>
    </sheetView>
  </sheetViews>
  <sheetFormatPr defaultColWidth="9.140625" defaultRowHeight="15" x14ac:dyDescent="0.25"/>
  <cols>
    <col min="1" max="3" width="1.7109375" style="681" customWidth="1"/>
    <col min="4" max="4" width="37.42578125" style="681" bestFit="1" customWidth="1"/>
    <col min="5" max="5" width="22.7109375" style="681" customWidth="1"/>
    <col min="6" max="61" width="11.7109375" style="681" customWidth="1"/>
    <col min="62" max="16384" width="9.140625" style="681"/>
  </cols>
  <sheetData>
    <row r="1" spans="2:61" ht="18.75" x14ac:dyDescent="0.3">
      <c r="B1" s="683" t="s">
        <v>833</v>
      </c>
    </row>
    <row r="2" spans="2:61" x14ac:dyDescent="0.25">
      <c r="B2" s="684" t="s">
        <v>834</v>
      </c>
    </row>
    <row r="4" spans="2:61" x14ac:dyDescent="0.25">
      <c r="F4" s="685">
        <f>'WH Model'!F4</f>
        <v>42460</v>
      </c>
      <c r="G4" s="685">
        <f>'WH Model'!G4</f>
        <v>42551</v>
      </c>
      <c r="H4" s="685">
        <f>'WH Model'!H4</f>
        <v>42643</v>
      </c>
      <c r="I4" s="685">
        <f>'WH Model'!I4</f>
        <v>42735</v>
      </c>
      <c r="J4" s="685">
        <f>'WH Model'!J4</f>
        <v>42825</v>
      </c>
      <c r="K4" s="685">
        <f>'WH Model'!K4</f>
        <v>42916</v>
      </c>
      <c r="L4" s="685">
        <f>'WH Model'!L4</f>
        <v>43008</v>
      </c>
      <c r="M4" s="685">
        <f>'WH Model'!M4</f>
        <v>43100</v>
      </c>
      <c r="N4" s="685">
        <f>'WH Model'!N4</f>
        <v>43190</v>
      </c>
      <c r="O4" s="685">
        <f>'WH Model'!O4</f>
        <v>43281</v>
      </c>
      <c r="P4" s="685">
        <f>'WH Model'!P4</f>
        <v>43373</v>
      </c>
      <c r="Q4" s="685">
        <f>'WH Model'!Q4</f>
        <v>43465</v>
      </c>
      <c r="R4" s="685">
        <f>'WH Model'!R4</f>
        <v>43555</v>
      </c>
      <c r="S4" s="685">
        <f>'WH Model'!S4</f>
        <v>43646</v>
      </c>
      <c r="T4" s="685">
        <f>'WH Model'!T4</f>
        <v>43738</v>
      </c>
      <c r="U4" s="685">
        <f>'WH Model'!U4</f>
        <v>43830</v>
      </c>
      <c r="V4" s="685">
        <f>'WH Model'!V4</f>
        <v>43921</v>
      </c>
      <c r="W4" s="685">
        <f>'WH Model'!W4</f>
        <v>44012</v>
      </c>
      <c r="X4" s="685">
        <f>'WH Model'!X4</f>
        <v>44104</v>
      </c>
      <c r="Y4" s="685">
        <f>'WH Model'!Y4</f>
        <v>44196</v>
      </c>
      <c r="Z4" s="685">
        <f>'WH Model'!Z4</f>
        <v>44286</v>
      </c>
      <c r="AA4" s="685">
        <f>'WH Model'!AA4</f>
        <v>44377</v>
      </c>
      <c r="AB4" s="685">
        <f>'WH Model'!AB4</f>
        <v>44469</v>
      </c>
      <c r="AC4" s="685">
        <f>'WH Model'!AC4</f>
        <v>44561</v>
      </c>
      <c r="AD4" s="685">
        <f>'WH Model'!AD4</f>
        <v>44651</v>
      </c>
      <c r="AE4" s="685">
        <f>'WH Model'!AE4</f>
        <v>44742</v>
      </c>
      <c r="AF4" s="685">
        <f>'WH Model'!AF4</f>
        <v>44834</v>
      </c>
      <c r="AG4" s="685">
        <f>'WH Model'!AG4</f>
        <v>44926</v>
      </c>
      <c r="AH4" s="685">
        <f>'WH Model'!AH4</f>
        <v>45016</v>
      </c>
      <c r="AI4" s="685">
        <f>'WH Model'!AI4</f>
        <v>45107</v>
      </c>
      <c r="AJ4" s="685">
        <f>'WH Model'!AJ4</f>
        <v>45199</v>
      </c>
      <c r="AK4" s="685">
        <f>'WH Model'!AK4</f>
        <v>45291</v>
      </c>
      <c r="AL4" s="685">
        <f>'WH Model'!AL4</f>
        <v>45382</v>
      </c>
      <c r="AM4" s="685">
        <f>'WH Model'!AM4</f>
        <v>45473</v>
      </c>
      <c r="AN4" s="685">
        <f>'WH Model'!AN4</f>
        <v>45565</v>
      </c>
      <c r="AO4" s="685">
        <f>'WH Model'!AO4</f>
        <v>45657</v>
      </c>
      <c r="AP4" s="685">
        <f>'WH Model'!AP4</f>
        <v>45747</v>
      </c>
      <c r="AQ4" s="685">
        <f>'WH Model'!AQ4</f>
        <v>45838</v>
      </c>
      <c r="AR4" s="685">
        <f>'WH Model'!AR4</f>
        <v>45930</v>
      </c>
      <c r="AS4" s="685">
        <f>'WH Model'!AS4</f>
        <v>46022</v>
      </c>
      <c r="AT4" s="685">
        <f>'WH Model'!AT4</f>
        <v>46112</v>
      </c>
      <c r="AU4" s="685">
        <f>'WH Model'!AU4</f>
        <v>46203</v>
      </c>
      <c r="AV4" s="685">
        <f>'WH Model'!AV4</f>
        <v>46295</v>
      </c>
      <c r="AW4" s="685">
        <f>'WH Model'!AW4</f>
        <v>46387</v>
      </c>
      <c r="AX4" s="685">
        <f>'WH Model'!AX4</f>
        <v>46477</v>
      </c>
      <c r="AY4" s="685">
        <f>'WH Model'!AY4</f>
        <v>46568</v>
      </c>
      <c r="AZ4" s="685">
        <f>'WH Model'!AZ4</f>
        <v>46660</v>
      </c>
      <c r="BA4" s="685">
        <f>'WH Model'!BA4</f>
        <v>46752</v>
      </c>
      <c r="BB4" s="685">
        <f>'WH Model'!BB4</f>
        <v>46843</v>
      </c>
      <c r="BC4" s="685">
        <f>'WH Model'!BC4</f>
        <v>46934</v>
      </c>
      <c r="BD4" s="685">
        <f>'WH Model'!BD4</f>
        <v>47026</v>
      </c>
      <c r="BE4" s="685">
        <f>'WH Model'!BE4</f>
        <v>47118</v>
      </c>
      <c r="BF4" s="685">
        <f>'WH Model'!BF4</f>
        <v>47208</v>
      </c>
      <c r="BG4" s="685">
        <f>'WH Model'!BG4</f>
        <v>47299</v>
      </c>
      <c r="BH4" s="685">
        <f>'WH Model'!BH4</f>
        <v>47391</v>
      </c>
      <c r="BI4" s="685">
        <f>'WH Model'!BI4</f>
        <v>47483</v>
      </c>
    </row>
    <row r="5" spans="2:61" x14ac:dyDescent="0.25">
      <c r="F5" s="686" t="str">
        <f>'WH Model'!F5</f>
        <v>Q1 16</v>
      </c>
      <c r="G5" s="686" t="str">
        <f>'WH Model'!G5</f>
        <v>Q2 16</v>
      </c>
      <c r="H5" s="686" t="str">
        <f>'WH Model'!H5</f>
        <v>Q3 16</v>
      </c>
      <c r="I5" s="686" t="str">
        <f>'WH Model'!I5</f>
        <v>Q4 16</v>
      </c>
      <c r="J5" s="686" t="str">
        <f>'WH Model'!J5</f>
        <v>Q1 17</v>
      </c>
      <c r="K5" s="686" t="str">
        <f>'WH Model'!K5</f>
        <v>Q2 17</v>
      </c>
      <c r="L5" s="686" t="str">
        <f>'WH Model'!L5</f>
        <v>Q3 17</v>
      </c>
      <c r="M5" s="686" t="str">
        <f>'WH Model'!M5</f>
        <v>Q4 17</v>
      </c>
      <c r="N5" s="686" t="str">
        <f>'WH Model'!N5</f>
        <v>Q1 18</v>
      </c>
      <c r="O5" s="686" t="str">
        <f>'WH Model'!O5</f>
        <v>Q2 18</v>
      </c>
      <c r="P5" s="686" t="str">
        <f>'WH Model'!P5</f>
        <v>Q3 18</v>
      </c>
      <c r="Q5" s="686" t="str">
        <f>'WH Model'!Q5</f>
        <v>Q4 18</v>
      </c>
      <c r="R5" s="686" t="str">
        <f>'WH Model'!R5</f>
        <v>Q1 19</v>
      </c>
      <c r="S5" s="686" t="str">
        <f>'WH Model'!S5</f>
        <v>Q2 19</v>
      </c>
      <c r="T5" s="686" t="str">
        <f>'WH Model'!T5</f>
        <v>Q3 19</v>
      </c>
      <c r="U5" s="686" t="str">
        <f>'WH Model'!U5</f>
        <v>Q4 19</v>
      </c>
      <c r="V5" s="686" t="str">
        <f>'WH Model'!V5</f>
        <v>Q1 20</v>
      </c>
      <c r="W5" s="686" t="str">
        <f>'WH Model'!W5</f>
        <v>Q2 20</v>
      </c>
      <c r="X5" s="686" t="str">
        <f>'WH Model'!X5</f>
        <v>Q3 20</v>
      </c>
      <c r="Y5" s="686" t="str">
        <f>'WH Model'!Y5</f>
        <v>Q4 20</v>
      </c>
      <c r="Z5" s="686" t="str">
        <f>'WH Model'!Z5</f>
        <v>Q1 21</v>
      </c>
      <c r="AA5" s="686" t="str">
        <f>'WH Model'!AA5</f>
        <v>Q2 21</v>
      </c>
      <c r="AB5" s="686" t="str">
        <f>'WH Model'!AB5</f>
        <v>Q3 21</v>
      </c>
      <c r="AC5" s="686" t="str">
        <f>'WH Model'!AC5</f>
        <v>Q4 21</v>
      </c>
      <c r="AD5" s="686" t="str">
        <f>'WH Model'!AD5</f>
        <v>Q1 22</v>
      </c>
      <c r="AE5" s="686" t="str">
        <f>'WH Model'!AE5</f>
        <v>Q2 22</v>
      </c>
      <c r="AF5" s="686" t="str">
        <f>'WH Model'!AF5</f>
        <v>Q3 22</v>
      </c>
      <c r="AG5" s="686" t="str">
        <f>'WH Model'!AG5</f>
        <v>Q4 22</v>
      </c>
      <c r="AH5" s="686" t="str">
        <f>'WH Model'!AH5</f>
        <v>Q1 23</v>
      </c>
      <c r="AI5" s="686" t="str">
        <f>'WH Model'!AI5</f>
        <v>Q2 23</v>
      </c>
      <c r="AJ5" s="686" t="str">
        <f>'WH Model'!AJ5</f>
        <v>Q3 23</v>
      </c>
      <c r="AK5" s="686" t="str">
        <f>'WH Model'!AK5</f>
        <v>Q4 23</v>
      </c>
      <c r="AL5" s="686" t="str">
        <f>'WH Model'!AL5</f>
        <v>Q1 24</v>
      </c>
      <c r="AM5" s="686" t="str">
        <f>'WH Model'!AM5</f>
        <v>Q2 24</v>
      </c>
      <c r="AN5" s="686" t="str">
        <f>'WH Model'!AN5</f>
        <v>Q3 24</v>
      </c>
      <c r="AO5" s="686" t="str">
        <f>'WH Model'!AO5</f>
        <v>Q4 24</v>
      </c>
      <c r="AP5" s="686" t="str">
        <f>'WH Model'!AP5</f>
        <v>Q1 25</v>
      </c>
      <c r="AQ5" s="686" t="str">
        <f>'WH Model'!AQ5</f>
        <v>Q2 25</v>
      </c>
      <c r="AR5" s="686" t="str">
        <f>'WH Model'!AR5</f>
        <v>Q3 25</v>
      </c>
      <c r="AS5" s="686" t="str">
        <f>'WH Model'!AS5</f>
        <v>Q4 25</v>
      </c>
      <c r="AT5" s="686" t="str">
        <f>'WH Model'!AT5</f>
        <v>Q1 26</v>
      </c>
      <c r="AU5" s="686" t="str">
        <f>'WH Model'!AU5</f>
        <v>Q2 26</v>
      </c>
      <c r="AV5" s="686" t="str">
        <f>'WH Model'!AV5</f>
        <v>Q3 26</v>
      </c>
      <c r="AW5" s="686" t="str">
        <f>'WH Model'!AW5</f>
        <v>Q4 26</v>
      </c>
      <c r="AX5" s="686" t="str">
        <f>'WH Model'!AX5</f>
        <v>Q1 27</v>
      </c>
      <c r="AY5" s="686" t="str">
        <f>'WH Model'!AY5</f>
        <v>Q2 27</v>
      </c>
      <c r="AZ5" s="686" t="str">
        <f>'WH Model'!AZ5</f>
        <v>Q3 27</v>
      </c>
      <c r="BA5" s="686" t="str">
        <f>'WH Model'!BA5</f>
        <v>Q4 27</v>
      </c>
      <c r="BB5" s="686" t="str">
        <f>'WH Model'!BB5</f>
        <v>Q1 28</v>
      </c>
      <c r="BC5" s="686" t="str">
        <f>'WH Model'!BC5</f>
        <v>Q2 28</v>
      </c>
      <c r="BD5" s="686" t="str">
        <f>'WH Model'!BD5</f>
        <v>Q3 28</v>
      </c>
      <c r="BE5" s="686" t="str">
        <f>'WH Model'!BE5</f>
        <v>Q4 28</v>
      </c>
      <c r="BF5" s="686" t="str">
        <f>'WH Model'!BF5</f>
        <v>Q1 29</v>
      </c>
      <c r="BG5" s="686" t="str">
        <f>'WH Model'!BG5</f>
        <v>Q2 29</v>
      </c>
      <c r="BH5" s="686" t="str">
        <f>'WH Model'!BH5</f>
        <v>Q3 29</v>
      </c>
      <c r="BI5" s="686" t="str">
        <f>'WH Model'!BI5</f>
        <v>Q4 29</v>
      </c>
    </row>
    <row r="6" spans="2:61" x14ac:dyDescent="0.25">
      <c r="AS6" s="681">
        <f>SUM(AP9:AS9)/SUM(AP7:AS7)</f>
        <v>1.3433466398820116E-2</v>
      </c>
    </row>
    <row r="7" spans="2:61" x14ac:dyDescent="0.25">
      <c r="B7" s="682" t="s">
        <v>110</v>
      </c>
      <c r="F7" s="45">
        <f>'WH Model'!F40</f>
        <v>381.55799999999999</v>
      </c>
      <c r="G7" s="45">
        <f>'WH Model'!G40</f>
        <v>520.67700000000002</v>
      </c>
      <c r="H7" s="45">
        <f>'WH Model'!H40</f>
        <v>521.83799999999997</v>
      </c>
      <c r="I7" s="45">
        <f>'WH Model'!I40</f>
        <v>516.63300000000004</v>
      </c>
      <c r="J7" s="45">
        <f>'WH Model'!J40</f>
        <v>533.68100000000004</v>
      </c>
      <c r="K7" s="45">
        <f>'WH Model'!K40</f>
        <v>754.11300000000006</v>
      </c>
      <c r="L7" s="45">
        <f>'WH Model'!L40</f>
        <v>752.202</v>
      </c>
      <c r="M7" s="45">
        <f>'WH Model'!M40</f>
        <v>742.72499999999991</v>
      </c>
      <c r="N7" s="45">
        <f>'WH Model'!N40</f>
        <v>707.11599999999999</v>
      </c>
      <c r="O7" s="45">
        <f>'WH Model'!O40</f>
        <v>815.29499999999996</v>
      </c>
      <c r="P7" s="45">
        <f>'WH Model'!P40</f>
        <v>791.31700000000001</v>
      </c>
      <c r="Q7" s="45">
        <f>'WH Model'!Q40</f>
        <v>755.92399999999998</v>
      </c>
      <c r="R7" s="45">
        <f>'WH Model'!R40</f>
        <v>713.60400000000004</v>
      </c>
      <c r="S7" s="45">
        <f>'WH Model'!S40</f>
        <v>837.88</v>
      </c>
      <c r="T7" s="45">
        <f>'WH Model'!T40</f>
        <v>838.80499999999995</v>
      </c>
      <c r="U7" s="45">
        <f>'WH Model'!U40</f>
        <v>765.75800000000027</v>
      </c>
      <c r="V7" s="45">
        <f>'WH Model'!V40</f>
        <v>767.726</v>
      </c>
      <c r="W7" s="45">
        <f>'WH Model'!W40</f>
        <v>797.91399999999999</v>
      </c>
      <c r="X7" s="45">
        <f>'WH Model'!X40</f>
        <v>856.04600000000005</v>
      </c>
      <c r="Y7" s="45">
        <f>'WH Model'!Y40</f>
        <v>816.76200000000017</v>
      </c>
      <c r="Z7" s="45">
        <f>'WH Model'!Z40</f>
        <v>821.154</v>
      </c>
      <c r="AA7" s="45">
        <f>'WH Model'!AA40</f>
        <v>938.14599999999996</v>
      </c>
      <c r="AB7" s="45">
        <f>'WH Model'!AB40</f>
        <v>939.72</v>
      </c>
      <c r="AC7" s="45">
        <f>'WH Model'!AC40</f>
        <v>909.50700000000006</v>
      </c>
      <c r="AD7" s="45">
        <f>'WH Model'!AD40</f>
        <v>896.78200000000004</v>
      </c>
      <c r="AE7" s="45">
        <f>'WH Model'!AE40</f>
        <v>1044.556</v>
      </c>
      <c r="AF7" s="45">
        <f>'WH Model'!AF40</f>
        <v>1007.482</v>
      </c>
      <c r="AG7" s="45">
        <f>'WH Model'!AG40</f>
        <v>974.18299999999999</v>
      </c>
      <c r="AH7" s="45">
        <f>'WH Model'!AH40</f>
        <v>947.53599999999994</v>
      </c>
      <c r="AI7" s="45">
        <f>'WH Model'!AI40</f>
        <v>1067.2550000000001</v>
      </c>
      <c r="AJ7" s="45">
        <f>'WH Model'!AJ40</f>
        <v>1050.8779999999999</v>
      </c>
      <c r="AK7" s="45">
        <f>'WH Model'!AK40</f>
        <v>989.47800000000007</v>
      </c>
      <c r="AL7" s="45">
        <f>'WH Model'!AL40</f>
        <v>951.06700000000001</v>
      </c>
      <c r="AM7" s="45">
        <f>'WH Model'!AM40</f>
        <v>1079.2329999999999</v>
      </c>
      <c r="AN7" s="45">
        <f>'WH Model'!AN40</f>
        <v>1067.616</v>
      </c>
      <c r="AO7" s="45">
        <f>'WH Model'!AO40</f>
        <v>1048.6210000000001</v>
      </c>
      <c r="AP7" s="45">
        <f>'WH Model'!AP40</f>
        <v>952.87300000000005</v>
      </c>
      <c r="AQ7" s="45">
        <f>'WH Model'!AQ40</f>
        <v>1113.0229999999999</v>
      </c>
      <c r="AR7" s="45">
        <f>'WH Model'!AR40</f>
        <v>1139.8009999999999</v>
      </c>
      <c r="AS7" s="45">
        <f>'WH Model'!AS40</f>
        <v>1149.996000000001</v>
      </c>
      <c r="AT7" s="46">
        <f t="shared" ref="AT7:BI7" ca="1" si="0">SUM(AT8:AT10)</f>
        <v>1129.9911663741614</v>
      </c>
      <c r="AU7" s="46">
        <f t="shared" ca="1" si="0"/>
        <v>1196.7166671549928</v>
      </c>
      <c r="AV7" s="46">
        <f t="shared" ca="1" si="0"/>
        <v>1206.5882762579595</v>
      </c>
      <c r="AW7" s="46">
        <f t="shared" ca="1" si="0"/>
        <v>1203.4099072274239</v>
      </c>
      <c r="AX7" s="46">
        <f t="shared" ca="1" si="0"/>
        <v>1177.6653396905911</v>
      </c>
      <c r="AY7" s="46">
        <f t="shared" ca="1" si="0"/>
        <v>1222.2683583005571</v>
      </c>
      <c r="AZ7" s="46">
        <f t="shared" ca="1" si="0"/>
        <v>1230.3594643620986</v>
      </c>
      <c r="BA7" s="46">
        <f t="shared" ca="1" si="0"/>
        <v>1223.1996256798627</v>
      </c>
      <c r="BB7" s="46">
        <f t="shared" ca="1" si="0"/>
        <v>1203.6936168192674</v>
      </c>
      <c r="BC7" s="46">
        <f t="shared" ca="1" si="0"/>
        <v>1252.9328609694421</v>
      </c>
      <c r="BD7" s="46">
        <f t="shared" ca="1" si="0"/>
        <v>1264.8972331412376</v>
      </c>
      <c r="BE7" s="46">
        <f t="shared" ca="1" si="0"/>
        <v>1261.1922098101591</v>
      </c>
      <c r="BF7" s="46">
        <f t="shared" ca="1" si="0"/>
        <v>1244.7293906371665</v>
      </c>
      <c r="BG7" s="46">
        <f t="shared" ca="1" si="0"/>
        <v>1295.6284795854506</v>
      </c>
      <c r="BH7" s="46">
        <f t="shared" ca="1" si="0"/>
        <v>1307.9803784171295</v>
      </c>
      <c r="BI7" s="46">
        <f t="shared" ca="1" si="0"/>
        <v>1304.1288518637257</v>
      </c>
    </row>
    <row r="8" spans="2:61" x14ac:dyDescent="0.25">
      <c r="C8" s="1" t="s">
        <v>869</v>
      </c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707"/>
      <c r="R8" s="707">
        <f t="shared" ref="R8:AS8" si="1">R42</f>
        <v>39.834375871559999</v>
      </c>
      <c r="S8" s="707">
        <f t="shared" si="1"/>
        <v>44.688354365114748</v>
      </c>
      <c r="T8" s="707">
        <f t="shared" si="1"/>
        <v>43.660443374099998</v>
      </c>
      <c r="U8" s="707">
        <f t="shared" si="1"/>
        <v>39.225368435047642</v>
      </c>
      <c r="V8" s="707">
        <f t="shared" si="1"/>
        <v>37.791482664749999</v>
      </c>
      <c r="W8" s="707">
        <f t="shared" si="1"/>
        <v>35.558454392262284</v>
      </c>
      <c r="X8" s="707">
        <f t="shared" si="1"/>
        <v>42.978872044349991</v>
      </c>
      <c r="Y8" s="707">
        <f t="shared" si="1"/>
        <v>45.330237413485719</v>
      </c>
      <c r="Z8" s="707">
        <f t="shared" si="1"/>
        <v>49.18829620319999</v>
      </c>
      <c r="AA8" s="707">
        <f t="shared" si="1"/>
        <v>65.924091610229524</v>
      </c>
      <c r="AB8" s="707">
        <f t="shared" si="1"/>
        <v>72.680233824000027</v>
      </c>
      <c r="AC8" s="707">
        <f t="shared" si="1"/>
        <v>70.296216852479986</v>
      </c>
      <c r="AD8" s="707">
        <f t="shared" si="1"/>
        <v>80.296846554329989</v>
      </c>
      <c r="AE8" s="707">
        <f t="shared" si="1"/>
        <v>84.184156421164829</v>
      </c>
      <c r="AF8" s="707">
        <f t="shared" si="1"/>
        <v>64.562215946886027</v>
      </c>
      <c r="AG8" s="707">
        <f t="shared" si="1"/>
        <v>57.745969863829345</v>
      </c>
      <c r="AH8" s="707">
        <f t="shared" si="1"/>
        <v>61.637887844797476</v>
      </c>
      <c r="AI8" s="707">
        <f t="shared" si="1"/>
        <v>64.097731528872018</v>
      </c>
      <c r="AJ8" s="707">
        <f t="shared" si="1"/>
        <v>60.188787071392468</v>
      </c>
      <c r="AK8" s="707">
        <f t="shared" si="1"/>
        <v>57.353878837851433</v>
      </c>
      <c r="AL8" s="707">
        <f t="shared" si="1"/>
        <v>55.264885499737147</v>
      </c>
      <c r="AM8" s="707">
        <f t="shared" si="1"/>
        <v>69.729436719581429</v>
      </c>
      <c r="AN8" s="707">
        <f t="shared" si="1"/>
        <v>64.720345188287283</v>
      </c>
      <c r="AO8" s="707">
        <f t="shared" si="1"/>
        <v>69.784690970026631</v>
      </c>
      <c r="AP8" s="707">
        <f t="shared" si="1"/>
        <v>66.125527595819989</v>
      </c>
      <c r="AQ8" s="707">
        <f t="shared" si="1"/>
        <v>80.340385263297051</v>
      </c>
      <c r="AR8" s="707">
        <f t="shared" si="1"/>
        <v>100.31910304475701</v>
      </c>
      <c r="AS8" s="707">
        <f t="shared" si="1"/>
        <v>114.49097681093484</v>
      </c>
      <c r="AT8" s="707">
        <f t="shared" ref="AT8:AW8" ca="1" si="2">AT42</f>
        <v>122.53116449018735</v>
      </c>
      <c r="AU8" s="707">
        <f t="shared" ca="1" si="2"/>
        <v>142.1997967805184</v>
      </c>
      <c r="AV8" s="707">
        <f t="shared" ca="1" si="2"/>
        <v>143.57372398775999</v>
      </c>
      <c r="AW8" s="707">
        <f t="shared" ca="1" si="2"/>
        <v>145.09118116944009</v>
      </c>
      <c r="AX8" s="707">
        <f t="shared" ref="AX8:BI8" ca="1" si="3">AX42</f>
        <v>133.15621465227474</v>
      </c>
      <c r="AY8" s="707">
        <f t="shared" ca="1" si="3"/>
        <v>136.62505517536823</v>
      </c>
      <c r="AZ8" s="707">
        <f t="shared" ca="1" si="3"/>
        <v>136.05962796789601</v>
      </c>
      <c r="BA8" s="707">
        <f t="shared" ca="1" si="3"/>
        <v>133.82652412371763</v>
      </c>
      <c r="BB8" s="707">
        <f t="shared" ca="1" si="3"/>
        <v>122.82310938887665</v>
      </c>
      <c r="BC8" s="707">
        <f t="shared" ca="1" si="3"/>
        <v>129.50308119010421</v>
      </c>
      <c r="BD8" s="707">
        <f t="shared" ca="1" si="3"/>
        <v>132.51700534498161</v>
      </c>
      <c r="BE8" s="707">
        <f t="shared" ca="1" si="3"/>
        <v>133.91760202709193</v>
      </c>
      <c r="BF8" s="707">
        <f t="shared" ca="1" si="3"/>
        <v>126.22767978948059</v>
      </c>
      <c r="BG8" s="707">
        <f t="shared" ca="1" si="3"/>
        <v>133.09281572133867</v>
      </c>
      <c r="BH8" s="707">
        <f t="shared" ca="1" si="3"/>
        <v>136.19028373875477</v>
      </c>
      <c r="BI8" s="707">
        <f t="shared" ca="1" si="3"/>
        <v>137.62970397801834</v>
      </c>
    </row>
    <row r="9" spans="2:61" x14ac:dyDescent="0.25">
      <c r="C9" s="1" t="s">
        <v>870</v>
      </c>
      <c r="F9" s="707"/>
      <c r="G9" s="707"/>
      <c r="H9" s="707"/>
      <c r="I9" s="707"/>
      <c r="J9" s="707">
        <f t="shared" ref="J9:AS9" si="4">J55</f>
        <v>12.670812675370083</v>
      </c>
      <c r="K9" s="707">
        <f t="shared" si="4"/>
        <v>17.415217266927485</v>
      </c>
      <c r="L9" s="707">
        <f t="shared" si="4"/>
        <v>17.292870126100798</v>
      </c>
      <c r="M9" s="707">
        <f t="shared" si="4"/>
        <v>18.020963951891211</v>
      </c>
      <c r="N9" s="707">
        <f t="shared" si="4"/>
        <v>17.550386911983747</v>
      </c>
      <c r="O9" s="707">
        <f t="shared" si="4"/>
        <v>21.943437761428445</v>
      </c>
      <c r="P9" s="707">
        <f t="shared" si="4"/>
        <v>22.920517299840661</v>
      </c>
      <c r="Q9" s="707">
        <f t="shared" si="4"/>
        <v>23.527538687510322</v>
      </c>
      <c r="R9" s="707">
        <f t="shared" si="4"/>
        <v>19.988360659427332</v>
      </c>
      <c r="S9" s="707">
        <f t="shared" si="4"/>
        <v>21.258918671353779</v>
      </c>
      <c r="T9" s="707">
        <f t="shared" si="4"/>
        <v>19.189503054916997</v>
      </c>
      <c r="U9" s="707">
        <f t="shared" si="4"/>
        <v>15.766835594518522</v>
      </c>
      <c r="V9" s="707">
        <f t="shared" si="4"/>
        <v>14.614777747543684</v>
      </c>
      <c r="W9" s="707">
        <f t="shared" si="4"/>
        <v>15.3865218757027</v>
      </c>
      <c r="X9" s="707">
        <f t="shared" si="4"/>
        <v>14.718400924182625</v>
      </c>
      <c r="Y9" s="707">
        <f t="shared" si="4"/>
        <v>16.43318895037368</v>
      </c>
      <c r="Z9" s="707">
        <f t="shared" si="4"/>
        <v>17.811996014021453</v>
      </c>
      <c r="AA9" s="707">
        <f t="shared" si="4"/>
        <v>24.117669472431036</v>
      </c>
      <c r="AB9" s="707">
        <f t="shared" si="4"/>
        <v>25.607097863709484</v>
      </c>
      <c r="AC9" s="707">
        <f t="shared" si="4"/>
        <v>28.151604092859202</v>
      </c>
      <c r="AD9" s="707">
        <f t="shared" si="4"/>
        <v>28.275631960492959</v>
      </c>
      <c r="AE9" s="707">
        <f t="shared" si="4"/>
        <v>34.090620356886198</v>
      </c>
      <c r="AF9" s="707">
        <f t="shared" si="4"/>
        <v>30.15909974315133</v>
      </c>
      <c r="AG9" s="707">
        <f t="shared" si="4"/>
        <v>19.972785483806987</v>
      </c>
      <c r="AH9" s="707">
        <f t="shared" si="4"/>
        <v>17.107404147357776</v>
      </c>
      <c r="AI9" s="707">
        <f t="shared" si="4"/>
        <v>17.637258272889582</v>
      </c>
      <c r="AJ9" s="707">
        <f t="shared" si="4"/>
        <v>15.893470985162821</v>
      </c>
      <c r="AK9" s="707">
        <f t="shared" si="4"/>
        <v>15.840507826080007</v>
      </c>
      <c r="AL9" s="707">
        <f t="shared" si="4"/>
        <v>14.694817755240001</v>
      </c>
      <c r="AM9" s="707">
        <f t="shared" si="4"/>
        <v>17.729315626176</v>
      </c>
      <c r="AN9" s="707">
        <f t="shared" si="4"/>
        <v>18.105701411952005</v>
      </c>
      <c r="AO9" s="707">
        <f t="shared" si="4"/>
        <v>16.246951096319993</v>
      </c>
      <c r="AP9" s="707">
        <f t="shared" si="4"/>
        <v>13.606782446124003</v>
      </c>
      <c r="AQ9" s="707">
        <f t="shared" si="4"/>
        <v>15.38291761776</v>
      </c>
      <c r="AR9" s="707">
        <f t="shared" si="4"/>
        <v>14.317462573847997</v>
      </c>
      <c r="AS9" s="707">
        <f t="shared" si="4"/>
        <v>15.204892921344003</v>
      </c>
      <c r="AT9" s="707">
        <f t="shared" ref="AT9:AW9" ca="1" si="5">AT55</f>
        <v>14.044181884195678</v>
      </c>
      <c r="AU9" s="707">
        <f t="shared" ca="1" si="5"/>
        <v>22.212002723027041</v>
      </c>
      <c r="AV9" s="707">
        <f t="shared" ca="1" si="5"/>
        <v>22.72894248167928</v>
      </c>
      <c r="AW9" s="707">
        <f t="shared" ca="1" si="5"/>
        <v>22.969168868812329</v>
      </c>
      <c r="AX9" s="707">
        <f t="shared" ref="AX9:BI9" ca="1" si="6">AX55</f>
        <v>16.075397383545905</v>
      </c>
      <c r="AY9" s="707">
        <f t="shared" ca="1" si="6"/>
        <v>16.94968888902817</v>
      </c>
      <c r="AZ9" s="707">
        <f t="shared" ca="1" si="6"/>
        <v>17.344158860636867</v>
      </c>
      <c r="BA9" s="707">
        <f t="shared" ca="1" si="6"/>
        <v>17.527472476055227</v>
      </c>
      <c r="BB9" s="707">
        <f t="shared" ca="1" si="6"/>
        <v>16.184490875789706</v>
      </c>
      <c r="BC9" s="707">
        <f t="shared" ca="1" si="6"/>
        <v>17.064715641352354</v>
      </c>
      <c r="BD9" s="707">
        <f t="shared" ca="1" si="6"/>
        <v>17.461862629632019</v>
      </c>
      <c r="BE9" s="707">
        <f t="shared" ca="1" si="6"/>
        <v>17.646420277904102</v>
      </c>
      <c r="BF9" s="707">
        <f t="shared" ca="1" si="6"/>
        <v>16.28551220953533</v>
      </c>
      <c r="BG9" s="707">
        <f t="shared" ca="1" si="6"/>
        <v>17.171231215262562</v>
      </c>
      <c r="BH9" s="707">
        <f t="shared" ca="1" si="6"/>
        <v>17.570857139627208</v>
      </c>
      <c r="BI9" s="707">
        <f t="shared" ca="1" si="6"/>
        <v>17.756566770987575</v>
      </c>
    </row>
    <row r="10" spans="2:61" x14ac:dyDescent="0.25">
      <c r="C10" s="1" t="s">
        <v>871</v>
      </c>
      <c r="J10" s="707">
        <f t="shared" ref="J10:AS10" si="7">J7-J8-J9</f>
        <v>521.01018732463001</v>
      </c>
      <c r="K10" s="707">
        <f t="shared" si="7"/>
        <v>736.69778273307259</v>
      </c>
      <c r="L10" s="707">
        <f t="shared" si="7"/>
        <v>734.90912987389925</v>
      </c>
      <c r="M10" s="707">
        <f t="shared" si="7"/>
        <v>724.70403604810872</v>
      </c>
      <c r="N10" s="707">
        <f t="shared" si="7"/>
        <v>689.56561308801622</v>
      </c>
      <c r="O10" s="707">
        <f t="shared" si="7"/>
        <v>793.35156223857155</v>
      </c>
      <c r="P10" s="707">
        <f t="shared" si="7"/>
        <v>768.39648270015937</v>
      </c>
      <c r="Q10" s="707">
        <f t="shared" si="7"/>
        <v>732.39646131248969</v>
      </c>
      <c r="R10" s="707">
        <f t="shared" si="7"/>
        <v>653.78126346901263</v>
      </c>
      <c r="S10" s="707">
        <f t="shared" si="7"/>
        <v>771.93272696353154</v>
      </c>
      <c r="T10" s="707">
        <f t="shared" si="7"/>
        <v>775.95505357098295</v>
      </c>
      <c r="U10" s="707">
        <f t="shared" si="7"/>
        <v>710.76579597043417</v>
      </c>
      <c r="V10" s="707">
        <f t="shared" si="7"/>
        <v>715.31973958770629</v>
      </c>
      <c r="W10" s="707">
        <f t="shared" si="7"/>
        <v>746.969023732035</v>
      </c>
      <c r="X10" s="707">
        <f t="shared" si="7"/>
        <v>798.34872703146743</v>
      </c>
      <c r="Y10" s="707">
        <f t="shared" si="7"/>
        <v>754.99857363614069</v>
      </c>
      <c r="Z10" s="707">
        <f t="shared" si="7"/>
        <v>754.1537077827785</v>
      </c>
      <c r="AA10" s="707">
        <f t="shared" si="7"/>
        <v>848.10423891733933</v>
      </c>
      <c r="AB10" s="707">
        <f t="shared" si="7"/>
        <v>841.43266831229062</v>
      </c>
      <c r="AC10" s="707">
        <f t="shared" si="7"/>
        <v>811.05917905466083</v>
      </c>
      <c r="AD10" s="707">
        <f t="shared" si="7"/>
        <v>788.20952148517699</v>
      </c>
      <c r="AE10" s="707">
        <f t="shared" si="7"/>
        <v>926.28122322194895</v>
      </c>
      <c r="AF10" s="707">
        <f t="shared" si="7"/>
        <v>912.7606843099627</v>
      </c>
      <c r="AG10" s="707">
        <f t="shared" si="7"/>
        <v>896.46424465236362</v>
      </c>
      <c r="AH10" s="707">
        <f t="shared" si="7"/>
        <v>868.79070800784473</v>
      </c>
      <c r="AI10" s="707">
        <f t="shared" si="7"/>
        <v>985.52001019823854</v>
      </c>
      <c r="AJ10" s="707">
        <f t="shared" si="7"/>
        <v>974.79574194344468</v>
      </c>
      <c r="AK10" s="707">
        <f t="shared" si="7"/>
        <v>916.28361333606858</v>
      </c>
      <c r="AL10" s="707">
        <f t="shared" si="7"/>
        <v>881.10729674502284</v>
      </c>
      <c r="AM10" s="707">
        <f t="shared" si="7"/>
        <v>991.77424765424257</v>
      </c>
      <c r="AN10" s="707">
        <f t="shared" si="7"/>
        <v>984.78995339976063</v>
      </c>
      <c r="AO10" s="707">
        <f t="shared" si="7"/>
        <v>962.58935793365345</v>
      </c>
      <c r="AP10" s="707">
        <f t="shared" si="7"/>
        <v>873.14068995805599</v>
      </c>
      <c r="AQ10" s="707">
        <f t="shared" si="7"/>
        <v>1017.2996971189428</v>
      </c>
      <c r="AR10" s="707">
        <f t="shared" si="7"/>
        <v>1025.164434381395</v>
      </c>
      <c r="AS10" s="707">
        <f t="shared" si="7"/>
        <v>1020.3001302677221</v>
      </c>
      <c r="AT10" s="707">
        <f ca="1">AT11*AT24</f>
        <v>993.41581999977825</v>
      </c>
      <c r="AU10" s="707">
        <f t="shared" ref="AU10:BI10" ca="1" si="8">AU11*AU24</f>
        <v>1032.3048676514475</v>
      </c>
      <c r="AV10" s="707">
        <f t="shared" ca="1" si="8"/>
        <v>1040.2856097885203</v>
      </c>
      <c r="AW10" s="707">
        <f t="shared" ca="1" si="8"/>
        <v>1035.3495571891715</v>
      </c>
      <c r="AX10" s="707">
        <f t="shared" ca="1" si="8"/>
        <v>1028.4337276547703</v>
      </c>
      <c r="AY10" s="707">
        <f t="shared" ca="1" si="8"/>
        <v>1068.6936142361608</v>
      </c>
      <c r="AZ10" s="707">
        <f t="shared" ca="1" si="8"/>
        <v>1076.9556775335657</v>
      </c>
      <c r="BA10" s="707">
        <f t="shared" ca="1" si="8"/>
        <v>1071.8456290800898</v>
      </c>
      <c r="BB10" s="707">
        <f t="shared" ca="1" si="8"/>
        <v>1064.6860165546011</v>
      </c>
      <c r="BC10" s="707">
        <f t="shared" ca="1" si="8"/>
        <v>1106.3650641379854</v>
      </c>
      <c r="BD10" s="707">
        <f t="shared" ca="1" si="8"/>
        <v>1114.918365166624</v>
      </c>
      <c r="BE10" s="707">
        <f t="shared" ca="1" si="8"/>
        <v>1109.6281875051629</v>
      </c>
      <c r="BF10" s="707">
        <f t="shared" ca="1" si="8"/>
        <v>1102.2161986381504</v>
      </c>
      <c r="BG10" s="707">
        <f t="shared" ca="1" si="8"/>
        <v>1145.3644326488493</v>
      </c>
      <c r="BH10" s="707">
        <f t="shared" ca="1" si="8"/>
        <v>1154.2192375387474</v>
      </c>
      <c r="BI10" s="707">
        <f t="shared" ca="1" si="8"/>
        <v>1148.7425811147198</v>
      </c>
    </row>
    <row r="11" spans="2:61" x14ac:dyDescent="0.25">
      <c r="J11" s="709">
        <f>J10/J24</f>
        <v>7.9909537933225456</v>
      </c>
      <c r="K11" s="709">
        <f t="shared" ref="K11:S11" si="9">K10/K24</f>
        <v>8.3242687314471482</v>
      </c>
      <c r="L11" s="709">
        <f t="shared" si="9"/>
        <v>8.4666950446301765</v>
      </c>
      <c r="M11" s="709">
        <f t="shared" si="9"/>
        <v>8.6999284039388805</v>
      </c>
      <c r="N11" s="709">
        <f t="shared" si="9"/>
        <v>8.8405847831796951</v>
      </c>
      <c r="O11" s="709">
        <f t="shared" si="9"/>
        <v>8.8052337651339805</v>
      </c>
      <c r="P11" s="709">
        <f t="shared" si="9"/>
        <v>8.8627045294136018</v>
      </c>
      <c r="Q11" s="709">
        <f t="shared" si="9"/>
        <v>8.8346979651687558</v>
      </c>
      <c r="R11" s="709">
        <f t="shared" si="9"/>
        <v>8.3603742131587282</v>
      </c>
      <c r="S11" s="709">
        <f t="shared" si="9"/>
        <v>8.5296433918622263</v>
      </c>
      <c r="T11" s="709">
        <f t="shared" ref="T11" si="10">T10/T24</f>
        <v>8.5646253153530125</v>
      </c>
      <c r="U11" s="709">
        <f t="shared" ref="U11" si="11">U10/U24</f>
        <v>8.4715827886821682</v>
      </c>
      <c r="V11" s="709">
        <f t="shared" ref="V11" si="12">V10/V24</f>
        <v>8.6183101155145341</v>
      </c>
      <c r="W11" s="709">
        <f t="shared" ref="W11" si="13">W10/W24</f>
        <v>8.1994404361364985</v>
      </c>
      <c r="X11" s="709">
        <f t="shared" ref="X11" si="14">X10/X24</f>
        <v>8.4840459833312174</v>
      </c>
      <c r="Y11" s="709">
        <f t="shared" ref="Y11" si="15">Y10/Y24</f>
        <v>8.333317589802876</v>
      </c>
      <c r="Z11" s="709">
        <f t="shared" ref="Z11" si="16">Z10/Z24</f>
        <v>8.6784086050952638</v>
      </c>
      <c r="AA11" s="709">
        <f t="shared" ref="AA11" si="17">AA10/AA24</f>
        <v>8.797761814495221</v>
      </c>
      <c r="AB11" s="709">
        <f t="shared" ref="AB11" si="18">AB10/AB24</f>
        <v>8.9992798749977609</v>
      </c>
      <c r="AC11" s="709">
        <f t="shared" ref="AC11" si="19">AC10/AC24</f>
        <v>9.0889235180270393</v>
      </c>
      <c r="AD11" s="709">
        <f t="shared" ref="AD11" si="20">AD10/AD24</f>
        <v>9.264769400126676</v>
      </c>
      <c r="AE11" s="709">
        <f t="shared" ref="AE11" si="21">AE10/AE24</f>
        <v>9.6079290434605937</v>
      </c>
      <c r="AF11" s="709">
        <f t="shared" ref="AF11" si="22">AF10/AF24</f>
        <v>9.7997732932861208</v>
      </c>
      <c r="AG11" s="709">
        <f t="shared" ref="AG11" si="23">AG10/AG24</f>
        <v>10.237583590119034</v>
      </c>
      <c r="AH11" s="709">
        <f t="shared" ref="AH11" si="24">AH10/AH24</f>
        <v>10.534627234240872</v>
      </c>
      <c r="AI11" s="709">
        <f t="shared" ref="AI11" si="25">AI10/AI24</f>
        <v>10.647939173445394</v>
      </c>
      <c r="AJ11" s="709">
        <f t="shared" ref="AJ11" si="26">AJ10/AJ24</f>
        <v>10.619037026737745</v>
      </c>
      <c r="AK11" s="709">
        <f t="shared" ref="AK11" si="27">AK10/AK24</f>
        <v>10.348225346841362</v>
      </c>
      <c r="AL11" s="709">
        <f t="shared" ref="AL11" si="28">AL10/AL24</f>
        <v>10.730685252219835</v>
      </c>
      <c r="AM11" s="709">
        <f t="shared" ref="AM11" si="29">AM10/AM24</f>
        <v>10.844633283262906</v>
      </c>
      <c r="AN11" s="709">
        <f t="shared" ref="AN11" si="30">AN10/AN24</f>
        <v>10.95928013220446</v>
      </c>
      <c r="AO11" s="709">
        <f t="shared" ref="AO11" si="31">AO10/AO24</f>
        <v>10.7336012258436</v>
      </c>
      <c r="AP11" s="709">
        <f t="shared" ref="AP11" si="32">AP10/AP24</f>
        <v>11.379836171856791</v>
      </c>
      <c r="AQ11" s="709">
        <f t="shared" ref="AQ11" si="33">AQ10/AQ24</f>
        <v>11.215351764149483</v>
      </c>
      <c r="AR11" s="709">
        <f t="shared" ref="AR11" si="34">AR10/AR24</f>
        <v>11.045007211840451</v>
      </c>
      <c r="AS11" s="709">
        <f t="shared" ref="AS11" si="35">AS10/AS24</f>
        <v>10.877632041916907</v>
      </c>
      <c r="AT11" s="709">
        <f>AP11*(1+AT12)</f>
        <v>11.66433207615321</v>
      </c>
      <c r="AU11" s="709">
        <f t="shared" ref="AU11:BI11" si="36">AQ11*(1+AU12)</f>
        <v>11.495735558253219</v>
      </c>
      <c r="AV11" s="709">
        <f t="shared" si="36"/>
        <v>11.321132392136461</v>
      </c>
      <c r="AW11" s="709">
        <f t="shared" si="36"/>
        <v>11.14957284296483</v>
      </c>
      <c r="AX11" s="709">
        <f t="shared" si="36"/>
        <v>11.95594037805704</v>
      </c>
      <c r="AY11" s="709">
        <f t="shared" si="36"/>
        <v>11.78312894720955</v>
      </c>
      <c r="AZ11" s="709">
        <f t="shared" si="36"/>
        <v>11.604160701939872</v>
      </c>
      <c r="BA11" s="709">
        <f t="shared" si="36"/>
        <v>11.42831216403895</v>
      </c>
      <c r="BB11" s="709">
        <f t="shared" si="36"/>
        <v>12.254838887508464</v>
      </c>
      <c r="BC11" s="709">
        <f t="shared" si="36"/>
        <v>12.077707170889788</v>
      </c>
      <c r="BD11" s="709">
        <f t="shared" si="36"/>
        <v>11.894264719488367</v>
      </c>
      <c r="BE11" s="709">
        <f t="shared" si="36"/>
        <v>11.714019968139922</v>
      </c>
      <c r="BF11" s="709">
        <f t="shared" si="36"/>
        <v>12.561209859696175</v>
      </c>
      <c r="BG11" s="709">
        <f t="shared" si="36"/>
        <v>12.379649850162032</v>
      </c>
      <c r="BH11" s="709">
        <f t="shared" si="36"/>
        <v>12.191621337475576</v>
      </c>
      <c r="BI11" s="709">
        <f t="shared" si="36"/>
        <v>12.00687046734342</v>
      </c>
    </row>
    <row r="12" spans="2:61" x14ac:dyDescent="0.25">
      <c r="J12" s="709"/>
      <c r="K12" s="709"/>
      <c r="L12" s="709"/>
      <c r="M12" s="709"/>
      <c r="N12" s="690">
        <f>N11/J11-1</f>
        <v>0.10632410245784718</v>
      </c>
      <c r="O12" s="690">
        <f t="shared" ref="O12:AS12" si="37">O11/K11-1</f>
        <v>5.7778652900747796E-2</v>
      </c>
      <c r="P12" s="690">
        <f t="shared" si="37"/>
        <v>4.677261702422908E-2</v>
      </c>
      <c r="Q12" s="690">
        <f t="shared" si="37"/>
        <v>1.5490881645515486E-2</v>
      </c>
      <c r="R12" s="690">
        <f t="shared" si="37"/>
        <v>-5.4318869373282452E-2</v>
      </c>
      <c r="S12" s="690">
        <f t="shared" si="37"/>
        <v>-3.1298473228843382E-2</v>
      </c>
      <c r="T12" s="690">
        <f t="shared" si="37"/>
        <v>-3.3632985627730427E-2</v>
      </c>
      <c r="U12" s="690">
        <f t="shared" si="37"/>
        <v>-4.1101028911026405E-2</v>
      </c>
      <c r="V12" s="690">
        <f t="shared" si="37"/>
        <v>3.0852195820353367E-2</v>
      </c>
      <c r="W12" s="690">
        <f t="shared" si="37"/>
        <v>-3.8712398696616135E-2</v>
      </c>
      <c r="X12" s="690">
        <f t="shared" si="37"/>
        <v>-9.4083896323342575E-3</v>
      </c>
      <c r="Y12" s="690">
        <f t="shared" si="37"/>
        <v>-1.6321058570543778E-2</v>
      </c>
      <c r="Z12" s="690">
        <f t="shared" si="37"/>
        <v>6.9733496213535417E-3</v>
      </c>
      <c r="AA12" s="690">
        <f t="shared" si="37"/>
        <v>7.2971001255379031E-2</v>
      </c>
      <c r="AB12" s="690">
        <f t="shared" si="37"/>
        <v>6.0729738226175778E-2</v>
      </c>
      <c r="AC12" s="690">
        <f t="shared" si="37"/>
        <v>9.0672882688254353E-2</v>
      </c>
      <c r="AD12" s="690">
        <f t="shared" si="37"/>
        <v>6.7565474468112452E-2</v>
      </c>
      <c r="AE12" s="690">
        <f t="shared" si="37"/>
        <v>9.2087879400251316E-2</v>
      </c>
      <c r="AF12" s="690">
        <f t="shared" si="37"/>
        <v>8.8950830445037044E-2</v>
      </c>
      <c r="AG12" s="690">
        <f t="shared" si="37"/>
        <v>0.12638021101329922</v>
      </c>
      <c r="AH12" s="690">
        <f t="shared" si="37"/>
        <v>0.13706308050115457</v>
      </c>
      <c r="AI12" s="690">
        <f t="shared" si="37"/>
        <v>0.10824498445819164</v>
      </c>
      <c r="AJ12" s="690">
        <f t="shared" si="37"/>
        <v>8.3600274101535144E-2</v>
      </c>
      <c r="AK12" s="690">
        <f t="shared" si="37"/>
        <v>1.080740936065383E-2</v>
      </c>
      <c r="AL12" s="690">
        <f t="shared" si="37"/>
        <v>1.8610816844255584E-2</v>
      </c>
      <c r="AM12" s="690">
        <f t="shared" si="37"/>
        <v>1.8472505018439778E-2</v>
      </c>
      <c r="AN12" s="690">
        <f t="shared" si="37"/>
        <v>3.2040862519832514E-2</v>
      </c>
      <c r="AO12" s="690">
        <f t="shared" si="37"/>
        <v>3.724076989876024E-2</v>
      </c>
      <c r="AP12" s="690">
        <f t="shared" si="37"/>
        <v>6.0494824363864996E-2</v>
      </c>
      <c r="AQ12" s="690">
        <f t="shared" si="37"/>
        <v>3.4184510550368419E-2</v>
      </c>
      <c r="AR12" s="690">
        <f t="shared" si="37"/>
        <v>7.8223276165809708E-3</v>
      </c>
      <c r="AS12" s="690">
        <f t="shared" si="37"/>
        <v>1.3418685215034865E-2</v>
      </c>
      <c r="AT12" s="697">
        <v>2.5000000000000001E-2</v>
      </c>
      <c r="AU12" s="697">
        <v>2.5000000000000001E-2</v>
      </c>
      <c r="AV12" s="697">
        <v>2.5000000000000001E-2</v>
      </c>
      <c r="AW12" s="697">
        <v>2.5000000000000001E-2</v>
      </c>
      <c r="AX12" s="697">
        <v>2.5000000000000001E-2</v>
      </c>
      <c r="AY12" s="697">
        <v>2.5000000000000001E-2</v>
      </c>
      <c r="AZ12" s="697">
        <v>2.5000000000000001E-2</v>
      </c>
      <c r="BA12" s="697">
        <v>2.5000000000000001E-2</v>
      </c>
      <c r="BB12" s="697">
        <v>2.5000000000000001E-2</v>
      </c>
      <c r="BC12" s="697">
        <v>2.5000000000000001E-2</v>
      </c>
      <c r="BD12" s="697">
        <v>2.5000000000000001E-2</v>
      </c>
      <c r="BE12" s="697">
        <v>2.5000000000000001E-2</v>
      </c>
      <c r="BF12" s="697">
        <v>2.5000000000000001E-2</v>
      </c>
      <c r="BG12" s="697">
        <v>2.5000000000000001E-2</v>
      </c>
      <c r="BH12" s="697">
        <v>2.5000000000000001E-2</v>
      </c>
      <c r="BI12" s="697">
        <v>2.5000000000000001E-2</v>
      </c>
    </row>
    <row r="13" spans="2:61" x14ac:dyDescent="0.25">
      <c r="B13" s="682" t="s">
        <v>835</v>
      </c>
    </row>
    <row r="14" spans="2:61" x14ac:dyDescent="0.25">
      <c r="D14" s="681" t="s">
        <v>836</v>
      </c>
      <c r="E14" s="687" t="s">
        <v>837</v>
      </c>
      <c r="F14" s="693">
        <f>_xll.BDP("LMAHDS03 Comdty","INTERVAL_AVG","CALC_INTERVAL=1Q","END_DATE_OVERRIDE",F4)</f>
        <v>1515.2661290322578</v>
      </c>
      <c r="G14" s="693">
        <f>_xll.BDP("LMAHDS03 Comdty","INTERVAL_AVG","CALC_INTERVAL=1Q","END_DATE_OVERRIDE",G4)</f>
        <v>1583.1587301587297</v>
      </c>
      <c r="H14" s="693">
        <f>_xll.BDP("LMAHDS03 Comdty","INTERVAL_AVG","CALC_INTERVAL=1Q","END_DATE_OVERRIDE",H4)</f>
        <v>1632.3984375000005</v>
      </c>
      <c r="I14" s="693">
        <f>_xll.BDP("LMAHDS03 Comdty","INTERVAL_AVG","CALC_INTERVAL=1Q","END_DATE_OVERRIDE",I4)</f>
        <v>1709.2222222222222</v>
      </c>
      <c r="J14" s="693">
        <f>_xll.BDP("LMAHDS03 Comdty","INTERVAL_AVG","CALC_INTERVAL=1Q","END_DATE_OVERRIDE",J4)</f>
        <v>1858.1171875000005</v>
      </c>
      <c r="K14" s="693">
        <f>_xll.BDP("LMAHDS03 Comdty","INTERVAL_AVG","CALC_INTERVAL=1Q","END_DATE_OVERRIDE",K4)</f>
        <v>1912.9180327868851</v>
      </c>
      <c r="L14" s="693">
        <f>_xll.BDP("LMAHDS03 Comdty","INTERVAL_AVG","CALC_INTERVAL=1Q","END_DATE_OVERRIDE",L4)</f>
        <v>2026.7031249999995</v>
      </c>
      <c r="M14" s="693">
        <f>_xll.BDP("LMAHDS03 Comdty","INTERVAL_AVG","CALC_INTERVAL=1Q","END_DATE_OVERRIDE",M4)</f>
        <v>2121.8333333333317</v>
      </c>
      <c r="N14" s="693">
        <f>_xll.BDP("LMAHDS03 Comdty","INTERVAL_AVG","CALC_INTERVAL=1Q","END_DATE_OVERRIDE",N4)</f>
        <v>2159.968253968254</v>
      </c>
      <c r="O14" s="693">
        <f>_xll.BDP("LMAHDS03 Comdty","INTERVAL_AVG","CALC_INTERVAL=1Q","END_DATE_OVERRIDE",O4)</f>
        <v>2261.6048387096771</v>
      </c>
      <c r="P14" s="693">
        <f>_xll.BDP("LMAHDS03 Comdty","INTERVAL_AVG","CALC_INTERVAL=1Q","END_DATE_OVERRIDE",P4)</f>
        <v>2066.4609375000005</v>
      </c>
      <c r="Q14" s="693">
        <f>_xll.BDP("LMAHDS03 Comdty","INTERVAL_AVG","CALC_INTERVAL=1Q","END_DATE_OVERRIDE",Q4)</f>
        <v>1973.1031746031747</v>
      </c>
      <c r="R14" s="693">
        <f>_xll.BDP("LMAHDS03 Comdty","INTERVAL_AVG","CALC_INTERVAL=1Q","END_DATE_OVERRIDE",R4)</f>
        <v>1882.6484374999998</v>
      </c>
      <c r="S14" s="693">
        <f>_xll.BDP("LMAHDS03 Comdty","INTERVAL_AVG","CALC_INTERVAL=1Q","END_DATE_OVERRIDE",S4)</f>
        <v>1819.032786885246</v>
      </c>
      <c r="T14" s="693">
        <f>_xll.BDP("LMAHDS03 Comdty","INTERVAL_AVG","CALC_INTERVAL=1Q","END_DATE_OVERRIDE",T4)</f>
        <v>1790.3984375</v>
      </c>
      <c r="U14" s="693">
        <f>_xll.BDP("LMAHDS03 Comdty","INTERVAL_AVG","CALC_INTERVAL=1Q","END_DATE_OVERRIDE",U4)</f>
        <v>1760.1746031746034</v>
      </c>
      <c r="V14" s="693">
        <f>_xll.BDP("LMAHDS03 Comdty","INTERVAL_AVG","CALC_INTERVAL=1Q","END_DATE_OVERRIDE",V4)</f>
        <v>1713.1796875000005</v>
      </c>
      <c r="W14" s="693">
        <f>_xll.BDP("LMAHDS03 Comdty","INTERVAL_AVG","CALC_INTERVAL=1Q","END_DATE_OVERRIDE",W4)</f>
        <v>1531.2049180327867</v>
      </c>
      <c r="X14" s="693">
        <f>_xll.BDP("LMAHDS03 Comdty","INTERVAL_AVG","CALC_INTERVAL=1Q","END_DATE_OVERRIDE",X4)</f>
        <v>1744.328125</v>
      </c>
      <c r="Y14" s="693">
        <f>_xll.BDP("LMAHDS03 Comdty","INTERVAL_AVG","CALC_INTERVAL=1Q","END_DATE_OVERRIDE",Y4)</f>
        <v>1933.9444444444443</v>
      </c>
      <c r="Z14" s="693">
        <f>_xll.BDP("LMAHDS03 Comdty","INTERVAL_AVG","CALC_INTERVAL=1Q","END_DATE_OVERRIDE",Z4)</f>
        <v>2103.6796875</v>
      </c>
      <c r="AA14" s="693">
        <f>_xll.BDP("LMAHDS03 Comdty","INTERVAL_AVG","CALC_INTERVAL=1Q","END_DATE_OVERRIDE",AA4)</f>
        <v>2413.6557377049189</v>
      </c>
      <c r="AB14" s="693">
        <f>_xll.BDP("LMAHDS03 Comdty","INTERVAL_AVG","CALC_INTERVAL=1Q","END_DATE_OVERRIDE",AB4)</f>
        <v>2654.5625000000009</v>
      </c>
      <c r="AC14" s="693">
        <f>_xll.BDP("LMAHDS03 Comdty","INTERVAL_AVG","CALC_INTERVAL=1Q","END_DATE_OVERRIDE",AC4)</f>
        <v>2758.5793650793648</v>
      </c>
      <c r="AD14" s="693">
        <f>_xll.BDP("LMAHDS03 Comdty","INTERVAL_AVG","CALC_INTERVAL=1Q","END_DATE_OVERRIDE",AD4)</f>
        <v>3248.34375</v>
      </c>
      <c r="AE14" s="693">
        <f>_xll.BDP("LMAHDS03 Comdty","INTERVAL_AVG","CALC_INTERVAL=1Q","END_DATE_OVERRIDE",AE4)</f>
        <v>2895.6000000000008</v>
      </c>
      <c r="AF14" s="693">
        <f>_xll.BDP("LMAHDS03 Comdty","INTERVAL_AVG","CALC_INTERVAL=1Q","END_DATE_OVERRIDE",AF4)</f>
        <v>2356.0703125000014</v>
      </c>
      <c r="AG14" s="693">
        <f>_xll.BDP("LMAHDS03 Comdty","INTERVAL_AVG","CALC_INTERVAL=1Q","END_DATE_OVERRIDE",AG4)</f>
        <v>2355.3253968253966</v>
      </c>
      <c r="AH14" s="693">
        <f>_xll.BDP("LMAHDS03 Comdty","INTERVAL_AVG","CALC_INTERVAL=1Q","END_DATE_OVERRIDE",AH4)</f>
        <v>2440.4296874999991</v>
      </c>
      <c r="AI14" s="693">
        <f>_xll.BDP("LMAHDS03 Comdty","INTERVAL_AVG","CALC_INTERVAL=1Q","END_DATE_OVERRIDE",AI4)</f>
        <v>2280.4166666666674</v>
      </c>
      <c r="AJ14" s="693">
        <f>_xll.BDP("LMAHDS03 Comdty","INTERVAL_AVG","CALC_INTERVAL=1Q","END_DATE_OVERRIDE",AJ4)</f>
        <v>2203.7421874999991</v>
      </c>
      <c r="AK14" s="693">
        <f>_xll.BDP("LMAHDS03 Comdty","INTERVAL_AVG","CALC_INTERVAL=1Q","END_DATE_OVERRIDE",AK4)</f>
        <v>2225.8650793650791</v>
      </c>
      <c r="AL14" s="693">
        <f>_xll.BDP("LMAHDS03 Comdty","INTERVAL_AVG","CALC_INTERVAL=1Q","END_DATE_OVERRIDE",AL4)</f>
        <v>2241.0476190476193</v>
      </c>
      <c r="AM14" s="693">
        <f>_xll.BDP("LMAHDS03 Comdty","INTERVAL_AVG","CALC_INTERVAL=1Q","END_DATE_OVERRIDE",AM4)</f>
        <v>2565.2499999999995</v>
      </c>
      <c r="AN14" s="693">
        <f>_xll.BDP("LMAHDS03 Comdty","INTERVAL_AVG","CALC_INTERVAL=1Q","END_DATE_OVERRIDE",AN4)</f>
        <v>2419.7734375000005</v>
      </c>
      <c r="AO14" s="693">
        <f>_xll.BDP("LMAHDS03 Comdty","INTERVAL_AVG","CALC_INTERVAL=1Q","END_DATE_OVERRIDE",AO4)</f>
        <v>2603.3333333333335</v>
      </c>
      <c r="AP14" s="693">
        <f>_xll.BDP("LMAHDS03 Comdty","INTERVAL_AVG","CALC_INTERVAL=1Q","END_DATE_OVERRIDE",AP4)</f>
        <v>2623.6406249999995</v>
      </c>
      <c r="AQ14" s="693">
        <f>_xll.BDP("LMAHDS03 Comdty","INTERVAL_AVG","CALC_INTERVAL=1Q","END_DATE_OVERRIDE",AQ4)</f>
        <v>2463.3524590163934</v>
      </c>
      <c r="AR14" s="693">
        <f>_xll.BDP("LMAHDS03 Comdty","INTERVAL_AVG","CALC_INTERVAL=1Q","END_DATE_OVERRIDE",AR4)</f>
        <v>2619.8828125000009</v>
      </c>
      <c r="AS14" s="693">
        <f>_xll.BDP("LMAHDS03 Comdty","INTERVAL_AVG","CALC_INTERVAL=1Q","END_DATE_OVERRIDE",AS4)</f>
        <v>2848.269841269841</v>
      </c>
      <c r="AT14" s="693">
        <f>_xll.BDP("LMAHDS03 Comdty","INTERVAL_AVG","CALC_INTERVAL=1Q","END_DATE_OVERRIDE",AT4)</f>
        <v>3195.0078125</v>
      </c>
      <c r="AU14" s="693">
        <f>_xll.BDP("LMAHDS03 Comdty","INTERVAL_AVG","CALC_INTERVAL=1Q","END_DATE_OVERRIDE",AU4)</f>
        <v>3545.6363636363635</v>
      </c>
      <c r="AV14" s="700">
        <f>AU14</f>
        <v>3545.6363636363635</v>
      </c>
      <c r="AW14" s="700">
        <f>AV14</f>
        <v>3545.6363636363635</v>
      </c>
      <c r="AX14" s="700">
        <f>AW14*0.97</f>
        <v>3439.2672727272725</v>
      </c>
      <c r="AY14" s="700">
        <f>AX14*0.97</f>
        <v>3336.0892545454544</v>
      </c>
      <c r="AZ14" s="700">
        <f>AY14*0.97</f>
        <v>3236.0065769090907</v>
      </c>
      <c r="BA14" s="700">
        <f>AZ14*0.97</f>
        <v>3138.9263796018176</v>
      </c>
      <c r="BB14" s="700">
        <f>BA14*0.97</f>
        <v>3044.7585882137632</v>
      </c>
      <c r="BC14" s="700">
        <f>BB14</f>
        <v>3044.7585882137632</v>
      </c>
      <c r="BD14" s="700">
        <f t="shared" ref="BD14:BI14" si="38">BC14</f>
        <v>3044.7585882137632</v>
      </c>
      <c r="BE14" s="700">
        <f t="shared" si="38"/>
        <v>3044.7585882137632</v>
      </c>
      <c r="BF14" s="700">
        <f t="shared" si="38"/>
        <v>3044.7585882137632</v>
      </c>
      <c r="BG14" s="700">
        <f t="shared" si="38"/>
        <v>3044.7585882137632</v>
      </c>
      <c r="BH14" s="700">
        <f t="shared" si="38"/>
        <v>3044.7585882137632</v>
      </c>
      <c r="BI14" s="700">
        <f t="shared" si="38"/>
        <v>3044.7585882137632</v>
      </c>
    </row>
    <row r="15" spans="2:61" x14ac:dyDescent="0.25">
      <c r="D15" s="1" t="s">
        <v>856</v>
      </c>
      <c r="E15" s="687" t="s">
        <v>838</v>
      </c>
      <c r="F15" s="693"/>
      <c r="G15" s="693"/>
      <c r="H15" s="693"/>
      <c r="I15" s="693"/>
      <c r="J15" s="693"/>
      <c r="K15" s="693"/>
      <c r="L15" s="693"/>
      <c r="M15" s="693"/>
      <c r="N15" s="693"/>
      <c r="O15" s="693"/>
      <c r="P15" s="693"/>
      <c r="Q15" s="693"/>
      <c r="R15" s="693">
        <f>_xll.BDP("PUL1 Comdty","INTERVAL_AVG","CALC_INTERVAL=1Q","END_DATE_OVERRIDE",R4)</f>
        <v>424.37600000000003</v>
      </c>
      <c r="S15" s="693">
        <f>_xll.BDP("PUL1 Comdty","INTERVAL_AVG","CALC_INTERVAL=1Q","END_DATE_OVERRIDE",S4)</f>
        <v>417.35295081967212</v>
      </c>
      <c r="T15" s="693">
        <f>_xll.BDP("PUL1 Comdty","INTERVAL_AVG","CALC_INTERVAL=1Q","END_DATE_OVERRIDE",T4)</f>
        <v>392.13484374999996</v>
      </c>
      <c r="U15" s="693">
        <f>_xll.BDP("PUL1 Comdty","INTERVAL_AVG","CALC_INTERVAL=1Q","END_DATE_OVERRIDE",U4)</f>
        <v>357.24047619047627</v>
      </c>
      <c r="V15" s="693">
        <f>_xll.BDP("PUL1 Comdty","INTERVAL_AVG","CALC_INTERVAL=1Q","END_DATE_OVERRIDE",V4)</f>
        <v>305.07859374999987</v>
      </c>
      <c r="W15" s="693">
        <f>_xll.BDP("PUL1 Comdty","INTERVAL_AVG","CALC_INTERVAL=1Q","END_DATE_OVERRIDE",W4)</f>
        <v>198.9516393442623</v>
      </c>
      <c r="X15" s="693">
        <f>_xll.BDP("PUL1 Comdty","INTERVAL_AVG","CALC_INTERVAL=1Q","END_DATE_OVERRIDE",X4)</f>
        <v>280.21156249999996</v>
      </c>
      <c r="Y15" s="693">
        <f>_xll.BDP("PUL1 Comdty","INTERVAL_AVG","CALC_INTERVAL=1Q","END_DATE_OVERRIDE",Y4)</f>
        <v>283.84698412698418</v>
      </c>
      <c r="Z15" s="693">
        <f>_xll.BDP("PUL1 Comdty","INTERVAL_AVG","CALC_INTERVAL=1Q","END_DATE_OVERRIDE",Z4)</f>
        <v>353.06218749999994</v>
      </c>
      <c r="AA15" s="693">
        <f>_xll.BDP("PUL1 Comdty","INTERVAL_AVG","CALC_INTERVAL=1Q","END_DATE_OVERRIDE",AA4)</f>
        <v>554.48606557377047</v>
      </c>
      <c r="AB15" s="693">
        <f>_xll.BDP("PUL1 Comdty","INTERVAL_AVG","CALC_INTERVAL=1Q","END_DATE_OVERRIDE",AB4)</f>
        <v>719.26</v>
      </c>
      <c r="AC15" s="693">
        <f>_xll.BDP("PUL1 Comdty","INTERVAL_AVG","CALC_INTERVAL=1Q","END_DATE_OVERRIDE",AC4)</f>
        <v>660.50158730158739</v>
      </c>
      <c r="AD15" s="693">
        <f>_xll.BDP("PUL1 Comdty","INTERVAL_AVG","CALC_INTERVAL=1Q","END_DATE_OVERRIDE",AD4)</f>
        <v>764.51718750000009</v>
      </c>
      <c r="AE15" s="693">
        <f>_xll.BDP("PUL1 Comdty","INTERVAL_AVG","CALC_INTERVAL=1Q","END_DATE_OVERRIDE",AE4)</f>
        <v>817.01549999999997</v>
      </c>
      <c r="AF15" s="693">
        <f>_xll.BDP("PUL1 Comdty","INTERVAL_AVG","CALC_INTERVAL=1Q","END_DATE_OVERRIDE",AF4)</f>
        <v>591.0659374999999</v>
      </c>
      <c r="AG15" s="693">
        <f>_xll.BDP("PUL1 Comdty","INTERVAL_AVG","CALC_INTERVAL=1Q","END_DATE_OVERRIDE",AG4)</f>
        <v>448.4863492063493</v>
      </c>
      <c r="AH15" s="693">
        <f>_xll.BDP("PUL1 Comdty","INTERVAL_AVG","CALC_INTERVAL=1Q","END_DATE_OVERRIDE",AH4)</f>
        <v>612.66546874999995</v>
      </c>
      <c r="AI15" s="693">
        <f>_xll.BDP("PUL1 Comdty","INTERVAL_AVG","CALC_INTERVAL=1Q","END_DATE_OVERRIDE",AI4)</f>
        <v>548.57300000000009</v>
      </c>
      <c r="AJ15" s="693">
        <f>_xll.BDP("PUL1 Comdty","INTERVAL_AVG","CALC_INTERVAL=1Q","END_DATE_OVERRIDE",AJ4)</f>
        <v>474.6593749999999</v>
      </c>
      <c r="AK15" s="693">
        <f>_xll.BDP("PUL1 Comdty","INTERVAL_AVG","CALC_INTERVAL=1Q","END_DATE_OVERRIDE",AK4)</f>
        <v>420.11968253968257</v>
      </c>
      <c r="AL15" s="693">
        <f>_xll.BDP("PUL1 Comdty","INTERVAL_AVG","CALC_INTERVAL=1Q","END_DATE_OVERRIDE",AL4)</f>
        <v>404.5928571428571</v>
      </c>
      <c r="AM15" s="693">
        <f>_xll.BDP("PUL1 Comdty","INTERVAL_AVG","CALC_INTERVAL=1Q","END_DATE_OVERRIDE",AM4)</f>
        <v>431.84903225806448</v>
      </c>
      <c r="AN15" s="693">
        <f>_xll.BDP("PUL1 Comdty","INTERVAL_AVG","CALC_INTERVAL=1Q","END_DATE_OVERRIDE",AN4)</f>
        <v>411.37171875000013</v>
      </c>
      <c r="AO15" s="693">
        <f>_xll.BDP("PUL1 Comdty","INTERVAL_AVG","CALC_INTERVAL=1Q","END_DATE_OVERRIDE",AO4)</f>
        <v>455.44111111111118</v>
      </c>
      <c r="AP15" s="693">
        <f>_xll.BDP("PUL1 Comdty","INTERVAL_AVG","CALC_INTERVAL=1Q","END_DATE_OVERRIDE",AP4)</f>
        <v>701.31562500000018</v>
      </c>
      <c r="AQ15" s="693">
        <f>_xll.BDP("PUL1 Comdty","INTERVAL_AVG","CALC_INTERVAL=1Q","END_DATE_OVERRIDE",AQ4)</f>
        <v>953.78852459016423</v>
      </c>
      <c r="AR15" s="693">
        <f>_xll.BDP("PUL1 Comdty","INTERVAL_AVG","CALC_INTERVAL=1Q","END_DATE_OVERRIDE",AR4)</f>
        <v>1549.9737500000001</v>
      </c>
      <c r="AS15" s="693">
        <f>_xll.BDP("PUL1 Comdty","INTERVAL_AVG","CALC_INTERVAL=1Q","END_DATE_OVERRIDE",AS4)</f>
        <v>1860.8819047619047</v>
      </c>
      <c r="AT15" s="693">
        <f>_xll.BDP("PUL1 Comdty","INTERVAL_AVG","CALC_INTERVAL=1Q","END_DATE_OVERRIDE",AT4)</f>
        <v>2254.6776562499999</v>
      </c>
      <c r="AU15" s="693">
        <f>_xll.BDP("PUL1 Comdty","INTERVAL_AVG","CALC_INTERVAL=1Q","END_DATE_OVERRIDE",AU4)</f>
        <v>2452.6036363636367</v>
      </c>
      <c r="AV15" s="700">
        <f>600+0.5*AV14</f>
        <v>2372.818181818182</v>
      </c>
      <c r="AW15" s="700">
        <f t="shared" ref="AW15:BI15" si="39">600+0.5*AW14</f>
        <v>2372.818181818182</v>
      </c>
      <c r="AX15" s="700">
        <f t="shared" si="39"/>
        <v>2319.6336363636365</v>
      </c>
      <c r="AY15" s="700">
        <f t="shared" si="39"/>
        <v>2268.0446272727272</v>
      </c>
      <c r="AZ15" s="700">
        <f t="shared" si="39"/>
        <v>2218.0032884545453</v>
      </c>
      <c r="BA15" s="700">
        <f t="shared" si="39"/>
        <v>2169.4631898009088</v>
      </c>
      <c r="BB15" s="700">
        <f t="shared" si="39"/>
        <v>2122.3792941068814</v>
      </c>
      <c r="BC15" s="700">
        <f t="shared" si="39"/>
        <v>2122.3792941068814</v>
      </c>
      <c r="BD15" s="700">
        <f t="shared" si="39"/>
        <v>2122.3792941068814</v>
      </c>
      <c r="BE15" s="700">
        <f t="shared" si="39"/>
        <v>2122.3792941068814</v>
      </c>
      <c r="BF15" s="700">
        <f t="shared" si="39"/>
        <v>2122.3792941068814</v>
      </c>
      <c r="BG15" s="700">
        <f t="shared" si="39"/>
        <v>2122.3792941068814</v>
      </c>
      <c r="BH15" s="700">
        <f t="shared" si="39"/>
        <v>2122.3792941068814</v>
      </c>
      <c r="BI15" s="700">
        <f t="shared" si="39"/>
        <v>2122.3792941068814</v>
      </c>
    </row>
    <row r="16" spans="2:61" x14ac:dyDescent="0.25">
      <c r="D16" s="682" t="s">
        <v>857</v>
      </c>
      <c r="E16" s="684"/>
      <c r="F16" s="694"/>
      <c r="G16" s="694"/>
      <c r="H16" s="694"/>
      <c r="I16" s="694"/>
      <c r="J16" s="694"/>
      <c r="K16" s="694"/>
      <c r="L16" s="694"/>
      <c r="M16" s="694"/>
      <c r="N16" s="694"/>
      <c r="O16" s="694"/>
      <c r="P16" s="694"/>
      <c r="Q16" s="694"/>
      <c r="R16" s="694">
        <f>SUM(R14:R15)</f>
        <v>2307.0244374999997</v>
      </c>
      <c r="S16" s="694">
        <f t="shared" ref="S16:BI16" si="40">SUM(S14:S15)</f>
        <v>2236.385737704918</v>
      </c>
      <c r="T16" s="694">
        <f t="shared" si="40"/>
        <v>2182.5332812500001</v>
      </c>
      <c r="U16" s="694">
        <f t="shared" si="40"/>
        <v>2117.4150793650797</v>
      </c>
      <c r="V16" s="694">
        <f t="shared" si="40"/>
        <v>2018.2582812500004</v>
      </c>
      <c r="W16" s="694">
        <f t="shared" si="40"/>
        <v>1730.156557377049</v>
      </c>
      <c r="X16" s="694">
        <f t="shared" si="40"/>
        <v>2024.5396874999999</v>
      </c>
      <c r="Y16" s="694">
        <f t="shared" si="40"/>
        <v>2217.7914285714287</v>
      </c>
      <c r="Z16" s="694">
        <f t="shared" si="40"/>
        <v>2456.7418749999997</v>
      </c>
      <c r="AA16" s="694">
        <f t="shared" si="40"/>
        <v>2968.1418032786896</v>
      </c>
      <c r="AB16" s="694">
        <f t="shared" si="40"/>
        <v>3373.8225000000011</v>
      </c>
      <c r="AC16" s="694">
        <f t="shared" si="40"/>
        <v>3419.0809523809521</v>
      </c>
      <c r="AD16" s="694">
        <f t="shared" si="40"/>
        <v>4012.8609375000001</v>
      </c>
      <c r="AE16" s="694">
        <f t="shared" si="40"/>
        <v>3712.6155000000008</v>
      </c>
      <c r="AF16" s="694">
        <f t="shared" si="40"/>
        <v>2947.1362500000014</v>
      </c>
      <c r="AG16" s="694">
        <f t="shared" si="40"/>
        <v>2803.8117460317458</v>
      </c>
      <c r="AH16" s="694">
        <f t="shared" si="40"/>
        <v>3053.095156249999</v>
      </c>
      <c r="AI16" s="694">
        <f t="shared" si="40"/>
        <v>2828.9896666666673</v>
      </c>
      <c r="AJ16" s="694">
        <f t="shared" si="40"/>
        <v>2678.4015624999988</v>
      </c>
      <c r="AK16" s="694">
        <f t="shared" si="40"/>
        <v>2645.9847619047614</v>
      </c>
      <c r="AL16" s="694">
        <f t="shared" si="40"/>
        <v>2645.6404761904764</v>
      </c>
      <c r="AM16" s="694">
        <f t="shared" si="40"/>
        <v>2997.0990322580642</v>
      </c>
      <c r="AN16" s="694">
        <f t="shared" si="40"/>
        <v>2831.1451562500006</v>
      </c>
      <c r="AO16" s="694">
        <f t="shared" si="40"/>
        <v>3058.7744444444447</v>
      </c>
      <c r="AP16" s="694">
        <f t="shared" si="40"/>
        <v>3324.9562499999997</v>
      </c>
      <c r="AQ16" s="694">
        <f t="shared" si="40"/>
        <v>3417.1409836065577</v>
      </c>
      <c r="AR16" s="694">
        <f t="shared" si="40"/>
        <v>4169.856562500001</v>
      </c>
      <c r="AS16" s="694">
        <f t="shared" si="40"/>
        <v>4709.1517460317455</v>
      </c>
      <c r="AT16" s="694">
        <f t="shared" si="40"/>
        <v>5449.6854687499999</v>
      </c>
      <c r="AU16" s="694">
        <f t="shared" si="40"/>
        <v>5998.24</v>
      </c>
      <c r="AV16" s="694">
        <f t="shared" si="40"/>
        <v>5918.454545454546</v>
      </c>
      <c r="AW16" s="694">
        <f t="shared" si="40"/>
        <v>5918.454545454546</v>
      </c>
      <c r="AX16" s="694">
        <f t="shared" si="40"/>
        <v>5758.9009090909094</v>
      </c>
      <c r="AY16" s="694">
        <f t="shared" si="40"/>
        <v>5604.1338818181812</v>
      </c>
      <c r="AZ16" s="694">
        <f t="shared" si="40"/>
        <v>5454.009865363636</v>
      </c>
      <c r="BA16" s="694">
        <f t="shared" si="40"/>
        <v>5308.3895694027269</v>
      </c>
      <c r="BB16" s="694">
        <f t="shared" si="40"/>
        <v>5167.1378823206451</v>
      </c>
      <c r="BC16" s="694">
        <f t="shared" si="40"/>
        <v>5167.1378823206451</v>
      </c>
      <c r="BD16" s="694">
        <f t="shared" si="40"/>
        <v>5167.1378823206451</v>
      </c>
      <c r="BE16" s="694">
        <f t="shared" si="40"/>
        <v>5167.1378823206451</v>
      </c>
      <c r="BF16" s="694">
        <f t="shared" si="40"/>
        <v>5167.1378823206451</v>
      </c>
      <c r="BG16" s="694">
        <f t="shared" si="40"/>
        <v>5167.1378823206451</v>
      </c>
      <c r="BH16" s="694">
        <f t="shared" si="40"/>
        <v>5167.1378823206451</v>
      </c>
      <c r="BI16" s="694">
        <f t="shared" si="40"/>
        <v>5167.1378823206451</v>
      </c>
    </row>
    <row r="17" spans="1:61" x14ac:dyDescent="0.25">
      <c r="D17" s="682"/>
      <c r="E17" s="684"/>
      <c r="F17" s="694"/>
      <c r="G17" s="694"/>
      <c r="H17" s="694"/>
      <c r="I17" s="694"/>
      <c r="J17" s="694"/>
      <c r="K17" s="694"/>
      <c r="L17" s="694"/>
      <c r="M17" s="694"/>
      <c r="N17" s="694"/>
      <c r="O17" s="694"/>
      <c r="P17" s="694" t="s">
        <v>880</v>
      </c>
      <c r="Q17" s="694"/>
      <c r="R17" s="694">
        <f>R16*2</f>
        <v>4614.0488749999995</v>
      </c>
      <c r="S17" s="694">
        <f t="shared" ref="S17:BI17" si="41">S16*2</f>
        <v>4472.7714754098361</v>
      </c>
      <c r="T17" s="694">
        <f t="shared" si="41"/>
        <v>4365.0665625000001</v>
      </c>
      <c r="U17" s="694">
        <f t="shared" si="41"/>
        <v>4234.8301587301594</v>
      </c>
      <c r="V17" s="694">
        <f t="shared" si="41"/>
        <v>4036.5165625000009</v>
      </c>
      <c r="W17" s="694">
        <f t="shared" si="41"/>
        <v>3460.313114754098</v>
      </c>
      <c r="X17" s="694">
        <f t="shared" si="41"/>
        <v>4049.0793749999998</v>
      </c>
      <c r="Y17" s="694">
        <f t="shared" si="41"/>
        <v>4435.5828571428574</v>
      </c>
      <c r="Z17" s="694">
        <f t="shared" si="41"/>
        <v>4913.4837499999994</v>
      </c>
      <c r="AA17" s="694">
        <f t="shared" si="41"/>
        <v>5936.2836065573792</v>
      </c>
      <c r="AB17" s="694">
        <f t="shared" si="41"/>
        <v>6747.6450000000023</v>
      </c>
      <c r="AC17" s="694">
        <f t="shared" si="41"/>
        <v>6838.1619047619042</v>
      </c>
      <c r="AD17" s="694">
        <f t="shared" si="41"/>
        <v>8025.7218750000002</v>
      </c>
      <c r="AE17" s="694">
        <f t="shared" si="41"/>
        <v>7425.2310000000016</v>
      </c>
      <c r="AF17" s="694">
        <f t="shared" si="41"/>
        <v>5894.2725000000028</v>
      </c>
      <c r="AG17" s="694">
        <f t="shared" si="41"/>
        <v>5607.6234920634915</v>
      </c>
      <c r="AH17" s="694">
        <f t="shared" si="41"/>
        <v>6106.1903124999981</v>
      </c>
      <c r="AI17" s="694">
        <f t="shared" si="41"/>
        <v>5657.9793333333346</v>
      </c>
      <c r="AJ17" s="694">
        <f t="shared" si="41"/>
        <v>5356.8031249999976</v>
      </c>
      <c r="AK17" s="694">
        <f t="shared" si="41"/>
        <v>5291.9695238095228</v>
      </c>
      <c r="AL17" s="694">
        <f t="shared" si="41"/>
        <v>5291.2809523809528</v>
      </c>
      <c r="AM17" s="694">
        <f t="shared" si="41"/>
        <v>5994.1980645161284</v>
      </c>
      <c r="AN17" s="694">
        <f t="shared" si="41"/>
        <v>5662.2903125000012</v>
      </c>
      <c r="AO17" s="694">
        <f t="shared" si="41"/>
        <v>6117.5488888888895</v>
      </c>
      <c r="AP17" s="694">
        <f t="shared" si="41"/>
        <v>6649.9124999999995</v>
      </c>
      <c r="AQ17" s="694">
        <f t="shared" si="41"/>
        <v>6834.2819672131154</v>
      </c>
      <c r="AR17" s="694">
        <f t="shared" si="41"/>
        <v>8339.713125000002</v>
      </c>
      <c r="AS17" s="694">
        <f t="shared" si="41"/>
        <v>9418.3034920634909</v>
      </c>
      <c r="AT17" s="694">
        <f t="shared" si="41"/>
        <v>10899.3709375</v>
      </c>
      <c r="AU17" s="694">
        <f t="shared" si="41"/>
        <v>11996.48</v>
      </c>
      <c r="AV17" s="694">
        <f t="shared" si="41"/>
        <v>11836.909090909092</v>
      </c>
      <c r="AW17" s="694">
        <f t="shared" si="41"/>
        <v>11836.909090909092</v>
      </c>
      <c r="AX17" s="694">
        <f t="shared" si="41"/>
        <v>11517.801818181819</v>
      </c>
      <c r="AY17" s="694">
        <f t="shared" si="41"/>
        <v>11208.267763636362</v>
      </c>
      <c r="AZ17" s="694">
        <f t="shared" si="41"/>
        <v>10908.019730727272</v>
      </c>
      <c r="BA17" s="694">
        <f t="shared" si="41"/>
        <v>10616.779138805454</v>
      </c>
      <c r="BB17" s="694">
        <f t="shared" si="41"/>
        <v>10334.27576464129</v>
      </c>
      <c r="BC17" s="694">
        <f t="shared" si="41"/>
        <v>10334.27576464129</v>
      </c>
      <c r="BD17" s="694">
        <f t="shared" si="41"/>
        <v>10334.27576464129</v>
      </c>
      <c r="BE17" s="694">
        <f t="shared" si="41"/>
        <v>10334.27576464129</v>
      </c>
      <c r="BF17" s="694">
        <f t="shared" si="41"/>
        <v>10334.27576464129</v>
      </c>
      <c r="BG17" s="694">
        <f t="shared" si="41"/>
        <v>10334.27576464129</v>
      </c>
      <c r="BH17" s="694">
        <f t="shared" si="41"/>
        <v>10334.27576464129</v>
      </c>
      <c r="BI17" s="694">
        <f t="shared" si="41"/>
        <v>10334.27576464129</v>
      </c>
    </row>
    <row r="19" spans="1:61" x14ac:dyDescent="0.25">
      <c r="D19" s="684" t="s">
        <v>839</v>
      </c>
      <c r="J19" s="690">
        <f t="shared" ref="J19:S21" si="42">IFERROR(J14/F14-1,0)</f>
        <v>0.22626458276785244</v>
      </c>
      <c r="K19" s="690">
        <f t="shared" si="42"/>
        <v>0.20829200278300153</v>
      </c>
      <c r="L19" s="690">
        <f t="shared" si="42"/>
        <v>0.24154929240429324</v>
      </c>
      <c r="M19" s="690">
        <f t="shared" si="42"/>
        <v>0.24140284729896555</v>
      </c>
      <c r="N19" s="690">
        <f t="shared" si="42"/>
        <v>0.16244996198241846</v>
      </c>
      <c r="O19" s="690">
        <f t="shared" si="42"/>
        <v>0.18228005588655494</v>
      </c>
      <c r="P19" s="690">
        <f t="shared" si="42"/>
        <v>1.9616988798002222E-2</v>
      </c>
      <c r="Q19" s="690">
        <f t="shared" si="42"/>
        <v>-7.0095118402399015E-2</v>
      </c>
      <c r="R19" s="690">
        <f t="shared" si="42"/>
        <v>-0.12839069090889055</v>
      </c>
      <c r="S19" s="690">
        <f t="shared" si="42"/>
        <v>-0.19568938138500513</v>
      </c>
      <c r="T19" s="690">
        <f t="shared" ref="T19:AC21" si="43">IFERROR(T14/P14-1,0)</f>
        <v>-0.13359192762384375</v>
      </c>
      <c r="U19" s="690">
        <f t="shared" si="43"/>
        <v>-0.10791557895668324</v>
      </c>
      <c r="V19" s="690">
        <f t="shared" si="43"/>
        <v>-9.0016142485444428E-2</v>
      </c>
      <c r="W19" s="690">
        <f t="shared" si="43"/>
        <v>-0.1582312704463732</v>
      </c>
      <c r="X19" s="690">
        <f t="shared" si="43"/>
        <v>-2.5731877069960829E-2</v>
      </c>
      <c r="Y19" s="690">
        <f t="shared" si="43"/>
        <v>9.8723070402467084E-2</v>
      </c>
      <c r="Z19" s="690">
        <f t="shared" si="43"/>
        <v>0.22793872869800724</v>
      </c>
      <c r="AA19" s="690">
        <f t="shared" si="43"/>
        <v>0.57631138019453299</v>
      </c>
      <c r="AB19" s="690">
        <f t="shared" si="43"/>
        <v>0.52182520132214272</v>
      </c>
      <c r="AC19" s="690">
        <f t="shared" si="43"/>
        <v>0.4264005220024869</v>
      </c>
      <c r="AD19" s="690">
        <f t="shared" ref="AD19:AM21" si="44">IFERROR(AD14/Z14-1,0)</f>
        <v>0.54412469222456195</v>
      </c>
      <c r="AE19" s="690">
        <f t="shared" si="44"/>
        <v>0.19967398613082654</v>
      </c>
      <c r="AF19" s="690">
        <f t="shared" si="44"/>
        <v>-0.11244496503661128</v>
      </c>
      <c r="AG19" s="690">
        <f t="shared" si="44"/>
        <v>-0.1461817533179316</v>
      </c>
      <c r="AH19" s="690">
        <f t="shared" si="44"/>
        <v>-0.24871569165055296</v>
      </c>
      <c r="AI19" s="690">
        <f t="shared" si="44"/>
        <v>-0.21245452871022696</v>
      </c>
      <c r="AJ19" s="690">
        <f t="shared" si="44"/>
        <v>-6.4653471584372402E-2</v>
      </c>
      <c r="AK19" s="690">
        <f t="shared" si="44"/>
        <v>-5.4964939296629489E-2</v>
      </c>
      <c r="AL19" s="690">
        <f t="shared" si="44"/>
        <v>-8.1699575068122088E-2</v>
      </c>
      <c r="AM19" s="690">
        <f t="shared" si="44"/>
        <v>0.12490407454777941</v>
      </c>
      <c r="AN19" s="690">
        <f t="shared" ref="AN19:AW21" si="45">IFERROR(AN14/AJ14-1,0)</f>
        <v>9.8029275486655187E-2</v>
      </c>
      <c r="AO19" s="690">
        <f t="shared" si="45"/>
        <v>0.16958271975582906</v>
      </c>
      <c r="AP19" s="690">
        <f t="shared" si="45"/>
        <v>0.17072060526539423</v>
      </c>
      <c r="AQ19" s="690">
        <f t="shared" si="45"/>
        <v>-3.9722265269898083E-2</v>
      </c>
      <c r="AR19" s="690">
        <f t="shared" si="45"/>
        <v>8.2697566598112671E-2</v>
      </c>
      <c r="AS19" s="690">
        <f t="shared" si="45"/>
        <v>9.4085726480092502E-2</v>
      </c>
      <c r="AT19" s="690">
        <f t="shared" si="45"/>
        <v>0.21777646757547076</v>
      </c>
      <c r="AU19" s="690">
        <f t="shared" si="45"/>
        <v>0.43935406021926782</v>
      </c>
      <c r="AV19" s="690">
        <f t="shared" si="45"/>
        <v>0.35335685501633951</v>
      </c>
      <c r="AW19" s="690">
        <f t="shared" si="45"/>
        <v>0.24483864283575607</v>
      </c>
      <c r="AX19" s="690">
        <f t="shared" ref="AX19:BG21" si="46">IFERROR(AX14/AT14-1,0)</f>
        <v>7.6450348343951813E-2</v>
      </c>
      <c r="AY19" s="690">
        <f t="shared" si="46"/>
        <v>-5.9100000000000041E-2</v>
      </c>
      <c r="AZ19" s="690">
        <f t="shared" si="46"/>
        <v>-8.7327000000000043E-2</v>
      </c>
      <c r="BA19" s="690">
        <f t="shared" si="46"/>
        <v>-0.11470719000000007</v>
      </c>
      <c r="BB19" s="690">
        <f t="shared" si="46"/>
        <v>-0.11470719000000007</v>
      </c>
      <c r="BC19" s="690">
        <f t="shared" si="46"/>
        <v>-8.7327000000000043E-2</v>
      </c>
      <c r="BD19" s="690">
        <f t="shared" si="46"/>
        <v>-5.9100000000000041E-2</v>
      </c>
      <c r="BE19" s="690">
        <f t="shared" si="46"/>
        <v>-2.9999999999999916E-2</v>
      </c>
      <c r="BF19" s="690">
        <f t="shared" si="46"/>
        <v>0</v>
      </c>
      <c r="BG19" s="690">
        <f t="shared" si="46"/>
        <v>0</v>
      </c>
      <c r="BH19" s="690">
        <f t="shared" ref="BH19:BQ21" si="47">IFERROR(BH14/BD14-1,0)</f>
        <v>0</v>
      </c>
      <c r="BI19" s="690">
        <f t="shared" si="47"/>
        <v>0</v>
      </c>
    </row>
    <row r="20" spans="1:61" x14ac:dyDescent="0.25">
      <c r="D20" s="684" t="s">
        <v>840</v>
      </c>
      <c r="J20" s="690">
        <f t="shared" si="42"/>
        <v>0</v>
      </c>
      <c r="K20" s="690">
        <f t="shared" si="42"/>
        <v>0</v>
      </c>
      <c r="L20" s="690">
        <f t="shared" si="42"/>
        <v>0</v>
      </c>
      <c r="M20" s="690">
        <f t="shared" si="42"/>
        <v>0</v>
      </c>
      <c r="N20" s="690">
        <f t="shared" si="42"/>
        <v>0</v>
      </c>
      <c r="O20" s="690">
        <f t="shared" si="42"/>
        <v>0</v>
      </c>
      <c r="P20" s="690">
        <f t="shared" si="42"/>
        <v>0</v>
      </c>
      <c r="Q20" s="690">
        <f t="shared" si="42"/>
        <v>0</v>
      </c>
      <c r="R20" s="690">
        <f t="shared" si="42"/>
        <v>0</v>
      </c>
      <c r="S20" s="690">
        <f t="shared" si="42"/>
        <v>0</v>
      </c>
      <c r="T20" s="690">
        <f t="shared" si="43"/>
        <v>0</v>
      </c>
      <c r="U20" s="690">
        <f t="shared" si="43"/>
        <v>0</v>
      </c>
      <c r="V20" s="690">
        <f t="shared" si="43"/>
        <v>-0.28111251873338772</v>
      </c>
      <c r="W20" s="690">
        <f t="shared" si="43"/>
        <v>-0.52330122752570551</v>
      </c>
      <c r="X20" s="690">
        <f t="shared" si="43"/>
        <v>-0.28542039309660305</v>
      </c>
      <c r="Y20" s="690">
        <f t="shared" si="43"/>
        <v>-0.20544562264092259</v>
      </c>
      <c r="Z20" s="690">
        <f t="shared" si="43"/>
        <v>0.15728272888697248</v>
      </c>
      <c r="AA20" s="690">
        <f t="shared" si="43"/>
        <v>1.7870394403450875</v>
      </c>
      <c r="AB20" s="690">
        <f t="shared" si="43"/>
        <v>1.566846255675121</v>
      </c>
      <c r="AC20" s="690">
        <f t="shared" si="43"/>
        <v>1.3269635551459649</v>
      </c>
      <c r="AD20" s="690">
        <f t="shared" si="44"/>
        <v>1.1653895958484659</v>
      </c>
      <c r="AE20" s="690">
        <f t="shared" si="44"/>
        <v>0.47346443982243192</v>
      </c>
      <c r="AF20" s="690">
        <f t="shared" si="44"/>
        <v>-0.17823049036509764</v>
      </c>
      <c r="AG20" s="690">
        <f t="shared" si="44"/>
        <v>-0.32099126205192774</v>
      </c>
      <c r="AH20" s="690">
        <f t="shared" si="44"/>
        <v>-0.19862433602907081</v>
      </c>
      <c r="AI20" s="690">
        <f t="shared" si="44"/>
        <v>-0.32856475795134843</v>
      </c>
      <c r="AJ20" s="690">
        <f t="shared" si="44"/>
        <v>-0.19694344592476198</v>
      </c>
      <c r="AK20" s="690">
        <f t="shared" si="44"/>
        <v>-6.3249788353346714E-2</v>
      </c>
      <c r="AL20" s="690">
        <f t="shared" si="44"/>
        <v>-0.33961863728286523</v>
      </c>
      <c r="AM20" s="690">
        <f t="shared" si="44"/>
        <v>-0.2127774566774806</v>
      </c>
      <c r="AN20" s="690">
        <f t="shared" si="45"/>
        <v>-0.13333278469428689</v>
      </c>
      <c r="AO20" s="690">
        <f t="shared" si="45"/>
        <v>8.4074681666675533E-2</v>
      </c>
      <c r="AP20" s="690">
        <f t="shared" si="45"/>
        <v>0.73338607594936778</v>
      </c>
      <c r="AQ20" s="690">
        <f t="shared" si="45"/>
        <v>1.2086156349661539</v>
      </c>
      <c r="AR20" s="690">
        <f t="shared" si="45"/>
        <v>2.7678179596540375</v>
      </c>
      <c r="AS20" s="690">
        <f t="shared" si="45"/>
        <v>3.0858891728549223</v>
      </c>
      <c r="AT20" s="690">
        <f t="shared" si="45"/>
        <v>2.2149257422433721</v>
      </c>
      <c r="AU20" s="690">
        <f t="shared" si="45"/>
        <v>1.5714333661306128</v>
      </c>
      <c r="AV20" s="690">
        <f t="shared" si="45"/>
        <v>0.53087636601470312</v>
      </c>
      <c r="AW20" s="690">
        <f t="shared" si="45"/>
        <v>0.275104119044985</v>
      </c>
      <c r="AX20" s="690">
        <f t="shared" si="46"/>
        <v>2.8809430888525389E-2</v>
      </c>
      <c r="AY20" s="690">
        <f t="shared" si="46"/>
        <v>-7.5250238707362693E-2</v>
      </c>
      <c r="AZ20" s="690">
        <f t="shared" si="46"/>
        <v>-6.5245156392475523E-2</v>
      </c>
      <c r="BA20" s="690">
        <f t="shared" si="46"/>
        <v>-8.5701885452281745E-2</v>
      </c>
      <c r="BB20" s="690">
        <f t="shared" si="46"/>
        <v>-8.5036852011673658E-2</v>
      </c>
      <c r="BC20" s="690">
        <f t="shared" si="46"/>
        <v>-6.4225073622561468E-2</v>
      </c>
      <c r="BD20" s="690">
        <f t="shared" si="46"/>
        <v>-4.3112647688765438E-2</v>
      </c>
      <c r="BE20" s="690">
        <f t="shared" si="46"/>
        <v>-2.1703016633505712E-2</v>
      </c>
      <c r="BF20" s="690">
        <f t="shared" si="46"/>
        <v>0</v>
      </c>
      <c r="BG20" s="690">
        <f t="shared" si="46"/>
        <v>0</v>
      </c>
      <c r="BH20" s="690">
        <f t="shared" si="47"/>
        <v>0</v>
      </c>
      <c r="BI20" s="690">
        <f t="shared" si="47"/>
        <v>0</v>
      </c>
    </row>
    <row r="21" spans="1:61" x14ac:dyDescent="0.25">
      <c r="D21" s="689" t="s">
        <v>841</v>
      </c>
      <c r="J21" s="691">
        <f t="shared" si="42"/>
        <v>0</v>
      </c>
      <c r="K21" s="691">
        <f t="shared" si="42"/>
        <v>0</v>
      </c>
      <c r="L21" s="691">
        <f t="shared" si="42"/>
        <v>0</v>
      </c>
      <c r="M21" s="691">
        <f t="shared" si="42"/>
        <v>0</v>
      </c>
      <c r="N21" s="691">
        <f t="shared" si="42"/>
        <v>0</v>
      </c>
      <c r="O21" s="691">
        <f t="shared" si="42"/>
        <v>0</v>
      </c>
      <c r="P21" s="691">
        <f t="shared" si="42"/>
        <v>0</v>
      </c>
      <c r="Q21" s="691">
        <f t="shared" si="42"/>
        <v>0</v>
      </c>
      <c r="R21" s="691">
        <f t="shared" si="42"/>
        <v>0</v>
      </c>
      <c r="S21" s="691">
        <f t="shared" si="42"/>
        <v>0</v>
      </c>
      <c r="T21" s="691">
        <f t="shared" si="43"/>
        <v>0</v>
      </c>
      <c r="U21" s="691">
        <f t="shared" si="43"/>
        <v>0</v>
      </c>
      <c r="V21" s="691">
        <f t="shared" si="43"/>
        <v>-0.12516822603011524</v>
      </c>
      <c r="W21" s="691">
        <f t="shared" si="43"/>
        <v>-0.22636040455497841</v>
      </c>
      <c r="X21" s="691">
        <f t="shared" si="43"/>
        <v>-7.2390004362047011E-2</v>
      </c>
      <c r="Y21" s="691">
        <f t="shared" si="43"/>
        <v>4.7405135716917401E-2</v>
      </c>
      <c r="Z21" s="691">
        <f t="shared" si="43"/>
        <v>0.21725841425926218</v>
      </c>
      <c r="AA21" s="691">
        <f t="shared" si="43"/>
        <v>0.71553365539269476</v>
      </c>
      <c r="AB21" s="691">
        <f t="shared" si="43"/>
        <v>0.66646399714009119</v>
      </c>
      <c r="AC21" s="691">
        <f t="shared" si="43"/>
        <v>0.541660278930433</v>
      </c>
      <c r="AD21" s="691">
        <f t="shared" si="44"/>
        <v>0.63340763567194069</v>
      </c>
      <c r="AE21" s="691">
        <f t="shared" si="44"/>
        <v>0.25082147217459272</v>
      </c>
      <c r="AF21" s="691">
        <f t="shared" si="44"/>
        <v>-0.1264696794214869</v>
      </c>
      <c r="AG21" s="691">
        <f t="shared" si="44"/>
        <v>-0.17995163464051656</v>
      </c>
      <c r="AH21" s="691">
        <f t="shared" si="44"/>
        <v>-0.2391724498302531</v>
      </c>
      <c r="AI21" s="691">
        <f t="shared" si="44"/>
        <v>-0.23800628784029298</v>
      </c>
      <c r="AJ21" s="691">
        <f t="shared" si="44"/>
        <v>-9.1185023257748021E-2</v>
      </c>
      <c r="AK21" s="691">
        <f t="shared" si="44"/>
        <v>-5.6290150132353944E-2</v>
      </c>
      <c r="AL21" s="691">
        <f t="shared" si="44"/>
        <v>-0.13345626625014329</v>
      </c>
      <c r="AM21" s="691">
        <f t="shared" si="44"/>
        <v>5.9423817475260154E-2</v>
      </c>
      <c r="AN21" s="691">
        <f t="shared" si="45"/>
        <v>5.7027891518787843E-2</v>
      </c>
      <c r="AO21" s="691">
        <f t="shared" si="45"/>
        <v>0.15600606945390294</v>
      </c>
      <c r="AP21" s="691">
        <f t="shared" si="45"/>
        <v>0.25676798488798713</v>
      </c>
      <c r="AQ21" s="691">
        <f t="shared" si="45"/>
        <v>0.14014950684897021</v>
      </c>
      <c r="AR21" s="691">
        <f t="shared" si="45"/>
        <v>0.47285156089389413</v>
      </c>
      <c r="AS21" s="691">
        <f t="shared" si="45"/>
        <v>0.53955508376396599</v>
      </c>
      <c r="AT21" s="691">
        <f t="shared" si="45"/>
        <v>0.63902471461090671</v>
      </c>
      <c r="AU21" s="691">
        <f t="shared" si="45"/>
        <v>0.75533875505167747</v>
      </c>
      <c r="AV21" s="691">
        <f t="shared" si="45"/>
        <v>0.41934247779165523</v>
      </c>
      <c r="AW21" s="691">
        <f t="shared" si="45"/>
        <v>0.25679843518354284</v>
      </c>
      <c r="AX21" s="691">
        <f t="shared" si="46"/>
        <v>5.6740052634970617E-2</v>
      </c>
      <c r="AY21" s="691">
        <f t="shared" si="46"/>
        <v>-6.5703626093957301E-2</v>
      </c>
      <c r="AZ21" s="691">
        <f t="shared" si="46"/>
        <v>-7.8473979401871063E-2</v>
      </c>
      <c r="BA21" s="691">
        <f t="shared" si="46"/>
        <v>-0.10307842551910062</v>
      </c>
      <c r="BB21" s="691">
        <f t="shared" si="46"/>
        <v>-0.10275624396247496</v>
      </c>
      <c r="BC21" s="691">
        <f t="shared" si="46"/>
        <v>-7.7977437497577906E-2</v>
      </c>
      <c r="BD21" s="691">
        <f t="shared" si="46"/>
        <v>-5.2598361595347809E-2</v>
      </c>
      <c r="BE21" s="691">
        <f t="shared" si="46"/>
        <v>-2.6609141103028477E-2</v>
      </c>
      <c r="BF21" s="691">
        <f t="shared" si="46"/>
        <v>0</v>
      </c>
      <c r="BG21" s="691">
        <f t="shared" si="46"/>
        <v>0</v>
      </c>
      <c r="BH21" s="691">
        <f t="shared" si="47"/>
        <v>0</v>
      </c>
      <c r="BI21" s="691">
        <f t="shared" si="47"/>
        <v>0</v>
      </c>
    </row>
    <row r="22" spans="1:6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/>
      <c r="B23" s="682" t="s">
        <v>842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/>
      <c r="B24"/>
      <c r="C24"/>
      <c r="D24" s="1" t="s">
        <v>843</v>
      </c>
      <c r="E24"/>
      <c r="F24" s="696"/>
      <c r="G24" s="696"/>
      <c r="H24" s="696"/>
      <c r="I24" s="696"/>
      <c r="J24" s="696">
        <f>'Canalyst HC - Q'!G44</f>
        <v>65.2</v>
      </c>
      <c r="K24" s="696">
        <f>'Canalyst HC - Q'!H44</f>
        <v>88.5</v>
      </c>
      <c r="L24" s="696">
        <f>'Canalyst HC - Q'!I44</f>
        <v>86.8</v>
      </c>
      <c r="M24" s="696">
        <f>'Canalyst HC - Q'!J44</f>
        <v>83.3</v>
      </c>
      <c r="N24" s="696">
        <f>'Canalyst HC - Q'!K44</f>
        <v>78</v>
      </c>
      <c r="O24" s="696">
        <f>'Canalyst HC - Q'!L44</f>
        <v>90.1</v>
      </c>
      <c r="P24" s="696">
        <f>'Canalyst HC - Q'!M44</f>
        <v>86.7</v>
      </c>
      <c r="Q24" s="696">
        <f>'Canalyst HC - Q'!N44</f>
        <v>82.899999999999977</v>
      </c>
      <c r="R24" s="696">
        <f>'Canalyst HC - Q'!O44</f>
        <v>78.2</v>
      </c>
      <c r="S24" s="696">
        <f>'Canalyst HC - Q'!P44</f>
        <v>90.5</v>
      </c>
      <c r="T24" s="696">
        <f>'Canalyst HC - Q'!Q44</f>
        <v>90.6</v>
      </c>
      <c r="U24" s="696">
        <f>'Canalyst HC - Q'!R44</f>
        <v>83.900000000000034</v>
      </c>
      <c r="V24" s="696">
        <f>'Canalyst HC - Q'!S44</f>
        <v>83</v>
      </c>
      <c r="W24" s="696">
        <f>'Canalyst HC - Q'!T44</f>
        <v>91.1</v>
      </c>
      <c r="X24" s="696">
        <f>'Canalyst HC - Q'!U44</f>
        <v>94.1</v>
      </c>
      <c r="Y24" s="696">
        <f>'Canalyst HC - Q'!V44</f>
        <v>90.600000000000023</v>
      </c>
      <c r="Z24" s="696">
        <f>'Canalyst HC - Q'!W44</f>
        <v>86.9</v>
      </c>
      <c r="AA24" s="696">
        <f>'Canalyst HC - Q'!X44</f>
        <v>96.4</v>
      </c>
      <c r="AB24" s="696">
        <f>'Canalyst HC - Q'!Y44</f>
        <v>93.5</v>
      </c>
      <c r="AC24" s="696">
        <f>'Canalyst HC - Q'!Z44</f>
        <v>89.23599999999999</v>
      </c>
      <c r="AD24" s="696">
        <f>'Canalyst HC - Q'!AA44</f>
        <v>85.075999999999993</v>
      </c>
      <c r="AE24" s="696">
        <f>'Canalyst HC - Q'!AB44</f>
        <v>96.408000000000001</v>
      </c>
      <c r="AF24" s="696">
        <f>'Canalyst HC - Q'!AC44</f>
        <v>93.141000000000005</v>
      </c>
      <c r="AG24" s="696">
        <f>'Canalyst HC - Q'!AD44</f>
        <v>87.566000000000031</v>
      </c>
      <c r="AH24" s="696">
        <f>'Canalyst HC - Q'!AE44</f>
        <v>82.47</v>
      </c>
      <c r="AI24" s="696">
        <f>'Canalyst HC - Q'!AF44</f>
        <v>92.555000000000007</v>
      </c>
      <c r="AJ24" s="696">
        <f>'Canalyst HC - Q'!AG44</f>
        <v>91.796999999999997</v>
      </c>
      <c r="AK24" s="696">
        <f>'Canalyst HC - Q'!AH44</f>
        <v>88.545000000000016</v>
      </c>
      <c r="AL24" s="696">
        <f>'Canalyst HC - Q'!AI44</f>
        <v>82.11099999999999</v>
      </c>
      <c r="AM24" s="696">
        <f>'Canalyst HC - Q'!AJ44</f>
        <v>91.453000000000003</v>
      </c>
      <c r="AN24" s="696">
        <f>'Canalyst HC - Q'!AK44</f>
        <v>89.859000000000009</v>
      </c>
      <c r="AO24" s="696">
        <f>'Canalyst HC - Q'!AL44</f>
        <v>89.67999999999995</v>
      </c>
      <c r="AP24" s="696">
        <f>'Canalyst HC - Q'!AM44</f>
        <v>76.727000000000004</v>
      </c>
      <c r="AQ24" s="696">
        <f>'Canalyst HC - Q'!AN44</f>
        <v>90.705999999999989</v>
      </c>
      <c r="AR24" s="696">
        <f>'Canalyst HC - Q'!AO44</f>
        <v>92.816999999999993</v>
      </c>
      <c r="AS24" s="696">
        <f>'Canalyst HC - Q'!AP44</f>
        <v>93.798000000000002</v>
      </c>
      <c r="AT24" s="696">
        <f ca="1">'Segment Build'!AT12+'Segment Build'!AT25</f>
        <v>85.166970000000006</v>
      </c>
      <c r="AU24" s="696">
        <f ca="1">'Segment Build'!AU12+'Segment Build'!AU25</f>
        <v>89.798940000000002</v>
      </c>
      <c r="AV24" s="696">
        <f ca="1">'Segment Build'!AV12+'Segment Build'!AV25</f>
        <v>91.888829999999984</v>
      </c>
      <c r="AW24" s="696">
        <f ca="1">'Segment Build'!AW12+'Segment Build'!AW25</f>
        <v>92.860020000000048</v>
      </c>
      <c r="AX24" s="696">
        <f ca="1">'Segment Build'!AX12+'Segment Build'!AX25</f>
        <v>86.018639700000008</v>
      </c>
      <c r="AY24" s="696">
        <f ca="1">'Segment Build'!AY12+'Segment Build'!AY25</f>
        <v>90.696929399999988</v>
      </c>
      <c r="AZ24" s="696">
        <f ca="1">'Segment Build'!AZ12+'Segment Build'!AZ25</f>
        <v>92.807718299999991</v>
      </c>
      <c r="BA24" s="696">
        <f ca="1">'Segment Build'!BA12+'Segment Build'!BA25</f>
        <v>93.788620200000054</v>
      </c>
      <c r="BB24" s="696">
        <f ca="1">'Segment Build'!BB12+'Segment Build'!BB25</f>
        <v>86.878826097000015</v>
      </c>
      <c r="BC24" s="696">
        <f ca="1">'Segment Build'!BC12+'Segment Build'!BC25</f>
        <v>91.603898693999994</v>
      </c>
      <c r="BD24" s="696">
        <f ca="1">'Segment Build'!BD12+'Segment Build'!BD25</f>
        <v>93.735795483000004</v>
      </c>
      <c r="BE24" s="696">
        <f ca="1">'Segment Build'!BE12+'Segment Build'!BE25</f>
        <v>94.726506402000055</v>
      </c>
      <c r="BF24" s="696">
        <f ca="1">'Segment Build'!BF12+'Segment Build'!BF25</f>
        <v>87.747614357970008</v>
      </c>
      <c r="BG24" s="696">
        <f ca="1">'Segment Build'!BG12+'Segment Build'!BG25</f>
        <v>92.519937680939989</v>
      </c>
      <c r="BH24" s="696">
        <f ca="1">'Segment Build'!BH12+'Segment Build'!BH25</f>
        <v>94.673153437829995</v>
      </c>
      <c r="BI24" s="696">
        <f ca="1">'Segment Build'!BI12+'Segment Build'!BI25</f>
        <v>95.673771466020057</v>
      </c>
    </row>
    <row r="25" spans="1:61" x14ac:dyDescent="0.25">
      <c r="A25"/>
      <c r="B25"/>
      <c r="C25"/>
      <c r="D25" s="1" t="s">
        <v>844</v>
      </c>
      <c r="E25"/>
      <c r="F25" s="697"/>
      <c r="G25" s="697"/>
      <c r="H25" s="697"/>
      <c r="I25" s="697"/>
      <c r="J25" s="697">
        <v>0.45</v>
      </c>
      <c r="K25" s="697">
        <v>0.45</v>
      </c>
      <c r="L25" s="697">
        <v>0.45</v>
      </c>
      <c r="M25" s="697">
        <v>0.45</v>
      </c>
      <c r="N25" s="697">
        <v>0.46</v>
      </c>
      <c r="O25" s="697">
        <v>0.46</v>
      </c>
      <c r="P25" s="697">
        <v>0.46</v>
      </c>
      <c r="Q25" s="697">
        <v>0.46</v>
      </c>
      <c r="R25" s="697">
        <v>0.46</v>
      </c>
      <c r="S25" s="697">
        <v>0.46</v>
      </c>
      <c r="T25" s="697">
        <v>0.46</v>
      </c>
      <c r="U25" s="697">
        <v>0.46</v>
      </c>
      <c r="V25" s="697">
        <v>0.47</v>
      </c>
      <c r="W25" s="697">
        <v>0.47</v>
      </c>
      <c r="X25" s="697">
        <v>0.47</v>
      </c>
      <c r="Y25" s="697">
        <v>0.47</v>
      </c>
      <c r="Z25" s="697">
        <v>0.48</v>
      </c>
      <c r="AA25" s="697">
        <v>0.48</v>
      </c>
      <c r="AB25" s="697">
        <v>0.48</v>
      </c>
      <c r="AC25" s="697">
        <v>0.48</v>
      </c>
      <c r="AD25" s="697">
        <v>0.49</v>
      </c>
      <c r="AE25" s="697">
        <v>0.49</v>
      </c>
      <c r="AF25" s="697">
        <v>0.49</v>
      </c>
      <c r="AG25" s="697">
        <v>0.49</v>
      </c>
      <c r="AH25" s="697">
        <v>0.51</v>
      </c>
      <c r="AI25" s="697">
        <v>0.51</v>
      </c>
      <c r="AJ25" s="697">
        <v>0.51</v>
      </c>
      <c r="AK25" s="697">
        <v>0.51</v>
      </c>
      <c r="AL25" s="697">
        <v>0.53</v>
      </c>
      <c r="AM25" s="697">
        <v>0.53</v>
      </c>
      <c r="AN25" s="697">
        <v>0.53</v>
      </c>
      <c r="AO25" s="697">
        <v>0.53</v>
      </c>
      <c r="AP25" s="697">
        <v>0.54</v>
      </c>
      <c r="AQ25" s="697">
        <v>0.54</v>
      </c>
      <c r="AR25" s="697">
        <v>0.54</v>
      </c>
      <c r="AS25" s="697">
        <v>0.54</v>
      </c>
      <c r="AT25" s="697">
        <v>0.55000000000000004</v>
      </c>
      <c r="AU25" s="697">
        <v>0.55000000000000004</v>
      </c>
      <c r="AV25" s="697">
        <v>0.55000000000000004</v>
      </c>
      <c r="AW25" s="697">
        <v>0.55000000000000004</v>
      </c>
      <c r="AX25" s="697">
        <v>0.56000000000000005</v>
      </c>
      <c r="AY25" s="697">
        <v>0.56000000000000005</v>
      </c>
      <c r="AZ25" s="697">
        <v>0.56000000000000005</v>
      </c>
      <c r="BA25" s="697">
        <v>0.56000000000000005</v>
      </c>
      <c r="BB25" s="697">
        <v>0.56999999999999995</v>
      </c>
      <c r="BC25" s="697">
        <v>0.56999999999999995</v>
      </c>
      <c r="BD25" s="697">
        <v>0.56999999999999995</v>
      </c>
      <c r="BE25" s="697">
        <v>0.56999999999999995</v>
      </c>
      <c r="BF25" s="697">
        <v>0.57999999999999996</v>
      </c>
      <c r="BG25" s="697">
        <v>0.57999999999999996</v>
      </c>
      <c r="BH25" s="697">
        <v>0.57999999999999996</v>
      </c>
      <c r="BI25" s="697">
        <v>0.57999999999999996</v>
      </c>
    </row>
    <row r="26" spans="1:61" x14ac:dyDescent="0.25">
      <c r="A26"/>
      <c r="B26"/>
      <c r="C26"/>
      <c r="D26" s="1" t="s">
        <v>845</v>
      </c>
      <c r="E26"/>
      <c r="F26" s="698"/>
      <c r="G26" s="698"/>
      <c r="H26" s="698"/>
      <c r="I26" s="698"/>
      <c r="J26" s="698">
        <f t="shared" ref="J26:AK26" si="48">1-J25</f>
        <v>0.55000000000000004</v>
      </c>
      <c r="K26" s="698">
        <f t="shared" si="48"/>
        <v>0.55000000000000004</v>
      </c>
      <c r="L26" s="698">
        <f t="shared" si="48"/>
        <v>0.55000000000000004</v>
      </c>
      <c r="M26" s="698">
        <f t="shared" si="48"/>
        <v>0.55000000000000004</v>
      </c>
      <c r="N26" s="698">
        <f t="shared" si="48"/>
        <v>0.54</v>
      </c>
      <c r="O26" s="698">
        <f t="shared" si="48"/>
        <v>0.54</v>
      </c>
      <c r="P26" s="698">
        <f t="shared" si="48"/>
        <v>0.54</v>
      </c>
      <c r="Q26" s="698">
        <f t="shared" si="48"/>
        <v>0.54</v>
      </c>
      <c r="R26" s="698">
        <f t="shared" si="48"/>
        <v>0.54</v>
      </c>
      <c r="S26" s="698">
        <f t="shared" si="48"/>
        <v>0.54</v>
      </c>
      <c r="T26" s="698">
        <f t="shared" si="48"/>
        <v>0.54</v>
      </c>
      <c r="U26" s="698">
        <f t="shared" si="48"/>
        <v>0.54</v>
      </c>
      <c r="V26" s="698">
        <f t="shared" si="48"/>
        <v>0.53</v>
      </c>
      <c r="W26" s="698">
        <f t="shared" si="48"/>
        <v>0.53</v>
      </c>
      <c r="X26" s="698">
        <f t="shared" si="48"/>
        <v>0.53</v>
      </c>
      <c r="Y26" s="698">
        <f t="shared" si="48"/>
        <v>0.53</v>
      </c>
      <c r="Z26" s="698">
        <f t="shared" si="48"/>
        <v>0.52</v>
      </c>
      <c r="AA26" s="698">
        <f t="shared" si="48"/>
        <v>0.52</v>
      </c>
      <c r="AB26" s="698">
        <f t="shared" si="48"/>
        <v>0.52</v>
      </c>
      <c r="AC26" s="698">
        <f t="shared" si="48"/>
        <v>0.52</v>
      </c>
      <c r="AD26" s="698">
        <f t="shared" si="48"/>
        <v>0.51</v>
      </c>
      <c r="AE26" s="698">
        <f t="shared" si="48"/>
        <v>0.51</v>
      </c>
      <c r="AF26" s="698">
        <f t="shared" si="48"/>
        <v>0.51</v>
      </c>
      <c r="AG26" s="698">
        <f t="shared" si="48"/>
        <v>0.51</v>
      </c>
      <c r="AH26" s="698">
        <f t="shared" si="48"/>
        <v>0.49</v>
      </c>
      <c r="AI26" s="698">
        <f t="shared" si="48"/>
        <v>0.49</v>
      </c>
      <c r="AJ26" s="698">
        <f t="shared" si="48"/>
        <v>0.49</v>
      </c>
      <c r="AK26" s="698">
        <f t="shared" si="48"/>
        <v>0.49</v>
      </c>
      <c r="AL26" s="698">
        <f t="shared" ref="AL26:BI26" si="49">1-AL25</f>
        <v>0.47</v>
      </c>
      <c r="AM26" s="698">
        <f t="shared" si="49"/>
        <v>0.47</v>
      </c>
      <c r="AN26" s="698">
        <f t="shared" si="49"/>
        <v>0.47</v>
      </c>
      <c r="AO26" s="698">
        <f t="shared" si="49"/>
        <v>0.47</v>
      </c>
      <c r="AP26" s="698">
        <f t="shared" si="49"/>
        <v>0.45999999999999996</v>
      </c>
      <c r="AQ26" s="698">
        <f t="shared" si="49"/>
        <v>0.45999999999999996</v>
      </c>
      <c r="AR26" s="698">
        <f t="shared" si="49"/>
        <v>0.45999999999999996</v>
      </c>
      <c r="AS26" s="698">
        <f t="shared" si="49"/>
        <v>0.45999999999999996</v>
      </c>
      <c r="AT26" s="698">
        <f t="shared" si="49"/>
        <v>0.44999999999999996</v>
      </c>
      <c r="AU26" s="698">
        <f t="shared" si="49"/>
        <v>0.44999999999999996</v>
      </c>
      <c r="AV26" s="698">
        <f t="shared" si="49"/>
        <v>0.44999999999999996</v>
      </c>
      <c r="AW26" s="698">
        <f t="shared" si="49"/>
        <v>0.44999999999999996</v>
      </c>
      <c r="AX26" s="698">
        <f t="shared" si="49"/>
        <v>0.43999999999999995</v>
      </c>
      <c r="AY26" s="698">
        <f t="shared" si="49"/>
        <v>0.43999999999999995</v>
      </c>
      <c r="AZ26" s="698">
        <f t="shared" si="49"/>
        <v>0.43999999999999995</v>
      </c>
      <c r="BA26" s="698">
        <f t="shared" si="49"/>
        <v>0.43999999999999995</v>
      </c>
      <c r="BB26" s="698">
        <f t="shared" si="49"/>
        <v>0.43000000000000005</v>
      </c>
      <c r="BC26" s="698">
        <f t="shared" si="49"/>
        <v>0.43000000000000005</v>
      </c>
      <c r="BD26" s="698">
        <f t="shared" si="49"/>
        <v>0.43000000000000005</v>
      </c>
      <c r="BE26" s="698">
        <f t="shared" si="49"/>
        <v>0.43000000000000005</v>
      </c>
      <c r="BF26" s="698">
        <f t="shared" si="49"/>
        <v>0.42000000000000004</v>
      </c>
      <c r="BG26" s="698">
        <f t="shared" si="49"/>
        <v>0.42000000000000004</v>
      </c>
      <c r="BH26" s="698">
        <f t="shared" si="49"/>
        <v>0.42000000000000004</v>
      </c>
      <c r="BI26" s="698">
        <f t="shared" si="49"/>
        <v>0.42000000000000004</v>
      </c>
    </row>
    <row r="27" spans="1:61" x14ac:dyDescent="0.25">
      <c r="A27"/>
      <c r="B27"/>
      <c r="C27"/>
      <c r="D27" s="682" t="s">
        <v>846</v>
      </c>
      <c r="E27"/>
      <c r="F27" s="692"/>
      <c r="G27" s="692"/>
      <c r="H27" s="692"/>
      <c r="I27" s="692"/>
      <c r="J27" s="692">
        <f t="shared" ref="J27:AK27" si="50">J24*J25</f>
        <v>29.340000000000003</v>
      </c>
      <c r="K27" s="692">
        <f t="shared" si="50"/>
        <v>39.825000000000003</v>
      </c>
      <c r="L27" s="692">
        <f t="shared" si="50"/>
        <v>39.06</v>
      </c>
      <c r="M27" s="692">
        <f t="shared" si="50"/>
        <v>37.484999999999999</v>
      </c>
      <c r="N27" s="692">
        <f t="shared" si="50"/>
        <v>35.880000000000003</v>
      </c>
      <c r="O27" s="692">
        <f t="shared" si="50"/>
        <v>41.445999999999998</v>
      </c>
      <c r="P27" s="692">
        <f t="shared" si="50"/>
        <v>39.882000000000005</v>
      </c>
      <c r="Q27" s="692">
        <f t="shared" si="50"/>
        <v>38.133999999999993</v>
      </c>
      <c r="R27" s="692">
        <f t="shared" si="50"/>
        <v>35.972000000000001</v>
      </c>
      <c r="S27" s="692">
        <f t="shared" si="50"/>
        <v>41.63</v>
      </c>
      <c r="T27" s="692">
        <f t="shared" si="50"/>
        <v>41.676000000000002</v>
      </c>
      <c r="U27" s="692">
        <f t="shared" si="50"/>
        <v>38.594000000000015</v>
      </c>
      <c r="V27" s="692">
        <f t="shared" si="50"/>
        <v>39.01</v>
      </c>
      <c r="W27" s="692">
        <f t="shared" si="50"/>
        <v>42.816999999999993</v>
      </c>
      <c r="X27" s="692">
        <f t="shared" si="50"/>
        <v>44.226999999999997</v>
      </c>
      <c r="Y27" s="692">
        <f t="shared" si="50"/>
        <v>42.582000000000008</v>
      </c>
      <c r="Z27" s="692">
        <f t="shared" si="50"/>
        <v>41.712000000000003</v>
      </c>
      <c r="AA27" s="692">
        <f t="shared" si="50"/>
        <v>46.271999999999998</v>
      </c>
      <c r="AB27" s="692">
        <f t="shared" si="50"/>
        <v>44.879999999999995</v>
      </c>
      <c r="AC27" s="692">
        <f t="shared" si="50"/>
        <v>42.833279999999995</v>
      </c>
      <c r="AD27" s="692">
        <f t="shared" si="50"/>
        <v>41.687239999999996</v>
      </c>
      <c r="AE27" s="692">
        <f t="shared" si="50"/>
        <v>47.239919999999998</v>
      </c>
      <c r="AF27" s="692">
        <f t="shared" si="50"/>
        <v>45.639090000000003</v>
      </c>
      <c r="AG27" s="692">
        <f t="shared" si="50"/>
        <v>42.907340000000012</v>
      </c>
      <c r="AH27" s="692">
        <f t="shared" si="50"/>
        <v>42.059699999999999</v>
      </c>
      <c r="AI27" s="692">
        <f t="shared" si="50"/>
        <v>47.203050000000005</v>
      </c>
      <c r="AJ27" s="692">
        <f t="shared" si="50"/>
        <v>46.816470000000002</v>
      </c>
      <c r="AK27" s="692">
        <f t="shared" si="50"/>
        <v>45.157950000000007</v>
      </c>
      <c r="AL27" s="692">
        <f t="shared" ref="AL27:BI27" si="51">AL24*AL25</f>
        <v>43.518829999999994</v>
      </c>
      <c r="AM27" s="692">
        <f t="shared" si="51"/>
        <v>48.470090000000006</v>
      </c>
      <c r="AN27" s="692">
        <f t="shared" si="51"/>
        <v>47.625270000000008</v>
      </c>
      <c r="AO27" s="692">
        <f t="shared" si="51"/>
        <v>47.530399999999979</v>
      </c>
      <c r="AP27" s="692">
        <f t="shared" si="51"/>
        <v>41.432580000000002</v>
      </c>
      <c r="AQ27" s="692">
        <f t="shared" si="51"/>
        <v>48.98124</v>
      </c>
      <c r="AR27" s="692">
        <f t="shared" si="51"/>
        <v>50.121180000000003</v>
      </c>
      <c r="AS27" s="692">
        <f t="shared" si="51"/>
        <v>50.650920000000006</v>
      </c>
      <c r="AT27" s="692">
        <f t="shared" ca="1" si="51"/>
        <v>46.841833500000007</v>
      </c>
      <c r="AU27" s="692">
        <f t="shared" ca="1" si="51"/>
        <v>49.389417000000002</v>
      </c>
      <c r="AV27" s="692">
        <f t="shared" ca="1" si="51"/>
        <v>50.538856499999994</v>
      </c>
      <c r="AW27" s="692">
        <f t="shared" ca="1" si="51"/>
        <v>51.073011000000029</v>
      </c>
      <c r="AX27" s="692">
        <f t="shared" ca="1" si="51"/>
        <v>48.170438232000009</v>
      </c>
      <c r="AY27" s="692">
        <f t="shared" ca="1" si="51"/>
        <v>50.790280463999999</v>
      </c>
      <c r="AZ27" s="692">
        <f t="shared" ca="1" si="51"/>
        <v>51.972322247999998</v>
      </c>
      <c r="BA27" s="692">
        <f t="shared" ca="1" si="51"/>
        <v>52.521627312000035</v>
      </c>
      <c r="BB27" s="692">
        <f t="shared" ca="1" si="51"/>
        <v>49.520930875290006</v>
      </c>
      <c r="BC27" s="692">
        <f t="shared" ca="1" si="51"/>
        <v>52.21422225557999</v>
      </c>
      <c r="BD27" s="692">
        <f t="shared" ca="1" si="51"/>
        <v>53.429403425309999</v>
      </c>
      <c r="BE27" s="692">
        <f t="shared" ca="1" si="51"/>
        <v>53.994108649140024</v>
      </c>
      <c r="BF27" s="692">
        <f t="shared" ca="1" si="51"/>
        <v>50.893616327622603</v>
      </c>
      <c r="BG27" s="692">
        <f t="shared" ca="1" si="51"/>
        <v>53.661563854945193</v>
      </c>
      <c r="BH27" s="692">
        <f t="shared" ca="1" si="51"/>
        <v>54.910428993941395</v>
      </c>
      <c r="BI27" s="692">
        <f t="shared" ca="1" si="51"/>
        <v>55.490787450291627</v>
      </c>
    </row>
    <row r="28" spans="1:61" x14ac:dyDescent="0.25">
      <c r="A28"/>
      <c r="B28"/>
      <c r="C28"/>
      <c r="D28" s="695" t="s">
        <v>847</v>
      </c>
      <c r="E28"/>
      <c r="F28" s="699"/>
      <c r="G28" s="699"/>
      <c r="H28" s="699"/>
      <c r="I28" s="699"/>
      <c r="J28" s="699">
        <f t="shared" ref="J28:AK28" si="52">J24*J26</f>
        <v>35.860000000000007</v>
      </c>
      <c r="K28" s="699">
        <f t="shared" si="52"/>
        <v>48.675000000000004</v>
      </c>
      <c r="L28" s="699">
        <f t="shared" si="52"/>
        <v>47.74</v>
      </c>
      <c r="M28" s="699">
        <f t="shared" si="52"/>
        <v>45.815000000000005</v>
      </c>
      <c r="N28" s="699">
        <f t="shared" si="52"/>
        <v>42.120000000000005</v>
      </c>
      <c r="O28" s="699">
        <f t="shared" si="52"/>
        <v>48.654000000000003</v>
      </c>
      <c r="P28" s="699">
        <f t="shared" si="52"/>
        <v>46.818000000000005</v>
      </c>
      <c r="Q28" s="699">
        <f t="shared" si="52"/>
        <v>44.765999999999991</v>
      </c>
      <c r="R28" s="699">
        <f t="shared" si="52"/>
        <v>42.228000000000002</v>
      </c>
      <c r="S28" s="699">
        <f t="shared" si="52"/>
        <v>48.870000000000005</v>
      </c>
      <c r="T28" s="699">
        <f t="shared" si="52"/>
        <v>48.923999999999999</v>
      </c>
      <c r="U28" s="699">
        <f t="shared" si="52"/>
        <v>45.306000000000019</v>
      </c>
      <c r="V28" s="699">
        <f t="shared" si="52"/>
        <v>43.99</v>
      </c>
      <c r="W28" s="699">
        <f t="shared" si="52"/>
        <v>48.283000000000001</v>
      </c>
      <c r="X28" s="699">
        <f t="shared" si="52"/>
        <v>49.872999999999998</v>
      </c>
      <c r="Y28" s="699">
        <f t="shared" si="52"/>
        <v>48.018000000000015</v>
      </c>
      <c r="Z28" s="699">
        <f t="shared" si="52"/>
        <v>45.188000000000002</v>
      </c>
      <c r="AA28" s="699">
        <f t="shared" si="52"/>
        <v>50.128000000000007</v>
      </c>
      <c r="AB28" s="699">
        <f t="shared" si="52"/>
        <v>48.620000000000005</v>
      </c>
      <c r="AC28" s="699">
        <f t="shared" si="52"/>
        <v>46.402719999999995</v>
      </c>
      <c r="AD28" s="699">
        <f t="shared" si="52"/>
        <v>43.388759999999998</v>
      </c>
      <c r="AE28" s="699">
        <f t="shared" si="52"/>
        <v>49.168080000000003</v>
      </c>
      <c r="AF28" s="699">
        <f t="shared" si="52"/>
        <v>47.501910000000002</v>
      </c>
      <c r="AG28" s="699">
        <f t="shared" si="52"/>
        <v>44.658660000000019</v>
      </c>
      <c r="AH28" s="699">
        <f t="shared" si="52"/>
        <v>40.410299999999999</v>
      </c>
      <c r="AI28" s="699">
        <f t="shared" si="52"/>
        <v>45.351950000000002</v>
      </c>
      <c r="AJ28" s="699">
        <f t="shared" si="52"/>
        <v>44.980529999999995</v>
      </c>
      <c r="AK28" s="699">
        <f t="shared" si="52"/>
        <v>43.387050000000009</v>
      </c>
      <c r="AL28" s="699">
        <f t="shared" ref="AL28:BI28" si="53">AL24*AL26</f>
        <v>38.592169999999996</v>
      </c>
      <c r="AM28" s="699">
        <f t="shared" si="53"/>
        <v>42.982909999999997</v>
      </c>
      <c r="AN28" s="699">
        <f t="shared" si="53"/>
        <v>42.233730000000001</v>
      </c>
      <c r="AO28" s="699">
        <f t="shared" si="53"/>
        <v>42.149599999999971</v>
      </c>
      <c r="AP28" s="699">
        <f t="shared" si="53"/>
        <v>35.294420000000002</v>
      </c>
      <c r="AQ28" s="699">
        <f t="shared" si="53"/>
        <v>41.724759999999989</v>
      </c>
      <c r="AR28" s="699">
        <f t="shared" si="53"/>
        <v>42.695819999999991</v>
      </c>
      <c r="AS28" s="699">
        <f t="shared" si="53"/>
        <v>43.147079999999995</v>
      </c>
      <c r="AT28" s="699">
        <f t="shared" ca="1" si="53"/>
        <v>38.325136499999999</v>
      </c>
      <c r="AU28" s="699">
        <f t="shared" ca="1" si="53"/>
        <v>40.409523</v>
      </c>
      <c r="AV28" s="699">
        <f t="shared" ca="1" si="53"/>
        <v>41.34997349999999</v>
      </c>
      <c r="AW28" s="699">
        <f t="shared" ca="1" si="53"/>
        <v>41.787009000000019</v>
      </c>
      <c r="AX28" s="699">
        <f t="shared" ca="1" si="53"/>
        <v>37.848201467999999</v>
      </c>
      <c r="AY28" s="699">
        <f t="shared" ca="1" si="53"/>
        <v>39.906648935999989</v>
      </c>
      <c r="AZ28" s="699">
        <f t="shared" ca="1" si="53"/>
        <v>40.835396051999993</v>
      </c>
      <c r="BA28" s="699">
        <f t="shared" ca="1" si="53"/>
        <v>41.266992888000019</v>
      </c>
      <c r="BB28" s="699">
        <f t="shared" ca="1" si="53"/>
        <v>37.35789522171001</v>
      </c>
      <c r="BC28" s="699">
        <f t="shared" ca="1" si="53"/>
        <v>39.389676438420004</v>
      </c>
      <c r="BD28" s="699">
        <f t="shared" ca="1" si="53"/>
        <v>40.306392057690005</v>
      </c>
      <c r="BE28" s="699">
        <f t="shared" ca="1" si="53"/>
        <v>40.732397752860031</v>
      </c>
      <c r="BF28" s="699">
        <f t="shared" ca="1" si="53"/>
        <v>36.853998030347405</v>
      </c>
      <c r="BG28" s="699">
        <f t="shared" ca="1" si="53"/>
        <v>38.858373825994796</v>
      </c>
      <c r="BH28" s="699">
        <f t="shared" ca="1" si="53"/>
        <v>39.762724443888601</v>
      </c>
      <c r="BI28" s="699">
        <f t="shared" ca="1" si="53"/>
        <v>40.182984015728429</v>
      </c>
    </row>
    <row r="29" spans="1:6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x14ac:dyDescent="0.25">
      <c r="A30"/>
      <c r="B30" s="682" t="s">
        <v>848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x14ac:dyDescent="0.25">
      <c r="A31"/>
      <c r="B31"/>
      <c r="C31"/>
      <c r="D31" s="1" t="s">
        <v>849</v>
      </c>
      <c r="E31" s="700">
        <v>192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x14ac:dyDescent="0.25">
      <c r="A32"/>
      <c r="B32"/>
      <c r="C32"/>
      <c r="D32" s="1" t="s">
        <v>850</v>
      </c>
      <c r="E32" s="701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x14ac:dyDescent="0.25">
      <c r="A33"/>
      <c r="B33"/>
      <c r="C33"/>
      <c r="D33" s="1" t="s">
        <v>851</v>
      </c>
      <c r="E33" s="702">
        <f>E31/E32</f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/>
      <c r="B34"/>
      <c r="C34"/>
      <c r="D34" s="1" t="s">
        <v>852</v>
      </c>
      <c r="E34" s="703"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/>
      <c r="B35"/>
      <c r="C35"/>
      <c r="D35" s="682" t="s">
        <v>858</v>
      </c>
      <c r="E35" s="688">
        <f>E33*E34/1000</f>
        <v>0.24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x14ac:dyDescent="0.25">
      <c r="A37"/>
      <c r="B37"/>
      <c r="C37"/>
      <c r="D37" s="695" t="s">
        <v>859</v>
      </c>
      <c r="E37"/>
      <c r="F37" s="704"/>
      <c r="G37" s="704"/>
      <c r="H37" s="704"/>
      <c r="I37" s="704"/>
      <c r="J37" s="704">
        <f t="shared" ref="J37:AK37" si="54">$E$35*J25</f>
        <v>0.108</v>
      </c>
      <c r="K37" s="704">
        <f t="shared" si="54"/>
        <v>0.108</v>
      </c>
      <c r="L37" s="704">
        <f t="shared" si="54"/>
        <v>0.108</v>
      </c>
      <c r="M37" s="704">
        <f t="shared" si="54"/>
        <v>0.108</v>
      </c>
      <c r="N37" s="704">
        <f t="shared" si="54"/>
        <v>0.1104</v>
      </c>
      <c r="O37" s="704">
        <f t="shared" si="54"/>
        <v>0.1104</v>
      </c>
      <c r="P37" s="704">
        <f t="shared" si="54"/>
        <v>0.1104</v>
      </c>
      <c r="Q37" s="704">
        <f t="shared" si="54"/>
        <v>0.1104</v>
      </c>
      <c r="R37" s="704">
        <f t="shared" si="54"/>
        <v>0.1104</v>
      </c>
      <c r="S37" s="704">
        <f t="shared" si="54"/>
        <v>0.1104</v>
      </c>
      <c r="T37" s="704">
        <f t="shared" si="54"/>
        <v>0.1104</v>
      </c>
      <c r="U37" s="704">
        <f t="shared" si="54"/>
        <v>0.1104</v>
      </c>
      <c r="V37" s="704">
        <f t="shared" si="54"/>
        <v>0.11279999999999998</v>
      </c>
      <c r="W37" s="704">
        <f t="shared" si="54"/>
        <v>0.11279999999999998</v>
      </c>
      <c r="X37" s="704">
        <f t="shared" si="54"/>
        <v>0.11279999999999998</v>
      </c>
      <c r="Y37" s="704">
        <f t="shared" si="54"/>
        <v>0.11279999999999998</v>
      </c>
      <c r="Z37" s="704">
        <f t="shared" si="54"/>
        <v>0.1152</v>
      </c>
      <c r="AA37" s="704">
        <f t="shared" si="54"/>
        <v>0.1152</v>
      </c>
      <c r="AB37" s="704">
        <f t="shared" si="54"/>
        <v>0.1152</v>
      </c>
      <c r="AC37" s="704">
        <f t="shared" si="54"/>
        <v>0.1152</v>
      </c>
      <c r="AD37" s="704">
        <f t="shared" si="54"/>
        <v>0.1176</v>
      </c>
      <c r="AE37" s="704">
        <f t="shared" si="54"/>
        <v>0.1176</v>
      </c>
      <c r="AF37" s="704">
        <f t="shared" si="54"/>
        <v>0.1176</v>
      </c>
      <c r="AG37" s="704">
        <f t="shared" si="54"/>
        <v>0.1176</v>
      </c>
      <c r="AH37" s="704">
        <f t="shared" si="54"/>
        <v>0.12239999999999999</v>
      </c>
      <c r="AI37" s="704">
        <f t="shared" si="54"/>
        <v>0.12239999999999999</v>
      </c>
      <c r="AJ37" s="704">
        <f t="shared" si="54"/>
        <v>0.12239999999999999</v>
      </c>
      <c r="AK37" s="704">
        <f t="shared" si="54"/>
        <v>0.12239999999999999</v>
      </c>
      <c r="AL37" s="704">
        <f t="shared" ref="AL37:BI37" si="55">$E$35*AL25</f>
        <v>0.12720000000000001</v>
      </c>
      <c r="AM37" s="704">
        <f t="shared" si="55"/>
        <v>0.12720000000000001</v>
      </c>
      <c r="AN37" s="704">
        <f t="shared" si="55"/>
        <v>0.12720000000000001</v>
      </c>
      <c r="AO37" s="704">
        <f t="shared" si="55"/>
        <v>0.12720000000000001</v>
      </c>
      <c r="AP37" s="704">
        <f t="shared" si="55"/>
        <v>0.12959999999999999</v>
      </c>
      <c r="AQ37" s="704">
        <f t="shared" si="55"/>
        <v>0.12959999999999999</v>
      </c>
      <c r="AR37" s="704">
        <f t="shared" si="55"/>
        <v>0.12959999999999999</v>
      </c>
      <c r="AS37" s="704">
        <f t="shared" si="55"/>
        <v>0.12959999999999999</v>
      </c>
      <c r="AT37" s="704">
        <f t="shared" si="55"/>
        <v>0.13200000000000001</v>
      </c>
      <c r="AU37" s="704">
        <f t="shared" si="55"/>
        <v>0.13200000000000001</v>
      </c>
      <c r="AV37" s="704">
        <f t="shared" si="55"/>
        <v>0.13200000000000001</v>
      </c>
      <c r="AW37" s="704">
        <f t="shared" si="55"/>
        <v>0.13200000000000001</v>
      </c>
      <c r="AX37" s="704">
        <f t="shared" si="55"/>
        <v>0.13440000000000002</v>
      </c>
      <c r="AY37" s="704">
        <f t="shared" si="55"/>
        <v>0.13440000000000002</v>
      </c>
      <c r="AZ37" s="704">
        <f t="shared" si="55"/>
        <v>0.13440000000000002</v>
      </c>
      <c r="BA37" s="704">
        <f t="shared" si="55"/>
        <v>0.13440000000000002</v>
      </c>
      <c r="BB37" s="704">
        <f t="shared" si="55"/>
        <v>0.13679999999999998</v>
      </c>
      <c r="BC37" s="704">
        <f t="shared" si="55"/>
        <v>0.13679999999999998</v>
      </c>
      <c r="BD37" s="704">
        <f t="shared" si="55"/>
        <v>0.13679999999999998</v>
      </c>
      <c r="BE37" s="704">
        <f t="shared" si="55"/>
        <v>0.13679999999999998</v>
      </c>
      <c r="BF37" s="704">
        <f t="shared" si="55"/>
        <v>0.13919999999999999</v>
      </c>
      <c r="BG37" s="704">
        <f t="shared" si="55"/>
        <v>0.13919999999999999</v>
      </c>
      <c r="BH37" s="704">
        <f t="shared" si="55"/>
        <v>0.13919999999999999</v>
      </c>
      <c r="BI37" s="704">
        <f t="shared" si="55"/>
        <v>0.13919999999999999</v>
      </c>
    </row>
    <row r="38" spans="1:6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/>
      <c r="B39" s="682" t="s">
        <v>853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x14ac:dyDescent="0.25">
      <c r="A40"/>
      <c r="B40"/>
      <c r="C40"/>
      <c r="D40" s="682" t="s">
        <v>861</v>
      </c>
      <c r="E40"/>
      <c r="F40" s="692"/>
      <c r="G40" s="692"/>
      <c r="H40" s="692"/>
      <c r="I40" s="692"/>
      <c r="J40" s="692">
        <f t="shared" ref="J40:AK40" si="56">J24*J37</f>
        <v>7.0415999999999999</v>
      </c>
      <c r="K40" s="692">
        <f t="shared" si="56"/>
        <v>9.5579999999999998</v>
      </c>
      <c r="L40" s="692">
        <f t="shared" si="56"/>
        <v>9.3743999999999996</v>
      </c>
      <c r="M40" s="692">
        <f t="shared" si="56"/>
        <v>8.9963999999999995</v>
      </c>
      <c r="N40" s="692">
        <f t="shared" si="56"/>
        <v>8.6112000000000002</v>
      </c>
      <c r="O40" s="692">
        <f t="shared" si="56"/>
        <v>9.9470399999999994</v>
      </c>
      <c r="P40" s="692">
        <f t="shared" si="56"/>
        <v>9.5716800000000006</v>
      </c>
      <c r="Q40" s="692">
        <f t="shared" si="56"/>
        <v>9.1521599999999967</v>
      </c>
      <c r="R40" s="692">
        <f t="shared" si="56"/>
        <v>8.633280000000001</v>
      </c>
      <c r="S40" s="692">
        <f t="shared" si="56"/>
        <v>9.9911999999999992</v>
      </c>
      <c r="T40" s="692">
        <f t="shared" si="56"/>
        <v>10.002239999999999</v>
      </c>
      <c r="U40" s="692">
        <f t="shared" si="56"/>
        <v>9.2625600000000041</v>
      </c>
      <c r="V40" s="692">
        <f t="shared" si="56"/>
        <v>9.3623999999999992</v>
      </c>
      <c r="W40" s="692">
        <f t="shared" si="56"/>
        <v>10.276079999999999</v>
      </c>
      <c r="X40" s="692">
        <f t="shared" si="56"/>
        <v>10.614479999999999</v>
      </c>
      <c r="Y40" s="692">
        <f t="shared" si="56"/>
        <v>10.21968</v>
      </c>
      <c r="Z40" s="692">
        <f t="shared" si="56"/>
        <v>10.01088</v>
      </c>
      <c r="AA40" s="692">
        <f t="shared" si="56"/>
        <v>11.10528</v>
      </c>
      <c r="AB40" s="692">
        <f t="shared" si="56"/>
        <v>10.7712</v>
      </c>
      <c r="AC40" s="692">
        <f t="shared" si="56"/>
        <v>10.279987199999999</v>
      </c>
      <c r="AD40" s="692">
        <f t="shared" si="56"/>
        <v>10.004937599999998</v>
      </c>
      <c r="AE40" s="692">
        <f t="shared" si="56"/>
        <v>11.3375808</v>
      </c>
      <c r="AF40" s="692">
        <f t="shared" si="56"/>
        <v>10.9533816</v>
      </c>
      <c r="AG40" s="692">
        <f t="shared" si="56"/>
        <v>10.297761600000003</v>
      </c>
      <c r="AH40" s="692">
        <f t="shared" si="56"/>
        <v>10.094327999999999</v>
      </c>
      <c r="AI40" s="692">
        <f t="shared" si="56"/>
        <v>11.328732</v>
      </c>
      <c r="AJ40" s="692">
        <f t="shared" si="56"/>
        <v>11.2359528</v>
      </c>
      <c r="AK40" s="692">
        <f t="shared" si="56"/>
        <v>10.837908000000002</v>
      </c>
      <c r="AL40" s="692">
        <f t="shared" ref="AL40:BI40" si="57">AL24*AL37</f>
        <v>10.4445192</v>
      </c>
      <c r="AM40" s="692">
        <f t="shared" si="57"/>
        <v>11.632821600000002</v>
      </c>
      <c r="AN40" s="692">
        <f t="shared" si="57"/>
        <v>11.430064800000002</v>
      </c>
      <c r="AO40" s="692">
        <f t="shared" si="57"/>
        <v>11.407295999999993</v>
      </c>
      <c r="AP40" s="692">
        <f t="shared" si="57"/>
        <v>9.9438192000000001</v>
      </c>
      <c r="AQ40" s="692">
        <f t="shared" si="57"/>
        <v>11.755497599999998</v>
      </c>
      <c r="AR40" s="692">
        <f t="shared" si="57"/>
        <v>12.029083199999999</v>
      </c>
      <c r="AS40" s="692">
        <f t="shared" si="57"/>
        <v>12.1562208</v>
      </c>
      <c r="AT40" s="692">
        <f t="shared" ca="1" si="57"/>
        <v>11.242040040000001</v>
      </c>
      <c r="AU40" s="692">
        <f t="shared" ca="1" si="57"/>
        <v>11.853460080000001</v>
      </c>
      <c r="AV40" s="692">
        <f t="shared" ca="1" si="57"/>
        <v>12.129325559999998</v>
      </c>
      <c r="AW40" s="692">
        <f t="shared" ca="1" si="57"/>
        <v>12.257522640000007</v>
      </c>
      <c r="AX40" s="692">
        <f t="shared" ca="1" si="57"/>
        <v>11.560905175680002</v>
      </c>
      <c r="AY40" s="692">
        <f t="shared" ca="1" si="57"/>
        <v>12.189667311360001</v>
      </c>
      <c r="AZ40" s="692">
        <f t="shared" ca="1" si="57"/>
        <v>12.47335733952</v>
      </c>
      <c r="BA40" s="692">
        <f t="shared" ca="1" si="57"/>
        <v>12.605190554880009</v>
      </c>
      <c r="BB40" s="692">
        <f t="shared" ca="1" si="57"/>
        <v>11.8850234100696</v>
      </c>
      <c r="BC40" s="692">
        <f t="shared" ca="1" si="57"/>
        <v>12.531413341339197</v>
      </c>
      <c r="BD40" s="692">
        <f t="shared" ca="1" si="57"/>
        <v>12.823056822074399</v>
      </c>
      <c r="BE40" s="692">
        <f t="shared" ca="1" si="57"/>
        <v>12.958586075793605</v>
      </c>
      <c r="BF40" s="692">
        <f t="shared" ca="1" si="57"/>
        <v>12.214467918629424</v>
      </c>
      <c r="BG40" s="692">
        <f t="shared" ca="1" si="57"/>
        <v>12.878775325186846</v>
      </c>
      <c r="BH40" s="692">
        <f t="shared" ca="1" si="57"/>
        <v>13.178502958545934</v>
      </c>
      <c r="BI40" s="692">
        <f t="shared" ca="1" si="57"/>
        <v>13.31778898806999</v>
      </c>
    </row>
    <row r="41" spans="1:61" x14ac:dyDescent="0.25">
      <c r="A41"/>
      <c r="B41"/>
      <c r="C41"/>
      <c r="D41" s="695" t="s">
        <v>860</v>
      </c>
      <c r="E41" s="695"/>
      <c r="F41" s="706"/>
      <c r="G41" s="706"/>
      <c r="H41" s="706"/>
      <c r="I41" s="706"/>
      <c r="J41" s="706"/>
      <c r="K41" s="706"/>
      <c r="L41" s="706"/>
      <c r="M41" s="706"/>
      <c r="N41" s="706"/>
      <c r="O41" s="706"/>
      <c r="P41" s="706"/>
      <c r="Q41" s="706"/>
      <c r="R41" s="706">
        <f>R17</f>
        <v>4614.0488749999995</v>
      </c>
      <c r="S41" s="706">
        <f t="shared" ref="S41:BI41" si="58">S17</f>
        <v>4472.7714754098361</v>
      </c>
      <c r="T41" s="706">
        <f t="shared" si="58"/>
        <v>4365.0665625000001</v>
      </c>
      <c r="U41" s="706">
        <f t="shared" si="58"/>
        <v>4234.8301587301594</v>
      </c>
      <c r="V41" s="706">
        <f t="shared" si="58"/>
        <v>4036.5165625000009</v>
      </c>
      <c r="W41" s="706">
        <f t="shared" si="58"/>
        <v>3460.313114754098</v>
      </c>
      <c r="X41" s="706">
        <f t="shared" si="58"/>
        <v>4049.0793749999998</v>
      </c>
      <c r="Y41" s="706">
        <f t="shared" si="58"/>
        <v>4435.5828571428574</v>
      </c>
      <c r="Z41" s="706">
        <f t="shared" si="58"/>
        <v>4913.4837499999994</v>
      </c>
      <c r="AA41" s="706">
        <f t="shared" si="58"/>
        <v>5936.2836065573792</v>
      </c>
      <c r="AB41" s="706">
        <f t="shared" si="58"/>
        <v>6747.6450000000023</v>
      </c>
      <c r="AC41" s="706">
        <f t="shared" si="58"/>
        <v>6838.1619047619042</v>
      </c>
      <c r="AD41" s="706">
        <f t="shared" si="58"/>
        <v>8025.7218750000002</v>
      </c>
      <c r="AE41" s="706">
        <f t="shared" si="58"/>
        <v>7425.2310000000016</v>
      </c>
      <c r="AF41" s="706">
        <f t="shared" si="58"/>
        <v>5894.2725000000028</v>
      </c>
      <c r="AG41" s="706">
        <f t="shared" si="58"/>
        <v>5607.6234920634915</v>
      </c>
      <c r="AH41" s="706">
        <f t="shared" si="58"/>
        <v>6106.1903124999981</v>
      </c>
      <c r="AI41" s="706">
        <f t="shared" si="58"/>
        <v>5657.9793333333346</v>
      </c>
      <c r="AJ41" s="706">
        <f t="shared" si="58"/>
        <v>5356.8031249999976</v>
      </c>
      <c r="AK41" s="706">
        <f t="shared" si="58"/>
        <v>5291.9695238095228</v>
      </c>
      <c r="AL41" s="706">
        <f t="shared" si="58"/>
        <v>5291.2809523809528</v>
      </c>
      <c r="AM41" s="706">
        <f t="shared" si="58"/>
        <v>5994.1980645161284</v>
      </c>
      <c r="AN41" s="706">
        <f t="shared" si="58"/>
        <v>5662.2903125000012</v>
      </c>
      <c r="AO41" s="706">
        <f t="shared" si="58"/>
        <v>6117.5488888888895</v>
      </c>
      <c r="AP41" s="706">
        <f t="shared" si="58"/>
        <v>6649.9124999999995</v>
      </c>
      <c r="AQ41" s="706">
        <f t="shared" si="58"/>
        <v>6834.2819672131154</v>
      </c>
      <c r="AR41" s="706">
        <f t="shared" si="58"/>
        <v>8339.713125000002</v>
      </c>
      <c r="AS41" s="706">
        <f t="shared" si="58"/>
        <v>9418.3034920634909</v>
      </c>
      <c r="AT41" s="706">
        <f t="shared" si="58"/>
        <v>10899.3709375</v>
      </c>
      <c r="AU41" s="706">
        <f t="shared" si="58"/>
        <v>11996.48</v>
      </c>
      <c r="AV41" s="706">
        <f t="shared" si="58"/>
        <v>11836.909090909092</v>
      </c>
      <c r="AW41" s="706">
        <f t="shared" si="58"/>
        <v>11836.909090909092</v>
      </c>
      <c r="AX41" s="706">
        <f t="shared" si="58"/>
        <v>11517.801818181819</v>
      </c>
      <c r="AY41" s="706">
        <f t="shared" si="58"/>
        <v>11208.267763636362</v>
      </c>
      <c r="AZ41" s="706">
        <f t="shared" si="58"/>
        <v>10908.019730727272</v>
      </c>
      <c r="BA41" s="706">
        <f t="shared" si="58"/>
        <v>10616.779138805454</v>
      </c>
      <c r="BB41" s="706">
        <f t="shared" si="58"/>
        <v>10334.27576464129</v>
      </c>
      <c r="BC41" s="706">
        <f t="shared" si="58"/>
        <v>10334.27576464129</v>
      </c>
      <c r="BD41" s="706">
        <f t="shared" si="58"/>
        <v>10334.27576464129</v>
      </c>
      <c r="BE41" s="706">
        <f t="shared" si="58"/>
        <v>10334.27576464129</v>
      </c>
      <c r="BF41" s="706">
        <f t="shared" si="58"/>
        <v>10334.27576464129</v>
      </c>
      <c r="BG41" s="706">
        <f t="shared" si="58"/>
        <v>10334.27576464129</v>
      </c>
      <c r="BH41" s="706">
        <f t="shared" si="58"/>
        <v>10334.27576464129</v>
      </c>
      <c r="BI41" s="706">
        <f t="shared" si="58"/>
        <v>10334.27576464129</v>
      </c>
    </row>
    <row r="42" spans="1:61" x14ac:dyDescent="0.25">
      <c r="A42"/>
      <c r="B42"/>
      <c r="C42"/>
      <c r="D42" s="682" t="s">
        <v>854</v>
      </c>
      <c r="E42"/>
      <c r="F42" s="694"/>
      <c r="G42" s="694"/>
      <c r="H42" s="694"/>
      <c r="I42" s="694"/>
      <c r="J42" s="694"/>
      <c r="K42" s="694"/>
      <c r="L42" s="694"/>
      <c r="M42" s="694"/>
      <c r="N42" s="694"/>
      <c r="O42" s="694"/>
      <c r="P42" s="694"/>
      <c r="Q42" s="694"/>
      <c r="R42" s="694">
        <f>R40*R41/1000</f>
        <v>39.834375871559999</v>
      </c>
      <c r="S42" s="694">
        <f t="shared" ref="S42:BI42" si="59">S40*S41/1000</f>
        <v>44.688354365114748</v>
      </c>
      <c r="T42" s="694">
        <f t="shared" si="59"/>
        <v>43.660443374099998</v>
      </c>
      <c r="U42" s="694">
        <f t="shared" si="59"/>
        <v>39.225368435047642</v>
      </c>
      <c r="V42" s="694">
        <f t="shared" si="59"/>
        <v>37.791482664749999</v>
      </c>
      <c r="W42" s="694">
        <f t="shared" si="59"/>
        <v>35.558454392262284</v>
      </c>
      <c r="X42" s="694">
        <f t="shared" si="59"/>
        <v>42.978872044349991</v>
      </c>
      <c r="Y42" s="694">
        <f t="shared" si="59"/>
        <v>45.330237413485719</v>
      </c>
      <c r="Z42" s="694">
        <f t="shared" si="59"/>
        <v>49.18829620319999</v>
      </c>
      <c r="AA42" s="694">
        <f t="shared" si="59"/>
        <v>65.924091610229524</v>
      </c>
      <c r="AB42" s="694">
        <f t="shared" si="59"/>
        <v>72.680233824000027</v>
      </c>
      <c r="AC42" s="694">
        <f t="shared" si="59"/>
        <v>70.296216852479986</v>
      </c>
      <c r="AD42" s="694">
        <f t="shared" si="59"/>
        <v>80.296846554329989</v>
      </c>
      <c r="AE42" s="694">
        <f t="shared" si="59"/>
        <v>84.184156421164829</v>
      </c>
      <c r="AF42" s="694">
        <f t="shared" si="59"/>
        <v>64.562215946886027</v>
      </c>
      <c r="AG42" s="694">
        <f t="shared" si="59"/>
        <v>57.745969863829345</v>
      </c>
      <c r="AH42" s="694">
        <f t="shared" si="59"/>
        <v>61.637887844797476</v>
      </c>
      <c r="AI42" s="694">
        <f t="shared" si="59"/>
        <v>64.097731528872018</v>
      </c>
      <c r="AJ42" s="694">
        <f t="shared" si="59"/>
        <v>60.188787071392468</v>
      </c>
      <c r="AK42" s="694">
        <f t="shared" si="59"/>
        <v>57.353878837851433</v>
      </c>
      <c r="AL42" s="694">
        <f t="shared" si="59"/>
        <v>55.264885499737147</v>
      </c>
      <c r="AM42" s="694">
        <f t="shared" si="59"/>
        <v>69.729436719581429</v>
      </c>
      <c r="AN42" s="694">
        <f t="shared" si="59"/>
        <v>64.720345188287283</v>
      </c>
      <c r="AO42" s="694">
        <f t="shared" si="59"/>
        <v>69.784690970026631</v>
      </c>
      <c r="AP42" s="694">
        <f t="shared" si="59"/>
        <v>66.125527595819989</v>
      </c>
      <c r="AQ42" s="694">
        <f t="shared" si="59"/>
        <v>80.340385263297051</v>
      </c>
      <c r="AR42" s="694">
        <f t="shared" si="59"/>
        <v>100.31910304475701</v>
      </c>
      <c r="AS42" s="694">
        <f t="shared" si="59"/>
        <v>114.49097681093484</v>
      </c>
      <c r="AT42" s="694">
        <f t="shared" ca="1" si="59"/>
        <v>122.53116449018735</v>
      </c>
      <c r="AU42" s="694">
        <f t="shared" ca="1" si="59"/>
        <v>142.1997967805184</v>
      </c>
      <c r="AV42" s="694">
        <f t="shared" ca="1" si="59"/>
        <v>143.57372398775999</v>
      </c>
      <c r="AW42" s="694">
        <f t="shared" ca="1" si="59"/>
        <v>145.09118116944009</v>
      </c>
      <c r="AX42" s="694">
        <f t="shared" ca="1" si="59"/>
        <v>133.15621465227474</v>
      </c>
      <c r="AY42" s="694">
        <f t="shared" ca="1" si="59"/>
        <v>136.62505517536823</v>
      </c>
      <c r="AZ42" s="694">
        <f t="shared" ca="1" si="59"/>
        <v>136.05962796789601</v>
      </c>
      <c r="BA42" s="694">
        <f t="shared" ca="1" si="59"/>
        <v>133.82652412371763</v>
      </c>
      <c r="BB42" s="694">
        <f t="shared" ca="1" si="59"/>
        <v>122.82310938887665</v>
      </c>
      <c r="BC42" s="694">
        <f t="shared" ca="1" si="59"/>
        <v>129.50308119010421</v>
      </c>
      <c r="BD42" s="694">
        <f t="shared" ca="1" si="59"/>
        <v>132.51700534498161</v>
      </c>
      <c r="BE42" s="694">
        <f t="shared" ca="1" si="59"/>
        <v>133.91760202709193</v>
      </c>
      <c r="BF42" s="694">
        <f t="shared" ca="1" si="59"/>
        <v>126.22767978948059</v>
      </c>
      <c r="BG42" s="694">
        <f t="shared" ca="1" si="59"/>
        <v>133.09281572133867</v>
      </c>
      <c r="BH42" s="694">
        <f t="shared" ca="1" si="59"/>
        <v>136.19028373875477</v>
      </c>
      <c r="BI42" s="694">
        <f t="shared" ca="1" si="59"/>
        <v>137.62970397801834</v>
      </c>
    </row>
    <row r="43" spans="1:61" x14ac:dyDescent="0.25">
      <c r="A43"/>
      <c r="B43"/>
      <c r="C43"/>
      <c r="D43" s="695" t="s">
        <v>855</v>
      </c>
      <c r="E43"/>
      <c r="F43"/>
      <c r="G43"/>
      <c r="H43"/>
      <c r="I43"/>
      <c r="J43" s="705"/>
      <c r="K43" s="705"/>
      <c r="L43" s="705"/>
      <c r="M43" s="705"/>
      <c r="N43" s="705"/>
      <c r="O43" s="705"/>
      <c r="P43" s="705"/>
      <c r="Q43" s="705"/>
      <c r="R43" s="705"/>
      <c r="S43" s="705"/>
      <c r="T43" s="705"/>
      <c r="U43" s="705"/>
      <c r="V43" s="705">
        <f t="shared" ref="V43:AO43" si="60">V42-R42</f>
        <v>-2.0428932068099996</v>
      </c>
      <c r="W43" s="705">
        <f t="shared" si="60"/>
        <v>-9.1298999728524635</v>
      </c>
      <c r="X43" s="705">
        <f t="shared" si="60"/>
        <v>-0.68157132975000678</v>
      </c>
      <c r="Y43" s="705">
        <f t="shared" si="60"/>
        <v>6.104868978438077</v>
      </c>
      <c r="Z43" s="705">
        <f t="shared" si="60"/>
        <v>11.39681353844999</v>
      </c>
      <c r="AA43" s="705">
        <f t="shared" si="60"/>
        <v>30.36563721796724</v>
      </c>
      <c r="AB43" s="705">
        <f t="shared" si="60"/>
        <v>29.701361779650036</v>
      </c>
      <c r="AC43" s="705">
        <f t="shared" si="60"/>
        <v>24.965979438994268</v>
      </c>
      <c r="AD43" s="705">
        <f t="shared" si="60"/>
        <v>31.108550351129999</v>
      </c>
      <c r="AE43" s="705">
        <f t="shared" si="60"/>
        <v>18.260064810935305</v>
      </c>
      <c r="AF43" s="705">
        <f t="shared" si="60"/>
        <v>-8.1180178771139992</v>
      </c>
      <c r="AG43" s="705">
        <f t="shared" si="60"/>
        <v>-12.550246988650642</v>
      </c>
      <c r="AH43" s="705">
        <f t="shared" si="60"/>
        <v>-18.658958709532513</v>
      </c>
      <c r="AI43" s="705">
        <f t="shared" si="60"/>
        <v>-20.086424892292811</v>
      </c>
      <c r="AJ43" s="705">
        <f t="shared" si="60"/>
        <v>-4.3734288754935591</v>
      </c>
      <c r="AK43" s="705">
        <f t="shared" si="60"/>
        <v>-0.39209102597791201</v>
      </c>
      <c r="AL43" s="705">
        <f t="shared" si="60"/>
        <v>-6.3730023450603284</v>
      </c>
      <c r="AM43" s="705">
        <f t="shared" si="60"/>
        <v>5.6317051907094111</v>
      </c>
      <c r="AN43" s="705">
        <f t="shared" si="60"/>
        <v>4.5315581168948142</v>
      </c>
      <c r="AO43" s="705">
        <f t="shared" si="60"/>
        <v>12.430812132175198</v>
      </c>
      <c r="AP43" s="705">
        <f t="shared" ref="AP43:BI43" si="61">AP42-AL42</f>
        <v>10.860642096082842</v>
      </c>
      <c r="AQ43" s="705">
        <f t="shared" si="61"/>
        <v>10.610948543715622</v>
      </c>
      <c r="AR43" s="705">
        <f t="shared" si="61"/>
        <v>35.598757856469732</v>
      </c>
      <c r="AS43" s="705">
        <f t="shared" si="61"/>
        <v>44.706285840908208</v>
      </c>
      <c r="AT43" s="705">
        <f t="shared" ca="1" si="61"/>
        <v>56.405636894367362</v>
      </c>
      <c r="AU43" s="705">
        <f t="shared" ca="1" si="61"/>
        <v>61.859411517221346</v>
      </c>
      <c r="AV43" s="705">
        <f t="shared" ca="1" si="61"/>
        <v>43.254620943002976</v>
      </c>
      <c r="AW43" s="705">
        <f t="shared" ca="1" si="61"/>
        <v>30.600204358505252</v>
      </c>
      <c r="AX43" s="705">
        <f t="shared" ca="1" si="61"/>
        <v>10.625050162087391</v>
      </c>
      <c r="AY43" s="705">
        <f t="shared" ca="1" si="61"/>
        <v>-5.5747416051501659</v>
      </c>
      <c r="AZ43" s="705">
        <f t="shared" ca="1" si="61"/>
        <v>-7.5140960198639846</v>
      </c>
      <c r="BA43" s="705">
        <f t="shared" ca="1" si="61"/>
        <v>-11.264657045722458</v>
      </c>
      <c r="BB43" s="705">
        <f t="shared" ca="1" si="61"/>
        <v>-10.333105263398096</v>
      </c>
      <c r="BC43" s="705">
        <f t="shared" ca="1" si="61"/>
        <v>-7.1219739852640203</v>
      </c>
      <c r="BD43" s="705">
        <f t="shared" ca="1" si="61"/>
        <v>-3.5426226229143936</v>
      </c>
      <c r="BE43" s="705">
        <f t="shared" ca="1" si="61"/>
        <v>9.107790337429833E-2</v>
      </c>
      <c r="BF43" s="705">
        <f t="shared" ca="1" si="61"/>
        <v>3.4045704006039443</v>
      </c>
      <c r="BG43" s="705">
        <f t="shared" ca="1" si="61"/>
        <v>3.5897345312344555</v>
      </c>
      <c r="BH43" s="705">
        <f t="shared" ca="1" si="61"/>
        <v>3.6732783937731597</v>
      </c>
      <c r="BI43" s="705">
        <f t="shared" ca="1" si="61"/>
        <v>3.7121019509264102</v>
      </c>
    </row>
    <row r="44" spans="1:6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x14ac:dyDescent="0.25">
      <c r="A45"/>
      <c r="B45" s="682" t="s">
        <v>862</v>
      </c>
      <c r="C45"/>
      <c r="D45"/>
      <c r="E45"/>
      <c r="F45" s="708">
        <f>_xll.BDP("PUSAPEBG Index","INTERVAL_AVG","CALC_INTERVAL=1Q","END_DATE_OVERRIDE",F4)</f>
        <v>1111.5765336666666</v>
      </c>
      <c r="G45" s="708">
        <f>_xll.BDP("PUSAPEBG Index","INTERVAL_AVG","CALC_INTERVAL=1Q","END_DATE_OVERRIDE",G4)</f>
        <v>1146.4097529999999</v>
      </c>
      <c r="H45" s="708">
        <f>_xll.BDP("PUSAPEBG Index","INTERVAL_AVG","CALC_INTERVAL=1Q","END_DATE_OVERRIDE",H4)</f>
        <v>1139.0609726666667</v>
      </c>
      <c r="I45" s="708">
        <f>_xll.BDP("PUSAPEBG Index","INTERVAL_AVG","CALC_INTERVAL=1Q","END_DATE_OVERRIDE",I4)</f>
        <v>1135.386583</v>
      </c>
      <c r="J45" s="708">
        <f>_xll.BDP("PUSAPEBG Index","INTERVAL_AVG","CALC_INTERVAL=1Q","END_DATE_OVERRIDE",J4)</f>
        <v>1168.456095</v>
      </c>
      <c r="K45" s="708">
        <f>_xll.BDP("PUSAPEBG Index","INTERVAL_AVG","CALC_INTERVAL=1Q","END_DATE_OVERRIDE",K4)</f>
        <v>1183.1536556666667</v>
      </c>
      <c r="L45" s="708">
        <f>_xll.BDP("PUSAPEBG Index","INTERVAL_AVG","CALC_INTERVAL=1Q","END_DATE_OVERRIDE",L4)</f>
        <v>1197.8512166666667</v>
      </c>
      <c r="M45" s="708">
        <f>_xll.BDP("PUSAPEBG Index","INTERVAL_AVG","CALC_INTERVAL=1Q","END_DATE_OVERRIDE",M4)</f>
        <v>1300.7341429999999</v>
      </c>
      <c r="N45" s="708">
        <f>_xll.BDP("PUSAPEBG Index","INTERVAL_AVG","CALC_INTERVAL=1Q","END_DATE_OVERRIDE",N4)</f>
        <v>1377.896338</v>
      </c>
      <c r="O45" s="708">
        <f>_xll.BDP("PUSAPEBG Index","INTERVAL_AVG","CALC_INTERVAL=1Q","END_DATE_OVERRIDE",O4)</f>
        <v>1491.4349963333332</v>
      </c>
      <c r="P45" s="708">
        <f>_xll.BDP("PUSAPEBG Index","INTERVAL_AVG","CALC_INTERVAL=1Q","END_DATE_OVERRIDE",P4)</f>
        <v>1618.9363373333333</v>
      </c>
      <c r="Q45" s="708">
        <f>_xll.BDP("PUSAPEBG Index","INTERVAL_AVG","CALC_INTERVAL=1Q","END_DATE_OVERRIDE",Q4)</f>
        <v>1737.9865813333333</v>
      </c>
      <c r="R45" s="708">
        <f>_xll.BDP("PUSAPEBG Index","INTERVAL_AVG","CALC_INTERVAL=1Q","END_DATE_OVERRIDE",R4)</f>
        <v>1565.29024</v>
      </c>
      <c r="S45" s="708">
        <f>_xll.BDP("PUSAPEBG Index","INTERVAL_AVG","CALC_INTERVAL=1Q","END_DATE_OVERRIDE",S4)</f>
        <v>1438.5237769999999</v>
      </c>
      <c r="T45" s="708">
        <f>_xll.BDP("PUSAPEBG Index","INTERVAL_AVG","CALC_INTERVAL=1Q","END_DATE_OVERRIDE",T4)</f>
        <v>1297.0597533333334</v>
      </c>
      <c r="U45" s="708">
        <f>_xll.BDP("PUSAPEBG Index","INTERVAL_AVG","CALC_INTERVAL=1Q","END_DATE_OVERRIDE",U4)</f>
        <v>1150.8190216666667</v>
      </c>
      <c r="V45" s="708">
        <f>_xll.BDP("PUSAPEBG Index","INTERVAL_AVG","CALC_INTERVAL=1Q","END_DATE_OVERRIDE",V4)</f>
        <v>1098.6426799999999</v>
      </c>
      <c r="W45" s="708">
        <f>_xll.BDP("PUSAPEBG Index","INTERVAL_AVG","CALC_INTERVAL=1Q","END_DATE_OVERRIDE",W4)</f>
        <v>1053.8151193809367</v>
      </c>
      <c r="X45" s="708">
        <f>_xll.BDP("PUSAPEBG Index","INTERVAL_AVG","CALC_INTERVAL=1Q","END_DATE_OVERRIDE",X4)</f>
        <v>975.91804640019927</v>
      </c>
      <c r="Y45" s="708">
        <f>_xll.BDP("PUSAPEBG Index","INTERVAL_AVG","CALC_INTERVAL=1Q","END_DATE_OVERRIDE",Y4)</f>
        <v>1131.7121923616767</v>
      </c>
      <c r="Z45" s="708">
        <f>_xll.BDP("PUSAPEBG Index","INTERVAL_AVG","CALC_INTERVAL=1Q","END_DATE_OVERRIDE",Z4)</f>
        <v>1303.4899358451448</v>
      </c>
      <c r="AA45" s="708">
        <f>_xll.BDP("PUSAPEBG Index","INTERVAL_AVG","CALC_INTERVAL=1Q","END_DATE_OVERRIDE",AA4)</f>
        <v>1591.0109717292401</v>
      </c>
      <c r="AB45" s="708">
        <f>_xll.BDP("PUSAPEBG Index","INTERVAL_AVG","CALC_INTERVAL=1Q","END_DATE_OVERRIDE",AB4)</f>
        <v>1741.6609713618</v>
      </c>
      <c r="AC45" s="708">
        <f>_xll.BDP("PUSAPEBG Index","INTERVAL_AVG","CALC_INTERVAL=1Q","END_DATE_OVERRIDE",AC4)</f>
        <v>2006.21706827752</v>
      </c>
      <c r="AD45" s="708">
        <f>_xll.BDP("PUSAPEBG Index","INTERVAL_AVG","CALC_INTERVAL=1Q","END_DATE_OVERRIDE",AD4)</f>
        <v>2155.0298727926101</v>
      </c>
      <c r="AE45" s="708">
        <f>_xll.BDP("PUSAPEBG Index","INTERVAL_AVG","CALC_INTERVAL=1Q","END_DATE_OVERRIDE",AE4)</f>
        <v>2292.8195066028802</v>
      </c>
      <c r="AF45" s="708">
        <f>_xll.BDP("PUSAPEBG Index","INTERVAL_AVG","CALC_INTERVAL=1Q","END_DATE_OVERRIDE",AF4)</f>
        <v>2099.5465802450099</v>
      </c>
      <c r="AG45" s="708">
        <f>_xll.BDP("PUSAPEBG Index","INTERVAL_AVG","CALC_INTERVAL=1Q","END_DATE_OVERRIDE",AG4)</f>
        <v>1478.9420695635567</v>
      </c>
      <c r="AH45" s="708">
        <f>_xll.BDP("PUSAPEBG Index","INTERVAL_AVG","CALC_INTERVAL=1Q","END_DATE_OVERRIDE",AH4)</f>
        <v>1399.9426795123377</v>
      </c>
      <c r="AI45" s="708">
        <f>_xll.BDP("PUSAPEBG Index","INTERVAL_AVG","CALC_INTERVAL=1Q","END_DATE_OVERRIDE",AI4)</f>
        <v>1286.0365822291767</v>
      </c>
      <c r="AJ45" s="708">
        <f>_xll.BDP("PUSAPEBG Index","INTERVAL_AVG","CALC_INTERVAL=1Q","END_DATE_OVERRIDE",AJ4)</f>
        <v>1168.4560947110833</v>
      </c>
      <c r="AK45" s="708">
        <f>_xll.BDP("PUSAPEBG Index","INTERVAL_AVG","CALC_INTERVAL=1Q","END_DATE_OVERRIDE",AK4)</f>
        <v>1207.3333333333333</v>
      </c>
      <c r="AL45" s="708">
        <f>_xll.BDP("PUSAPEBG Index","INTERVAL_AVG","CALC_INTERVAL=1Q","END_DATE_OVERRIDE",AL4)</f>
        <v>1259.1666666666667</v>
      </c>
      <c r="AM45" s="708">
        <f>_xll.BDP("PUSAPEBG Index","INTERVAL_AVG","CALC_INTERVAL=1Q","END_DATE_OVERRIDE",AM4)</f>
        <v>1364</v>
      </c>
      <c r="AN45" s="708">
        <f>_xll.BDP("PUSAPEBG Index","INTERVAL_AVG","CALC_INTERVAL=1Q","END_DATE_OVERRIDE",AN4)</f>
        <v>1417.6666666666667</v>
      </c>
      <c r="AO45" s="708">
        <f>_xll.BDP("PUSAPEBG Index","INTERVAL_AVG","CALC_INTERVAL=1Q","END_DATE_OVERRIDE",AO4)</f>
        <v>1274.6666666666667</v>
      </c>
      <c r="AP45" s="708">
        <f>_xll.BDP("PUSAPEBG Index","INTERVAL_AVG","CALC_INTERVAL=1Q","END_DATE_OVERRIDE",AP4)</f>
        <v>1274.875</v>
      </c>
      <c r="AQ45" s="708">
        <f>_xll.BDP("PUSAPEBG Index","INTERVAL_AVG","CALC_INTERVAL=1Q","END_DATE_OVERRIDE",AQ4)</f>
        <v>1219.1666666666667</v>
      </c>
      <c r="AR45" s="708">
        <f>_xll.BDP("PUSAPEBG Index","INTERVAL_AVG","CALC_INTERVAL=1Q","END_DATE_OVERRIDE",AR4)</f>
        <v>1108.9166666666667</v>
      </c>
      <c r="AS45" s="708">
        <f>_xll.BDP("PUSAPEBG Index","INTERVAL_AVG","CALC_INTERVAL=1Q","END_DATE_OVERRIDE",AS4)</f>
        <v>1165.3333333333333</v>
      </c>
      <c r="AT45" s="708">
        <f>_xll.BDP("PUSAPEBG Index","INTERVAL_AVG","CALC_INTERVAL=1Q","END_DATE_OVERRIDE",AT4)</f>
        <v>1211.8</v>
      </c>
      <c r="AU45" s="46">
        <f>AT45*1.5</f>
        <v>1817.6999999999998</v>
      </c>
      <c r="AV45" s="46">
        <f>AU45</f>
        <v>1817.6999999999998</v>
      </c>
      <c r="AW45" s="46">
        <f>AV45</f>
        <v>1817.6999999999998</v>
      </c>
      <c r="AX45" s="46">
        <f>AVERAGE(F45:AW45)</f>
        <v>1404.5418492881779</v>
      </c>
      <c r="AY45" s="46">
        <f>AX45</f>
        <v>1404.5418492881779</v>
      </c>
      <c r="AZ45" s="46">
        <f t="shared" ref="AZ45:BA45" si="62">AY45</f>
        <v>1404.5418492881779</v>
      </c>
      <c r="BA45" s="46">
        <f t="shared" si="62"/>
        <v>1404.5418492881779</v>
      </c>
      <c r="BB45" s="46">
        <f>AX45*1.02</f>
        <v>1432.6326862739415</v>
      </c>
      <c r="BC45" s="46">
        <f t="shared" ref="BC45:BI45" si="63">AY45*1.02</f>
        <v>1432.6326862739415</v>
      </c>
      <c r="BD45" s="46">
        <f t="shared" si="63"/>
        <v>1432.6326862739415</v>
      </c>
      <c r="BE45" s="46">
        <f t="shared" si="63"/>
        <v>1432.6326862739415</v>
      </c>
      <c r="BF45" s="46">
        <f t="shared" si="63"/>
        <v>1461.2853399994203</v>
      </c>
      <c r="BG45" s="46">
        <f t="shared" si="63"/>
        <v>1461.2853399994203</v>
      </c>
      <c r="BH45" s="46">
        <f t="shared" si="63"/>
        <v>1461.2853399994203</v>
      </c>
      <c r="BI45" s="46">
        <f t="shared" si="63"/>
        <v>1461.2853399994203</v>
      </c>
    </row>
    <row r="46" spans="1:61" x14ac:dyDescent="0.25">
      <c r="A46"/>
      <c r="B46"/>
      <c r="C46"/>
      <c r="D46"/>
      <c r="E46" s="722" t="s">
        <v>881</v>
      </c>
      <c r="F46" s="46">
        <f>F45*1.5</f>
        <v>1667.3648005</v>
      </c>
      <c r="G46" s="46">
        <f t="shared" ref="G46:BI46" si="64">G45*1.5</f>
        <v>1719.6146294999999</v>
      </c>
      <c r="H46" s="46">
        <f t="shared" si="64"/>
        <v>1708.591459</v>
      </c>
      <c r="I46" s="46">
        <f t="shared" si="64"/>
        <v>1703.0798745</v>
      </c>
      <c r="J46" s="46">
        <f t="shared" si="64"/>
        <v>1752.6841425</v>
      </c>
      <c r="K46" s="46">
        <f t="shared" si="64"/>
        <v>1774.7304835</v>
      </c>
      <c r="L46" s="46">
        <f t="shared" si="64"/>
        <v>1796.7768249999999</v>
      </c>
      <c r="M46" s="46">
        <f t="shared" si="64"/>
        <v>1951.1012145</v>
      </c>
      <c r="N46" s="46">
        <f t="shared" si="64"/>
        <v>2066.8445069999998</v>
      </c>
      <c r="O46" s="46">
        <f t="shared" si="64"/>
        <v>2237.1524944999996</v>
      </c>
      <c r="P46" s="46">
        <f t="shared" si="64"/>
        <v>2428.4045059999999</v>
      </c>
      <c r="Q46" s="46">
        <f t="shared" si="64"/>
        <v>2606.9798719999999</v>
      </c>
      <c r="R46" s="46">
        <f t="shared" si="64"/>
        <v>2347.9353599999999</v>
      </c>
      <c r="S46" s="46">
        <f t="shared" si="64"/>
        <v>2157.7856654999996</v>
      </c>
      <c r="T46" s="46">
        <f t="shared" si="64"/>
        <v>1945.5896300000002</v>
      </c>
      <c r="U46" s="46">
        <f t="shared" si="64"/>
        <v>1726.2285325</v>
      </c>
      <c r="V46" s="46">
        <f t="shared" si="64"/>
        <v>1647.9640199999999</v>
      </c>
      <c r="W46" s="46">
        <f t="shared" si="64"/>
        <v>1580.7226790714051</v>
      </c>
      <c r="X46" s="46">
        <f t="shared" si="64"/>
        <v>1463.8770696002989</v>
      </c>
      <c r="Y46" s="46">
        <f t="shared" si="64"/>
        <v>1697.5682885425149</v>
      </c>
      <c r="Z46" s="46">
        <f t="shared" si="64"/>
        <v>1955.2349037677172</v>
      </c>
      <c r="AA46" s="46">
        <f t="shared" si="64"/>
        <v>2386.5164575938602</v>
      </c>
      <c r="AB46" s="46">
        <f t="shared" si="64"/>
        <v>2612.4914570426999</v>
      </c>
      <c r="AC46" s="46">
        <f t="shared" si="64"/>
        <v>3009.3256024162802</v>
      </c>
      <c r="AD46" s="46">
        <f t="shared" si="64"/>
        <v>3232.5448091889152</v>
      </c>
      <c r="AE46" s="46">
        <f t="shared" si="64"/>
        <v>3439.2292599043203</v>
      </c>
      <c r="AF46" s="46">
        <f t="shared" si="64"/>
        <v>3149.3198703675148</v>
      </c>
      <c r="AG46" s="46">
        <f t="shared" si="64"/>
        <v>2218.4131043453353</v>
      </c>
      <c r="AH46" s="46">
        <f t="shared" si="64"/>
        <v>2099.9140192685063</v>
      </c>
      <c r="AI46" s="46">
        <f t="shared" si="64"/>
        <v>1929.0548733437649</v>
      </c>
      <c r="AJ46" s="46">
        <f t="shared" si="64"/>
        <v>1752.6841420666251</v>
      </c>
      <c r="AK46" s="46">
        <f t="shared" si="64"/>
        <v>1811</v>
      </c>
      <c r="AL46" s="46">
        <f t="shared" si="64"/>
        <v>1888.75</v>
      </c>
      <c r="AM46" s="46">
        <f t="shared" si="64"/>
        <v>2046</v>
      </c>
      <c r="AN46" s="46">
        <f t="shared" si="64"/>
        <v>2126.5</v>
      </c>
      <c r="AO46" s="46">
        <f t="shared" si="64"/>
        <v>1912</v>
      </c>
      <c r="AP46" s="46">
        <f t="shared" si="64"/>
        <v>1912.3125</v>
      </c>
      <c r="AQ46" s="46">
        <f t="shared" si="64"/>
        <v>1828.75</v>
      </c>
      <c r="AR46" s="46">
        <f t="shared" si="64"/>
        <v>1663.375</v>
      </c>
      <c r="AS46" s="46">
        <f t="shared" si="64"/>
        <v>1748</v>
      </c>
      <c r="AT46" s="46">
        <f t="shared" si="64"/>
        <v>1817.6999999999998</v>
      </c>
      <c r="AU46" s="46">
        <f t="shared" si="64"/>
        <v>2726.5499999999997</v>
      </c>
      <c r="AV46" s="46">
        <f t="shared" si="64"/>
        <v>2726.5499999999997</v>
      </c>
      <c r="AW46" s="46">
        <f t="shared" si="64"/>
        <v>2726.5499999999997</v>
      </c>
      <c r="AX46" s="46">
        <f t="shared" si="64"/>
        <v>2106.8127739322667</v>
      </c>
      <c r="AY46" s="46">
        <f t="shared" si="64"/>
        <v>2106.8127739322667</v>
      </c>
      <c r="AZ46" s="46">
        <f t="shared" si="64"/>
        <v>2106.8127739322667</v>
      </c>
      <c r="BA46" s="46">
        <f t="shared" si="64"/>
        <v>2106.8127739322667</v>
      </c>
      <c r="BB46" s="46">
        <f t="shared" si="64"/>
        <v>2148.9490294109123</v>
      </c>
      <c r="BC46" s="46">
        <f t="shared" si="64"/>
        <v>2148.9490294109123</v>
      </c>
      <c r="BD46" s="46">
        <f t="shared" si="64"/>
        <v>2148.9490294109123</v>
      </c>
      <c r="BE46" s="46">
        <f t="shared" si="64"/>
        <v>2148.9490294109123</v>
      </c>
      <c r="BF46" s="46">
        <f t="shared" si="64"/>
        <v>2191.9280099991306</v>
      </c>
      <c r="BG46" s="46">
        <f t="shared" si="64"/>
        <v>2191.9280099991306</v>
      </c>
      <c r="BH46" s="46">
        <f t="shared" si="64"/>
        <v>2191.9280099991306</v>
      </c>
      <c r="BI46" s="46">
        <f t="shared" si="64"/>
        <v>2191.9280099991306</v>
      </c>
    </row>
    <row r="47" spans="1:6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x14ac:dyDescent="0.25">
      <c r="A48"/>
      <c r="B48" s="682" t="s">
        <v>863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/>
      <c r="B49"/>
      <c r="C49"/>
      <c r="D49" s="1" t="s">
        <v>849</v>
      </c>
      <c r="E49" s="700">
        <v>192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x14ac:dyDescent="0.25">
      <c r="B50"/>
      <c r="C50"/>
      <c r="D50" s="1" t="s">
        <v>865</v>
      </c>
      <c r="E50" s="703">
        <v>1.05</v>
      </c>
    </row>
    <row r="51" spans="1:61" x14ac:dyDescent="0.25">
      <c r="B51"/>
      <c r="C51"/>
      <c r="D51" s="682" t="s">
        <v>864</v>
      </c>
      <c r="E51" s="688">
        <f>E49*E50/1000</f>
        <v>0.20160000000000003</v>
      </c>
    </row>
    <row r="53" spans="1:61" x14ac:dyDescent="0.25">
      <c r="B53" s="682" t="s">
        <v>866</v>
      </c>
      <c r="C53"/>
      <c r="D53"/>
    </row>
    <row r="54" spans="1:61" x14ac:dyDescent="0.25">
      <c r="B54"/>
      <c r="C54"/>
      <c r="D54" s="682" t="s">
        <v>867</v>
      </c>
      <c r="J54" s="692">
        <f>J26*J24*$E$51</f>
        <v>7.229376000000002</v>
      </c>
      <c r="K54" s="692">
        <f t="shared" ref="K54:AS54" si="65">K26*K24*$E$51</f>
        <v>9.8128800000000016</v>
      </c>
      <c r="L54" s="692">
        <f t="shared" si="65"/>
        <v>9.6243840000000009</v>
      </c>
      <c r="M54" s="692">
        <f t="shared" si="65"/>
        <v>9.2363040000000023</v>
      </c>
      <c r="N54" s="692">
        <f t="shared" si="65"/>
        <v>8.4913920000000029</v>
      </c>
      <c r="O54" s="692">
        <f t="shared" si="65"/>
        <v>9.8086464000000024</v>
      </c>
      <c r="P54" s="692">
        <f t="shared" si="65"/>
        <v>9.4385088000000028</v>
      </c>
      <c r="Q54" s="692">
        <f t="shared" si="65"/>
        <v>9.0248255999999998</v>
      </c>
      <c r="R54" s="692">
        <f t="shared" si="65"/>
        <v>8.513164800000002</v>
      </c>
      <c r="S54" s="692">
        <f t="shared" si="65"/>
        <v>9.8521920000000023</v>
      </c>
      <c r="T54" s="692">
        <f t="shared" si="65"/>
        <v>9.8630784000000009</v>
      </c>
      <c r="U54" s="692">
        <f t="shared" si="65"/>
        <v>9.1336896000000056</v>
      </c>
      <c r="V54" s="692">
        <f t="shared" si="65"/>
        <v>8.8683840000000025</v>
      </c>
      <c r="W54" s="692">
        <f t="shared" si="65"/>
        <v>9.7338528000000011</v>
      </c>
      <c r="X54" s="692">
        <f t="shared" si="65"/>
        <v>10.054396800000001</v>
      </c>
      <c r="Y54" s="692">
        <f t="shared" si="65"/>
        <v>9.6804288000000049</v>
      </c>
      <c r="Z54" s="692">
        <f t="shared" si="65"/>
        <v>9.1099008000000019</v>
      </c>
      <c r="AA54" s="692">
        <f t="shared" si="65"/>
        <v>10.105804800000003</v>
      </c>
      <c r="AB54" s="692">
        <f t="shared" si="65"/>
        <v>9.8017920000000025</v>
      </c>
      <c r="AC54" s="692">
        <f t="shared" si="65"/>
        <v>9.3547883519999999</v>
      </c>
      <c r="AD54" s="692">
        <f t="shared" si="65"/>
        <v>8.7471740160000007</v>
      </c>
      <c r="AE54" s="692">
        <f t="shared" si="65"/>
        <v>9.9122849280000018</v>
      </c>
      <c r="AF54" s="692">
        <f t="shared" si="65"/>
        <v>9.5763850560000012</v>
      </c>
      <c r="AG54" s="692">
        <f t="shared" si="65"/>
        <v>9.0031858560000053</v>
      </c>
      <c r="AH54" s="692">
        <f t="shared" si="65"/>
        <v>8.1467164800000003</v>
      </c>
      <c r="AI54" s="692">
        <f t="shared" si="65"/>
        <v>9.1429531200000014</v>
      </c>
      <c r="AJ54" s="692">
        <f t="shared" si="65"/>
        <v>9.0680748480000002</v>
      </c>
      <c r="AK54" s="692">
        <f t="shared" si="65"/>
        <v>8.7468292800000036</v>
      </c>
      <c r="AL54" s="692">
        <f t="shared" si="65"/>
        <v>7.7801814720000007</v>
      </c>
      <c r="AM54" s="692">
        <f t="shared" si="65"/>
        <v>8.6653546559999999</v>
      </c>
      <c r="AN54" s="692">
        <f t="shared" si="65"/>
        <v>8.5143199680000023</v>
      </c>
      <c r="AO54" s="692">
        <f t="shared" si="65"/>
        <v>8.4973593599999955</v>
      </c>
      <c r="AP54" s="692">
        <f t="shared" si="65"/>
        <v>7.1153550720000016</v>
      </c>
      <c r="AQ54" s="692">
        <f t="shared" si="65"/>
        <v>8.4117116159999998</v>
      </c>
      <c r="AR54" s="692">
        <f t="shared" si="65"/>
        <v>8.6074773119999985</v>
      </c>
      <c r="AS54" s="692">
        <f t="shared" si="65"/>
        <v>8.6984513280000009</v>
      </c>
      <c r="AT54" s="692">
        <f t="shared" ref="AT54:AW54" ca="1" si="66">AT26*AT24*$E$51</f>
        <v>7.7263475184000008</v>
      </c>
      <c r="AU54" s="692">
        <f t="shared" ca="1" si="66"/>
        <v>8.1465598368000016</v>
      </c>
      <c r="AV54" s="692">
        <f t="shared" ca="1" si="66"/>
        <v>8.3361546575999999</v>
      </c>
      <c r="AW54" s="692">
        <f t="shared" ca="1" si="66"/>
        <v>8.4242610144000043</v>
      </c>
      <c r="AX54" s="692">
        <f t="shared" ref="AX54:BI54" ca="1" si="67">AX26*AX24*$E$51</f>
        <v>7.6301974159488006</v>
      </c>
      <c r="AY54" s="692">
        <f t="shared" ca="1" si="67"/>
        <v>8.0451804254975983</v>
      </c>
      <c r="AZ54" s="692">
        <f t="shared" ca="1" si="67"/>
        <v>8.2324158440831994</v>
      </c>
      <c r="BA54" s="692">
        <f t="shared" ca="1" si="67"/>
        <v>8.3194257662208049</v>
      </c>
      <c r="BB54" s="692">
        <f t="shared" ca="1" si="67"/>
        <v>7.5313516766967394</v>
      </c>
      <c r="BC54" s="692">
        <f t="shared" ca="1" si="67"/>
        <v>7.9409587699854738</v>
      </c>
      <c r="BD54" s="692">
        <f t="shared" ca="1" si="67"/>
        <v>8.1257686388303068</v>
      </c>
      <c r="BE54" s="692">
        <f t="shared" ca="1" si="67"/>
        <v>8.2116513869765839</v>
      </c>
      <c r="BF54" s="692">
        <f t="shared" ca="1" si="67"/>
        <v>7.4297660029180381</v>
      </c>
      <c r="BG54" s="692">
        <f t="shared" ca="1" si="67"/>
        <v>7.8338481633205523</v>
      </c>
      <c r="BH54" s="692">
        <f t="shared" ca="1" si="67"/>
        <v>8.0161652478879439</v>
      </c>
      <c r="BI54" s="692">
        <f t="shared" ca="1" si="67"/>
        <v>8.100889577570852</v>
      </c>
    </row>
    <row r="55" spans="1:61" x14ac:dyDescent="0.25">
      <c r="B55"/>
      <c r="C55"/>
      <c r="D55" s="682" t="s">
        <v>868</v>
      </c>
      <c r="J55" s="694">
        <f>J54*J46/1000</f>
        <v>12.670812675370083</v>
      </c>
      <c r="K55" s="694">
        <f t="shared" ref="K55:BI55" si="68">K54*K46/1000</f>
        <v>17.415217266927485</v>
      </c>
      <c r="L55" s="694">
        <f t="shared" si="68"/>
        <v>17.292870126100798</v>
      </c>
      <c r="M55" s="694">
        <f t="shared" si="68"/>
        <v>18.020963951891211</v>
      </c>
      <c r="N55" s="694">
        <f t="shared" si="68"/>
        <v>17.550386911983747</v>
      </c>
      <c r="O55" s="694">
        <f t="shared" si="68"/>
        <v>21.943437761428445</v>
      </c>
      <c r="P55" s="694">
        <f t="shared" si="68"/>
        <v>22.920517299840661</v>
      </c>
      <c r="Q55" s="694">
        <f t="shared" si="68"/>
        <v>23.527538687510322</v>
      </c>
      <c r="R55" s="694">
        <f t="shared" si="68"/>
        <v>19.988360659427332</v>
      </c>
      <c r="S55" s="694">
        <f t="shared" si="68"/>
        <v>21.258918671353779</v>
      </c>
      <c r="T55" s="694">
        <f t="shared" si="68"/>
        <v>19.189503054916997</v>
      </c>
      <c r="U55" s="694">
        <f t="shared" si="68"/>
        <v>15.766835594518522</v>
      </c>
      <c r="V55" s="694">
        <f t="shared" si="68"/>
        <v>14.614777747543684</v>
      </c>
      <c r="W55" s="694">
        <f t="shared" si="68"/>
        <v>15.3865218757027</v>
      </c>
      <c r="X55" s="694">
        <f t="shared" si="68"/>
        <v>14.718400924182625</v>
      </c>
      <c r="Y55" s="694">
        <f t="shared" si="68"/>
        <v>16.43318895037368</v>
      </c>
      <c r="Z55" s="694">
        <f t="shared" si="68"/>
        <v>17.811996014021453</v>
      </c>
      <c r="AA55" s="694">
        <f t="shared" si="68"/>
        <v>24.117669472431036</v>
      </c>
      <c r="AB55" s="694">
        <f t="shared" si="68"/>
        <v>25.607097863709484</v>
      </c>
      <c r="AC55" s="694">
        <f t="shared" si="68"/>
        <v>28.151604092859202</v>
      </c>
      <c r="AD55" s="694">
        <f t="shared" si="68"/>
        <v>28.275631960492959</v>
      </c>
      <c r="AE55" s="694">
        <f t="shared" si="68"/>
        <v>34.090620356886198</v>
      </c>
      <c r="AF55" s="694">
        <f t="shared" si="68"/>
        <v>30.15909974315133</v>
      </c>
      <c r="AG55" s="694">
        <f t="shared" si="68"/>
        <v>19.972785483806987</v>
      </c>
      <c r="AH55" s="694">
        <f t="shared" si="68"/>
        <v>17.107404147357776</v>
      </c>
      <c r="AI55" s="694">
        <f t="shared" si="68"/>
        <v>17.637258272889582</v>
      </c>
      <c r="AJ55" s="694">
        <f t="shared" si="68"/>
        <v>15.893470985162821</v>
      </c>
      <c r="AK55" s="694">
        <f t="shared" si="68"/>
        <v>15.840507826080007</v>
      </c>
      <c r="AL55" s="694">
        <f t="shared" si="68"/>
        <v>14.694817755240001</v>
      </c>
      <c r="AM55" s="694">
        <f t="shared" si="68"/>
        <v>17.729315626176</v>
      </c>
      <c r="AN55" s="694">
        <f t="shared" si="68"/>
        <v>18.105701411952005</v>
      </c>
      <c r="AO55" s="694">
        <f t="shared" si="68"/>
        <v>16.246951096319993</v>
      </c>
      <c r="AP55" s="694">
        <f t="shared" si="68"/>
        <v>13.606782446124003</v>
      </c>
      <c r="AQ55" s="694">
        <f t="shared" si="68"/>
        <v>15.38291761776</v>
      </c>
      <c r="AR55" s="694">
        <f t="shared" si="68"/>
        <v>14.317462573847997</v>
      </c>
      <c r="AS55" s="694">
        <f t="shared" si="68"/>
        <v>15.204892921344003</v>
      </c>
      <c r="AT55" s="694">
        <f t="shared" ca="1" si="68"/>
        <v>14.044181884195678</v>
      </c>
      <c r="AU55" s="694">
        <f t="shared" ca="1" si="68"/>
        <v>22.212002723027041</v>
      </c>
      <c r="AV55" s="694">
        <f t="shared" ca="1" si="68"/>
        <v>22.72894248167928</v>
      </c>
      <c r="AW55" s="694">
        <f t="shared" ca="1" si="68"/>
        <v>22.969168868812329</v>
      </c>
      <c r="AX55" s="694">
        <f t="shared" ca="1" si="68"/>
        <v>16.075397383545905</v>
      </c>
      <c r="AY55" s="694">
        <f t="shared" ca="1" si="68"/>
        <v>16.94968888902817</v>
      </c>
      <c r="AZ55" s="694">
        <f t="shared" ca="1" si="68"/>
        <v>17.344158860636867</v>
      </c>
      <c r="BA55" s="694">
        <f t="shared" ca="1" si="68"/>
        <v>17.527472476055227</v>
      </c>
      <c r="BB55" s="694">
        <f t="shared" ca="1" si="68"/>
        <v>16.184490875789706</v>
      </c>
      <c r="BC55" s="694">
        <f t="shared" ca="1" si="68"/>
        <v>17.064715641352354</v>
      </c>
      <c r="BD55" s="694">
        <f t="shared" ca="1" si="68"/>
        <v>17.461862629632019</v>
      </c>
      <c r="BE55" s="694">
        <f t="shared" ca="1" si="68"/>
        <v>17.646420277904102</v>
      </c>
      <c r="BF55" s="694">
        <f t="shared" ca="1" si="68"/>
        <v>16.28551220953533</v>
      </c>
      <c r="BG55" s="694">
        <f t="shared" ca="1" si="68"/>
        <v>17.171231215262562</v>
      </c>
      <c r="BH55" s="694">
        <f t="shared" ca="1" si="68"/>
        <v>17.570857139627208</v>
      </c>
      <c r="BI55" s="694">
        <f t="shared" ca="1" si="68"/>
        <v>17.756566770987575</v>
      </c>
    </row>
    <row r="56" spans="1:61" x14ac:dyDescent="0.25">
      <c r="B56"/>
      <c r="C56"/>
      <c r="D56" s="695" t="s">
        <v>855</v>
      </c>
      <c r="N56" s="705">
        <f>N55-J55</f>
        <v>4.8795742366136636</v>
      </c>
      <c r="O56" s="705">
        <f t="shared" ref="O56:AS56" si="69">O55-K55</f>
        <v>4.5282204945009603</v>
      </c>
      <c r="P56" s="705">
        <f t="shared" si="69"/>
        <v>5.627647173739863</v>
      </c>
      <c r="Q56" s="705">
        <f t="shared" si="69"/>
        <v>5.506574735619111</v>
      </c>
      <c r="R56" s="705">
        <f t="shared" si="69"/>
        <v>2.4379737474435856</v>
      </c>
      <c r="S56" s="705">
        <f t="shared" si="69"/>
        <v>-0.68451909007466583</v>
      </c>
      <c r="T56" s="705">
        <f t="shared" si="69"/>
        <v>-3.7310142449236636</v>
      </c>
      <c r="U56" s="705">
        <f t="shared" si="69"/>
        <v>-7.7607030929918004</v>
      </c>
      <c r="V56" s="705">
        <f t="shared" si="69"/>
        <v>-5.3735829118836484</v>
      </c>
      <c r="W56" s="705">
        <f t="shared" si="69"/>
        <v>-5.8723967956510794</v>
      </c>
      <c r="X56" s="705">
        <f t="shared" si="69"/>
        <v>-4.4711021307343728</v>
      </c>
      <c r="Y56" s="705">
        <f t="shared" si="69"/>
        <v>0.66635335585515776</v>
      </c>
      <c r="Z56" s="705">
        <f t="shared" si="69"/>
        <v>3.1972182664777691</v>
      </c>
      <c r="AA56" s="705">
        <f t="shared" si="69"/>
        <v>8.7311475967283361</v>
      </c>
      <c r="AB56" s="705">
        <f t="shared" si="69"/>
        <v>10.888696939526859</v>
      </c>
      <c r="AC56" s="705">
        <f t="shared" si="69"/>
        <v>11.718415142485522</v>
      </c>
      <c r="AD56" s="705">
        <f t="shared" si="69"/>
        <v>10.463635946471506</v>
      </c>
      <c r="AE56" s="705">
        <f t="shared" si="69"/>
        <v>9.9729508844551624</v>
      </c>
      <c r="AF56" s="705">
        <f t="shared" si="69"/>
        <v>4.5520018794418462</v>
      </c>
      <c r="AG56" s="705">
        <f t="shared" si="69"/>
        <v>-8.1788186090522146</v>
      </c>
      <c r="AH56" s="705">
        <f t="shared" si="69"/>
        <v>-11.168227813135182</v>
      </c>
      <c r="AI56" s="705">
        <f t="shared" si="69"/>
        <v>-16.453362083996616</v>
      </c>
      <c r="AJ56" s="705">
        <f t="shared" si="69"/>
        <v>-14.265628757988509</v>
      </c>
      <c r="AK56" s="705">
        <f t="shared" si="69"/>
        <v>-4.1322776577269806</v>
      </c>
      <c r="AL56" s="705">
        <f t="shared" si="69"/>
        <v>-2.4125863921177757</v>
      </c>
      <c r="AM56" s="705">
        <f t="shared" si="69"/>
        <v>9.2057353286417509E-2</v>
      </c>
      <c r="AN56" s="705">
        <f t="shared" si="69"/>
        <v>2.2122304267891835</v>
      </c>
      <c r="AO56" s="705">
        <f t="shared" si="69"/>
        <v>0.40644327023998628</v>
      </c>
      <c r="AP56" s="705">
        <f t="shared" si="69"/>
        <v>-1.0880353091159982</v>
      </c>
      <c r="AQ56" s="705">
        <f t="shared" si="69"/>
        <v>-2.3463980084159992</v>
      </c>
      <c r="AR56" s="705">
        <f t="shared" si="69"/>
        <v>-3.7882388381040073</v>
      </c>
      <c r="AS56" s="705">
        <f t="shared" si="69"/>
        <v>-1.0420581749759901</v>
      </c>
      <c r="AT56" s="705">
        <f t="shared" ref="AT56" ca="1" si="70">AT55-AP55</f>
        <v>0.43739943807167592</v>
      </c>
      <c r="AU56" s="705">
        <f t="shared" ref="AU56" ca="1" si="71">AU55-AQ55</f>
        <v>6.8290851052670405</v>
      </c>
      <c r="AV56" s="705">
        <f t="shared" ref="AV56" ca="1" si="72">AV55-AR55</f>
        <v>8.4114799078312821</v>
      </c>
      <c r="AW56" s="705">
        <f t="shared" ref="AW56" ca="1" si="73">AW55-AS55</f>
        <v>7.7642759474683256</v>
      </c>
      <c r="AX56" s="705">
        <f t="shared" ref="AX56" ca="1" si="74">AX55-AT55</f>
        <v>2.0312154993502265</v>
      </c>
      <c r="AY56" s="705">
        <f t="shared" ref="AY56" ca="1" si="75">AY55-AU55</f>
        <v>-5.2623138339988706</v>
      </c>
      <c r="AZ56" s="705">
        <f t="shared" ref="AZ56" ca="1" si="76">AZ55-AV55</f>
        <v>-5.3847836210424127</v>
      </c>
      <c r="BA56" s="705">
        <f t="shared" ref="BA56" ca="1" si="77">BA55-AW55</f>
        <v>-5.4416963927571018</v>
      </c>
      <c r="BB56" s="705">
        <f t="shared" ref="BB56" ca="1" si="78">BB55-AX55</f>
        <v>0.10909349224380094</v>
      </c>
      <c r="BC56" s="705">
        <f t="shared" ref="BC56" ca="1" si="79">BC55-AY55</f>
        <v>0.11502675232418369</v>
      </c>
      <c r="BD56" s="705">
        <f t="shared" ref="BD56" ca="1" si="80">BD55-AZ55</f>
        <v>0.11770376899515256</v>
      </c>
      <c r="BE56" s="705">
        <f t="shared" ref="BE56" ca="1" si="81">BE55-BA55</f>
        <v>0.11894780184887566</v>
      </c>
      <c r="BF56" s="705">
        <f t="shared" ref="BF56" ca="1" si="82">BF55-BB55</f>
        <v>0.10102133374562428</v>
      </c>
      <c r="BG56" s="705">
        <f t="shared" ref="BG56" ca="1" si="83">BG55-BC55</f>
        <v>0.10651557391020816</v>
      </c>
      <c r="BH56" s="705">
        <f t="shared" ref="BH56" ca="1" si="84">BH55-BD55</f>
        <v>0.10899450999518834</v>
      </c>
      <c r="BI56" s="705">
        <f t="shared" ref="BI56" ca="1" si="85">BI55-BE55</f>
        <v>0.11014649308347302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55"/>
  <sheetViews>
    <sheetView workbookViewId="0">
      <pane xSplit="2" ySplit="5" topLeftCell="N27" activePane="bottomRight" state="frozen"/>
      <selection pane="topRight" activeCell="C1" sqref="C1"/>
      <selection pane="bottomLeft" activeCell="A6" sqref="A6"/>
      <selection pane="bottomRight" activeCell="Z42" sqref="Z42"/>
    </sheetView>
  </sheetViews>
  <sheetFormatPr defaultColWidth="8.85546875" defaultRowHeight="15" x14ac:dyDescent="0.25"/>
  <cols>
    <col min="1" max="1" width="50.7109375" customWidth="1"/>
    <col min="2" max="2" width="10.7109375" customWidth="1"/>
    <col min="3" max="3" width="9.7109375" customWidth="1"/>
    <col min="7" max="7" width="9.7109375" customWidth="1"/>
    <col min="11" max="11" width="9.7109375" customWidth="1"/>
    <col min="15" max="15" width="9.7109375" customWidth="1"/>
    <col min="19" max="19" width="9.7109375" customWidth="1"/>
    <col min="23" max="23" width="9.7109375" customWidth="1"/>
    <col min="27" max="27" width="9.7109375" customWidth="1"/>
    <col min="31" max="31" width="9.7109375" customWidth="1"/>
    <col min="35" max="35" width="9.7109375" customWidth="1"/>
    <col min="39" max="39" width="9.7109375" customWidth="1"/>
  </cols>
  <sheetData>
    <row r="1" spans="1:42" ht="28.5" customHeight="1" x14ac:dyDescent="0.4">
      <c r="A1" s="62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</row>
    <row r="2" spans="1:42" ht="14.45" customHeight="1" x14ac:dyDescent="0.25">
      <c r="A2" s="64" t="s">
        <v>119</v>
      </c>
      <c r="B2" s="65"/>
      <c r="C2" s="66"/>
      <c r="D2" s="66"/>
      <c r="E2" s="66"/>
      <c r="F2" s="66"/>
      <c r="G2" s="67" t="s">
        <v>120</v>
      </c>
      <c r="H2" s="67" t="s">
        <v>120</v>
      </c>
      <c r="I2" s="67" t="s">
        <v>120</v>
      </c>
      <c r="J2" s="67" t="s">
        <v>120</v>
      </c>
      <c r="K2" s="67" t="s">
        <v>121</v>
      </c>
      <c r="L2" s="67" t="s">
        <v>121</v>
      </c>
      <c r="M2" s="67" t="s">
        <v>121</v>
      </c>
      <c r="N2" s="66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ht="14.45" customHeight="1" x14ac:dyDescent="0.25">
      <c r="A3" s="69" t="s">
        <v>122</v>
      </c>
      <c r="B3" s="70"/>
      <c r="C3" s="71">
        <v>91</v>
      </c>
      <c r="D3" s="71">
        <v>91</v>
      </c>
      <c r="E3" s="71">
        <v>91</v>
      </c>
      <c r="F3" s="71">
        <v>91</v>
      </c>
      <c r="G3" s="71">
        <v>91</v>
      </c>
      <c r="H3" s="71">
        <v>91</v>
      </c>
      <c r="I3" s="71">
        <v>91</v>
      </c>
      <c r="J3" s="71">
        <v>91</v>
      </c>
      <c r="K3" s="71">
        <v>91</v>
      </c>
      <c r="L3" s="71">
        <v>91</v>
      </c>
      <c r="M3" s="71">
        <v>91</v>
      </c>
      <c r="N3" s="71">
        <v>91</v>
      </c>
      <c r="O3" s="71">
        <v>91</v>
      </c>
      <c r="P3" s="71">
        <v>91</v>
      </c>
      <c r="Q3" s="71">
        <v>91</v>
      </c>
      <c r="R3" s="71">
        <v>91</v>
      </c>
      <c r="S3" s="71">
        <v>91</v>
      </c>
      <c r="T3" s="71">
        <v>91</v>
      </c>
      <c r="U3" s="71">
        <v>91</v>
      </c>
      <c r="V3" s="71">
        <v>95</v>
      </c>
      <c r="W3" s="71">
        <v>92</v>
      </c>
      <c r="X3" s="71">
        <v>91</v>
      </c>
      <c r="Y3" s="71">
        <v>91</v>
      </c>
      <c r="Z3" s="71">
        <v>91</v>
      </c>
      <c r="AA3" s="71">
        <v>91</v>
      </c>
      <c r="AB3" s="71">
        <v>92</v>
      </c>
      <c r="AC3" s="71">
        <v>90</v>
      </c>
      <c r="AD3" s="71">
        <v>92</v>
      </c>
      <c r="AE3" s="71">
        <v>90</v>
      </c>
      <c r="AF3" s="71">
        <v>91</v>
      </c>
      <c r="AG3" s="71">
        <v>91</v>
      </c>
      <c r="AH3" s="71">
        <v>93</v>
      </c>
      <c r="AI3" s="71">
        <v>89</v>
      </c>
      <c r="AJ3" s="71">
        <v>91</v>
      </c>
      <c r="AK3" s="71">
        <v>91</v>
      </c>
      <c r="AL3" s="71">
        <v>95</v>
      </c>
      <c r="AM3" s="71">
        <v>87</v>
      </c>
      <c r="AN3" s="71">
        <v>91</v>
      </c>
      <c r="AO3" s="71">
        <v>91</v>
      </c>
      <c r="AP3" s="71">
        <v>96</v>
      </c>
    </row>
    <row r="4" spans="1:42" ht="14.45" customHeight="1" x14ac:dyDescent="0.25">
      <c r="A4" s="72" t="s">
        <v>123</v>
      </c>
      <c r="B4" s="73"/>
      <c r="C4" s="74">
        <v>42463</v>
      </c>
      <c r="D4" s="74">
        <v>42554</v>
      </c>
      <c r="E4" s="74">
        <v>42645</v>
      </c>
      <c r="F4" s="74">
        <v>42736</v>
      </c>
      <c r="G4" s="74">
        <v>42827</v>
      </c>
      <c r="H4" s="74">
        <v>42918</v>
      </c>
      <c r="I4" s="74">
        <v>43009</v>
      </c>
      <c r="J4" s="74">
        <v>43100</v>
      </c>
      <c r="K4" s="74">
        <v>43191</v>
      </c>
      <c r="L4" s="74">
        <v>43282</v>
      </c>
      <c r="M4" s="74">
        <v>43373</v>
      </c>
      <c r="N4" s="74">
        <v>43464</v>
      </c>
      <c r="O4" s="74">
        <v>43555</v>
      </c>
      <c r="P4" s="74">
        <v>43646</v>
      </c>
      <c r="Q4" s="74">
        <v>43737</v>
      </c>
      <c r="R4" s="74">
        <v>43828</v>
      </c>
      <c r="S4" s="74">
        <v>43919</v>
      </c>
      <c r="T4" s="74">
        <v>44010</v>
      </c>
      <c r="U4" s="74">
        <v>44101</v>
      </c>
      <c r="V4" s="74">
        <v>44196</v>
      </c>
      <c r="W4" s="74">
        <v>44288</v>
      </c>
      <c r="X4" s="74">
        <v>44379</v>
      </c>
      <c r="Y4" s="74">
        <v>44470</v>
      </c>
      <c r="Z4" s="74">
        <v>44561</v>
      </c>
      <c r="AA4" s="74">
        <v>44652</v>
      </c>
      <c r="AB4" s="74">
        <v>44744</v>
      </c>
      <c r="AC4" s="74">
        <v>44834</v>
      </c>
      <c r="AD4" s="74">
        <v>44926</v>
      </c>
      <c r="AE4" s="74">
        <v>45016</v>
      </c>
      <c r="AF4" s="74">
        <v>45107</v>
      </c>
      <c r="AG4" s="74">
        <v>45198</v>
      </c>
      <c r="AH4" s="74">
        <v>45291</v>
      </c>
      <c r="AI4" s="74">
        <v>45380</v>
      </c>
      <c r="AJ4" s="74">
        <v>45471</v>
      </c>
      <c r="AK4" s="74">
        <v>45562</v>
      </c>
      <c r="AL4" s="74">
        <v>45657</v>
      </c>
      <c r="AM4" s="74">
        <v>45744</v>
      </c>
      <c r="AN4" s="74">
        <v>45835</v>
      </c>
      <c r="AO4" s="74">
        <v>45926</v>
      </c>
      <c r="AP4" s="74">
        <v>46022</v>
      </c>
    </row>
    <row r="5" spans="1:42" ht="14.45" customHeight="1" x14ac:dyDescent="0.25">
      <c r="A5" s="75" t="s">
        <v>122</v>
      </c>
      <c r="B5" s="76"/>
      <c r="C5" s="76" t="s">
        <v>124</v>
      </c>
      <c r="D5" s="76" t="s">
        <v>125</v>
      </c>
      <c r="E5" s="76" t="s">
        <v>126</v>
      </c>
      <c r="F5" s="76" t="s">
        <v>127</v>
      </c>
      <c r="G5" s="77" t="s">
        <v>128</v>
      </c>
      <c r="H5" s="76" t="s">
        <v>129</v>
      </c>
      <c r="I5" s="76" t="s">
        <v>130</v>
      </c>
      <c r="J5" s="76" t="s">
        <v>131</v>
      </c>
      <c r="K5" s="77" t="s">
        <v>132</v>
      </c>
      <c r="L5" s="76" t="s">
        <v>133</v>
      </c>
      <c r="M5" s="76" t="s">
        <v>134</v>
      </c>
      <c r="N5" s="76" t="s">
        <v>135</v>
      </c>
      <c r="O5" s="77" t="s">
        <v>136</v>
      </c>
      <c r="P5" s="76" t="s">
        <v>137</v>
      </c>
      <c r="Q5" s="76" t="s">
        <v>138</v>
      </c>
      <c r="R5" s="76" t="s">
        <v>139</v>
      </c>
      <c r="S5" s="77" t="s">
        <v>140</v>
      </c>
      <c r="T5" s="76" t="s">
        <v>141</v>
      </c>
      <c r="U5" s="76" t="s">
        <v>142</v>
      </c>
      <c r="V5" s="76" t="s">
        <v>143</v>
      </c>
      <c r="W5" s="77" t="s">
        <v>144</v>
      </c>
      <c r="X5" s="76" t="s">
        <v>145</v>
      </c>
      <c r="Y5" s="76" t="s">
        <v>146</v>
      </c>
      <c r="Z5" s="76" t="s">
        <v>147</v>
      </c>
      <c r="AA5" s="77" t="s">
        <v>148</v>
      </c>
      <c r="AB5" s="76" t="s">
        <v>149</v>
      </c>
      <c r="AC5" s="76" t="s">
        <v>150</v>
      </c>
      <c r="AD5" s="76" t="s">
        <v>151</v>
      </c>
      <c r="AE5" s="77" t="s">
        <v>152</v>
      </c>
      <c r="AF5" s="76" t="s">
        <v>153</v>
      </c>
      <c r="AG5" s="76" t="s">
        <v>154</v>
      </c>
      <c r="AH5" s="76" t="s">
        <v>155</v>
      </c>
      <c r="AI5" s="77" t="s">
        <v>156</v>
      </c>
      <c r="AJ5" s="76" t="s">
        <v>157</v>
      </c>
      <c r="AK5" s="76" t="s">
        <v>158</v>
      </c>
      <c r="AL5" s="76" t="s">
        <v>159</v>
      </c>
      <c r="AM5" s="77" t="s">
        <v>160</v>
      </c>
      <c r="AN5" s="76" t="s">
        <v>161</v>
      </c>
      <c r="AO5" s="76" t="s">
        <v>162</v>
      </c>
      <c r="AP5" s="76" t="s">
        <v>163</v>
      </c>
    </row>
    <row r="6" spans="1:42" ht="14.45" customHeight="1" x14ac:dyDescent="0.25">
      <c r="A6" s="78" t="s">
        <v>164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</row>
    <row r="7" spans="1:42" ht="14.45" customHeight="1" x14ac:dyDescent="0.25">
      <c r="A7" s="79" t="s">
        <v>165</v>
      </c>
      <c r="B7" s="80"/>
      <c r="C7" s="81">
        <v>0.18417562344914179</v>
      </c>
      <c r="D7" s="81">
        <v>0.17242970854393011</v>
      </c>
      <c r="E7" s="81">
        <v>0.1747444935623976</v>
      </c>
      <c r="F7" s="81">
        <v>0.1657835350733361</v>
      </c>
      <c r="G7" s="81">
        <v>0.36036521393937671</v>
      </c>
      <c r="H7" s="81">
        <v>0.30711247926790719</v>
      </c>
      <c r="I7" s="81">
        <v>0.2785793903648508</v>
      </c>
      <c r="J7" s="81">
        <v>0.25290414243579562</v>
      </c>
      <c r="K7" s="81">
        <v>0.16746915124228789</v>
      </c>
      <c r="L7" s="81">
        <v>4.8701250610987401E-2</v>
      </c>
      <c r="M7" s="81">
        <v>6.3487841293267566E-2</v>
      </c>
      <c r="N7" s="81">
        <v>-6.0663365435853267E-2</v>
      </c>
      <c r="O7" s="81">
        <v>4.6184197605805943E-2</v>
      </c>
      <c r="P7" s="81">
        <v>5.3999042709289569E-2</v>
      </c>
      <c r="Q7" s="81">
        <v>6.0999991931644848E-2</v>
      </c>
      <c r="R7" s="81">
        <v>0.15425086650016981</v>
      </c>
      <c r="S7" s="81">
        <v>7.7034266083932268E-2</v>
      </c>
      <c r="T7" s="81">
        <v>3.3557466677784031E-2</v>
      </c>
      <c r="U7" s="81">
        <v>7.0025109998828938E-2</v>
      </c>
      <c r="V7" s="81">
        <v>9.6840751962167904E-2</v>
      </c>
      <c r="W7" s="81">
        <v>9.9928222045814197E-2</v>
      </c>
      <c r="X7" s="81">
        <v>8.7185700167972335E-2</v>
      </c>
      <c r="Y7" s="81">
        <v>9.9410275616907962E-2</v>
      </c>
      <c r="Z7" s="81">
        <v>9.0891703995748419E-2</v>
      </c>
      <c r="AA7" s="81">
        <v>0.1172680245296962</v>
      </c>
      <c r="AB7" s="81">
        <v>0.16596637263592801</v>
      </c>
      <c r="AC7" s="81">
        <v>0.18574666220204811</v>
      </c>
      <c r="AD7" s="81">
        <v>0.1877986715689712</v>
      </c>
      <c r="AE7" s="81">
        <v>0.18692752815942579</v>
      </c>
      <c r="AF7" s="81">
        <v>0.1414911328677686</v>
      </c>
      <c r="AG7" s="81">
        <v>6.5965445581042337E-2</v>
      </c>
      <c r="AH7" s="81">
        <v>6.072746441750132E-2</v>
      </c>
      <c r="AI7" s="81">
        <v>3.4142187055298701E-2</v>
      </c>
      <c r="AJ7" s="81">
        <v>4.4239664369527983E-2</v>
      </c>
      <c r="AK7" s="81">
        <v>5.832991531846865E-2</v>
      </c>
      <c r="AL7" s="81">
        <v>7.6930722592187584E-2</v>
      </c>
      <c r="AM7" s="81">
        <v>-1.9070538407885751E-2</v>
      </c>
      <c r="AN7" s="81">
        <v>2.963368335948835E-2</v>
      </c>
      <c r="AO7" s="81">
        <v>4.6824652794556609E-2</v>
      </c>
      <c r="AP7" s="81">
        <v>6.4051684356252858E-2</v>
      </c>
    </row>
    <row r="8" spans="1:42" ht="14.45" customHeight="1" x14ac:dyDescent="0.25">
      <c r="A8" s="79" t="s">
        <v>166</v>
      </c>
      <c r="B8" s="80"/>
      <c r="C8" s="81">
        <v>1.354366181220604</v>
      </c>
      <c r="D8" s="81">
        <v>1.2102595386975521</v>
      </c>
      <c r="E8" s="81">
        <v>1.172498587711428</v>
      </c>
      <c r="F8" s="81">
        <v>1.2839307036470671</v>
      </c>
      <c r="G8" s="81">
        <v>0.54075455803598294</v>
      </c>
      <c r="H8" s="81">
        <v>0.49755856005779903</v>
      </c>
      <c r="I8" s="81">
        <v>0.47029918778775431</v>
      </c>
      <c r="J8" s="81">
        <v>0.45128315662031793</v>
      </c>
      <c r="K8" s="81">
        <v>0.25329808090354522</v>
      </c>
      <c r="L8" s="81">
        <v>6.5211204618449425E-2</v>
      </c>
      <c r="M8" s="81">
        <v>4.2393269093226271E-2</v>
      </c>
      <c r="N8" s="81">
        <v>0.1273553455244083</v>
      </c>
      <c r="O8" s="81">
        <v>7.0977854086882397E-2</v>
      </c>
      <c r="P8" s="81">
        <v>7.2350928081625465E-2</v>
      </c>
      <c r="Q8" s="81">
        <v>9.41004753053305E-2</v>
      </c>
      <c r="R8" s="81">
        <v>-4.1343857564101194E-3</v>
      </c>
      <c r="S8" s="81">
        <v>8.6073408108933824E-2</v>
      </c>
      <c r="T8" s="81">
        <v>-5.790722505635304E-2</v>
      </c>
      <c r="U8" s="81">
        <v>6.0228957150350038E-2</v>
      </c>
      <c r="V8" s="81">
        <v>0.1440601876219072</v>
      </c>
      <c r="W8" s="81">
        <v>0.1253167880239392</v>
      </c>
      <c r="X8" s="81">
        <v>0.25675930939817898</v>
      </c>
      <c r="Y8" s="81">
        <v>8.4033631520193719E-2</v>
      </c>
      <c r="Z8" s="81">
        <v>7.7874982778642243E-2</v>
      </c>
      <c r="AA8" s="81">
        <v>0.1139776601215077</v>
      </c>
      <c r="AB8" s="81">
        <v>8.1362351950940992E-2</v>
      </c>
      <c r="AC8" s="81">
        <v>8.7983888569217461E-2</v>
      </c>
      <c r="AD8" s="81">
        <v>6.841410918320312E-2</v>
      </c>
      <c r="AE8" s="81">
        <v>8.9104636774922863E-2</v>
      </c>
      <c r="AF8" s="81">
        <v>6.3107290919570014E-2</v>
      </c>
      <c r="AG8" s="81">
        <v>5.0372674998586657E-2</v>
      </c>
      <c r="AH8" s="81">
        <v>4.3794061098056059E-2</v>
      </c>
      <c r="AI8" s="81">
        <v>3.9519021717802083E-3</v>
      </c>
      <c r="AJ8" s="81">
        <v>4.1566066581712358E-2</v>
      </c>
      <c r="AK8" s="81">
        <v>1.6621119047701919E-2</v>
      </c>
      <c r="AL8" s="81">
        <v>8.7392550143266412E-2</v>
      </c>
      <c r="AM8" s="81">
        <v>-4.8569116687058322E-3</v>
      </c>
      <c r="AN8" s="81">
        <v>4.7855594701122113E-2</v>
      </c>
      <c r="AO8" s="81">
        <v>9.8646176862894341E-2</v>
      </c>
      <c r="AP8" s="81">
        <v>9.9943534726143479E-2</v>
      </c>
    </row>
    <row r="9" spans="1:42" ht="14.45" customHeight="1" x14ac:dyDescent="0.25">
      <c r="A9" s="82" t="s">
        <v>167</v>
      </c>
      <c r="B9" s="83"/>
      <c r="C9" s="84">
        <v>0.40838800565678701</v>
      </c>
      <c r="D9" s="84">
        <v>0.40017206113091808</v>
      </c>
      <c r="E9" s="84">
        <v>0.41101298967003519</v>
      </c>
      <c r="F9" s="84">
        <v>0.372314472490332</v>
      </c>
      <c r="G9" s="84">
        <v>0.41814362255714438</v>
      </c>
      <c r="H9" s="84">
        <v>0.37308325014411642</v>
      </c>
      <c r="I9" s="84">
        <v>0.34847948291823289</v>
      </c>
      <c r="J9" s="84">
        <v>0.31388747520572058</v>
      </c>
      <c r="K9" s="84">
        <v>0.19733684144720559</v>
      </c>
      <c r="L9" s="84">
        <v>5.4938776011747237E-2</v>
      </c>
      <c r="M9" s="84">
        <v>5.5102072466540093E-2</v>
      </c>
      <c r="N9" s="84">
        <v>3.1792220723634301E-3</v>
      </c>
      <c r="O9" s="84">
        <v>5.521542027327353E-2</v>
      </c>
      <c r="P9" s="84">
        <v>6.0999970880288863E-2</v>
      </c>
      <c r="Q9" s="84">
        <v>7.3999999999999844E-2</v>
      </c>
      <c r="R9" s="84">
        <v>9.3813372237291581E-2</v>
      </c>
      <c r="S9" s="84">
        <v>8.0376005197554612E-2</v>
      </c>
      <c r="T9" s="84">
        <v>-1.708027086912645E-3</v>
      </c>
      <c r="U9" s="84">
        <v>6.6105726462272196E-2</v>
      </c>
      <c r="V9" s="84">
        <v>0.113245516851592</v>
      </c>
      <c r="W9" s="84">
        <v>0.10936378362609769</v>
      </c>
      <c r="X9" s="84">
        <v>0.1488865082427073</v>
      </c>
      <c r="Y9" s="84">
        <v>9.3292082809143695E-2</v>
      </c>
      <c r="Z9" s="84">
        <v>8.6244318057050018E-2</v>
      </c>
      <c r="AA9" s="84">
        <v>0.1160275884351145</v>
      </c>
      <c r="AB9" s="84">
        <v>0.13229207297277679</v>
      </c>
      <c r="AC9" s="84">
        <v>0.14717737043035539</v>
      </c>
      <c r="AD9" s="84">
        <v>0.14246010631846051</v>
      </c>
      <c r="AE9" s="84">
        <v>0.15011696663575999</v>
      </c>
      <c r="AF9" s="84">
        <v>0.11169589242591189</v>
      </c>
      <c r="AG9" s="84">
        <v>6.0131218462021518E-2</v>
      </c>
      <c r="AH9" s="84">
        <v>4.7456996100753823E-2</v>
      </c>
      <c r="AI9" s="84">
        <v>2.3384305581775729E-2</v>
      </c>
      <c r="AJ9" s="84">
        <v>4.3267795845455037E-2</v>
      </c>
      <c r="AK9" s="84">
        <v>4.2867708064471488E-2</v>
      </c>
      <c r="AL9" s="84">
        <v>8.3263170271223652E-2</v>
      </c>
      <c r="AM9" s="84">
        <v>-1.410188612726959E-2</v>
      </c>
      <c r="AN9" s="84">
        <v>3.6246650943080987E-2</v>
      </c>
      <c r="AO9" s="84">
        <v>6.5552330335998166E-2</v>
      </c>
      <c r="AP9" s="84">
        <v>8.3687541559946288E-2</v>
      </c>
    </row>
    <row r="10" spans="1:42" ht="14.45" customHeight="1" x14ac:dyDescent="0.25">
      <c r="A10" s="79" t="s">
        <v>168</v>
      </c>
      <c r="B10" s="80"/>
      <c r="C10" s="81">
        <v>0.32669238492839431</v>
      </c>
      <c r="D10" s="81">
        <v>0.25710461285008251</v>
      </c>
      <c r="E10" s="81">
        <v>0.25880561156634768</v>
      </c>
      <c r="F10" s="81">
        <v>0.49157432299521392</v>
      </c>
      <c r="G10" s="81">
        <v>0.28918542123083052</v>
      </c>
      <c r="H10" s="81">
        <v>0.71951838807437141</v>
      </c>
      <c r="I10" s="81">
        <v>0.7827820663565257</v>
      </c>
      <c r="J10" s="81">
        <v>0.59351737881718525</v>
      </c>
      <c r="K10" s="81">
        <v>0.57166692414645426</v>
      </c>
      <c r="L10" s="81">
        <v>1.884383812209434E-2</v>
      </c>
      <c r="M10" s="81">
        <v>-0.1192899951251685</v>
      </c>
      <c r="N10" s="81">
        <v>-0.20093243094125871</v>
      </c>
      <c r="O10" s="81">
        <v>-0.19719071303595651</v>
      </c>
      <c r="P10" s="81">
        <v>-0.16520486974734899</v>
      </c>
      <c r="Q10" s="81">
        <v>-9.6473805880246122E-2</v>
      </c>
      <c r="R10" s="81">
        <v>1.1093593564795111E-2</v>
      </c>
      <c r="S10" s="81">
        <v>4.3661920095992679E-2</v>
      </c>
      <c r="T10" s="81">
        <v>-0.10499787181612499</v>
      </c>
      <c r="U10" s="81">
        <v>1.9243243243243221E-2</v>
      </c>
      <c r="V10" s="81">
        <v>-9.4262528311764959E-2</v>
      </c>
      <c r="W10" s="81">
        <v>-4.2011285913724938E-2</v>
      </c>
      <c r="X10" s="81">
        <v>0.1075040048057669</v>
      </c>
      <c r="Y10" s="81">
        <v>5.6168387309668548E-2</v>
      </c>
      <c r="Z10" s="81">
        <v>9.8468188843790605E-2</v>
      </c>
      <c r="AA10" s="81">
        <v>3.2305469151828532E-2</v>
      </c>
      <c r="AB10" s="81">
        <v>6.4004339277239142E-2</v>
      </c>
      <c r="AC10" s="81">
        <v>-6.6660715481264843E-2</v>
      </c>
      <c r="AD10" s="81">
        <v>3.7064577017669191E-3</v>
      </c>
      <c r="AE10" s="81">
        <v>2.5493499098415029E-2</v>
      </c>
      <c r="AF10" s="81">
        <v>-1.0100044605875319E-2</v>
      </c>
      <c r="AG10" s="81">
        <v>4.8610779015828783E-2</v>
      </c>
      <c r="AH10" s="81">
        <v>-1.4611518252999559E-2</v>
      </c>
      <c r="AI10" s="81">
        <v>-8.9559835733703408E-2</v>
      </c>
      <c r="AJ10" s="81">
        <v>-8.7332496486314248E-3</v>
      </c>
      <c r="AK10" s="81">
        <v>7.4449891688519454E-3</v>
      </c>
      <c r="AL10" s="81">
        <v>-3.816926333322201E-3</v>
      </c>
      <c r="AM10" s="81">
        <v>9.1902468775014956E-2</v>
      </c>
      <c r="AN10" s="81">
        <v>3.2253525699998953E-2</v>
      </c>
      <c r="AO10" s="81">
        <v>0.1047836764256533</v>
      </c>
      <c r="AP10" s="81">
        <v>0.2159601518687515</v>
      </c>
    </row>
    <row r="11" spans="1:42" ht="14.45" customHeight="1" x14ac:dyDescent="0.25">
      <c r="A11" s="85" t="s">
        <v>169</v>
      </c>
      <c r="B11" s="86"/>
      <c r="C11" s="87">
        <v>0.19970212765957451</v>
      </c>
      <c r="D11" s="87">
        <v>0.1709820507530431</v>
      </c>
      <c r="E11" s="87">
        <v>0.14450133884530469</v>
      </c>
      <c r="F11" s="87">
        <v>0.12102256798430019</v>
      </c>
      <c r="G11" s="87">
        <v>0.155499592097329</v>
      </c>
      <c r="H11" s="87">
        <v>0.28830257381550178</v>
      </c>
      <c r="I11" s="87">
        <v>0.24098017485531331</v>
      </c>
      <c r="J11" s="87">
        <v>0.33500054705450227</v>
      </c>
      <c r="K11" s="87">
        <v>0.25857199864935398</v>
      </c>
      <c r="L11" s="87">
        <v>-5.6048777708131547E-2</v>
      </c>
      <c r="M11" s="87">
        <v>7.6293797270181596E-3</v>
      </c>
      <c r="N11" s="87">
        <v>0.34316021167985838</v>
      </c>
      <c r="O11" s="87">
        <v>0.116705893830563</v>
      </c>
      <c r="P11" s="87">
        <v>0.1023820734784551</v>
      </c>
      <c r="Q11" s="87">
        <v>4.0265225288311779E-3</v>
      </c>
      <c r="R11" s="87">
        <v>-0.4035581666986281</v>
      </c>
      <c r="S11" s="87">
        <v>-8.9329591246136819E-2</v>
      </c>
      <c r="T11" s="87">
        <v>-0.38554546748880159</v>
      </c>
      <c r="U11" s="87">
        <v>-0.18090277020989079</v>
      </c>
      <c r="V11" s="87">
        <v>-0.11460723419802719</v>
      </c>
      <c r="W11" s="87">
        <v>-0.1130457723255508</v>
      </c>
      <c r="X11" s="87">
        <v>0.62054398973335223</v>
      </c>
      <c r="Y11" s="87">
        <v>0.20187062611425979</v>
      </c>
      <c r="Z11" s="87">
        <v>0.29181453543073238</v>
      </c>
      <c r="AA11" s="87">
        <v>3.4895354496782272E-2</v>
      </c>
      <c r="AB11" s="87">
        <v>-0.103234747412532</v>
      </c>
      <c r="AC11" s="87">
        <v>-0.12049593180937609</v>
      </c>
      <c r="AD11" s="87">
        <v>-7.7214995783394968E-2</v>
      </c>
      <c r="AE11" s="87">
        <v>-0.28137696779672089</v>
      </c>
      <c r="AF11" s="87">
        <v>-0.1715501698698686</v>
      </c>
      <c r="AG11" s="87">
        <v>-0.10508495909376971</v>
      </c>
      <c r="AH11" s="87">
        <v>-0.10531854498123761</v>
      </c>
      <c r="AI11" s="87">
        <v>-0.1039504063119239</v>
      </c>
      <c r="AJ11" s="87">
        <v>-0.15330293429662761</v>
      </c>
      <c r="AK11" s="87">
        <v>-0.19731086763899239</v>
      </c>
      <c r="AL11" s="87">
        <v>-0.1137696748332383</v>
      </c>
      <c r="AM11" s="87">
        <v>3.5667187404897487E-2</v>
      </c>
      <c r="AN11" s="87">
        <v>-5.3837142207689981E-2</v>
      </c>
      <c r="AO11" s="87">
        <v>0.12610386879730859</v>
      </c>
      <c r="AP11" s="87">
        <v>8.7090915441305317E-2</v>
      </c>
    </row>
    <row r="12" spans="1:42" ht="14.45" customHeight="1" x14ac:dyDescent="0.25">
      <c r="A12" s="88" t="s">
        <v>170</v>
      </c>
      <c r="B12" s="89"/>
      <c r="C12" s="90">
        <v>0.25634679301322388</v>
      </c>
      <c r="D12" s="90">
        <v>0.2101682845470558</v>
      </c>
      <c r="E12" s="90">
        <v>0.1927334606576814</v>
      </c>
      <c r="F12" s="90">
        <v>0.28590323364940429</v>
      </c>
      <c r="G12" s="90">
        <v>0.2184697362002328</v>
      </c>
      <c r="H12" s="90">
        <v>0.49211793672669862</v>
      </c>
      <c r="I12" s="90">
        <v>0.48226482105454882</v>
      </c>
      <c r="J12" s="90">
        <v>0.46842833697616898</v>
      </c>
      <c r="K12" s="90">
        <v>0.41460841982076307</v>
      </c>
      <c r="L12" s="90">
        <v>-1.525584677733227E-2</v>
      </c>
      <c r="M12" s="90">
        <v>-6.0351933483854703E-2</v>
      </c>
      <c r="N12" s="90">
        <v>3.8416769674495477E-2</v>
      </c>
      <c r="O12" s="90">
        <v>-5.7098538656216953E-2</v>
      </c>
      <c r="P12" s="90">
        <v>-4.8415738803728632E-2</v>
      </c>
      <c r="Q12" s="90">
        <v>-4.6427617921572788E-2</v>
      </c>
      <c r="R12" s="90">
        <v>-0.22484488069080799</v>
      </c>
      <c r="S12" s="90">
        <v>-2.6632956985523371E-2</v>
      </c>
      <c r="T12" s="90">
        <v>-0.24684774482930491</v>
      </c>
      <c r="U12" s="90">
        <v>-8.5696980778460885E-2</v>
      </c>
      <c r="V12" s="90">
        <v>-0.1031698296712437</v>
      </c>
      <c r="W12" s="90">
        <v>-7.7139299057107147E-2</v>
      </c>
      <c r="X12" s="90">
        <v>0.31913563908005438</v>
      </c>
      <c r="Y12" s="90">
        <v>0.12460784681340351</v>
      </c>
      <c r="Z12" s="90">
        <v>0.18203935446126679</v>
      </c>
      <c r="AA12" s="90">
        <v>3.3536389456503501E-2</v>
      </c>
      <c r="AB12" s="90">
        <v>-2.0745430933098549E-2</v>
      </c>
      <c r="AC12" s="90">
        <v>-9.3685573455291049E-2</v>
      </c>
      <c r="AD12" s="90">
        <v>-3.4518973665627173E-2</v>
      </c>
      <c r="AE12" s="90">
        <v>-0.1205476215641534</v>
      </c>
      <c r="AF12" s="90">
        <v>-8.502427557473069E-2</v>
      </c>
      <c r="AG12" s="90">
        <v>-2.62609292800472E-2</v>
      </c>
      <c r="AH12" s="90">
        <v>-5.5564585703746783E-2</v>
      </c>
      <c r="AI12" s="90">
        <v>-9.5155953963181772E-2</v>
      </c>
      <c r="AJ12" s="90">
        <v>-6.9479263217482656E-2</v>
      </c>
      <c r="AK12" s="90">
        <v>-8.4225903747221387E-2</v>
      </c>
      <c r="AL12" s="90">
        <v>-5.0843979612100743E-2</v>
      </c>
      <c r="AM12" s="90">
        <v>7.0246577911119434E-2</v>
      </c>
      <c r="AN12" s="90">
        <v>-6.6183549042675427E-4</v>
      </c>
      <c r="AO12" s="90">
        <v>0.1131502045587376</v>
      </c>
      <c r="AP12" s="90">
        <v>0.1644965792355062</v>
      </c>
    </row>
    <row r="13" spans="1:42" ht="14.45" customHeight="1" x14ac:dyDescent="0.25">
      <c r="A13" s="91" t="s">
        <v>171</v>
      </c>
      <c r="B13" s="83"/>
      <c r="C13" s="84">
        <v>0.3799268841022565</v>
      </c>
      <c r="D13" s="84">
        <v>0.36718275924338251</v>
      </c>
      <c r="E13" s="84">
        <v>0.37204228788990412</v>
      </c>
      <c r="F13" s="84">
        <v>0.35797687973200548</v>
      </c>
      <c r="G13" s="84">
        <v>0.38411335089918391</v>
      </c>
      <c r="H13" s="84">
        <v>0.3913770371639631</v>
      </c>
      <c r="I13" s="84">
        <v>0.36924341717823222</v>
      </c>
      <c r="J13" s="84">
        <v>0.33816840153999678</v>
      </c>
      <c r="K13" s="84">
        <v>0.22993478125267131</v>
      </c>
      <c r="L13" s="84">
        <v>4.3369871144137713E-2</v>
      </c>
      <c r="M13" s="84">
        <v>3.5704147692180437E-2</v>
      </c>
      <c r="N13" s="84">
        <v>9.2545480216206233E-3</v>
      </c>
      <c r="O13" s="84">
        <v>3.583446739490781E-2</v>
      </c>
      <c r="P13" s="84">
        <v>4.3980219720771263E-2</v>
      </c>
      <c r="Q13" s="84">
        <v>5.564299317377519E-2</v>
      </c>
      <c r="R13" s="84">
        <v>3.7285836080632517E-2</v>
      </c>
      <c r="S13" s="84">
        <v>6.3567174896999923E-2</v>
      </c>
      <c r="T13" s="84">
        <v>-3.6465019286952123E-2</v>
      </c>
      <c r="U13" s="84">
        <v>4.5203531941442547E-2</v>
      </c>
      <c r="V13" s="84">
        <v>8.4556668693896109E-2</v>
      </c>
      <c r="W13" s="84">
        <v>8.2552656772555633E-2</v>
      </c>
      <c r="X13" s="84">
        <v>0.16775463142155209</v>
      </c>
      <c r="Y13" s="84">
        <v>9.7064021847459214E-2</v>
      </c>
      <c r="Z13" s="84">
        <v>9.6745206027981201E-2</v>
      </c>
      <c r="AA13" s="84">
        <v>0.1059182254379825</v>
      </c>
      <c r="AB13" s="84">
        <v>0.11313277779561021</v>
      </c>
      <c r="AC13" s="84">
        <v>0.1174373830134099</v>
      </c>
      <c r="AD13" s="84">
        <v>0.12155120837400959</v>
      </c>
      <c r="AE13" s="84">
        <v>0.1191177748124055</v>
      </c>
      <c r="AF13" s="84">
        <v>9.0029870581708638E-2</v>
      </c>
      <c r="AG13" s="84">
        <v>5.1479532282239449E-2</v>
      </c>
      <c r="AH13" s="84">
        <v>3.6979390193890627E-2</v>
      </c>
      <c r="AI13" s="84">
        <v>1.2715363931480541E-2</v>
      </c>
      <c r="AJ13" s="84">
        <v>3.2844461109526213E-2</v>
      </c>
      <c r="AK13" s="84">
        <v>3.1081014793030711E-2</v>
      </c>
      <c r="AL13" s="84">
        <v>7.0841273461700105E-2</v>
      </c>
      <c r="AM13" s="84">
        <v>-7.3189304522544019E-3</v>
      </c>
      <c r="AN13" s="84">
        <v>3.3172545008388399E-2</v>
      </c>
      <c r="AO13" s="84">
        <v>6.9472919918534215E-2</v>
      </c>
      <c r="AP13" s="84">
        <v>9.0322045010148511E-2</v>
      </c>
    </row>
    <row r="14" spans="1:42" ht="14.45" customHeight="1" x14ac:dyDescent="0.25">
      <c r="A14" s="92"/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</row>
    <row r="15" spans="1:42" ht="14.45" customHeight="1" x14ac:dyDescent="0.25">
      <c r="A15" s="93" t="s">
        <v>172</v>
      </c>
      <c r="B15" s="89"/>
      <c r="C15" s="90"/>
      <c r="D15" s="94">
        <v>4.4999999999999998E-2</v>
      </c>
      <c r="E15" s="94">
        <v>4.1000000000000002E-2</v>
      </c>
      <c r="F15" s="94">
        <v>6.3E-2</v>
      </c>
      <c r="G15" s="94">
        <v>1.7999999999999999E-2</v>
      </c>
      <c r="H15" s="94">
        <v>2.8000000000000001E-2</v>
      </c>
      <c r="I15" s="94">
        <v>1.4E-2</v>
      </c>
      <c r="J15" s="94">
        <v>6.7000000000000004E-2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4">
        <v>3.5000000000000003E-2</v>
      </c>
      <c r="W15" s="90"/>
      <c r="X15" s="90"/>
      <c r="Y15" s="90"/>
      <c r="Z15" s="94">
        <v>0.15</v>
      </c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</row>
    <row r="16" spans="1:42" ht="14.45" customHeight="1" x14ac:dyDescent="0.25">
      <c r="A16" s="93" t="s">
        <v>173</v>
      </c>
      <c r="B16" s="89"/>
      <c r="C16" s="90"/>
      <c r="D16" s="90"/>
      <c r="E16" s="90"/>
      <c r="F16" s="90"/>
      <c r="G16" s="90"/>
      <c r="H16" s="90"/>
      <c r="I16" s="90"/>
      <c r="J16" s="90"/>
      <c r="K16" s="94">
        <v>2.4E-2</v>
      </c>
      <c r="L16" s="94">
        <v>2.5999999999999999E-2</v>
      </c>
      <c r="M16" s="94">
        <v>4.2999999999999997E-2</v>
      </c>
      <c r="N16" s="94">
        <v>2.9000000000000001E-2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</row>
    <row r="17" spans="1:42" ht="14.45" customHeight="1" x14ac:dyDescent="0.25">
      <c r="A17" s="92"/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</row>
    <row r="18" spans="1:42" ht="14.45" customHeight="1" x14ac:dyDescent="0.25">
      <c r="A18" s="95" t="s">
        <v>174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spans="1:42" ht="14.45" customHeight="1" x14ac:dyDescent="0.25">
      <c r="A19" s="96" t="s">
        <v>175</v>
      </c>
      <c r="B19" s="97"/>
      <c r="C19" s="98">
        <v>352.67</v>
      </c>
      <c r="D19" s="98">
        <v>464.85899999999998</v>
      </c>
      <c r="E19" s="98">
        <v>455.74799999999999</v>
      </c>
      <c r="F19" s="99">
        <v>491.28099999999989</v>
      </c>
      <c r="G19" s="98">
        <v>479.76</v>
      </c>
      <c r="H19" s="98">
        <v>607.62300000000005</v>
      </c>
      <c r="I19" s="98">
        <v>582.71</v>
      </c>
      <c r="J19" s="99">
        <v>615.52800000000002</v>
      </c>
      <c r="K19" s="98">
        <v>560.10500000000002</v>
      </c>
      <c r="L19" s="98">
        <v>637.21500000000003</v>
      </c>
      <c r="M19" s="98">
        <v>619.70500000000004</v>
      </c>
      <c r="N19" s="99">
        <v>578.1880000000001</v>
      </c>
      <c r="O19" s="98">
        <v>585.97299999999996</v>
      </c>
      <c r="P19" s="98">
        <v>671.62400000000002</v>
      </c>
      <c r="Q19" s="98">
        <v>657.50699999999995</v>
      </c>
      <c r="R19" s="99">
        <v>667.37400000000025</v>
      </c>
      <c r="S19" s="98">
        <v>631.11300000000006</v>
      </c>
      <c r="T19" s="98">
        <v>694.16200000000003</v>
      </c>
      <c r="U19" s="98">
        <v>703.54899999999998</v>
      </c>
      <c r="V19" s="99">
        <v>732.00300000000016</v>
      </c>
      <c r="W19" s="98">
        <v>694.17899999999997</v>
      </c>
      <c r="X19" s="98">
        <v>754.68299999999999</v>
      </c>
      <c r="Y19" s="98">
        <v>773.48900000000003</v>
      </c>
      <c r="Z19" s="99">
        <v>798.53600000000006</v>
      </c>
      <c r="AA19" s="98">
        <v>775.58399999999995</v>
      </c>
      <c r="AB19" s="98">
        <v>879.93499999999995</v>
      </c>
      <c r="AC19" s="98">
        <v>917.16200000000003</v>
      </c>
      <c r="AD19" s="98">
        <v>948.5</v>
      </c>
      <c r="AE19" s="98">
        <v>920.56200000000001</v>
      </c>
      <c r="AF19" s="98">
        <v>1004.438</v>
      </c>
      <c r="AG19" s="98">
        <v>977.66300000000001</v>
      </c>
      <c r="AH19" s="98">
        <v>1006.1</v>
      </c>
      <c r="AI19" s="98">
        <v>951.99199999999996</v>
      </c>
      <c r="AJ19" s="98">
        <v>1048.874</v>
      </c>
      <c r="AK19" s="98">
        <v>1034.69</v>
      </c>
      <c r="AL19" s="98">
        <v>1083.5</v>
      </c>
      <c r="AM19" s="98">
        <v>933.83699999999999</v>
      </c>
      <c r="AN19" s="98">
        <v>1079.9559999999999</v>
      </c>
      <c r="AO19" s="98">
        <v>1083.1389999999999</v>
      </c>
      <c r="AP19" s="98">
        <v>1152.9000000000001</v>
      </c>
    </row>
    <row r="20" spans="1:42" ht="14.45" customHeight="1" x14ac:dyDescent="0.25">
      <c r="A20" s="100" t="s">
        <v>176</v>
      </c>
      <c r="B20" s="101"/>
      <c r="C20" s="102">
        <v>166.19</v>
      </c>
      <c r="D20" s="102">
        <v>246.37100000000001</v>
      </c>
      <c r="E20" s="102">
        <v>261.50799999999998</v>
      </c>
      <c r="F20" s="103">
        <v>218.05600000000001</v>
      </c>
      <c r="G20" s="102">
        <v>256.05799999999999</v>
      </c>
      <c r="H20" s="102">
        <v>368.95499999999998</v>
      </c>
      <c r="I20" s="102">
        <v>384.495</v>
      </c>
      <c r="J20" s="103">
        <v>316.46100000000013</v>
      </c>
      <c r="K20" s="102">
        <v>320.91699999999997</v>
      </c>
      <c r="L20" s="102">
        <v>393.01499999999999</v>
      </c>
      <c r="M20" s="102">
        <v>400.79500000000002</v>
      </c>
      <c r="N20" s="103">
        <v>356.7639999999999</v>
      </c>
      <c r="O20" s="102">
        <v>343.69499999999999</v>
      </c>
      <c r="P20" s="102">
        <v>421.45</v>
      </c>
      <c r="Q20" s="102">
        <v>438.51</v>
      </c>
      <c r="R20" s="103">
        <v>355.28899999999999</v>
      </c>
      <c r="S20" s="102">
        <v>373.27800000000002</v>
      </c>
      <c r="T20" s="102">
        <v>397.04500000000002</v>
      </c>
      <c r="U20" s="102">
        <v>464.92099999999999</v>
      </c>
      <c r="V20" s="103">
        <v>406.47199999999981</v>
      </c>
      <c r="W20" s="102">
        <v>420.05599999999998</v>
      </c>
      <c r="X20" s="102">
        <v>498.99</v>
      </c>
      <c r="Y20" s="102">
        <v>503.99</v>
      </c>
      <c r="Z20" s="103">
        <v>438.12599999999998</v>
      </c>
      <c r="AA20" s="102">
        <v>467.93299999999999</v>
      </c>
      <c r="AB20" s="102">
        <v>539.58900000000006</v>
      </c>
      <c r="AC20" s="102">
        <v>548.33299999999997</v>
      </c>
      <c r="AD20" s="102">
        <v>468.1</v>
      </c>
      <c r="AE20" s="102">
        <v>509.62799999999999</v>
      </c>
      <c r="AF20" s="102">
        <v>573.64099999999996</v>
      </c>
      <c r="AG20" s="102">
        <v>575.95399999999995</v>
      </c>
      <c r="AH20" s="102">
        <v>488.6</v>
      </c>
      <c r="AI20" s="102">
        <v>511.642</v>
      </c>
      <c r="AJ20" s="102">
        <v>597.48500000000001</v>
      </c>
      <c r="AK20" s="102">
        <v>585.52700000000004</v>
      </c>
      <c r="AL20" s="102">
        <v>531.29999999999995</v>
      </c>
      <c r="AM20" s="102">
        <v>509.15699999999998</v>
      </c>
      <c r="AN20" s="102">
        <v>626.07799999999997</v>
      </c>
      <c r="AO20" s="102">
        <v>643.28700000000003</v>
      </c>
      <c r="AP20" s="102">
        <v>584.4</v>
      </c>
    </row>
    <row r="21" spans="1:42" ht="14.45" customHeight="1" x14ac:dyDescent="0.25">
      <c r="A21" s="104" t="s">
        <v>177</v>
      </c>
      <c r="B21" s="105"/>
      <c r="C21" s="106">
        <v>518.86</v>
      </c>
      <c r="D21" s="106">
        <v>711.23</v>
      </c>
      <c r="E21" s="106">
        <v>717.25599999999997</v>
      </c>
      <c r="F21" s="106">
        <v>709.33699999999999</v>
      </c>
      <c r="G21" s="106">
        <v>735.81799999999998</v>
      </c>
      <c r="H21" s="106">
        <v>976.57799999999997</v>
      </c>
      <c r="I21" s="106">
        <v>967.20500000000004</v>
      </c>
      <c r="J21" s="106">
        <v>931.98900000000015</v>
      </c>
      <c r="K21" s="106">
        <v>881.02199999999993</v>
      </c>
      <c r="L21" s="106">
        <v>1030.23</v>
      </c>
      <c r="M21" s="106">
        <v>1020.5</v>
      </c>
      <c r="N21" s="106">
        <v>934.952</v>
      </c>
      <c r="O21" s="106">
        <v>929.66799999999989</v>
      </c>
      <c r="P21" s="106">
        <v>1093.0740000000001</v>
      </c>
      <c r="Q21" s="106">
        <v>1096.0170000000001</v>
      </c>
      <c r="R21" s="106">
        <v>1022.663</v>
      </c>
      <c r="S21" s="106">
        <v>1004.391</v>
      </c>
      <c r="T21" s="106">
        <v>1091.2070000000001</v>
      </c>
      <c r="U21" s="106">
        <v>1168.47</v>
      </c>
      <c r="V21" s="106">
        <v>1138.4749999999999</v>
      </c>
      <c r="W21" s="106">
        <v>1114.2349999999999</v>
      </c>
      <c r="X21" s="106">
        <v>1253.673</v>
      </c>
      <c r="Y21" s="106">
        <v>1277.479</v>
      </c>
      <c r="Z21" s="106">
        <v>1236.662</v>
      </c>
      <c r="AA21" s="106">
        <v>1243.5170000000001</v>
      </c>
      <c r="AB21" s="106">
        <v>1419.5239999999999</v>
      </c>
      <c r="AC21" s="106">
        <v>1465.4949999999999</v>
      </c>
      <c r="AD21" s="106">
        <v>1412.837</v>
      </c>
      <c r="AE21" s="106">
        <v>1430.19</v>
      </c>
      <c r="AF21" s="106">
        <v>1578.079</v>
      </c>
      <c r="AG21" s="106">
        <v>1553.617</v>
      </c>
      <c r="AH21" s="106">
        <v>1479.8860000000011</v>
      </c>
      <c r="AI21" s="106">
        <v>1463.634</v>
      </c>
      <c r="AJ21" s="106">
        <v>1646.3589999999999</v>
      </c>
      <c r="AK21" s="106">
        <v>1620.2170000000001</v>
      </c>
      <c r="AL21" s="106">
        <v>1603.1060000000009</v>
      </c>
      <c r="AM21" s="106">
        <v>1442.9939999999999</v>
      </c>
      <c r="AN21" s="106">
        <v>1706.0340000000001</v>
      </c>
      <c r="AO21" s="106">
        <v>1726.4259999999999</v>
      </c>
      <c r="AP21" s="106">
        <v>1737.2660000000001</v>
      </c>
    </row>
    <row r="22" spans="1:42" ht="14.45" customHeight="1" x14ac:dyDescent="0.25">
      <c r="A22" s="96" t="s">
        <v>178</v>
      </c>
      <c r="B22" s="97"/>
      <c r="C22" s="98">
        <v>50.21</v>
      </c>
      <c r="D22" s="98">
        <v>61.045000000000002</v>
      </c>
      <c r="E22" s="98">
        <v>58.683</v>
      </c>
      <c r="F22" s="99">
        <v>68.244</v>
      </c>
      <c r="G22" s="98">
        <v>64.73</v>
      </c>
      <c r="H22" s="98">
        <v>104.968</v>
      </c>
      <c r="I22" s="98">
        <v>104.619</v>
      </c>
      <c r="J22" s="99">
        <v>108.748</v>
      </c>
      <c r="K22" s="98">
        <v>101.73399999999999</v>
      </c>
      <c r="L22" s="98">
        <v>106.946</v>
      </c>
      <c r="M22" s="98">
        <v>92.138999999999996</v>
      </c>
      <c r="N22" s="99">
        <v>86.896999999999991</v>
      </c>
      <c r="O22" s="98">
        <v>81.673000000000002</v>
      </c>
      <c r="P22" s="98">
        <v>89.278000000000006</v>
      </c>
      <c r="Q22" s="98">
        <v>83.25</v>
      </c>
      <c r="R22" s="99">
        <v>87.86099999999999</v>
      </c>
      <c r="S22" s="98">
        <v>85.239000000000004</v>
      </c>
      <c r="T22" s="98">
        <v>79.903999999999996</v>
      </c>
      <c r="U22" s="98">
        <v>84.852000000000004</v>
      </c>
      <c r="V22" s="99">
        <v>79.579000000000008</v>
      </c>
      <c r="W22" s="98">
        <v>81.658000000000001</v>
      </c>
      <c r="X22" s="98">
        <v>88.494</v>
      </c>
      <c r="Y22" s="98">
        <v>89.617999999999995</v>
      </c>
      <c r="Z22" s="99">
        <v>87.41500000000002</v>
      </c>
      <c r="AA22" s="98">
        <v>84.296000000000006</v>
      </c>
      <c r="AB22" s="98">
        <v>94.158000000000001</v>
      </c>
      <c r="AC22" s="98">
        <v>83.644000000000005</v>
      </c>
      <c r="AD22" s="99">
        <v>87.738999999999976</v>
      </c>
      <c r="AE22" s="98">
        <v>86.444999999999993</v>
      </c>
      <c r="AF22" s="98">
        <v>93.206999999999994</v>
      </c>
      <c r="AG22" s="98">
        <v>87.71</v>
      </c>
      <c r="AH22" s="99">
        <v>86.45700000000005</v>
      </c>
      <c r="AI22" s="98">
        <v>78.703000000000003</v>
      </c>
      <c r="AJ22" s="98">
        <v>92.393000000000001</v>
      </c>
      <c r="AK22" s="98">
        <v>88.363</v>
      </c>
      <c r="AL22" s="99">
        <v>86.12700000000001</v>
      </c>
      <c r="AM22" s="98">
        <v>85.936000000000007</v>
      </c>
      <c r="AN22" s="98">
        <v>95.373000000000005</v>
      </c>
      <c r="AO22" s="98">
        <v>97.622</v>
      </c>
      <c r="AP22" s="99">
        <v>104.727</v>
      </c>
    </row>
    <row r="23" spans="1:42" ht="14.45" customHeight="1" x14ac:dyDescent="0.25">
      <c r="A23" s="100" t="s">
        <v>179</v>
      </c>
      <c r="B23" s="101"/>
      <c r="C23" s="102">
        <v>56.386000000000003</v>
      </c>
      <c r="D23" s="102">
        <v>68.108999999999995</v>
      </c>
      <c r="E23" s="102">
        <v>73.088999999999999</v>
      </c>
      <c r="F23" s="103">
        <v>63.978999999999978</v>
      </c>
      <c r="G23" s="102">
        <v>65.153999999999996</v>
      </c>
      <c r="H23" s="102">
        <v>87.745000000000005</v>
      </c>
      <c r="I23" s="102">
        <v>90.701999999999998</v>
      </c>
      <c r="J23" s="103">
        <v>85.411999999999978</v>
      </c>
      <c r="K23" s="102">
        <v>82.001000000000005</v>
      </c>
      <c r="L23" s="102">
        <v>82.826999999999998</v>
      </c>
      <c r="M23" s="102">
        <v>91.394000000000005</v>
      </c>
      <c r="N23" s="103">
        <v>114.72199999999999</v>
      </c>
      <c r="O23" s="102">
        <v>91.570999999999998</v>
      </c>
      <c r="P23" s="102">
        <v>91.307000000000002</v>
      </c>
      <c r="Q23" s="102">
        <v>91.762</v>
      </c>
      <c r="R23" s="103">
        <v>68.425000000000011</v>
      </c>
      <c r="S23" s="102">
        <v>83.391000000000005</v>
      </c>
      <c r="T23" s="102">
        <v>56.103999999999999</v>
      </c>
      <c r="U23" s="102">
        <v>75.162000000000006</v>
      </c>
      <c r="V23" s="103">
        <v>60.582999999999998</v>
      </c>
      <c r="W23" s="102">
        <v>73.963999999999999</v>
      </c>
      <c r="X23" s="102">
        <v>90.918999999999997</v>
      </c>
      <c r="Y23" s="102">
        <v>90.334999999999994</v>
      </c>
      <c r="Z23" s="103">
        <v>78.262000000000057</v>
      </c>
      <c r="AA23" s="102">
        <v>76.545000000000002</v>
      </c>
      <c r="AB23" s="102">
        <v>81.533000000000001</v>
      </c>
      <c r="AC23" s="102">
        <v>79.45</v>
      </c>
      <c r="AD23" s="103">
        <v>72.218999999999994</v>
      </c>
      <c r="AE23" s="102">
        <v>55.006999999999998</v>
      </c>
      <c r="AF23" s="102">
        <v>67.546000000000006</v>
      </c>
      <c r="AG23" s="102">
        <v>71.100999999999999</v>
      </c>
      <c r="AH23" s="103">
        <v>64.613</v>
      </c>
      <c r="AI23" s="102">
        <v>49.289000000000001</v>
      </c>
      <c r="AJ23" s="102">
        <v>57.191000000000003</v>
      </c>
      <c r="AK23" s="102">
        <v>57.072000000000003</v>
      </c>
      <c r="AL23" s="103">
        <v>57.261999999999972</v>
      </c>
      <c r="AM23" s="102">
        <v>51.046999999999997</v>
      </c>
      <c r="AN23" s="102">
        <v>54.112000000000002</v>
      </c>
      <c r="AO23" s="102">
        <v>64.269000000000005</v>
      </c>
      <c r="AP23" s="103">
        <v>62.249000000000002</v>
      </c>
    </row>
    <row r="24" spans="1:42" ht="14.45" customHeight="1" x14ac:dyDescent="0.25">
      <c r="A24" s="107" t="s">
        <v>180</v>
      </c>
      <c r="B24" s="108"/>
      <c r="C24" s="109">
        <v>106.596</v>
      </c>
      <c r="D24" s="109">
        <v>129.154</v>
      </c>
      <c r="E24" s="109">
        <v>131.77199999999999</v>
      </c>
      <c r="F24" s="109">
        <v>132.22300000000001</v>
      </c>
      <c r="G24" s="109">
        <v>129.88399999999999</v>
      </c>
      <c r="H24" s="109">
        <v>192.71299999999999</v>
      </c>
      <c r="I24" s="109">
        <v>195.321</v>
      </c>
      <c r="J24" s="109">
        <v>194.16</v>
      </c>
      <c r="K24" s="109">
        <v>183.73500000000001</v>
      </c>
      <c r="L24" s="109">
        <v>189.773</v>
      </c>
      <c r="M24" s="109">
        <v>183.53299999999999</v>
      </c>
      <c r="N24" s="109">
        <v>201.619</v>
      </c>
      <c r="O24" s="109">
        <v>173.244</v>
      </c>
      <c r="P24" s="109">
        <v>180.58500000000001</v>
      </c>
      <c r="Q24" s="109">
        <v>175.012</v>
      </c>
      <c r="R24" s="109">
        <v>156.286</v>
      </c>
      <c r="S24" s="109">
        <v>168.63</v>
      </c>
      <c r="T24" s="109">
        <v>136.00800000000001</v>
      </c>
      <c r="U24" s="106">
        <v>160.01400000000001</v>
      </c>
      <c r="V24" s="109">
        <v>140.16200000000001</v>
      </c>
      <c r="W24" s="109">
        <v>155.62200000000001</v>
      </c>
      <c r="X24" s="109">
        <v>179.41300000000001</v>
      </c>
      <c r="Y24" s="106">
        <v>179.953</v>
      </c>
      <c r="Z24" s="109">
        <v>165.67700000000011</v>
      </c>
      <c r="AA24" s="109">
        <v>160.84100000000001</v>
      </c>
      <c r="AB24" s="109">
        <v>175.691</v>
      </c>
      <c r="AC24" s="106">
        <v>163.09399999999999</v>
      </c>
      <c r="AD24" s="109">
        <v>159.958</v>
      </c>
      <c r="AE24" s="109">
        <v>141.452</v>
      </c>
      <c r="AF24" s="109">
        <v>160.75299999999999</v>
      </c>
      <c r="AG24" s="106">
        <v>158.81100000000001</v>
      </c>
      <c r="AH24" s="109">
        <v>151.07000000000011</v>
      </c>
      <c r="AI24" s="109">
        <v>127.992</v>
      </c>
      <c r="AJ24" s="109">
        <v>149.584</v>
      </c>
      <c r="AK24" s="106">
        <v>145.435</v>
      </c>
      <c r="AL24" s="109">
        <v>143.38900000000001</v>
      </c>
      <c r="AM24" s="109">
        <v>136.983</v>
      </c>
      <c r="AN24" s="109">
        <v>149.48500000000001</v>
      </c>
      <c r="AO24" s="109">
        <v>161.89099999999999</v>
      </c>
      <c r="AP24" s="109">
        <v>166.976</v>
      </c>
    </row>
    <row r="25" spans="1:42" ht="14.45" customHeight="1" x14ac:dyDescent="0.25">
      <c r="A25" s="110" t="s">
        <v>181</v>
      </c>
      <c r="B25" s="105"/>
      <c r="C25" s="106">
        <v>625.45600000000002</v>
      </c>
      <c r="D25" s="106">
        <v>840.38400000000001</v>
      </c>
      <c r="E25" s="106">
        <v>849.02800000000002</v>
      </c>
      <c r="F25" s="106">
        <v>841.56</v>
      </c>
      <c r="G25" s="106">
        <v>865.702</v>
      </c>
      <c r="H25" s="106">
        <v>1169.2909999999999</v>
      </c>
      <c r="I25" s="106">
        <v>1162.5260000000001</v>
      </c>
      <c r="J25" s="106">
        <v>1126.1489999999999</v>
      </c>
      <c r="K25" s="106">
        <v>1064.7570000000001</v>
      </c>
      <c r="L25" s="106">
        <v>1220.0029999999999</v>
      </c>
      <c r="M25" s="106">
        <v>1204.0329999999999</v>
      </c>
      <c r="N25" s="106">
        <v>1136.5709999999999</v>
      </c>
      <c r="O25" s="106">
        <v>1102.912</v>
      </c>
      <c r="P25" s="106">
        <v>1273.6590000000001</v>
      </c>
      <c r="Q25" s="106">
        <v>1271.029</v>
      </c>
      <c r="R25" s="106">
        <v>1178.9490000000001</v>
      </c>
      <c r="S25" s="106">
        <v>1173.021</v>
      </c>
      <c r="T25" s="106">
        <v>1227.2149999999999</v>
      </c>
      <c r="U25" s="106">
        <v>1328.4839999999999</v>
      </c>
      <c r="V25" s="106">
        <v>1278.6369999999999</v>
      </c>
      <c r="W25" s="106">
        <v>1269.857</v>
      </c>
      <c r="X25" s="106">
        <v>1433.086</v>
      </c>
      <c r="Y25" s="106">
        <v>1457.432</v>
      </c>
      <c r="Z25" s="106">
        <v>1402.3389999999999</v>
      </c>
      <c r="AA25" s="106">
        <v>1404.3579999999999</v>
      </c>
      <c r="AB25" s="106">
        <v>1595.2149999999999</v>
      </c>
      <c r="AC25" s="106">
        <v>1628.5889999999999</v>
      </c>
      <c r="AD25" s="106">
        <v>1572.7950000000001</v>
      </c>
      <c r="AE25" s="106">
        <v>1571.6420000000001</v>
      </c>
      <c r="AF25" s="106">
        <v>1738.8320000000001</v>
      </c>
      <c r="AG25" s="106">
        <v>1712.4280000000001</v>
      </c>
      <c r="AH25" s="106">
        <v>1630.956000000001</v>
      </c>
      <c r="AI25" s="106">
        <v>1591.626</v>
      </c>
      <c r="AJ25" s="106">
        <v>1795.943</v>
      </c>
      <c r="AK25" s="106">
        <v>1765.652</v>
      </c>
      <c r="AL25" s="106">
        <v>1746.495000000001</v>
      </c>
      <c r="AM25" s="106">
        <v>1579.9770000000001</v>
      </c>
      <c r="AN25" s="106">
        <v>1855.519</v>
      </c>
      <c r="AO25" s="106">
        <v>1888.317</v>
      </c>
      <c r="AP25" s="106">
        <v>1904.242</v>
      </c>
    </row>
    <row r="26" spans="1:42" ht="14.45" customHeight="1" x14ac:dyDescent="0.25">
      <c r="A26" s="111"/>
      <c r="B26" s="108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</row>
    <row r="27" spans="1:42" ht="14.45" customHeight="1" x14ac:dyDescent="0.25">
      <c r="A27" s="113" t="s">
        <v>182</v>
      </c>
      <c r="B27" s="97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99">
        <v>42.79999999999999</v>
      </c>
      <c r="P27" s="98">
        <v>51.8</v>
      </c>
      <c r="Q27" s="98">
        <v>55.5</v>
      </c>
      <c r="R27" s="98">
        <v>46.9</v>
      </c>
      <c r="S27" s="99">
        <v>40.800000000000011</v>
      </c>
      <c r="T27" s="98">
        <v>22.5</v>
      </c>
      <c r="U27" s="98">
        <v>36</v>
      </c>
      <c r="V27" s="98">
        <v>32.5</v>
      </c>
      <c r="W27" s="98">
        <v>32.6</v>
      </c>
      <c r="X27" s="98">
        <v>43.3</v>
      </c>
      <c r="Y27" s="98">
        <v>45.3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</row>
    <row r="28" spans="1:42" ht="14.45" customHeight="1" x14ac:dyDescent="0.25">
      <c r="A28" s="111"/>
      <c r="B28" s="108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</row>
    <row r="29" spans="1:42" ht="14.45" customHeight="1" x14ac:dyDescent="0.25">
      <c r="A29" s="79" t="s">
        <v>183</v>
      </c>
      <c r="B29" s="114"/>
      <c r="C29" s="115">
        <v>0.56386060730091325</v>
      </c>
      <c r="D29" s="115">
        <v>0.55315070253598353</v>
      </c>
      <c r="E29" s="115">
        <v>0.53678795045628647</v>
      </c>
      <c r="F29" s="115">
        <v>0.58377418128238034</v>
      </c>
      <c r="G29" s="115">
        <v>0.55418608250876167</v>
      </c>
      <c r="H29" s="115">
        <v>0.51965079693592109</v>
      </c>
      <c r="I29" s="115">
        <v>0.50124470334426929</v>
      </c>
      <c r="J29" s="115">
        <v>0.54657776191249996</v>
      </c>
      <c r="K29" s="115">
        <v>0.52604021387039479</v>
      </c>
      <c r="L29" s="115">
        <v>0.52230609268993611</v>
      </c>
      <c r="M29" s="115">
        <v>0.51469104252125986</v>
      </c>
      <c r="N29" s="115">
        <v>0.50871261012290492</v>
      </c>
      <c r="O29" s="115">
        <v>0.5312962412232346</v>
      </c>
      <c r="P29" s="115">
        <v>0.52731853659417471</v>
      </c>
      <c r="Q29" s="115">
        <v>0.51730290968970816</v>
      </c>
      <c r="R29" s="115">
        <v>0.56607537730639756</v>
      </c>
      <c r="S29" s="115">
        <v>0.53802361594549453</v>
      </c>
      <c r="T29" s="115">
        <v>0.56564008751522754</v>
      </c>
      <c r="U29" s="115">
        <v>0.52958786105064115</v>
      </c>
      <c r="V29" s="115">
        <v>0.57248695290375629</v>
      </c>
      <c r="W29" s="115">
        <v>0.54665919075927449</v>
      </c>
      <c r="X29" s="115">
        <v>0.52661389476974863</v>
      </c>
      <c r="Y29" s="115">
        <v>0.53072047272188339</v>
      </c>
      <c r="Z29" s="115">
        <v>0.56943149980140317</v>
      </c>
      <c r="AA29" s="115">
        <v>0.55226943557127184</v>
      </c>
      <c r="AB29" s="115">
        <v>0.55160903075760948</v>
      </c>
      <c r="AC29" s="115">
        <v>0.56316357288425756</v>
      </c>
      <c r="AD29" s="115">
        <v>0.60306651534370337</v>
      </c>
      <c r="AE29" s="115">
        <v>0.58573262867752329</v>
      </c>
      <c r="AF29" s="115">
        <v>0.57765097490729411</v>
      </c>
      <c r="AG29" s="115">
        <v>0.57092210592211767</v>
      </c>
      <c r="AH29" s="115">
        <v>0.61687746327920534</v>
      </c>
      <c r="AI29" s="115">
        <v>0.59812543901645232</v>
      </c>
      <c r="AJ29" s="115">
        <v>0.58402410321485709</v>
      </c>
      <c r="AK29" s="115">
        <v>0.58601015375623289</v>
      </c>
      <c r="AL29" s="115">
        <v>0.62038540047351964</v>
      </c>
      <c r="AM29" s="115">
        <v>0.59104467976432573</v>
      </c>
      <c r="AN29" s="115">
        <v>0.58202368178391062</v>
      </c>
      <c r="AO29" s="115">
        <v>0.57360019530619055</v>
      </c>
      <c r="AP29" s="115">
        <v>0.60543775423501855</v>
      </c>
    </row>
    <row r="30" spans="1:42" ht="14.45" customHeight="1" x14ac:dyDescent="0.25">
      <c r="A30" s="79" t="s">
        <v>184</v>
      </c>
      <c r="B30" s="114"/>
      <c r="C30" s="115">
        <v>0.26571013788340031</v>
      </c>
      <c r="D30" s="115">
        <v>0.29316479133348572</v>
      </c>
      <c r="E30" s="115">
        <v>0.30800868758156391</v>
      </c>
      <c r="F30" s="115">
        <v>0.25910927325443228</v>
      </c>
      <c r="G30" s="115">
        <v>0.29578076520557878</v>
      </c>
      <c r="H30" s="115">
        <v>0.31553736409499428</v>
      </c>
      <c r="I30" s="115">
        <v>0.33074098987893602</v>
      </c>
      <c r="J30" s="115">
        <v>0.2810116600911603</v>
      </c>
      <c r="K30" s="115">
        <v>0.30139928640995078</v>
      </c>
      <c r="L30" s="115">
        <v>0.32214265046889229</v>
      </c>
      <c r="M30" s="115">
        <v>0.33287708891699819</v>
      </c>
      <c r="N30" s="115">
        <v>0.31389504043302169</v>
      </c>
      <c r="O30" s="115">
        <v>0.31162504352115128</v>
      </c>
      <c r="P30" s="115">
        <v>0.33089704544151932</v>
      </c>
      <c r="Q30" s="115">
        <v>0.34500392988672962</v>
      </c>
      <c r="R30" s="115">
        <v>0.30136078829533752</v>
      </c>
      <c r="S30" s="115">
        <v>0.31821936691670483</v>
      </c>
      <c r="T30" s="115">
        <v>0.32353336619907669</v>
      </c>
      <c r="U30" s="115">
        <v>0.34996356749497931</v>
      </c>
      <c r="V30" s="115">
        <v>0.31789475824647628</v>
      </c>
      <c r="W30" s="115">
        <v>0.33079000233884598</v>
      </c>
      <c r="X30" s="115">
        <v>0.34819264161397151</v>
      </c>
      <c r="Y30" s="115">
        <v>0.34580687126397658</v>
      </c>
      <c r="Z30" s="115">
        <v>0.31242516966297018</v>
      </c>
      <c r="AA30" s="115">
        <v>0.33320065111602598</v>
      </c>
      <c r="AB30" s="115">
        <v>0.33825471801606682</v>
      </c>
      <c r="AC30" s="115">
        <v>0.33669206902416748</v>
      </c>
      <c r="AD30" s="115">
        <v>0.2976230214363601</v>
      </c>
      <c r="AE30" s="115">
        <v>0.32426468623261528</v>
      </c>
      <c r="AF30" s="115">
        <v>0.32990018587189562</v>
      </c>
      <c r="AG30" s="115">
        <v>0.33633764456082238</v>
      </c>
      <c r="AH30" s="115">
        <v>0.2995788972847826</v>
      </c>
      <c r="AI30" s="115">
        <v>0.32145868438942321</v>
      </c>
      <c r="AJ30" s="115">
        <v>0.33268594827341402</v>
      </c>
      <c r="AK30" s="115">
        <v>0.3316208403467954</v>
      </c>
      <c r="AL30" s="115">
        <v>0.30420928774488321</v>
      </c>
      <c r="AM30" s="115">
        <v>0.32225595689051167</v>
      </c>
      <c r="AN30" s="115">
        <v>0.337413952646133</v>
      </c>
      <c r="AO30" s="115">
        <v>0.34066684778032502</v>
      </c>
      <c r="AP30" s="115">
        <v>0.30689376665360812</v>
      </c>
    </row>
    <row r="31" spans="1:42" ht="14.45" customHeight="1" x14ac:dyDescent="0.25">
      <c r="A31" s="82" t="s">
        <v>185</v>
      </c>
      <c r="B31" s="116"/>
      <c r="C31" s="117">
        <v>0.82957074518431351</v>
      </c>
      <c r="D31" s="117">
        <v>0.84631549386946925</v>
      </c>
      <c r="E31" s="117">
        <v>0.84479663803785032</v>
      </c>
      <c r="F31" s="117">
        <v>0.84288345453681268</v>
      </c>
      <c r="G31" s="117">
        <v>0.8499668477143405</v>
      </c>
      <c r="H31" s="117">
        <v>0.83518816103091542</v>
      </c>
      <c r="I31" s="117">
        <v>0.83198569322320526</v>
      </c>
      <c r="J31" s="117">
        <v>0.82758942200366026</v>
      </c>
      <c r="K31" s="117">
        <v>0.82743950028034563</v>
      </c>
      <c r="L31" s="117">
        <v>0.84444874315882834</v>
      </c>
      <c r="M31" s="117">
        <v>0.84756813143825804</v>
      </c>
      <c r="N31" s="117">
        <v>0.82260765055592655</v>
      </c>
      <c r="O31" s="117">
        <v>0.84292128474438588</v>
      </c>
      <c r="P31" s="117">
        <v>0.85821558203569404</v>
      </c>
      <c r="Q31" s="117">
        <v>0.86230683957643772</v>
      </c>
      <c r="R31" s="117">
        <v>0.86743616560173509</v>
      </c>
      <c r="S31" s="117">
        <v>0.85624298286219935</v>
      </c>
      <c r="T31" s="117">
        <v>0.88917345371430434</v>
      </c>
      <c r="U31" s="117">
        <v>0.87955142854562041</v>
      </c>
      <c r="V31" s="117">
        <v>0.89038171115023257</v>
      </c>
      <c r="W31" s="117">
        <v>0.87744919309812053</v>
      </c>
      <c r="X31" s="117">
        <v>0.87480653638372008</v>
      </c>
      <c r="Y31" s="117">
        <v>0.87652734398586007</v>
      </c>
      <c r="Z31" s="117">
        <v>0.88185666946437336</v>
      </c>
      <c r="AA31" s="117">
        <v>0.88547008668729787</v>
      </c>
      <c r="AB31" s="117">
        <v>0.88986374877367624</v>
      </c>
      <c r="AC31" s="117">
        <v>0.89985564190842515</v>
      </c>
      <c r="AD31" s="117">
        <v>0.90068953678006347</v>
      </c>
      <c r="AE31" s="117">
        <v>0.90999731491013858</v>
      </c>
      <c r="AF31" s="117">
        <v>0.90755116077918974</v>
      </c>
      <c r="AG31" s="117">
        <v>0.90725975048294005</v>
      </c>
      <c r="AH31" s="117">
        <v>0.91645636056398794</v>
      </c>
      <c r="AI31" s="117">
        <v>0.91958412340587548</v>
      </c>
      <c r="AJ31" s="117">
        <v>0.91671005148827112</v>
      </c>
      <c r="AK31" s="117">
        <v>0.91763099410302829</v>
      </c>
      <c r="AL31" s="117">
        <v>0.92459468821840285</v>
      </c>
      <c r="AM31" s="117">
        <v>0.91330063665483752</v>
      </c>
      <c r="AN31" s="117">
        <v>0.91943763443004367</v>
      </c>
      <c r="AO31" s="117">
        <v>0.91426704308651563</v>
      </c>
      <c r="AP31" s="117">
        <v>0.91233152088862668</v>
      </c>
    </row>
    <row r="32" spans="1:42" ht="14.45" customHeight="1" x14ac:dyDescent="0.25">
      <c r="A32" s="79" t="s">
        <v>186</v>
      </c>
      <c r="B32" s="114"/>
      <c r="C32" s="115">
        <v>8.027742958737305E-2</v>
      </c>
      <c r="D32" s="115">
        <v>7.2639412459066327E-2</v>
      </c>
      <c r="E32" s="115">
        <v>6.9117861837301009E-2</v>
      </c>
      <c r="F32" s="115">
        <v>8.1092257236560675E-2</v>
      </c>
      <c r="G32" s="115">
        <v>7.4771688179073176E-2</v>
      </c>
      <c r="H32" s="115">
        <v>8.9770638788804508E-2</v>
      </c>
      <c r="I32" s="115">
        <v>8.9992825966903098E-2</v>
      </c>
      <c r="J32" s="115">
        <v>9.6566262546075143E-2</v>
      </c>
      <c r="K32" s="115">
        <v>9.5546683421663336E-2</v>
      </c>
      <c r="L32" s="115">
        <v>8.7660440179245458E-2</v>
      </c>
      <c r="M32" s="115">
        <v>7.6525311183331363E-2</v>
      </c>
      <c r="N32" s="115">
        <v>7.6455408417072046E-2</v>
      </c>
      <c r="O32" s="115">
        <v>7.4052145592758092E-2</v>
      </c>
      <c r="P32" s="115">
        <v>7.009568495178066E-2</v>
      </c>
      <c r="Q32" s="115">
        <v>6.5498112159518007E-2</v>
      </c>
      <c r="R32" s="115">
        <v>7.4524852220070562E-2</v>
      </c>
      <c r="S32" s="115">
        <v>7.2666218251847145E-2</v>
      </c>
      <c r="T32" s="115">
        <v>6.511002554564603E-2</v>
      </c>
      <c r="U32" s="115">
        <v>6.387129991780105E-2</v>
      </c>
      <c r="V32" s="115">
        <v>6.223736682107589E-2</v>
      </c>
      <c r="W32" s="115">
        <v>6.4304878423318529E-2</v>
      </c>
      <c r="X32" s="115">
        <v>6.1750655578241637E-2</v>
      </c>
      <c r="Y32" s="115">
        <v>6.1490347405573638E-2</v>
      </c>
      <c r="Z32" s="115">
        <v>6.233514150287485E-2</v>
      </c>
      <c r="AA32" s="115">
        <v>6.0024580626877211E-2</v>
      </c>
      <c r="AB32" s="115">
        <v>5.9025272455437053E-2</v>
      </c>
      <c r="AC32" s="115">
        <v>5.1359796732017723E-2</v>
      </c>
      <c r="AD32" s="115">
        <v>5.5785401148910042E-2</v>
      </c>
      <c r="AE32" s="115">
        <v>5.5002984140154053E-2</v>
      </c>
      <c r="AF32" s="115">
        <v>5.3603223313120528E-2</v>
      </c>
      <c r="AG32" s="115">
        <v>5.1219671717584632E-2</v>
      </c>
      <c r="AH32" s="115">
        <v>5.30100137588016E-2</v>
      </c>
      <c r="AI32" s="115">
        <v>4.9448174382675333E-2</v>
      </c>
      <c r="AJ32" s="115">
        <v>5.1445396652343642E-2</v>
      </c>
      <c r="AK32" s="115">
        <v>5.0045535586854033E-2</v>
      </c>
      <c r="AL32" s="115">
        <v>4.9314197864866481E-2</v>
      </c>
      <c r="AM32" s="115">
        <v>5.4390665180569092E-2</v>
      </c>
      <c r="AN32" s="115">
        <v>5.1399635358085803E-2</v>
      </c>
      <c r="AO32" s="115">
        <v>5.1697887589848529E-2</v>
      </c>
      <c r="AP32" s="115">
        <v>5.4996686345537997E-2</v>
      </c>
    </row>
    <row r="33" spans="1:42" ht="14.45" customHeight="1" x14ac:dyDescent="0.25">
      <c r="A33" s="79" t="s">
        <v>187</v>
      </c>
      <c r="B33" s="114"/>
      <c r="C33" s="115">
        <v>9.0151825228313429E-2</v>
      </c>
      <c r="D33" s="115">
        <v>8.1045093671464466E-2</v>
      </c>
      <c r="E33" s="115">
        <v>8.6085500124848641E-2</v>
      </c>
      <c r="F33" s="115">
        <v>7.6024288226626727E-2</v>
      </c>
      <c r="G33" s="115">
        <v>7.5261464106586323E-2</v>
      </c>
      <c r="H33" s="115">
        <v>7.5041200180280196E-2</v>
      </c>
      <c r="I33" s="115">
        <v>7.8021480809891561E-2</v>
      </c>
      <c r="J33" s="115">
        <v>7.5844315450264543E-2</v>
      </c>
      <c r="K33" s="115">
        <v>7.7013816297990992E-2</v>
      </c>
      <c r="L33" s="115">
        <v>6.7890816661926243E-2</v>
      </c>
      <c r="M33" s="115">
        <v>7.5906557378410733E-2</v>
      </c>
      <c r="N33" s="115">
        <v>0.1009369410270014</v>
      </c>
      <c r="O33" s="115">
        <v>8.3026569662856167E-2</v>
      </c>
      <c r="P33" s="115">
        <v>7.1688733012525332E-2</v>
      </c>
      <c r="Q33" s="115">
        <v>7.219504826404434E-2</v>
      </c>
      <c r="R33" s="115">
        <v>5.8038982178194302E-2</v>
      </c>
      <c r="S33" s="115">
        <v>7.1090798885953446E-2</v>
      </c>
      <c r="T33" s="115">
        <v>4.5716520740049622E-2</v>
      </c>
      <c r="U33" s="115">
        <v>5.6577271536578537E-2</v>
      </c>
      <c r="V33" s="115">
        <v>4.7380922028691493E-2</v>
      </c>
      <c r="W33" s="115">
        <v>5.8245928478560971E-2</v>
      </c>
      <c r="X33" s="115">
        <v>6.3442808038038187E-2</v>
      </c>
      <c r="Y33" s="115">
        <v>6.1982308608566287E-2</v>
      </c>
      <c r="Z33" s="115">
        <v>5.5808189032751747E-2</v>
      </c>
      <c r="AA33" s="115">
        <v>5.4505332685825143E-2</v>
      </c>
      <c r="AB33" s="115">
        <v>5.1110978770886689E-2</v>
      </c>
      <c r="AC33" s="115">
        <v>4.8784561359557263E-2</v>
      </c>
      <c r="AD33" s="115">
        <v>4.5917617998531272E-2</v>
      </c>
      <c r="AE33" s="115">
        <v>3.4999700949707377E-2</v>
      </c>
      <c r="AF33" s="115">
        <v>3.8845615907689757E-2</v>
      </c>
      <c r="AG33" s="115">
        <v>4.1520577799475357E-2</v>
      </c>
      <c r="AH33" s="115">
        <v>3.9616642018546172E-2</v>
      </c>
      <c r="AI33" s="115">
        <v>3.096770221144917E-2</v>
      </c>
      <c r="AJ33" s="115">
        <v>3.1844551859385291E-2</v>
      </c>
      <c r="AK33" s="115">
        <v>3.2323470310117737E-2</v>
      </c>
      <c r="AL33" s="115">
        <v>3.2786810154051382E-2</v>
      </c>
      <c r="AM33" s="115">
        <v>3.2308698164593537E-2</v>
      </c>
      <c r="AN33" s="115">
        <v>2.916273021187064E-2</v>
      </c>
      <c r="AO33" s="115">
        <v>3.4035069323635807E-2</v>
      </c>
      <c r="AP33" s="115">
        <v>3.2689647639323152E-2</v>
      </c>
    </row>
    <row r="34" spans="1:42" ht="14.45" customHeight="1" x14ac:dyDescent="0.25">
      <c r="A34" s="118" t="s">
        <v>188</v>
      </c>
      <c r="B34" s="119"/>
      <c r="C34" s="120">
        <v>0.17042925481568649</v>
      </c>
      <c r="D34" s="120">
        <v>0.15368450613053081</v>
      </c>
      <c r="E34" s="120">
        <v>0.15520336196214959</v>
      </c>
      <c r="F34" s="120">
        <v>0.1571165454631874</v>
      </c>
      <c r="G34" s="120">
        <v>0.1500331522856595</v>
      </c>
      <c r="H34" s="120">
        <v>0.16481183896908469</v>
      </c>
      <c r="I34" s="120">
        <v>0.16801430677679469</v>
      </c>
      <c r="J34" s="120">
        <v>0.17241057799633969</v>
      </c>
      <c r="K34" s="120">
        <v>0.17256049971965429</v>
      </c>
      <c r="L34" s="120">
        <v>0.15555125684117169</v>
      </c>
      <c r="M34" s="120">
        <v>0.1524318685617421</v>
      </c>
      <c r="N34" s="120">
        <v>0.1773923494440735</v>
      </c>
      <c r="O34" s="120">
        <v>0.15707871525561429</v>
      </c>
      <c r="P34" s="120">
        <v>0.14178441796430599</v>
      </c>
      <c r="Q34" s="120">
        <v>0.13769316042356239</v>
      </c>
      <c r="R34" s="120">
        <v>0.13256383439826491</v>
      </c>
      <c r="S34" s="120">
        <v>0.14375701713780059</v>
      </c>
      <c r="T34" s="120">
        <v>0.1108265462856956</v>
      </c>
      <c r="U34" s="120">
        <v>0.12044857145437959</v>
      </c>
      <c r="V34" s="120">
        <v>0.1096182888497674</v>
      </c>
      <c r="W34" s="120">
        <v>0.1225508069018795</v>
      </c>
      <c r="X34" s="120">
        <v>0.12519346361627981</v>
      </c>
      <c r="Y34" s="120">
        <v>0.1234726560141399</v>
      </c>
      <c r="Z34" s="120">
        <v>0.1181433305356266</v>
      </c>
      <c r="AA34" s="120">
        <v>0.11452991331270231</v>
      </c>
      <c r="AB34" s="120">
        <v>0.1101362512263237</v>
      </c>
      <c r="AC34" s="120">
        <v>0.100144358091575</v>
      </c>
      <c r="AD34" s="120">
        <v>0.1017030191474413</v>
      </c>
      <c r="AE34" s="120">
        <v>9.0002685089861423E-2</v>
      </c>
      <c r="AF34" s="120">
        <v>9.2448839220810292E-2</v>
      </c>
      <c r="AG34" s="120">
        <v>9.2740249517059975E-2</v>
      </c>
      <c r="AH34" s="120">
        <v>9.2626655777347758E-2</v>
      </c>
      <c r="AI34" s="120">
        <v>8.0415876594124497E-2</v>
      </c>
      <c r="AJ34" s="120">
        <v>8.328994851172894E-2</v>
      </c>
      <c r="AK34" s="120">
        <v>8.236900589697177E-2</v>
      </c>
      <c r="AL34" s="120">
        <v>8.2101008018917856E-2</v>
      </c>
      <c r="AM34" s="120">
        <v>8.6699363345162636E-2</v>
      </c>
      <c r="AN34" s="120">
        <v>8.0562365569956454E-2</v>
      </c>
      <c r="AO34" s="120">
        <v>8.5732956913484343E-2</v>
      </c>
      <c r="AP34" s="120">
        <v>8.7686333984861156E-2</v>
      </c>
    </row>
    <row r="35" spans="1:42" ht="14.45" customHeight="1" x14ac:dyDescent="0.25">
      <c r="A35" s="91" t="s">
        <v>189</v>
      </c>
      <c r="B35" s="116"/>
      <c r="C35" s="117">
        <v>1</v>
      </c>
      <c r="D35" s="117">
        <v>1</v>
      </c>
      <c r="E35" s="117">
        <v>1</v>
      </c>
      <c r="F35" s="117">
        <v>1</v>
      </c>
      <c r="G35" s="117">
        <v>1</v>
      </c>
      <c r="H35" s="117">
        <v>1</v>
      </c>
      <c r="I35" s="117">
        <v>0.99999999999999989</v>
      </c>
      <c r="J35" s="117">
        <v>1</v>
      </c>
      <c r="K35" s="117">
        <v>1</v>
      </c>
      <c r="L35" s="117">
        <v>1</v>
      </c>
      <c r="M35" s="117">
        <v>1</v>
      </c>
      <c r="N35" s="117">
        <v>1</v>
      </c>
      <c r="O35" s="117">
        <v>1</v>
      </c>
      <c r="P35" s="117">
        <v>1</v>
      </c>
      <c r="Q35" s="117">
        <v>1</v>
      </c>
      <c r="R35" s="117">
        <v>1</v>
      </c>
      <c r="S35" s="117">
        <v>0.99999999999999989</v>
      </c>
      <c r="T35" s="117">
        <v>1</v>
      </c>
      <c r="U35" s="117">
        <v>1</v>
      </c>
      <c r="V35" s="117">
        <v>1</v>
      </c>
      <c r="W35" s="117">
        <v>1</v>
      </c>
      <c r="X35" s="117">
        <v>0.99999999999999989</v>
      </c>
      <c r="Y35" s="117">
        <v>1</v>
      </c>
      <c r="Z35" s="117">
        <v>1</v>
      </c>
      <c r="AA35" s="117">
        <v>1</v>
      </c>
      <c r="AB35" s="117">
        <v>1</v>
      </c>
      <c r="AC35" s="117">
        <v>1</v>
      </c>
      <c r="AD35" s="117">
        <v>1.0023925559275051</v>
      </c>
      <c r="AE35" s="117">
        <v>1</v>
      </c>
      <c r="AF35" s="117">
        <v>1</v>
      </c>
      <c r="AG35" s="117">
        <v>1</v>
      </c>
      <c r="AH35" s="117">
        <v>1.009083016341336</v>
      </c>
      <c r="AI35" s="117">
        <v>1</v>
      </c>
      <c r="AJ35" s="117">
        <v>1</v>
      </c>
      <c r="AK35" s="117">
        <v>1</v>
      </c>
      <c r="AL35" s="117">
        <v>1.006695696237321</v>
      </c>
      <c r="AM35" s="117">
        <v>1</v>
      </c>
      <c r="AN35" s="117">
        <v>1</v>
      </c>
      <c r="AO35" s="117">
        <v>1</v>
      </c>
      <c r="AP35" s="117">
        <v>1.0000178548734879</v>
      </c>
    </row>
    <row r="36" spans="1:42" ht="14.45" customHeight="1" x14ac:dyDescent="0.25">
      <c r="A36" s="92"/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</row>
    <row r="37" spans="1:42" ht="14.45" customHeight="1" x14ac:dyDescent="0.25">
      <c r="A37" s="95" t="s">
        <v>190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121" t="s">
        <v>121</v>
      </c>
      <c r="AB37" s="121" t="s">
        <v>121</v>
      </c>
      <c r="AC37" s="121" t="s">
        <v>121</v>
      </c>
      <c r="AD37" s="121" t="s">
        <v>121</v>
      </c>
      <c r="AE37" s="95"/>
      <c r="AF37" s="121"/>
      <c r="AG37" s="121"/>
      <c r="AH37" s="121"/>
      <c r="AI37" s="95"/>
      <c r="AJ37" s="121"/>
      <c r="AK37" s="121"/>
      <c r="AL37" s="121"/>
      <c r="AM37" s="95"/>
      <c r="AN37" s="121"/>
      <c r="AO37" s="121"/>
      <c r="AP37" s="121"/>
    </row>
    <row r="38" spans="1:42" ht="14.45" customHeight="1" x14ac:dyDescent="0.25">
      <c r="A38" s="122" t="s">
        <v>191</v>
      </c>
      <c r="B38" s="80"/>
      <c r="C38" s="123"/>
      <c r="D38" s="123"/>
      <c r="E38" s="123"/>
      <c r="F38" s="123"/>
      <c r="G38" s="123"/>
      <c r="H38" s="123"/>
      <c r="I38" s="123"/>
      <c r="J38" s="123"/>
      <c r="K38" s="123">
        <v>0.20637211939990729</v>
      </c>
      <c r="L38" s="123">
        <v>5.4064218733098413E-2</v>
      </c>
      <c r="M38" s="123">
        <v>4.0274798785279183E-2</v>
      </c>
      <c r="N38" s="123">
        <v>3.7033227034255711E-2</v>
      </c>
      <c r="O38" s="123">
        <v>9.5263532763534275E-3</v>
      </c>
      <c r="P38" s="123">
        <v>-2.704439353776289E-3</v>
      </c>
      <c r="Q38" s="123">
        <v>4.344142654458949E-2</v>
      </c>
      <c r="R38" s="123">
        <v>-3.2563222028553107E-2</v>
      </c>
      <c r="S38" s="123">
        <v>3.5029544051503603E-2</v>
      </c>
      <c r="T38" s="123">
        <v>3.8357422153271432E-2</v>
      </c>
      <c r="U38" s="123">
        <v>3.5563011728799721E-2</v>
      </c>
      <c r="V38" s="123">
        <v>6.6405499803066759E-2</v>
      </c>
      <c r="W38" s="123">
        <v>4.1064399038871269E-2</v>
      </c>
      <c r="X38" s="123">
        <v>-6.0983046713003475E-4</v>
      </c>
      <c r="Y38" s="123">
        <v>-6.3761955366630207E-3</v>
      </c>
      <c r="Z38" s="123">
        <v>-1.9069843396828049E-2</v>
      </c>
      <c r="AA38" s="123" t="s">
        <v>192</v>
      </c>
      <c r="AB38" s="123" t="s">
        <v>192</v>
      </c>
      <c r="AC38" s="123" t="s">
        <v>192</v>
      </c>
      <c r="AD38" s="123" t="s">
        <v>192</v>
      </c>
      <c r="AE38" s="123">
        <v>-8.6977608924095895E-3</v>
      </c>
      <c r="AF38" s="123">
        <v>-2.0936670896297142E-2</v>
      </c>
      <c r="AG38" s="123">
        <v>1.7691353917803629E-3</v>
      </c>
      <c r="AH38" s="123">
        <v>1.49864973143008E-2</v>
      </c>
      <c r="AI38" s="123">
        <v>7.6324673418464162E-3</v>
      </c>
      <c r="AJ38" s="123">
        <v>-3.5051546391752231E-3</v>
      </c>
      <c r="AK38" s="123">
        <v>7.9998792471056568E-3</v>
      </c>
      <c r="AL38" s="123">
        <v>3.0027483772878449E-2</v>
      </c>
      <c r="AM38" s="123">
        <v>-5.1080359310512247E-2</v>
      </c>
      <c r="AN38" s="123">
        <v>-2.5863852679496309E-3</v>
      </c>
      <c r="AO38" s="123">
        <v>1.368652760515698E-2</v>
      </c>
      <c r="AP38" s="123">
        <v>3.5198274149139668E-2</v>
      </c>
    </row>
    <row r="39" spans="1:42" ht="14.45" customHeight="1" x14ac:dyDescent="0.25">
      <c r="A39" s="122" t="s">
        <v>193</v>
      </c>
      <c r="B39" s="80"/>
      <c r="C39" s="123"/>
      <c r="D39" s="123"/>
      <c r="E39" s="123"/>
      <c r="F39" s="123"/>
      <c r="G39" s="123"/>
      <c r="H39" s="123"/>
      <c r="I39" s="123"/>
      <c r="J39" s="123"/>
      <c r="K39" s="123">
        <v>0.17122141662018969</v>
      </c>
      <c r="L39" s="123">
        <v>-5.8038967210517822E-2</v>
      </c>
      <c r="M39" s="123">
        <v>-7.8426841667436853E-2</v>
      </c>
      <c r="N39" s="123">
        <v>-0.1209554939998285</v>
      </c>
      <c r="O39" s="123">
        <v>-1.5338827838827901E-2</v>
      </c>
      <c r="P39" s="123">
        <v>2.1349267742164502E-2</v>
      </c>
      <c r="Q39" s="123">
        <v>4.822798684691243E-2</v>
      </c>
      <c r="R39" s="123">
        <v>0.15823349510307019</v>
      </c>
      <c r="S39" s="123">
        <v>0.13085328993257381</v>
      </c>
      <c r="T39" s="123">
        <v>-6.6700815923310675E-2</v>
      </c>
      <c r="U39" s="123">
        <v>4.5062500427148988E-2</v>
      </c>
      <c r="V39" s="123">
        <v>0.11665880006055861</v>
      </c>
      <c r="W39" s="123">
        <v>6.1281302685143313E-2</v>
      </c>
      <c r="X39" s="123">
        <v>0.2093460875019599</v>
      </c>
      <c r="Y39" s="123">
        <v>-6.3761955366630207E-3</v>
      </c>
      <c r="Z39" s="123">
        <v>-4.5658094641861657E-3</v>
      </c>
      <c r="AA39" s="123" t="s">
        <v>192</v>
      </c>
      <c r="AB39" s="123" t="s">
        <v>192</v>
      </c>
      <c r="AC39" s="123" t="s">
        <v>192</v>
      </c>
      <c r="AD39" s="123" t="s">
        <v>192</v>
      </c>
      <c r="AE39" s="123">
        <v>-8.9057318806253005E-2</v>
      </c>
      <c r="AF39" s="123">
        <v>-8.8741868716735617E-2</v>
      </c>
      <c r="AG39" s="123">
        <v>-5.4097085940682077E-2</v>
      </c>
      <c r="AH39" s="123">
        <v>-1.536783660519125E-3</v>
      </c>
      <c r="AI39" s="123">
        <v>-3.9096109298917381E-2</v>
      </c>
      <c r="AJ39" s="123">
        <v>-3.5043601703508398E-2</v>
      </c>
      <c r="AK39" s="123">
        <v>-9.6610036796367371E-2</v>
      </c>
      <c r="AL39" s="123">
        <v>-4.5628320341592372E-2</v>
      </c>
      <c r="AM39" s="123">
        <v>-0.10961330315851631</v>
      </c>
      <c r="AN39" s="123">
        <v>-2.4042705224664781E-2</v>
      </c>
      <c r="AO39" s="123">
        <v>8.8569200103995271E-2</v>
      </c>
      <c r="AP39" s="123">
        <v>8.5214857975237646E-2</v>
      </c>
    </row>
    <row r="40" spans="1:42" ht="14.45" customHeight="1" x14ac:dyDescent="0.25">
      <c r="A40" s="91" t="s">
        <v>194</v>
      </c>
      <c r="B40" s="83"/>
      <c r="C40" s="124"/>
      <c r="D40" s="124"/>
      <c r="E40" s="124"/>
      <c r="F40" s="124"/>
      <c r="G40" s="124"/>
      <c r="H40" s="124"/>
      <c r="I40" s="124"/>
      <c r="J40" s="124"/>
      <c r="K40" s="84">
        <v>0.19631901840490801</v>
      </c>
      <c r="L40" s="84">
        <v>1.8079096045197751E-2</v>
      </c>
      <c r="M40" s="84">
        <v>-1.152073732718861E-3</v>
      </c>
      <c r="N40" s="84">
        <v>-4.8019207683075438E-3</v>
      </c>
      <c r="O40" s="84">
        <v>2.564102564102555E-3</v>
      </c>
      <c r="P40" s="84">
        <v>4.4395116537181423E-3</v>
      </c>
      <c r="Q40" s="84">
        <v>4.4982698961937517E-2</v>
      </c>
      <c r="R40" s="84">
        <v>1.2062726176116589E-2</v>
      </c>
      <c r="S40" s="84">
        <v>6.13810741687979E-2</v>
      </c>
      <c r="T40" s="84">
        <v>6.6298342541435407E-3</v>
      </c>
      <c r="U40" s="84">
        <v>3.8631346578366532E-2</v>
      </c>
      <c r="V40" s="84">
        <v>7.9856972586412223E-2</v>
      </c>
      <c r="W40" s="84">
        <v>4.6987951807228923E-2</v>
      </c>
      <c r="X40" s="84">
        <v>5.8177826564215218E-2</v>
      </c>
      <c r="Y40" s="84">
        <v>-6.3761955366630207E-3</v>
      </c>
      <c r="Z40" s="84">
        <v>-1.505518763796942E-2</v>
      </c>
      <c r="AA40" s="84" t="s">
        <v>192</v>
      </c>
      <c r="AB40" s="84" t="s">
        <v>192</v>
      </c>
      <c r="AC40" s="84" t="s">
        <v>192</v>
      </c>
      <c r="AD40" s="84" t="s">
        <v>192</v>
      </c>
      <c r="AE40" s="84">
        <v>-3.063143542244573E-2</v>
      </c>
      <c r="AF40" s="84">
        <v>-3.9965563023815383E-2</v>
      </c>
      <c r="AG40" s="84">
        <v>-1.442973556221216E-2</v>
      </c>
      <c r="AH40" s="84">
        <v>1.1180138409884849E-2</v>
      </c>
      <c r="AI40" s="84">
        <v>-4.3530980962775967E-3</v>
      </c>
      <c r="AJ40" s="84">
        <v>-1.1906434012209029E-2</v>
      </c>
      <c r="AK40" s="84">
        <v>-2.1111801039249482E-2</v>
      </c>
      <c r="AL40" s="84">
        <v>1.281834095657497E-2</v>
      </c>
      <c r="AM40" s="84">
        <v>-6.5569777496315762E-2</v>
      </c>
      <c r="AN40" s="84">
        <v>-8.1681300777449728E-3</v>
      </c>
      <c r="AO40" s="84">
        <v>3.2918238573765413E-2</v>
      </c>
      <c r="AP40" s="84">
        <v>4.5918822479929178E-2</v>
      </c>
    </row>
    <row r="41" spans="1:42" ht="14.45" customHeight="1" x14ac:dyDescent="0.25">
      <c r="A41" s="92"/>
      <c r="B41" s="89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</row>
    <row r="42" spans="1:42" ht="14.45" customHeight="1" x14ac:dyDescent="0.25">
      <c r="A42" s="125" t="s">
        <v>195</v>
      </c>
      <c r="B42" s="126"/>
      <c r="C42" s="127"/>
      <c r="D42" s="127"/>
      <c r="E42" s="127"/>
      <c r="F42" s="127"/>
      <c r="G42" s="128">
        <v>46.552799999999998</v>
      </c>
      <c r="H42" s="128">
        <v>60.091500000000003</v>
      </c>
      <c r="I42" s="128">
        <v>56.506799999999998</v>
      </c>
      <c r="J42" s="128">
        <v>61.2423</v>
      </c>
      <c r="K42" s="128">
        <v>56.16</v>
      </c>
      <c r="L42" s="128">
        <v>63.340299999999992</v>
      </c>
      <c r="M42" s="128">
        <v>58.782600000000009</v>
      </c>
      <c r="N42" s="128">
        <v>63.510300000000001</v>
      </c>
      <c r="O42" s="128">
        <v>56.695</v>
      </c>
      <c r="P42" s="128">
        <v>63.168999999999997</v>
      </c>
      <c r="Q42" s="128">
        <v>61.336199999999998</v>
      </c>
      <c r="R42" s="128">
        <v>61.442199999999993</v>
      </c>
      <c r="S42" s="128">
        <v>58.680999999999997</v>
      </c>
      <c r="T42" s="128">
        <v>65.591999999999999</v>
      </c>
      <c r="U42" s="128">
        <v>63.517499999999998</v>
      </c>
      <c r="V42" s="128">
        <v>65.522299999999973</v>
      </c>
      <c r="W42" s="128">
        <v>61.090699999999998</v>
      </c>
      <c r="X42" s="128">
        <v>65.552000000000007</v>
      </c>
      <c r="Y42" s="128">
        <v>63.112499999999997</v>
      </c>
      <c r="Z42" s="128">
        <v>64.272799999999989</v>
      </c>
      <c r="AA42" s="129">
        <v>61.854999999999997</v>
      </c>
      <c r="AB42" s="129">
        <v>69.352000000000004</v>
      </c>
      <c r="AC42" s="129">
        <v>66.134</v>
      </c>
      <c r="AD42" s="128">
        <v>67.394000000000005</v>
      </c>
      <c r="AE42" s="129">
        <v>61.317</v>
      </c>
      <c r="AF42" s="129">
        <v>67.900000000000006</v>
      </c>
      <c r="AG42" s="129">
        <v>66.251000000000005</v>
      </c>
      <c r="AH42" s="128">
        <v>68.403999999999996</v>
      </c>
      <c r="AI42" s="129">
        <v>61.784999999999997</v>
      </c>
      <c r="AJ42" s="129">
        <v>67.662000000000006</v>
      </c>
      <c r="AK42" s="129">
        <v>66.781000000000006</v>
      </c>
      <c r="AL42" s="128">
        <v>70.45799999999997</v>
      </c>
      <c r="AM42" s="129">
        <v>58.628999999999998</v>
      </c>
      <c r="AN42" s="129">
        <v>67.486999999999995</v>
      </c>
      <c r="AO42" s="129">
        <v>67.694999999999993</v>
      </c>
      <c r="AP42" s="128">
        <v>72.938000000000045</v>
      </c>
    </row>
    <row r="43" spans="1:42" ht="14.45" customHeight="1" x14ac:dyDescent="0.25">
      <c r="A43" s="130" t="s">
        <v>196</v>
      </c>
      <c r="B43" s="131"/>
      <c r="C43" s="132"/>
      <c r="D43" s="132"/>
      <c r="E43" s="132"/>
      <c r="F43" s="132"/>
      <c r="G43" s="133">
        <v>18.647200000000002</v>
      </c>
      <c r="H43" s="133">
        <v>28.4085</v>
      </c>
      <c r="I43" s="133">
        <v>30.293199999999999</v>
      </c>
      <c r="J43" s="133">
        <v>22.057700000000029</v>
      </c>
      <c r="K43" s="133">
        <v>21.84</v>
      </c>
      <c r="L43" s="133">
        <v>26.759699999999999</v>
      </c>
      <c r="M43" s="133">
        <v>27.917400000000001</v>
      </c>
      <c r="N43" s="133">
        <v>19.389700000000001</v>
      </c>
      <c r="O43" s="133">
        <v>21.504999999999999</v>
      </c>
      <c r="P43" s="133">
        <v>27.331</v>
      </c>
      <c r="Q43" s="133">
        <v>29.263799999999989</v>
      </c>
      <c r="R43" s="133">
        <v>22.45780000000001</v>
      </c>
      <c r="S43" s="133">
        <v>24.318999999999999</v>
      </c>
      <c r="T43" s="133">
        <v>25.507999999999999</v>
      </c>
      <c r="U43" s="133">
        <v>30.582499999999989</v>
      </c>
      <c r="V43" s="133">
        <v>25.077700000000021</v>
      </c>
      <c r="W43" s="133">
        <v>25.8093</v>
      </c>
      <c r="X43" s="133">
        <v>30.847999999999999</v>
      </c>
      <c r="Y43" s="133">
        <v>30.387499999999999</v>
      </c>
      <c r="Z43" s="133">
        <v>24.963200000000001</v>
      </c>
      <c r="AA43" s="134">
        <v>23.221</v>
      </c>
      <c r="AB43" s="134">
        <v>27.056000000000001</v>
      </c>
      <c r="AC43" s="134">
        <v>27.007000000000001</v>
      </c>
      <c r="AD43" s="133">
        <v>20.172000000000001</v>
      </c>
      <c r="AE43" s="134">
        <v>21.152999999999999</v>
      </c>
      <c r="AF43" s="134">
        <v>24.655000000000001</v>
      </c>
      <c r="AG43" s="134">
        <v>25.545999999999999</v>
      </c>
      <c r="AH43" s="133">
        <v>20.141000000000009</v>
      </c>
      <c r="AI43" s="134">
        <v>20.326000000000001</v>
      </c>
      <c r="AJ43" s="134">
        <v>23.791</v>
      </c>
      <c r="AK43" s="134">
        <v>23.077999999999999</v>
      </c>
      <c r="AL43" s="133">
        <v>19.221999999999991</v>
      </c>
      <c r="AM43" s="134">
        <v>18.097999999999999</v>
      </c>
      <c r="AN43" s="134">
        <v>23.219000000000001</v>
      </c>
      <c r="AO43" s="134">
        <v>25.122</v>
      </c>
      <c r="AP43" s="133">
        <v>20.86000000000001</v>
      </c>
    </row>
    <row r="44" spans="1:42" ht="14.45" customHeight="1" x14ac:dyDescent="0.25">
      <c r="A44" s="135" t="s">
        <v>197</v>
      </c>
      <c r="B44" s="136"/>
      <c r="C44" s="137"/>
      <c r="D44" s="137"/>
      <c r="E44" s="137"/>
      <c r="F44" s="137"/>
      <c r="G44" s="138">
        <v>65.2</v>
      </c>
      <c r="H44" s="138">
        <v>88.5</v>
      </c>
      <c r="I44" s="138">
        <v>86.8</v>
      </c>
      <c r="J44" s="138">
        <v>83.3</v>
      </c>
      <c r="K44" s="138">
        <v>78</v>
      </c>
      <c r="L44" s="138">
        <v>90.1</v>
      </c>
      <c r="M44" s="138">
        <v>86.7</v>
      </c>
      <c r="N44" s="139">
        <v>82.899999999999977</v>
      </c>
      <c r="O44" s="138">
        <v>78.2</v>
      </c>
      <c r="P44" s="138">
        <v>90.5</v>
      </c>
      <c r="Q44" s="138">
        <v>90.6</v>
      </c>
      <c r="R44" s="139">
        <v>83.900000000000034</v>
      </c>
      <c r="S44" s="138">
        <v>83</v>
      </c>
      <c r="T44" s="138">
        <v>91.1</v>
      </c>
      <c r="U44" s="138">
        <v>94.1</v>
      </c>
      <c r="V44" s="139">
        <v>90.600000000000023</v>
      </c>
      <c r="W44" s="138">
        <v>86.9</v>
      </c>
      <c r="X44" s="138">
        <v>96.4</v>
      </c>
      <c r="Y44" s="138">
        <v>93.5</v>
      </c>
      <c r="Z44" s="139">
        <v>89.23599999999999</v>
      </c>
      <c r="AA44" s="139">
        <v>85.075999999999993</v>
      </c>
      <c r="AB44" s="139">
        <v>96.408000000000001</v>
      </c>
      <c r="AC44" s="139">
        <v>93.141000000000005</v>
      </c>
      <c r="AD44" s="139">
        <v>87.566000000000031</v>
      </c>
      <c r="AE44" s="139">
        <v>82.47</v>
      </c>
      <c r="AF44" s="139">
        <v>92.555000000000007</v>
      </c>
      <c r="AG44" s="139">
        <v>91.796999999999997</v>
      </c>
      <c r="AH44" s="139">
        <v>88.545000000000016</v>
      </c>
      <c r="AI44" s="139">
        <v>82.11099999999999</v>
      </c>
      <c r="AJ44" s="139">
        <v>91.453000000000003</v>
      </c>
      <c r="AK44" s="139">
        <v>89.859000000000009</v>
      </c>
      <c r="AL44" s="139">
        <v>89.67999999999995</v>
      </c>
      <c r="AM44" s="139">
        <v>76.727000000000004</v>
      </c>
      <c r="AN44" s="139">
        <v>90.705999999999989</v>
      </c>
      <c r="AO44" s="139">
        <v>92.816999999999993</v>
      </c>
      <c r="AP44" s="139">
        <v>93.798000000000002</v>
      </c>
    </row>
    <row r="45" spans="1:42" ht="14.45" customHeight="1" x14ac:dyDescent="0.25">
      <c r="A45" s="125" t="s">
        <v>198</v>
      </c>
      <c r="B45" s="126"/>
      <c r="C45" s="127"/>
      <c r="D45" s="127"/>
      <c r="E45" s="127"/>
      <c r="F45" s="127"/>
      <c r="G45" s="127"/>
      <c r="H45" s="127"/>
      <c r="I45" s="127"/>
      <c r="J45" s="127"/>
      <c r="K45" s="128">
        <v>12.2</v>
      </c>
      <c r="L45" s="129">
        <v>25.9</v>
      </c>
      <c r="M45" s="129">
        <v>10.6</v>
      </c>
      <c r="N45" s="129">
        <v>0</v>
      </c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</row>
    <row r="46" spans="1:42" ht="14.45" customHeight="1" x14ac:dyDescent="0.25">
      <c r="A46" s="125" t="s">
        <v>199</v>
      </c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9">
        <v>4.5999999999999996</v>
      </c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</row>
    <row r="47" spans="1:42" ht="14.45" customHeight="1" x14ac:dyDescent="0.25">
      <c r="A47" s="110" t="s">
        <v>200</v>
      </c>
      <c r="B47" s="140"/>
      <c r="C47" s="141"/>
      <c r="D47" s="141"/>
      <c r="E47" s="141"/>
      <c r="F47" s="141"/>
      <c r="G47" s="142">
        <v>65.2</v>
      </c>
      <c r="H47" s="142">
        <v>88.5</v>
      </c>
      <c r="I47" s="142">
        <v>86.8</v>
      </c>
      <c r="J47" s="142">
        <v>83.3</v>
      </c>
      <c r="K47" s="142">
        <v>65.8</v>
      </c>
      <c r="L47" s="142">
        <v>64.199999999999989</v>
      </c>
      <c r="M47" s="142">
        <v>76.100000000000009</v>
      </c>
      <c r="N47" s="142">
        <v>82.899999999999977</v>
      </c>
      <c r="O47" s="142">
        <v>78.2</v>
      </c>
      <c r="P47" s="142">
        <v>90.5</v>
      </c>
      <c r="Q47" s="142">
        <v>90.6</v>
      </c>
      <c r="R47" s="142">
        <v>83.900000000000034</v>
      </c>
      <c r="S47" s="142">
        <v>83</v>
      </c>
      <c r="T47" s="142">
        <v>91.1</v>
      </c>
      <c r="U47" s="142">
        <v>94.1</v>
      </c>
      <c r="V47" s="142">
        <v>86.000000000000028</v>
      </c>
      <c r="W47" s="142">
        <v>86.9</v>
      </c>
      <c r="X47" s="142">
        <v>96.4</v>
      </c>
      <c r="Y47" s="142">
        <v>93.5</v>
      </c>
      <c r="Z47" s="142">
        <v>89.23599999999999</v>
      </c>
      <c r="AA47" s="142">
        <v>85.075999999999993</v>
      </c>
      <c r="AB47" s="142">
        <v>96.408000000000001</v>
      </c>
      <c r="AC47" s="142">
        <v>93.141000000000005</v>
      </c>
      <c r="AD47" s="142">
        <v>87.566000000000031</v>
      </c>
      <c r="AE47" s="142">
        <v>82.47</v>
      </c>
      <c r="AF47" s="142">
        <v>92.555000000000007</v>
      </c>
      <c r="AG47" s="142">
        <v>91.796999999999997</v>
      </c>
      <c r="AH47" s="142">
        <v>88.545000000000016</v>
      </c>
      <c r="AI47" s="142">
        <v>82.11099999999999</v>
      </c>
      <c r="AJ47" s="142">
        <v>91.453000000000003</v>
      </c>
      <c r="AK47" s="142">
        <v>89.859000000000009</v>
      </c>
      <c r="AL47" s="142">
        <v>89.67999999999995</v>
      </c>
      <c r="AM47" s="142">
        <v>76.727000000000004</v>
      </c>
      <c r="AN47" s="142">
        <v>90.705999999999989</v>
      </c>
      <c r="AO47" s="142">
        <v>92.816999999999993</v>
      </c>
      <c r="AP47" s="142">
        <v>93.798000000000002</v>
      </c>
    </row>
    <row r="48" spans="1:42" ht="14.45" customHeight="1" x14ac:dyDescent="0.25">
      <c r="A48" s="92"/>
      <c r="B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</row>
    <row r="49" spans="1:42" ht="14.45" customHeight="1" x14ac:dyDescent="0.25">
      <c r="A49" s="143" t="s">
        <v>201</v>
      </c>
      <c r="B49" s="80"/>
      <c r="C49" s="144">
        <v>0.72899999999999998</v>
      </c>
      <c r="D49" s="144">
        <v>0.69699999999999995</v>
      </c>
      <c r="E49" s="144">
        <v>0.67400000000000004</v>
      </c>
      <c r="F49" s="123"/>
      <c r="G49" s="144">
        <v>0.71399999999999997</v>
      </c>
      <c r="H49" s="144">
        <v>0.67900000000000005</v>
      </c>
      <c r="I49" s="144">
        <v>0.65100000000000002</v>
      </c>
      <c r="J49" s="81">
        <v>0.73520168067226899</v>
      </c>
      <c r="K49" s="144">
        <v>0.72</v>
      </c>
      <c r="L49" s="144">
        <v>0.70299999999999996</v>
      </c>
      <c r="M49" s="144">
        <v>0.67800000000000005</v>
      </c>
      <c r="N49" s="81">
        <v>0.76610735826296761</v>
      </c>
      <c r="O49" s="144">
        <v>0.72499999999999998</v>
      </c>
      <c r="P49" s="144">
        <v>0.69799999999999995</v>
      </c>
      <c r="Q49" s="144">
        <v>0.67700000000000005</v>
      </c>
      <c r="R49" s="81">
        <v>0.73232657926102451</v>
      </c>
      <c r="S49" s="144">
        <v>0.70699999999999996</v>
      </c>
      <c r="T49" s="144">
        <v>0.72</v>
      </c>
      <c r="U49" s="144">
        <v>0.67500000000000004</v>
      </c>
      <c r="V49" s="81">
        <v>0.72320419426048521</v>
      </c>
      <c r="W49" s="144">
        <v>0.70299999999999996</v>
      </c>
      <c r="X49" s="144">
        <v>0.68</v>
      </c>
      <c r="Y49" s="144">
        <v>0.67500000000000004</v>
      </c>
      <c r="Z49" s="81">
        <v>0.7202563987628311</v>
      </c>
      <c r="AA49" s="81">
        <v>0.72705580892378585</v>
      </c>
      <c r="AB49" s="81">
        <v>0.71935938926230192</v>
      </c>
      <c r="AC49" s="81">
        <v>0.71004176463641144</v>
      </c>
      <c r="AD49" s="81">
        <v>0.76963661695178476</v>
      </c>
      <c r="AE49" s="81">
        <v>0.74350672971989817</v>
      </c>
      <c r="AF49" s="81">
        <v>0.73361784884663173</v>
      </c>
      <c r="AG49" s="81">
        <v>0.72171203851977739</v>
      </c>
      <c r="AH49" s="81">
        <v>0.77253373990626217</v>
      </c>
      <c r="AI49" s="81">
        <v>0.75245703986067647</v>
      </c>
      <c r="AJ49" s="81">
        <v>0.739855444873323</v>
      </c>
      <c r="AK49" s="81">
        <v>0.74317541926796427</v>
      </c>
      <c r="AL49" s="81">
        <v>0.78566012488849257</v>
      </c>
      <c r="AM49" s="81">
        <v>0.76412475399794066</v>
      </c>
      <c r="AN49" s="81">
        <v>0.74401913875598091</v>
      </c>
      <c r="AO49" s="81">
        <v>0.72933837551310643</v>
      </c>
      <c r="AP49" s="81">
        <v>0.77760719844772852</v>
      </c>
    </row>
    <row r="50" spans="1:42" ht="14.45" customHeight="1" x14ac:dyDescent="0.25">
      <c r="A50" s="145" t="s">
        <v>202</v>
      </c>
      <c r="B50" s="86"/>
      <c r="C50" s="87">
        <v>0.27100000000000002</v>
      </c>
      <c r="D50" s="87">
        <v>0.30299999999999999</v>
      </c>
      <c r="E50" s="87">
        <v>0.32600000000000001</v>
      </c>
      <c r="F50" s="146"/>
      <c r="G50" s="87">
        <v>0.28599999999999998</v>
      </c>
      <c r="H50" s="87">
        <v>0.32100000000000001</v>
      </c>
      <c r="I50" s="87">
        <v>0.34899999999999998</v>
      </c>
      <c r="J50" s="87">
        <v>0.26479831932773101</v>
      </c>
      <c r="K50" s="87">
        <v>0.28000000000000003</v>
      </c>
      <c r="L50" s="87">
        <v>0.29699999999999999</v>
      </c>
      <c r="M50" s="87">
        <v>0.32200000000000001</v>
      </c>
      <c r="N50" s="87">
        <v>0.23389264173703239</v>
      </c>
      <c r="O50" s="87">
        <v>0.27500000000000002</v>
      </c>
      <c r="P50" s="87">
        <v>0.30199999999999999</v>
      </c>
      <c r="Q50" s="87">
        <v>0.32300000000000001</v>
      </c>
      <c r="R50" s="87">
        <v>0.26767342073897549</v>
      </c>
      <c r="S50" s="87">
        <v>0.29299999999999998</v>
      </c>
      <c r="T50" s="87">
        <v>0.28000000000000003</v>
      </c>
      <c r="U50" s="87">
        <v>0.32500000000000001</v>
      </c>
      <c r="V50" s="87">
        <v>0.27679580573951479</v>
      </c>
      <c r="W50" s="87">
        <v>0.29699999999999999</v>
      </c>
      <c r="X50" s="87">
        <v>0.32</v>
      </c>
      <c r="Y50" s="87">
        <v>0.32500000000000001</v>
      </c>
      <c r="Z50" s="87">
        <v>0.2797436012371689</v>
      </c>
      <c r="AA50" s="87">
        <v>0.27294419107621409</v>
      </c>
      <c r="AB50" s="87">
        <v>0.28064061073769808</v>
      </c>
      <c r="AC50" s="87">
        <v>0.28995823536358861</v>
      </c>
      <c r="AD50" s="87">
        <v>0.23036338304821519</v>
      </c>
      <c r="AE50" s="87">
        <v>0.25649327028010183</v>
      </c>
      <c r="AF50" s="87">
        <v>0.26638215115336827</v>
      </c>
      <c r="AG50" s="87">
        <v>0.27828796148022261</v>
      </c>
      <c r="AH50" s="87">
        <v>0.2274662600937378</v>
      </c>
      <c r="AI50" s="87">
        <v>0.2475429601393235</v>
      </c>
      <c r="AJ50" s="87">
        <v>0.260144555126677</v>
      </c>
      <c r="AK50" s="87">
        <v>0.25682458073203568</v>
      </c>
      <c r="AL50" s="87">
        <v>0.2143398751115074</v>
      </c>
      <c r="AM50" s="87">
        <v>0.23587524600205931</v>
      </c>
      <c r="AN50" s="87">
        <v>0.25598086124401909</v>
      </c>
      <c r="AO50" s="87">
        <v>0.27066162448689363</v>
      </c>
      <c r="AP50" s="87">
        <v>0.22239280155227151</v>
      </c>
    </row>
    <row r="51" spans="1:42" ht="14.45" customHeight="1" x14ac:dyDescent="0.25">
      <c r="A51" s="93" t="s">
        <v>203</v>
      </c>
      <c r="B51" s="89"/>
      <c r="C51" s="147">
        <v>1</v>
      </c>
      <c r="D51" s="147">
        <v>1</v>
      </c>
      <c r="E51" s="147">
        <v>1</v>
      </c>
      <c r="F51" s="90"/>
      <c r="G51" s="147">
        <v>1</v>
      </c>
      <c r="H51" s="147">
        <v>1</v>
      </c>
      <c r="I51" s="147">
        <v>1</v>
      </c>
      <c r="J51" s="147">
        <v>1</v>
      </c>
      <c r="K51" s="147">
        <v>1</v>
      </c>
      <c r="L51" s="147">
        <v>1</v>
      </c>
      <c r="M51" s="147">
        <v>1</v>
      </c>
      <c r="N51" s="147">
        <v>1</v>
      </c>
      <c r="O51" s="147">
        <v>1</v>
      </c>
      <c r="P51" s="147">
        <v>1</v>
      </c>
      <c r="Q51" s="147">
        <v>1</v>
      </c>
      <c r="R51" s="147">
        <v>1</v>
      </c>
      <c r="S51" s="147">
        <v>1</v>
      </c>
      <c r="T51" s="147">
        <v>1</v>
      </c>
      <c r="U51" s="147">
        <v>1</v>
      </c>
      <c r="V51" s="147">
        <v>1</v>
      </c>
      <c r="W51" s="147">
        <v>1</v>
      </c>
      <c r="X51" s="147">
        <v>1</v>
      </c>
      <c r="Y51" s="147">
        <v>1</v>
      </c>
      <c r="Z51" s="147">
        <v>1</v>
      </c>
      <c r="AA51" s="147">
        <v>1</v>
      </c>
      <c r="AB51" s="147">
        <v>1</v>
      </c>
      <c r="AC51" s="147">
        <v>1</v>
      </c>
      <c r="AD51" s="147">
        <v>1</v>
      </c>
      <c r="AE51" s="147">
        <v>1</v>
      </c>
      <c r="AF51" s="147">
        <v>1</v>
      </c>
      <c r="AG51" s="147">
        <v>1</v>
      </c>
      <c r="AH51" s="147">
        <v>1</v>
      </c>
      <c r="AI51" s="147">
        <v>1</v>
      </c>
      <c r="AJ51" s="147">
        <v>1</v>
      </c>
      <c r="AK51" s="147">
        <v>1</v>
      </c>
      <c r="AL51" s="147">
        <v>1</v>
      </c>
      <c r="AM51" s="147">
        <v>1</v>
      </c>
      <c r="AN51" s="147">
        <v>1</v>
      </c>
      <c r="AO51" s="147">
        <v>1</v>
      </c>
      <c r="AP51" s="147">
        <v>1</v>
      </c>
    </row>
    <row r="52" spans="1:42" ht="14.45" customHeight="1" x14ac:dyDescent="0.25">
      <c r="A52" s="92"/>
      <c r="B52" s="89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</row>
    <row r="53" spans="1:42" ht="14.45" customHeight="1" x14ac:dyDescent="0.25">
      <c r="A53" s="122" t="s">
        <v>204</v>
      </c>
      <c r="B53" s="80"/>
      <c r="C53" s="123"/>
      <c r="D53" s="123"/>
      <c r="E53" s="123"/>
      <c r="F53" s="123"/>
      <c r="G53" s="123"/>
      <c r="H53" s="123"/>
      <c r="I53" s="123"/>
      <c r="J53" s="123"/>
      <c r="K53" s="123">
        <v>-3.224790057065563E-2</v>
      </c>
      <c r="L53" s="123">
        <v>-5.0878950511734633E-3</v>
      </c>
      <c r="M53" s="123">
        <v>2.2314337072371959E-2</v>
      </c>
      <c r="N53" s="123">
        <v>-9.4207774566206881E-2</v>
      </c>
      <c r="O53" s="123">
        <v>3.6311924112215621E-2</v>
      </c>
      <c r="P53" s="123">
        <v>5.6857249044930391E-2</v>
      </c>
      <c r="Q53" s="123">
        <v>1.6827552501151199E-2</v>
      </c>
      <c r="R53" s="123">
        <v>0.19310211559295981</v>
      </c>
      <c r="S53" s="123">
        <v>4.0583114051030877E-2</v>
      </c>
      <c r="T53" s="123">
        <v>-4.6226428136214581E-3</v>
      </c>
      <c r="U53" s="123">
        <v>3.3278610649194018E-2</v>
      </c>
      <c r="V53" s="123">
        <v>2.8540036754050702E-2</v>
      </c>
      <c r="W53" s="123">
        <v>5.6541961343877567E-2</v>
      </c>
      <c r="X53" s="123">
        <v>8.7849103695045727E-2</v>
      </c>
      <c r="Y53" s="123">
        <v>0.1064653148187276</v>
      </c>
      <c r="Z53" s="123">
        <v>0.1120992627786654</v>
      </c>
      <c r="AA53" s="123" t="s">
        <v>192</v>
      </c>
      <c r="AB53" s="123" t="s">
        <v>192</v>
      </c>
      <c r="AC53" s="123" t="s">
        <v>192</v>
      </c>
      <c r="AD53" s="123" t="s">
        <v>192</v>
      </c>
      <c r="AE53" s="123">
        <v>0.19734172014777759</v>
      </c>
      <c r="AF53" s="123">
        <v>0.16590122307283489</v>
      </c>
      <c r="AG53" s="123">
        <v>6.4082938794231881E-2</v>
      </c>
      <c r="AH53" s="123">
        <v>4.5065591733715722E-2</v>
      </c>
      <c r="AI53" s="123">
        <v>2.6308917757866149E-2</v>
      </c>
      <c r="AJ53" s="123">
        <v>4.7912760643950232E-2</v>
      </c>
      <c r="AK53" s="123">
        <v>4.993059732205074E-2</v>
      </c>
      <c r="AL53" s="123">
        <v>4.5535910020097603E-2</v>
      </c>
      <c r="AM53" s="123">
        <v>3.3732910069569362E-2</v>
      </c>
      <c r="AN53" s="123">
        <v>3.2303618229728708E-2</v>
      </c>
      <c r="AO53" s="123">
        <v>3.2690702980623383E-2</v>
      </c>
      <c r="AP53" s="123">
        <v>2.7872351536548878E-2</v>
      </c>
    </row>
    <row r="54" spans="1:42" ht="14.45" customHeight="1" x14ac:dyDescent="0.25">
      <c r="A54" s="122" t="s">
        <v>205</v>
      </c>
      <c r="B54" s="80"/>
      <c r="C54" s="123"/>
      <c r="D54" s="123"/>
      <c r="E54" s="123"/>
      <c r="F54" s="123"/>
      <c r="G54" s="123"/>
      <c r="H54" s="123"/>
      <c r="I54" s="123"/>
      <c r="J54" s="123"/>
      <c r="K54" s="123">
        <v>7.0077837647645858E-2</v>
      </c>
      <c r="L54" s="123">
        <v>0.13084423616121299</v>
      </c>
      <c r="M54" s="123">
        <v>0.1311020288169715</v>
      </c>
      <c r="N54" s="123">
        <v>0.28247812008302131</v>
      </c>
      <c r="O54" s="123">
        <v>8.7661303569286808E-2</v>
      </c>
      <c r="P54" s="123">
        <v>4.9935572433715159E-2</v>
      </c>
      <c r="Q54" s="123">
        <v>4.3761938274900603E-2</v>
      </c>
      <c r="R54" s="123">
        <v>-0.1401857928871513</v>
      </c>
      <c r="S54" s="123">
        <v>-3.9598312373756113E-2</v>
      </c>
      <c r="T54" s="123">
        <v>9.4220492388592536E-3</v>
      </c>
      <c r="U54" s="123">
        <v>1.4512487738295171E-2</v>
      </c>
      <c r="V54" s="123">
        <v>2.4538728893608749E-2</v>
      </c>
      <c r="W54" s="123">
        <v>6.0337900212488423E-2</v>
      </c>
      <c r="X54" s="123">
        <v>3.9205668572638519E-2</v>
      </c>
      <c r="Y54" s="123">
        <v>9.0989997070056061E-2</v>
      </c>
      <c r="Z54" s="123">
        <v>8.281892768667376E-2</v>
      </c>
      <c r="AA54" s="123" t="s">
        <v>192</v>
      </c>
      <c r="AB54" s="123" t="s">
        <v>192</v>
      </c>
      <c r="AC54" s="123" t="s">
        <v>192</v>
      </c>
      <c r="AD54" s="123" t="s">
        <v>192</v>
      </c>
      <c r="AE54" s="123">
        <v>0.19557976507117131</v>
      </c>
      <c r="AF54" s="123">
        <v>0.1666368226777484</v>
      </c>
      <c r="AG54" s="123">
        <v>0.11044448577808</v>
      </c>
      <c r="AH54" s="123">
        <v>4.5400615682934083E-2</v>
      </c>
      <c r="AI54" s="123">
        <v>4.479949752236867E-2</v>
      </c>
      <c r="AJ54" s="123">
        <v>7.9391844461019545E-2</v>
      </c>
      <c r="AK54" s="123">
        <v>0.12534028543169229</v>
      </c>
      <c r="AL54" s="123">
        <v>0.13938057186741951</v>
      </c>
      <c r="AM54" s="123">
        <v>0.1176526916466949</v>
      </c>
      <c r="AN54" s="123">
        <v>7.366951434318425E-2</v>
      </c>
      <c r="AO54" s="123">
        <v>9.2570842147072785E-3</v>
      </c>
      <c r="AP54" s="123">
        <v>1.3572129650331281E-2</v>
      </c>
    </row>
    <row r="55" spans="1:42" ht="14.45" customHeight="1" x14ac:dyDescent="0.25">
      <c r="A55" s="91" t="s">
        <v>206</v>
      </c>
      <c r="B55" s="83"/>
      <c r="C55" s="124"/>
      <c r="D55" s="124"/>
      <c r="E55" s="124"/>
      <c r="F55" s="124"/>
      <c r="G55" s="124"/>
      <c r="H55" s="124"/>
      <c r="I55" s="124"/>
      <c r="J55" s="124"/>
      <c r="K55" s="84">
        <v>8.5079567125379008E-4</v>
      </c>
      <c r="L55" s="84">
        <v>3.6205124051494453E-2</v>
      </c>
      <c r="M55" s="84">
        <v>5.631902987422932E-2</v>
      </c>
      <c r="N55" s="84">
        <v>8.0196525769347105E-3</v>
      </c>
      <c r="O55" s="84">
        <v>5.2516659607612981E-2</v>
      </c>
      <c r="P55" s="84">
        <v>5.6310468246563827E-2</v>
      </c>
      <c r="Q55" s="84">
        <v>2.776821192052981E-2</v>
      </c>
      <c r="R55" s="84">
        <v>8.0776264105737905E-2</v>
      </c>
      <c r="S55" s="84">
        <v>1.789642899335853E-2</v>
      </c>
      <c r="T55" s="84">
        <v>-8.282946776790312E-3</v>
      </c>
      <c r="U55" s="84">
        <v>2.6452484776640309E-2</v>
      </c>
      <c r="V55" s="84">
        <v>3.0919413508262439E-2</v>
      </c>
      <c r="W55" s="84">
        <v>5.9576456167619092E-2</v>
      </c>
      <c r="X55" s="84">
        <v>8.5721586109031467E-2</v>
      </c>
      <c r="Y55" s="84">
        <v>0.100307860880646</v>
      </c>
      <c r="Z55" s="84">
        <v>0.1028479001296425</v>
      </c>
      <c r="AA55" s="84" t="s">
        <v>192</v>
      </c>
      <c r="AB55" s="84" t="s">
        <v>192</v>
      </c>
      <c r="AC55" s="84" t="s">
        <v>192</v>
      </c>
      <c r="AD55" s="84" t="s">
        <v>192</v>
      </c>
      <c r="AE55" s="84">
        <v>0.1864599375955365</v>
      </c>
      <c r="AF55" s="84">
        <v>0.1579750159040281</v>
      </c>
      <c r="AG55" s="84">
        <v>7.5652601052007773E-2</v>
      </c>
      <c r="AH55" s="84">
        <v>3.5875761709397658E-2</v>
      </c>
      <c r="AI55" s="84">
        <v>2.785867522413632E-2</v>
      </c>
      <c r="AJ55" s="84">
        <v>5.58390741088437E-2</v>
      </c>
      <c r="AK55" s="84">
        <v>6.5359362970812906E-2</v>
      </c>
      <c r="AL55" s="84">
        <v>6.9553271762550883E-2</v>
      </c>
      <c r="AM55" s="84">
        <v>5.5079437853737812E-2</v>
      </c>
      <c r="AN55" s="84">
        <v>4.4780554414235008E-2</v>
      </c>
      <c r="AO55" s="84">
        <v>3.1594070608428122E-2</v>
      </c>
      <c r="AP55" s="84">
        <v>3.6110564480009488E-2</v>
      </c>
    </row>
    <row r="56" spans="1:42" ht="14.45" customHeight="1" x14ac:dyDescent="0.25">
      <c r="A56" s="111"/>
      <c r="B56" s="136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</row>
    <row r="57" spans="1:42" ht="14.45" customHeight="1" x14ac:dyDescent="0.25">
      <c r="A57" s="148" t="s">
        <v>207</v>
      </c>
      <c r="B57" s="149"/>
      <c r="C57" s="150"/>
      <c r="D57" s="150"/>
      <c r="E57" s="150"/>
      <c r="F57" s="150"/>
      <c r="G57" s="150">
        <v>10.30571737897613</v>
      </c>
      <c r="H57" s="150">
        <v>10.111629764608971</v>
      </c>
      <c r="I57" s="150">
        <v>10.31221021186831</v>
      </c>
      <c r="J57" s="150">
        <v>10.050700251296901</v>
      </c>
      <c r="K57" s="150">
        <v>9.9733796296296298</v>
      </c>
      <c r="L57" s="150">
        <v>10.060182853570319</v>
      </c>
      <c r="M57" s="150">
        <v>10.542320346497091</v>
      </c>
      <c r="N57" s="150">
        <v>9.1038461477902022</v>
      </c>
      <c r="O57" s="150">
        <v>10.335532233883059</v>
      </c>
      <c r="P57" s="150">
        <v>10.632177175513309</v>
      </c>
      <c r="Q57" s="150">
        <v>10.719721795611729</v>
      </c>
      <c r="R57" s="150">
        <v>10.86181809896131</v>
      </c>
      <c r="S57" s="150">
        <v>10.75498031730884</v>
      </c>
      <c r="T57" s="150">
        <v>10.58302841809977</v>
      </c>
      <c r="U57" s="150">
        <v>11.07645924351557</v>
      </c>
      <c r="V57" s="150">
        <v>11.17181478672147</v>
      </c>
      <c r="W57" s="150">
        <v>11.36308799866428</v>
      </c>
      <c r="X57" s="150">
        <v>11.51273797900903</v>
      </c>
      <c r="Y57" s="150">
        <v>12.255717963953259</v>
      </c>
      <c r="Z57" s="150">
        <v>12.42416698821275</v>
      </c>
      <c r="AA57" s="150">
        <v>12.538743836391561</v>
      </c>
      <c r="AB57" s="150">
        <v>12.68795420463721</v>
      </c>
      <c r="AC57" s="150">
        <v>13.86823721535065</v>
      </c>
      <c r="AD57" s="150">
        <v>14.073953170905421</v>
      </c>
      <c r="AE57" s="150">
        <v>15.013161113557411</v>
      </c>
      <c r="AF57" s="150">
        <v>14.79290132547864</v>
      </c>
      <c r="AG57" s="150">
        <v>14.75695461200586</v>
      </c>
      <c r="AH57" s="150">
        <v>14.70820419858488</v>
      </c>
      <c r="AI57" s="150">
        <v>15.408141134579591</v>
      </c>
      <c r="AJ57" s="150">
        <v>15.501670065915871</v>
      </c>
      <c r="AK57" s="150">
        <v>15.4937781704377</v>
      </c>
      <c r="AL57" s="150">
        <v>15.37795566152886</v>
      </c>
      <c r="AM57" s="150">
        <v>15.9279025738116</v>
      </c>
      <c r="AN57" s="150">
        <v>16.002430097648439</v>
      </c>
      <c r="AO57" s="150">
        <v>16.00028067065514</v>
      </c>
      <c r="AP57" s="150">
        <v>15.80657544764045</v>
      </c>
    </row>
    <row r="58" spans="1:42" ht="14.45" customHeight="1" x14ac:dyDescent="0.25">
      <c r="A58" s="151" t="s">
        <v>208</v>
      </c>
      <c r="B58" s="152"/>
      <c r="C58" s="153"/>
      <c r="D58" s="153"/>
      <c r="E58" s="153"/>
      <c r="F58" s="153"/>
      <c r="G58" s="153">
        <v>13.73171307220387</v>
      </c>
      <c r="H58" s="153">
        <v>12.987486139711709</v>
      </c>
      <c r="I58" s="153">
        <v>12.6924524315688</v>
      </c>
      <c r="J58" s="153">
        <v>14.346962738635479</v>
      </c>
      <c r="K58" s="153">
        <v>14.694001831501829</v>
      </c>
      <c r="L58" s="153">
        <v>14.686823843316629</v>
      </c>
      <c r="M58" s="153">
        <v>14.35645869601038</v>
      </c>
      <c r="N58" s="153">
        <v>18.39966580194638</v>
      </c>
      <c r="O58" s="153">
        <v>15.982097186700759</v>
      </c>
      <c r="P58" s="153">
        <v>15.420218799165781</v>
      </c>
      <c r="Q58" s="153">
        <v>14.98472515531134</v>
      </c>
      <c r="R58" s="153">
        <v>15.82029406264193</v>
      </c>
      <c r="S58" s="153">
        <v>15.34923310991406</v>
      </c>
      <c r="T58" s="153">
        <v>15.565508859965499</v>
      </c>
      <c r="U58" s="153">
        <v>15.202190795389519</v>
      </c>
      <c r="V58" s="153">
        <v>16.208503969662271</v>
      </c>
      <c r="W58" s="153">
        <v>16.275373605638279</v>
      </c>
      <c r="X58" s="153">
        <v>16.175765041493779</v>
      </c>
      <c r="Y58" s="153">
        <v>16.585438091320452</v>
      </c>
      <c r="Z58" s="153">
        <v>17.55087488783489</v>
      </c>
      <c r="AA58" s="153">
        <v>20.15128547435511</v>
      </c>
      <c r="AB58" s="153">
        <v>19.94341366055589</v>
      </c>
      <c r="AC58" s="153">
        <v>20.303365794053391</v>
      </c>
      <c r="AD58" s="153">
        <v>23.205433273844939</v>
      </c>
      <c r="AE58" s="153">
        <v>24.09246915331159</v>
      </c>
      <c r="AF58" s="153">
        <v>23.266720746298919</v>
      </c>
      <c r="AG58" s="153">
        <v>22.545760588741871</v>
      </c>
      <c r="AH58" s="153">
        <v>24.258974231666741</v>
      </c>
      <c r="AI58" s="153">
        <v>25.171799665453111</v>
      </c>
      <c r="AJ58" s="153">
        <v>25.113908620907061</v>
      </c>
      <c r="AK58" s="153">
        <v>25.371652656209381</v>
      </c>
      <c r="AL58" s="153">
        <v>27.640203932993451</v>
      </c>
      <c r="AM58" s="153">
        <v>28.133329649685049</v>
      </c>
      <c r="AN58" s="153">
        <v>26.964038072268401</v>
      </c>
      <c r="AO58" s="153">
        <v>25.60652018151421</v>
      </c>
      <c r="AP58" s="153">
        <v>28.015340364333628</v>
      </c>
    </row>
    <row r="59" spans="1:42" ht="14.45" customHeight="1" x14ac:dyDescent="0.25">
      <c r="A59" s="154" t="s">
        <v>209</v>
      </c>
      <c r="B59" s="155"/>
      <c r="C59" s="156"/>
      <c r="D59" s="156"/>
      <c r="E59" s="156"/>
      <c r="F59" s="156"/>
      <c r="G59" s="156">
        <v>11.28555214723926</v>
      </c>
      <c r="H59" s="156">
        <v>11.03477966101695</v>
      </c>
      <c r="I59" s="156">
        <v>11.142914746543781</v>
      </c>
      <c r="J59" s="157">
        <v>11.18834333733494</v>
      </c>
      <c r="K59" s="156">
        <v>11.295153846153839</v>
      </c>
      <c r="L59" s="156">
        <v>11.43429522752497</v>
      </c>
      <c r="M59" s="156">
        <v>11.770472895040371</v>
      </c>
      <c r="N59" s="157">
        <v>11.278069963811831</v>
      </c>
      <c r="O59" s="156">
        <v>11.888337595907929</v>
      </c>
      <c r="P59" s="156">
        <v>12.078165745856349</v>
      </c>
      <c r="Q59" s="156">
        <v>12.0973178807947</v>
      </c>
      <c r="R59" s="157">
        <v>12.18907032181168</v>
      </c>
      <c r="S59" s="156">
        <v>12.101096385542171</v>
      </c>
      <c r="T59" s="156">
        <v>11.97812294182217</v>
      </c>
      <c r="U59" s="156">
        <v>12.4173219978746</v>
      </c>
      <c r="V59" s="157">
        <v>12.565949227373061</v>
      </c>
      <c r="W59" s="156">
        <v>12.82203682393556</v>
      </c>
      <c r="X59" s="156">
        <v>13.004906639004149</v>
      </c>
      <c r="Y59" s="156">
        <v>13.662877005347591</v>
      </c>
      <c r="Z59" s="157">
        <v>13.85833071854409</v>
      </c>
      <c r="AA59" s="156">
        <v>14.616542855799519</v>
      </c>
      <c r="AB59" s="156">
        <v>14.724130777528829</v>
      </c>
      <c r="AC59" s="156">
        <v>15.73415574236909</v>
      </c>
      <c r="AD59" s="157">
        <v>16.134538519516699</v>
      </c>
      <c r="AE59" s="156">
        <v>17.34194252455438</v>
      </c>
      <c r="AF59" s="156">
        <v>17.05017557128194</v>
      </c>
      <c r="AG59" s="156">
        <v>16.924485549636699</v>
      </c>
      <c r="AH59" s="157">
        <v>16.713377378733981</v>
      </c>
      <c r="AI59" s="156">
        <v>17.825066069101581</v>
      </c>
      <c r="AJ59" s="156">
        <v>18.002241588575551</v>
      </c>
      <c r="AK59" s="156">
        <v>18.030659143769679</v>
      </c>
      <c r="AL59" s="157">
        <v>17.875847457627131</v>
      </c>
      <c r="AM59" s="156">
        <v>18.80686068789344</v>
      </c>
      <c r="AN59" s="156">
        <v>18.808391947610961</v>
      </c>
      <c r="AO59" s="156">
        <v>18.600321061874439</v>
      </c>
      <c r="AP59" s="157">
        <v>18.52135439988059</v>
      </c>
    </row>
    <row r="60" spans="1:42" ht="14.45" customHeight="1" x14ac:dyDescent="0.25">
      <c r="A60" s="111"/>
      <c r="B60" s="108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</row>
    <row r="61" spans="1:42" ht="14.45" customHeight="1" x14ac:dyDescent="0.25">
      <c r="A61" s="95" t="s">
        <v>210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</row>
    <row r="62" spans="1:42" ht="14.45" customHeight="1" x14ac:dyDescent="0.25">
      <c r="A62" s="125" t="s">
        <v>211</v>
      </c>
      <c r="B62" s="97"/>
      <c r="C62" s="63"/>
      <c r="D62" s="63"/>
      <c r="E62" s="63"/>
      <c r="F62" s="63"/>
      <c r="G62" s="63"/>
      <c r="H62" s="63"/>
      <c r="I62" s="63"/>
      <c r="J62" s="63"/>
      <c r="K62" s="98">
        <v>1031.808</v>
      </c>
      <c r="L62" s="98">
        <v>1183.0830000000001</v>
      </c>
      <c r="M62" s="98">
        <v>1160.6479999999999</v>
      </c>
      <c r="N62" s="99">
        <v>1092.4059999999999</v>
      </c>
      <c r="O62" s="98">
        <v>1060.271</v>
      </c>
      <c r="P62" s="98">
        <v>1227.9770000000001</v>
      </c>
      <c r="Q62" s="98">
        <v>1224.653</v>
      </c>
      <c r="R62" s="99">
        <v>1136.136</v>
      </c>
      <c r="S62" s="98">
        <v>1132.4749999999999</v>
      </c>
      <c r="T62" s="98">
        <v>1188.4849999999999</v>
      </c>
      <c r="U62" s="98">
        <v>1286.5419999999999</v>
      </c>
      <c r="V62" s="99">
        <v>1235.432</v>
      </c>
      <c r="W62" s="98">
        <v>1225.212</v>
      </c>
      <c r="X62" s="98">
        <v>1388.991</v>
      </c>
      <c r="Y62" s="98">
        <v>1415.643</v>
      </c>
      <c r="Z62" s="99">
        <v>1359.598</v>
      </c>
      <c r="AA62" s="98">
        <v>1362.251</v>
      </c>
      <c r="AB62" s="98">
        <v>1550.2550000000001</v>
      </c>
      <c r="AC62" s="98">
        <v>1587.771</v>
      </c>
      <c r="AD62" s="99">
        <v>1534.6369999999999</v>
      </c>
      <c r="AE62" s="98">
        <v>1533.288</v>
      </c>
      <c r="AF62" s="98">
        <v>1701.49</v>
      </c>
      <c r="AG62" s="98">
        <v>1677.221</v>
      </c>
      <c r="AH62" s="99">
        <v>1598.1559999999999</v>
      </c>
      <c r="AI62" s="98">
        <v>1561.145</v>
      </c>
      <c r="AJ62" s="98">
        <v>1766.3910000000001</v>
      </c>
      <c r="AK62" s="98">
        <v>1736.2860000000001</v>
      </c>
      <c r="AL62" s="99">
        <v>1717.922</v>
      </c>
      <c r="AM62" s="98">
        <v>1555.7650000000001</v>
      </c>
      <c r="AN62" s="98">
        <v>1831.13</v>
      </c>
      <c r="AO62" s="98">
        <v>1861.7940000000001</v>
      </c>
      <c r="AP62" s="99">
        <v>1877.615</v>
      </c>
    </row>
    <row r="63" spans="1:42" ht="14.45" customHeight="1" x14ac:dyDescent="0.25">
      <c r="A63" s="96" t="s">
        <v>212</v>
      </c>
      <c r="B63" s="97"/>
      <c r="C63" s="63"/>
      <c r="D63" s="63"/>
      <c r="E63" s="63"/>
      <c r="F63" s="63"/>
      <c r="G63" s="63"/>
      <c r="H63" s="63"/>
      <c r="I63" s="63"/>
      <c r="J63" s="63"/>
      <c r="K63" s="98">
        <v>8.6140000000000008</v>
      </c>
      <c r="L63" s="98">
        <v>9.1989999999999998</v>
      </c>
      <c r="M63" s="98">
        <v>11.936</v>
      </c>
      <c r="N63" s="99">
        <v>14.624000000000001</v>
      </c>
      <c r="O63" s="98">
        <v>11.956</v>
      </c>
      <c r="P63" s="98">
        <v>10.907999999999999</v>
      </c>
      <c r="Q63" s="98">
        <v>11.608000000000001</v>
      </c>
      <c r="R63" s="99">
        <v>10.919</v>
      </c>
      <c r="S63" s="98">
        <v>10.106</v>
      </c>
      <c r="T63" s="98">
        <v>7.0389999999999997</v>
      </c>
      <c r="U63" s="98">
        <v>8.7289999999999992</v>
      </c>
      <c r="V63" s="99">
        <v>10.362</v>
      </c>
      <c r="W63" s="98">
        <v>9.8780000000000001</v>
      </c>
      <c r="X63" s="98">
        <v>10.923999999999999</v>
      </c>
      <c r="Y63" s="98">
        <v>11.327999999999999</v>
      </c>
      <c r="Z63" s="99">
        <v>11.09500000000001</v>
      </c>
      <c r="AA63" s="98">
        <v>10.97</v>
      </c>
      <c r="AB63" s="98">
        <v>11.759</v>
      </c>
      <c r="AC63" s="98">
        <v>12.294</v>
      </c>
      <c r="AD63" s="99">
        <v>11.42</v>
      </c>
      <c r="AE63" s="98">
        <v>12.124000000000001</v>
      </c>
      <c r="AF63" s="98">
        <v>13.372</v>
      </c>
      <c r="AG63" s="98">
        <v>13.839</v>
      </c>
      <c r="AH63" s="99">
        <v>13.132</v>
      </c>
      <c r="AI63" s="98">
        <v>13.567</v>
      </c>
      <c r="AJ63" s="98">
        <v>13.760999999999999</v>
      </c>
      <c r="AK63" s="98">
        <v>15.209</v>
      </c>
      <c r="AL63" s="99">
        <v>14.763999999999999</v>
      </c>
      <c r="AM63" s="98">
        <v>13.234999999999999</v>
      </c>
      <c r="AN63" s="98">
        <v>13.930999999999999</v>
      </c>
      <c r="AO63" s="98">
        <v>15.205</v>
      </c>
      <c r="AP63" s="99">
        <v>15.10700000000001</v>
      </c>
    </row>
    <row r="64" spans="1:42" ht="14.45" customHeight="1" x14ac:dyDescent="0.25">
      <c r="A64" s="100" t="s">
        <v>213</v>
      </c>
      <c r="B64" s="101"/>
      <c r="C64" s="158"/>
      <c r="D64" s="158"/>
      <c r="E64" s="158"/>
      <c r="F64" s="158"/>
      <c r="G64" s="158"/>
      <c r="H64" s="158"/>
      <c r="I64" s="158"/>
      <c r="J64" s="158"/>
      <c r="K64" s="102">
        <v>24.335000000000001</v>
      </c>
      <c r="L64" s="102">
        <v>27.721</v>
      </c>
      <c r="M64" s="102">
        <v>31.449000000000002</v>
      </c>
      <c r="N64" s="103">
        <v>29.541000000000011</v>
      </c>
      <c r="O64" s="102">
        <v>30.684999999999999</v>
      </c>
      <c r="P64" s="102">
        <v>34.774000000000001</v>
      </c>
      <c r="Q64" s="102">
        <v>34.768000000000001</v>
      </c>
      <c r="R64" s="103">
        <v>31.894000000000009</v>
      </c>
      <c r="S64" s="102">
        <v>30.44</v>
      </c>
      <c r="T64" s="102">
        <v>31.690999999999999</v>
      </c>
      <c r="U64" s="102">
        <v>33.213000000000001</v>
      </c>
      <c r="V64" s="103">
        <v>32.843000000000018</v>
      </c>
      <c r="W64" s="102">
        <v>34.767000000000003</v>
      </c>
      <c r="X64" s="102">
        <v>33.170999999999999</v>
      </c>
      <c r="Y64" s="102">
        <v>30.460999999999999</v>
      </c>
      <c r="Z64" s="103">
        <v>31.64599999999999</v>
      </c>
      <c r="AA64" s="102">
        <v>31.137</v>
      </c>
      <c r="AB64" s="102">
        <v>33.201000000000001</v>
      </c>
      <c r="AC64" s="102">
        <v>28.524000000000001</v>
      </c>
      <c r="AD64" s="103">
        <v>26.738</v>
      </c>
      <c r="AE64" s="102">
        <v>26.23</v>
      </c>
      <c r="AF64" s="102">
        <v>23.97</v>
      </c>
      <c r="AG64" s="102">
        <v>21.367999999999999</v>
      </c>
      <c r="AH64" s="103">
        <v>19.66800000000001</v>
      </c>
      <c r="AI64" s="102">
        <v>16.914000000000001</v>
      </c>
      <c r="AJ64" s="102">
        <v>15.791</v>
      </c>
      <c r="AK64" s="102">
        <v>14.157</v>
      </c>
      <c r="AL64" s="103">
        <v>13.808999999999999</v>
      </c>
      <c r="AM64" s="102">
        <v>10.977</v>
      </c>
      <c r="AN64" s="102">
        <v>10.458</v>
      </c>
      <c r="AO64" s="102">
        <v>11.318</v>
      </c>
      <c r="AP64" s="103">
        <v>11.52</v>
      </c>
    </row>
    <row r="65" spans="1:42" ht="14.45" customHeight="1" x14ac:dyDescent="0.25">
      <c r="A65" s="125" t="s">
        <v>214</v>
      </c>
      <c r="B65" s="97"/>
      <c r="C65" s="63"/>
      <c r="D65" s="63"/>
      <c r="E65" s="63"/>
      <c r="F65" s="63"/>
      <c r="G65" s="63"/>
      <c r="H65" s="63"/>
      <c r="I65" s="63"/>
      <c r="J65" s="63"/>
      <c r="K65" s="99">
        <v>32.948999999999998</v>
      </c>
      <c r="L65" s="99">
        <v>36.92</v>
      </c>
      <c r="M65" s="99">
        <v>43.385000000000012</v>
      </c>
      <c r="N65" s="99">
        <v>44.165000000000013</v>
      </c>
      <c r="O65" s="99">
        <v>42.640999999999998</v>
      </c>
      <c r="P65" s="99">
        <v>45.682000000000002</v>
      </c>
      <c r="Q65" s="99">
        <v>46.375999999999998</v>
      </c>
      <c r="R65" s="99">
        <v>42.813000000000009</v>
      </c>
      <c r="S65" s="99">
        <v>40.545999999999999</v>
      </c>
      <c r="T65" s="99">
        <v>38.729999999999997</v>
      </c>
      <c r="U65" s="99">
        <v>41.942</v>
      </c>
      <c r="V65" s="99">
        <v>43.205000000000013</v>
      </c>
      <c r="W65" s="99">
        <v>44.645000000000003</v>
      </c>
      <c r="X65" s="99">
        <v>44.094999999999999</v>
      </c>
      <c r="Y65" s="99">
        <v>41.789000000000001</v>
      </c>
      <c r="Z65" s="99">
        <v>42.740999999999993</v>
      </c>
      <c r="AA65" s="99">
        <v>42.106999999999999</v>
      </c>
      <c r="AB65" s="99">
        <v>44.96</v>
      </c>
      <c r="AC65" s="99">
        <v>40.817999999999998</v>
      </c>
      <c r="AD65" s="99">
        <v>38.158000000000001</v>
      </c>
      <c r="AE65" s="99">
        <v>38.353999999999999</v>
      </c>
      <c r="AF65" s="99">
        <v>37.341999999999999</v>
      </c>
      <c r="AG65" s="99">
        <v>35.207000000000001</v>
      </c>
      <c r="AH65" s="99">
        <v>32.799999999999997</v>
      </c>
      <c r="AI65" s="99">
        <v>30.481000000000002</v>
      </c>
      <c r="AJ65" s="99">
        <v>29.552</v>
      </c>
      <c r="AK65" s="99">
        <v>29.366</v>
      </c>
      <c r="AL65" s="99">
        <v>28.573000000000011</v>
      </c>
      <c r="AM65" s="99">
        <v>24.212</v>
      </c>
      <c r="AN65" s="99">
        <v>24.388999999999999</v>
      </c>
      <c r="AO65" s="99">
        <v>26.523</v>
      </c>
      <c r="AP65" s="99">
        <v>26.62700000000001</v>
      </c>
    </row>
    <row r="66" spans="1:42" ht="14.45" customHeight="1" x14ac:dyDescent="0.25">
      <c r="A66" s="110" t="s">
        <v>215</v>
      </c>
      <c r="B66" s="105"/>
      <c r="C66" s="159"/>
      <c r="D66" s="159"/>
      <c r="E66" s="159"/>
      <c r="F66" s="159"/>
      <c r="G66" s="159"/>
      <c r="H66" s="159"/>
      <c r="I66" s="159"/>
      <c r="J66" s="159"/>
      <c r="K66" s="106">
        <v>1064.7570000000001</v>
      </c>
      <c r="L66" s="106">
        <v>1220.0029999999999</v>
      </c>
      <c r="M66" s="106">
        <v>1204.0329999999999</v>
      </c>
      <c r="N66" s="106">
        <v>1136.5709999999999</v>
      </c>
      <c r="O66" s="106">
        <v>1102.912</v>
      </c>
      <c r="P66" s="106">
        <v>1273.6590000000001</v>
      </c>
      <c r="Q66" s="106">
        <v>1271.029</v>
      </c>
      <c r="R66" s="106">
        <v>1178.949000000001</v>
      </c>
      <c r="S66" s="106">
        <v>1173.021</v>
      </c>
      <c r="T66" s="106">
        <v>1227.2149999999999</v>
      </c>
      <c r="U66" s="106">
        <v>1328.4839999999999</v>
      </c>
      <c r="V66" s="106">
        <v>1278.6369999999999</v>
      </c>
      <c r="W66" s="106">
        <v>1269.857</v>
      </c>
      <c r="X66" s="106">
        <v>1433.086</v>
      </c>
      <c r="Y66" s="106">
        <v>1457.432</v>
      </c>
      <c r="Z66" s="106">
        <v>1402.3389999999999</v>
      </c>
      <c r="AA66" s="106">
        <v>1404.3579999999999</v>
      </c>
      <c r="AB66" s="106">
        <v>1595.2149999999999</v>
      </c>
      <c r="AC66" s="106">
        <v>1628.5889999999999</v>
      </c>
      <c r="AD66" s="106">
        <v>1572.7950000000001</v>
      </c>
      <c r="AE66" s="106">
        <v>1571.6420000000001</v>
      </c>
      <c r="AF66" s="106">
        <v>1738.8320000000001</v>
      </c>
      <c r="AG66" s="106">
        <v>1712.4280000000001</v>
      </c>
      <c r="AH66" s="106">
        <v>1630.9559999999999</v>
      </c>
      <c r="AI66" s="106">
        <v>1591.626</v>
      </c>
      <c r="AJ66" s="106">
        <v>1795.943</v>
      </c>
      <c r="AK66" s="106">
        <v>1765.652</v>
      </c>
      <c r="AL66" s="106">
        <v>1746.4949999999999</v>
      </c>
      <c r="AM66" s="106">
        <v>1579.9770000000001</v>
      </c>
      <c r="AN66" s="106">
        <v>1855.519</v>
      </c>
      <c r="AO66" s="106">
        <v>1888.317</v>
      </c>
      <c r="AP66" s="106">
        <v>1904.242</v>
      </c>
    </row>
    <row r="67" spans="1:42" ht="14.45" customHeight="1" x14ac:dyDescent="0.25">
      <c r="A67" s="111"/>
      <c r="B67" s="108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</row>
    <row r="68" spans="1:42" ht="14.45" customHeight="1" x14ac:dyDescent="0.25">
      <c r="A68" s="125" t="s">
        <v>216</v>
      </c>
      <c r="B68" s="97"/>
      <c r="C68" s="98">
        <v>606.928</v>
      </c>
      <c r="D68" s="98">
        <v>817.88</v>
      </c>
      <c r="E68" s="98">
        <v>826.68299999999999</v>
      </c>
      <c r="F68" s="99">
        <v>809.44599999999991</v>
      </c>
      <c r="G68" s="98">
        <v>832.39499999999998</v>
      </c>
      <c r="H68" s="98">
        <v>1108.175</v>
      </c>
      <c r="I68" s="98">
        <v>1103.0170000000001</v>
      </c>
      <c r="J68" s="99">
        <v>1199.42</v>
      </c>
      <c r="K68" s="98">
        <v>1040.422</v>
      </c>
      <c r="L68" s="98">
        <v>1192.2819999999999</v>
      </c>
      <c r="M68" s="98">
        <v>1172.5840000000001</v>
      </c>
      <c r="N68" s="99">
        <v>1107.0300000000011</v>
      </c>
      <c r="O68" s="98">
        <v>1072.2270000000001</v>
      </c>
      <c r="P68" s="98">
        <v>1238.885</v>
      </c>
      <c r="Q68" s="98">
        <v>1236.261</v>
      </c>
      <c r="R68" s="99">
        <v>1147.0550000000001</v>
      </c>
      <c r="S68" s="98">
        <v>1142.5809999999999</v>
      </c>
      <c r="T68" s="98">
        <v>1195.5239999999999</v>
      </c>
      <c r="U68" s="98">
        <v>1295.271</v>
      </c>
      <c r="V68" s="99">
        <v>1245.794000000001</v>
      </c>
      <c r="W68" s="98">
        <v>1235.0899999999999</v>
      </c>
      <c r="X68" s="98">
        <v>1399.915</v>
      </c>
      <c r="Y68" s="98">
        <v>1426.971</v>
      </c>
      <c r="Z68" s="99">
        <v>1370.693</v>
      </c>
      <c r="AA68" s="98">
        <v>1373.221</v>
      </c>
      <c r="AB68" s="98">
        <v>1562.0139999999999</v>
      </c>
      <c r="AC68" s="98">
        <v>1600.0650000000001</v>
      </c>
      <c r="AD68" s="99">
        <v>1546.0570000000009</v>
      </c>
      <c r="AE68" s="98">
        <v>1545.412</v>
      </c>
      <c r="AF68" s="98">
        <v>1714.8620000000001</v>
      </c>
      <c r="AG68" s="98">
        <v>1691.06</v>
      </c>
      <c r="AH68" s="99">
        <v>1611.288</v>
      </c>
      <c r="AI68" s="98">
        <v>1574.712</v>
      </c>
      <c r="AJ68" s="98">
        <v>1780.152</v>
      </c>
      <c r="AK68" s="98">
        <v>1751.4949999999999</v>
      </c>
      <c r="AL68" s="99">
        <v>1732.6859999999999</v>
      </c>
      <c r="AM68" s="98">
        <v>1569</v>
      </c>
      <c r="AN68" s="98">
        <v>1845.0609999999999</v>
      </c>
      <c r="AO68" s="98">
        <v>1876.999</v>
      </c>
      <c r="AP68" s="99">
        <v>1892.7220000000009</v>
      </c>
    </row>
    <row r="69" spans="1:42" ht="14.45" customHeight="1" x14ac:dyDescent="0.25">
      <c r="A69" s="125" t="s">
        <v>217</v>
      </c>
      <c r="B69" s="97"/>
      <c r="C69" s="98">
        <v>45.709000000000003</v>
      </c>
      <c r="D69" s="98">
        <v>58.396999999999998</v>
      </c>
      <c r="E69" s="98">
        <v>59.53</v>
      </c>
      <c r="F69" s="99">
        <v>71.096000000000004</v>
      </c>
      <c r="G69" s="98">
        <v>76.792000000000002</v>
      </c>
      <c r="H69" s="98">
        <v>119.669</v>
      </c>
      <c r="I69" s="98">
        <v>120.66</v>
      </c>
      <c r="J69" s="99">
        <v>-15.31999999999999</v>
      </c>
      <c r="K69" s="98">
        <v>86.599000000000004</v>
      </c>
      <c r="L69" s="98">
        <v>93.397999999999996</v>
      </c>
      <c r="M69" s="98">
        <v>93.492999999999995</v>
      </c>
      <c r="N69" s="99">
        <v>85.134999999999991</v>
      </c>
      <c r="O69" s="98">
        <v>87.915000000000006</v>
      </c>
      <c r="P69" s="98">
        <v>94.941999999999993</v>
      </c>
      <c r="Q69" s="98">
        <v>92.501000000000005</v>
      </c>
      <c r="R69" s="99">
        <v>69.646999999999991</v>
      </c>
      <c r="S69" s="98">
        <v>81.301000000000002</v>
      </c>
      <c r="T69" s="98">
        <v>80.328999999999994</v>
      </c>
      <c r="U69" s="98">
        <v>84.775999999999996</v>
      </c>
      <c r="V69" s="99">
        <v>86.322000000000003</v>
      </c>
      <c r="W69" s="98">
        <v>89.948999999999998</v>
      </c>
      <c r="X69" s="98">
        <v>93.191999999999993</v>
      </c>
      <c r="Y69" s="98">
        <v>88.991</v>
      </c>
      <c r="Z69" s="99">
        <v>94.723000000000013</v>
      </c>
      <c r="AA69" s="98">
        <v>96.162999999999997</v>
      </c>
      <c r="AB69" s="98">
        <v>105.91</v>
      </c>
      <c r="AC69" s="98">
        <v>101.136</v>
      </c>
      <c r="AD69" s="99">
        <v>96.150000000000034</v>
      </c>
      <c r="AE69" s="98">
        <v>92.376000000000005</v>
      </c>
      <c r="AF69" s="98">
        <v>95.174000000000007</v>
      </c>
      <c r="AG69" s="98">
        <v>93.635999999999996</v>
      </c>
      <c r="AH69" s="99">
        <v>89.561999999999955</v>
      </c>
      <c r="AI69" s="98">
        <v>88.102000000000004</v>
      </c>
      <c r="AJ69" s="98">
        <v>86.597999999999999</v>
      </c>
      <c r="AK69" s="98">
        <v>86.23</v>
      </c>
      <c r="AL69" s="99">
        <v>85.447000000000003</v>
      </c>
      <c r="AM69" s="98">
        <v>75.988</v>
      </c>
      <c r="AN69" s="98">
        <v>81.209999999999994</v>
      </c>
      <c r="AO69" s="98">
        <v>85.701999999999998</v>
      </c>
      <c r="AP69" s="99">
        <v>83.069000000000017</v>
      </c>
    </row>
    <row r="70" spans="1:42" ht="14.45" customHeight="1" x14ac:dyDescent="0.25">
      <c r="A70" s="125" t="s">
        <v>218</v>
      </c>
      <c r="B70" s="97"/>
      <c r="C70" s="98">
        <v>-27.181000000000001</v>
      </c>
      <c r="D70" s="98">
        <v>-35.893000000000001</v>
      </c>
      <c r="E70" s="98">
        <v>-37.185000000000002</v>
      </c>
      <c r="F70" s="99">
        <v>-38.982000000000014</v>
      </c>
      <c r="G70" s="98">
        <v>-43.484999999999999</v>
      </c>
      <c r="H70" s="98">
        <v>-58.552999999999997</v>
      </c>
      <c r="I70" s="98">
        <v>-61.151000000000003</v>
      </c>
      <c r="J70" s="99">
        <v>-57.950999999999993</v>
      </c>
      <c r="K70" s="98">
        <v>-62.264000000000003</v>
      </c>
      <c r="L70" s="98">
        <v>-65.677000000000007</v>
      </c>
      <c r="M70" s="98">
        <v>-62.043999999999997</v>
      </c>
      <c r="N70" s="99">
        <v>-55.593999999999987</v>
      </c>
      <c r="O70" s="102">
        <v>-57.23</v>
      </c>
      <c r="P70" s="98">
        <v>-60.167999999999999</v>
      </c>
      <c r="Q70" s="98">
        <v>-57.732999999999997</v>
      </c>
      <c r="R70" s="99">
        <v>-37.752999999999993</v>
      </c>
      <c r="S70" s="102">
        <v>-50.860999999999997</v>
      </c>
      <c r="T70" s="98">
        <v>-48.637999999999998</v>
      </c>
      <c r="U70" s="98">
        <v>-51.563000000000002</v>
      </c>
      <c r="V70" s="99">
        <v>-53.478999999999978</v>
      </c>
      <c r="W70" s="102">
        <v>-55.182000000000002</v>
      </c>
      <c r="X70" s="98">
        <v>-60.021000000000001</v>
      </c>
      <c r="Y70" s="98">
        <v>-58.53</v>
      </c>
      <c r="Z70" s="99">
        <v>-63.076999999999998</v>
      </c>
      <c r="AA70" s="102">
        <v>-65.025999999999996</v>
      </c>
      <c r="AB70" s="98">
        <v>-72.709000000000003</v>
      </c>
      <c r="AC70" s="98">
        <v>-72.611999999999995</v>
      </c>
      <c r="AD70" s="99">
        <v>-69.412000000000006</v>
      </c>
      <c r="AE70" s="102">
        <v>-66.146000000000001</v>
      </c>
      <c r="AF70" s="98">
        <v>-71.203999999999994</v>
      </c>
      <c r="AG70" s="98">
        <v>-72.268000000000001</v>
      </c>
      <c r="AH70" s="99">
        <v>-69.894000000000005</v>
      </c>
      <c r="AI70" s="102">
        <v>-71.188000000000002</v>
      </c>
      <c r="AJ70" s="98">
        <v>-70.807000000000002</v>
      </c>
      <c r="AK70" s="98">
        <v>-72.072999999999993</v>
      </c>
      <c r="AL70" s="99">
        <v>-71.638000000000034</v>
      </c>
      <c r="AM70" s="102">
        <v>-65.010999999999996</v>
      </c>
      <c r="AN70" s="98">
        <v>-70.751999999999995</v>
      </c>
      <c r="AO70" s="98">
        <v>-74.384</v>
      </c>
      <c r="AP70" s="99">
        <v>-71.549000000000035</v>
      </c>
    </row>
    <row r="71" spans="1:42" ht="14.45" customHeight="1" x14ac:dyDescent="0.25">
      <c r="A71" s="110" t="s">
        <v>219</v>
      </c>
      <c r="B71" s="105"/>
      <c r="C71" s="106">
        <v>625.4559999999999</v>
      </c>
      <c r="D71" s="106">
        <v>840.38400000000001</v>
      </c>
      <c r="E71" s="106">
        <v>849.02800000000002</v>
      </c>
      <c r="F71" s="106">
        <v>841.56</v>
      </c>
      <c r="G71" s="106">
        <v>865.702</v>
      </c>
      <c r="H71" s="106">
        <v>1169.2909999999999</v>
      </c>
      <c r="I71" s="106">
        <v>1162.5260000000001</v>
      </c>
      <c r="J71" s="106">
        <v>1126.1489999999999</v>
      </c>
      <c r="K71" s="106">
        <v>1064.7570000000001</v>
      </c>
      <c r="L71" s="106">
        <v>1220.0029999999999</v>
      </c>
      <c r="M71" s="106">
        <v>1204.0329999999999</v>
      </c>
      <c r="N71" s="106">
        <v>1136.571000000001</v>
      </c>
      <c r="O71" s="106">
        <v>1102.912</v>
      </c>
      <c r="P71" s="106">
        <v>1273.6590000000001</v>
      </c>
      <c r="Q71" s="106">
        <v>1271.029</v>
      </c>
      <c r="R71" s="106">
        <v>1178.9490000000001</v>
      </c>
      <c r="S71" s="106">
        <v>1173.021</v>
      </c>
      <c r="T71" s="106">
        <v>1227.2149999999999</v>
      </c>
      <c r="U71" s="106">
        <v>1328.4839999999999</v>
      </c>
      <c r="V71" s="106">
        <v>1278.6370000000011</v>
      </c>
      <c r="W71" s="106">
        <v>1269.857</v>
      </c>
      <c r="X71" s="106">
        <v>1433.086</v>
      </c>
      <c r="Y71" s="106">
        <v>1457.432</v>
      </c>
      <c r="Z71" s="106">
        <v>1402.3389999999999</v>
      </c>
      <c r="AA71" s="106">
        <v>1404.3579999999999</v>
      </c>
      <c r="AB71" s="106">
        <v>1595.2149999999999</v>
      </c>
      <c r="AC71" s="106">
        <v>1628.5889999999999</v>
      </c>
      <c r="AD71" s="106">
        <v>1572.795000000001</v>
      </c>
      <c r="AE71" s="106">
        <v>1571.6420000000001</v>
      </c>
      <c r="AF71" s="106">
        <v>1738.8320000000001</v>
      </c>
      <c r="AG71" s="106">
        <v>1712.4280000000001</v>
      </c>
      <c r="AH71" s="106">
        <v>1630.955999999999</v>
      </c>
      <c r="AI71" s="106">
        <v>1591.626</v>
      </c>
      <c r="AJ71" s="106">
        <v>1795.943</v>
      </c>
      <c r="AK71" s="106">
        <v>1765.652</v>
      </c>
      <c r="AL71" s="106">
        <v>1746.4949999999999</v>
      </c>
      <c r="AM71" s="106">
        <v>1579.9770000000001</v>
      </c>
      <c r="AN71" s="106">
        <v>1855.519</v>
      </c>
      <c r="AO71" s="106">
        <v>1888.317</v>
      </c>
      <c r="AP71" s="106">
        <v>1904.2420000000011</v>
      </c>
    </row>
    <row r="72" spans="1:42" ht="14.45" customHeight="1" x14ac:dyDescent="0.25">
      <c r="A72" s="111"/>
      <c r="B72" s="108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</row>
    <row r="73" spans="1:42" ht="14.45" customHeight="1" x14ac:dyDescent="0.25">
      <c r="A73" s="125" t="s">
        <v>220</v>
      </c>
      <c r="B73" s="97"/>
      <c r="C73" s="63"/>
      <c r="D73" s="63"/>
      <c r="E73" s="98">
        <v>326.72500000000002</v>
      </c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</row>
    <row r="74" spans="1:42" ht="14.45" customHeight="1" x14ac:dyDescent="0.25">
      <c r="A74" s="125" t="s">
        <v>221</v>
      </c>
      <c r="B74" s="97"/>
      <c r="C74" s="63"/>
      <c r="D74" s="63"/>
      <c r="E74" s="98">
        <v>21.321999999999999</v>
      </c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</row>
    <row r="75" spans="1:42" ht="14.45" customHeight="1" x14ac:dyDescent="0.25">
      <c r="A75" s="125" t="s">
        <v>222</v>
      </c>
      <c r="B75" s="97"/>
      <c r="C75" s="63"/>
      <c r="D75" s="63"/>
      <c r="E75" s="98">
        <v>-20.856999999999999</v>
      </c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</row>
    <row r="76" spans="1:42" ht="14.45" customHeight="1" x14ac:dyDescent="0.25">
      <c r="A76" s="110" t="s">
        <v>223</v>
      </c>
      <c r="B76" s="105"/>
      <c r="C76" s="159"/>
      <c r="D76" s="159"/>
      <c r="E76" s="106">
        <v>327.19000000000011</v>
      </c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</row>
    <row r="77" spans="1:42" ht="14.45" customHeight="1" x14ac:dyDescent="0.25">
      <c r="A77" s="111"/>
      <c r="B77" s="108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</row>
    <row r="78" spans="1:42" ht="14.45" customHeight="1" x14ac:dyDescent="0.25">
      <c r="A78" s="125" t="s">
        <v>224</v>
      </c>
      <c r="B78" s="97"/>
      <c r="C78" s="98">
        <v>10.968</v>
      </c>
      <c r="D78" s="98">
        <v>52.878</v>
      </c>
      <c r="E78" s="98">
        <v>38.420999999999999</v>
      </c>
      <c r="F78" s="99">
        <v>20.963000000000012</v>
      </c>
      <c r="G78" s="98">
        <v>11.534000000000001</v>
      </c>
      <c r="H78" s="98">
        <v>42.168999999999997</v>
      </c>
      <c r="I78" s="98">
        <v>32.524999999999999</v>
      </c>
      <c r="J78" s="99">
        <v>-1.452999999999989</v>
      </c>
      <c r="K78" s="98">
        <v>-22.745000000000001</v>
      </c>
      <c r="L78" s="98">
        <v>16.088999999999999</v>
      </c>
      <c r="M78" s="98">
        <v>39.360999999999997</v>
      </c>
      <c r="N78" s="99">
        <v>12.814</v>
      </c>
      <c r="O78" s="98">
        <v>14.641</v>
      </c>
      <c r="P78" s="98">
        <v>57.723999999999997</v>
      </c>
      <c r="Q78" s="98">
        <v>48.247999999999998</v>
      </c>
      <c r="R78" s="99">
        <v>53.52000000000001</v>
      </c>
      <c r="S78" s="98">
        <v>35.616999999999997</v>
      </c>
      <c r="T78" s="98">
        <v>83.906999999999996</v>
      </c>
      <c r="U78" s="98">
        <v>108.035</v>
      </c>
      <c r="V78" s="99">
        <v>97.157000000000011</v>
      </c>
      <c r="W78" s="98">
        <v>95.042000000000002</v>
      </c>
      <c r="X78" s="98">
        <v>124.372</v>
      </c>
      <c r="Y78" s="98">
        <v>144.13</v>
      </c>
      <c r="Z78" s="99">
        <v>93.16900000000004</v>
      </c>
      <c r="AA78" s="98">
        <v>134.55799999999999</v>
      </c>
      <c r="AB78" s="98">
        <v>144.012</v>
      </c>
      <c r="AC78" s="98">
        <v>189.21799999999999</v>
      </c>
      <c r="AD78" s="99">
        <v>171.34800000000001</v>
      </c>
      <c r="AE78" s="98">
        <v>209.779</v>
      </c>
      <c r="AF78" s="98">
        <v>234.21100000000001</v>
      </c>
      <c r="AG78" s="98">
        <v>217.405</v>
      </c>
      <c r="AH78" s="99">
        <v>180.096</v>
      </c>
      <c r="AI78" s="98">
        <v>212.142</v>
      </c>
      <c r="AJ78" s="98">
        <v>255.02500000000001</v>
      </c>
      <c r="AK78" s="98">
        <v>224.072</v>
      </c>
      <c r="AL78" s="99">
        <v>215.98799999999989</v>
      </c>
      <c r="AM78" s="98">
        <v>187.24299999999999</v>
      </c>
      <c r="AN78" s="98">
        <v>263.86399999999998</v>
      </c>
      <c r="AO78" s="98">
        <v>238.36099999999999</v>
      </c>
      <c r="AP78" s="99">
        <v>235.697</v>
      </c>
    </row>
    <row r="79" spans="1:42" ht="14.45" customHeight="1" x14ac:dyDescent="0.25">
      <c r="A79" s="125" t="s">
        <v>225</v>
      </c>
      <c r="B79" s="97"/>
      <c r="C79" s="98">
        <v>1.4330000000000001</v>
      </c>
      <c r="D79" s="98">
        <v>1.8580000000000001</v>
      </c>
      <c r="E79" s="98">
        <v>1.38</v>
      </c>
      <c r="F79" s="99">
        <v>-4.2000000000000703E-2</v>
      </c>
      <c r="G79" s="98">
        <v>2.0739999999999998</v>
      </c>
      <c r="H79" s="98">
        <v>5.1440000000000001</v>
      </c>
      <c r="I79" s="98">
        <v>3.605</v>
      </c>
      <c r="J79" s="99">
        <v>0.58099999999999952</v>
      </c>
      <c r="K79" s="98">
        <v>3.7480000000000002</v>
      </c>
      <c r="L79" s="98">
        <v>3.59</v>
      </c>
      <c r="M79" s="98">
        <v>5.0430000000000001</v>
      </c>
      <c r="N79" s="99">
        <v>1.999999999998892E-3</v>
      </c>
      <c r="O79" s="102">
        <v>5.5129999999999999</v>
      </c>
      <c r="P79" s="98">
        <v>9.49</v>
      </c>
      <c r="Q79" s="98">
        <v>5.5979999999999999</v>
      </c>
      <c r="R79" s="99">
        <v>-13.98</v>
      </c>
      <c r="S79" s="102">
        <v>-2.7959999999999998</v>
      </c>
      <c r="T79" s="98">
        <v>-0.78900000000000003</v>
      </c>
      <c r="U79" s="98">
        <v>-4.1909999999999998</v>
      </c>
      <c r="V79" s="99">
        <v>-3.5619999999999989</v>
      </c>
      <c r="W79" s="102">
        <v>-0.85799999999999998</v>
      </c>
      <c r="X79" s="98">
        <v>-3.5110000000000001</v>
      </c>
      <c r="Y79" s="98">
        <v>-7.0990000000000002</v>
      </c>
      <c r="Z79" s="99">
        <v>-6.0740000000000016</v>
      </c>
      <c r="AA79" s="102">
        <v>-3.573</v>
      </c>
      <c r="AB79" s="98">
        <v>3.2810000000000001</v>
      </c>
      <c r="AC79" s="98">
        <v>0.71199999999999997</v>
      </c>
      <c r="AD79" s="99">
        <v>1.4910000000000001</v>
      </c>
      <c r="AE79" s="102">
        <v>-3.7250000000000001</v>
      </c>
      <c r="AF79" s="98">
        <v>-0.54100000000000004</v>
      </c>
      <c r="AG79" s="98">
        <v>-1.145</v>
      </c>
      <c r="AH79" s="99">
        <v>-1.629</v>
      </c>
      <c r="AI79" s="102">
        <v>3.2639999999999998</v>
      </c>
      <c r="AJ79" s="102">
        <v>4.1150000000000002</v>
      </c>
      <c r="AK79" s="98">
        <v>2.9830000000000001</v>
      </c>
      <c r="AL79" s="99">
        <v>2.7609999999999988</v>
      </c>
      <c r="AM79" s="102">
        <v>2.577</v>
      </c>
      <c r="AN79" s="102">
        <v>8.2200000000000006</v>
      </c>
      <c r="AO79" s="102">
        <v>8.2729999999999997</v>
      </c>
      <c r="AP79" s="99">
        <v>6.4209999999999994</v>
      </c>
    </row>
    <row r="80" spans="1:42" ht="14.45" customHeight="1" x14ac:dyDescent="0.25">
      <c r="A80" s="110" t="s">
        <v>226</v>
      </c>
      <c r="B80" s="105"/>
      <c r="C80" s="106">
        <v>12.401</v>
      </c>
      <c r="D80" s="106">
        <v>54.735999999999997</v>
      </c>
      <c r="E80" s="106">
        <v>39.801000000000002</v>
      </c>
      <c r="F80" s="106">
        <v>20.92100000000001</v>
      </c>
      <c r="G80" s="106">
        <v>13.608000000000001</v>
      </c>
      <c r="H80" s="106">
        <v>47.313000000000002</v>
      </c>
      <c r="I80" s="106">
        <v>36.130000000000003</v>
      </c>
      <c r="J80" s="106">
        <v>-0.87199999999998923</v>
      </c>
      <c r="K80" s="106">
        <v>-18.997</v>
      </c>
      <c r="L80" s="106">
        <v>19.678999999999998</v>
      </c>
      <c r="M80" s="106">
        <v>44.404000000000003</v>
      </c>
      <c r="N80" s="106">
        <v>12.816000000000001</v>
      </c>
      <c r="O80" s="106">
        <v>20.154</v>
      </c>
      <c r="P80" s="106">
        <v>67.213999999999999</v>
      </c>
      <c r="Q80" s="106">
        <v>53.845999999999997</v>
      </c>
      <c r="R80" s="106">
        <v>39.540000000000013</v>
      </c>
      <c r="S80" s="106">
        <v>32.820999999999998</v>
      </c>
      <c r="T80" s="106">
        <v>83.117999999999995</v>
      </c>
      <c r="U80" s="106">
        <v>103.84399999999999</v>
      </c>
      <c r="V80" s="106">
        <v>93.595000000000013</v>
      </c>
      <c r="W80" s="106">
        <v>94.183999999999997</v>
      </c>
      <c r="X80" s="106">
        <v>120.861</v>
      </c>
      <c r="Y80" s="106">
        <v>137.03100000000001</v>
      </c>
      <c r="Z80" s="106">
        <v>87.095000000000041</v>
      </c>
      <c r="AA80" s="106">
        <v>130.98500000000001</v>
      </c>
      <c r="AB80" s="106">
        <v>147.29300000000001</v>
      </c>
      <c r="AC80" s="106">
        <v>189.93</v>
      </c>
      <c r="AD80" s="106">
        <v>172.839</v>
      </c>
      <c r="AE80" s="106">
        <v>206.054</v>
      </c>
      <c r="AF80" s="106">
        <v>233.67</v>
      </c>
      <c r="AG80" s="106">
        <v>216.26</v>
      </c>
      <c r="AH80" s="106">
        <v>178.46700000000001</v>
      </c>
      <c r="AI80" s="106">
        <v>215.40600000000001</v>
      </c>
      <c r="AJ80" s="109">
        <v>259.14</v>
      </c>
      <c r="AK80" s="106">
        <v>227.05500000000001</v>
      </c>
      <c r="AL80" s="106">
        <v>218.74899999999991</v>
      </c>
      <c r="AM80" s="106">
        <v>189.82</v>
      </c>
      <c r="AN80" s="109">
        <v>272.084</v>
      </c>
      <c r="AO80" s="109">
        <v>246.63399999999999</v>
      </c>
      <c r="AP80" s="106">
        <v>242.11799999999999</v>
      </c>
    </row>
    <row r="81" spans="1:42" ht="14.45" customHeight="1" x14ac:dyDescent="0.25">
      <c r="A81" s="111"/>
      <c r="B81" s="108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</row>
    <row r="82" spans="1:42" ht="14.45" customHeight="1" x14ac:dyDescent="0.25">
      <c r="A82" s="143" t="s">
        <v>227</v>
      </c>
      <c r="B82" s="114"/>
      <c r="C82" s="160"/>
      <c r="D82" s="160"/>
      <c r="E82" s="160"/>
      <c r="F82" s="160"/>
      <c r="G82" s="160"/>
      <c r="H82" s="160"/>
      <c r="I82" s="160"/>
      <c r="J82" s="160"/>
      <c r="K82" s="115">
        <v>-2.1861321656020349E-2</v>
      </c>
      <c r="L82" s="115">
        <v>1.349429078020133E-2</v>
      </c>
      <c r="M82" s="115">
        <v>3.356774440040116E-2</v>
      </c>
      <c r="N82" s="115">
        <v>1.157511539886001E-2</v>
      </c>
      <c r="O82" s="115">
        <v>1.365475780781495E-2</v>
      </c>
      <c r="P82" s="115">
        <v>4.6593509486352637E-2</v>
      </c>
      <c r="Q82" s="115">
        <v>3.9027357491662362E-2</v>
      </c>
      <c r="R82" s="115">
        <v>4.6658617067185111E-2</v>
      </c>
      <c r="S82" s="115">
        <v>3.1172407032849309E-2</v>
      </c>
      <c r="T82" s="115">
        <v>7.0184287391972064E-2</v>
      </c>
      <c r="U82" s="115">
        <v>8.340725608772219E-2</v>
      </c>
      <c r="V82" s="115">
        <v>7.7988014069741832E-2</v>
      </c>
      <c r="W82" s="115">
        <v>7.6951477220283546E-2</v>
      </c>
      <c r="X82" s="115">
        <v>8.8842536868309868E-2</v>
      </c>
      <c r="Y82" s="115">
        <v>0.10100415495479589</v>
      </c>
      <c r="Z82" s="115">
        <v>6.7972186332023329E-2</v>
      </c>
      <c r="AA82" s="115">
        <v>9.7987141181208257E-2</v>
      </c>
      <c r="AB82" s="115">
        <v>9.2196356754805017E-2</v>
      </c>
      <c r="AC82" s="115">
        <v>0.1182564458318881</v>
      </c>
      <c r="AD82" s="115">
        <v>0.1108290315298853</v>
      </c>
      <c r="AE82" s="115">
        <v>0.13574308986859171</v>
      </c>
      <c r="AF82" s="115">
        <v>0.13657717064113609</v>
      </c>
      <c r="AG82" s="115">
        <v>0.128561375705179</v>
      </c>
      <c r="AH82" s="115">
        <v>0.11177145240329479</v>
      </c>
      <c r="AI82" s="115">
        <v>0.13471796747595749</v>
      </c>
      <c r="AJ82" s="115">
        <v>0.14326023845154789</v>
      </c>
      <c r="AK82" s="115">
        <v>0.12793185250314729</v>
      </c>
      <c r="AL82" s="115">
        <v>0.12465501539228691</v>
      </c>
      <c r="AM82" s="115">
        <v>0.11933906947100061</v>
      </c>
      <c r="AN82" s="115">
        <v>0.14301098988055139</v>
      </c>
      <c r="AO82" s="115">
        <v>0.12699047788517731</v>
      </c>
      <c r="AP82" s="115">
        <v>0.12452806064493351</v>
      </c>
    </row>
    <row r="83" spans="1:42" ht="14.45" customHeight="1" x14ac:dyDescent="0.25">
      <c r="A83" s="143" t="s">
        <v>228</v>
      </c>
      <c r="B83" s="114"/>
      <c r="C83" s="160"/>
      <c r="D83" s="160"/>
      <c r="E83" s="160"/>
      <c r="F83" s="160"/>
      <c r="G83" s="160"/>
      <c r="H83" s="160"/>
      <c r="I83" s="160"/>
      <c r="J83" s="160"/>
      <c r="K83" s="115">
        <v>4.327994549590642E-2</v>
      </c>
      <c r="L83" s="115">
        <v>3.8437653911218658E-2</v>
      </c>
      <c r="M83" s="115">
        <v>5.3939867155829851E-2</v>
      </c>
      <c r="N83" s="115">
        <v>2.3492100781099338E-5</v>
      </c>
      <c r="O83" s="115">
        <v>6.2708297787635772E-2</v>
      </c>
      <c r="P83" s="115">
        <v>9.9955762465505263E-2</v>
      </c>
      <c r="Q83" s="115">
        <v>6.0518264667408998E-2</v>
      </c>
      <c r="R83" s="115">
        <v>-0.2007265208838859</v>
      </c>
      <c r="S83" s="115">
        <v>-3.4390720901341917E-2</v>
      </c>
      <c r="T83" s="115">
        <v>-9.822106586662353E-3</v>
      </c>
      <c r="U83" s="115">
        <v>-4.9436161177691798E-2</v>
      </c>
      <c r="V83" s="115">
        <v>-4.1264104168114733E-2</v>
      </c>
      <c r="W83" s="115">
        <v>-9.5387386185505126E-3</v>
      </c>
      <c r="X83" s="115">
        <v>-3.7674907717400639E-2</v>
      </c>
      <c r="Y83" s="115">
        <v>-7.9772111786585165E-2</v>
      </c>
      <c r="Z83" s="115">
        <v>-6.4123813646104963E-2</v>
      </c>
      <c r="AA83" s="115">
        <v>-3.7155662780903258E-2</v>
      </c>
      <c r="AB83" s="115">
        <v>3.097913322632424E-2</v>
      </c>
      <c r="AC83" s="115">
        <v>7.0400253124505612E-3</v>
      </c>
      <c r="AD83" s="115">
        <v>1.550702028081123E-2</v>
      </c>
      <c r="AE83" s="115">
        <v>-4.0324326664934608E-2</v>
      </c>
      <c r="AF83" s="115">
        <v>-5.6843255510958873E-3</v>
      </c>
      <c r="AG83" s="115">
        <v>-1.222820282797215E-2</v>
      </c>
      <c r="AH83" s="115">
        <v>-1.8188517451597792E-2</v>
      </c>
      <c r="AI83" s="115">
        <v>3.7047967129009547E-2</v>
      </c>
      <c r="AJ83" s="115">
        <v>4.7518418439224927E-2</v>
      </c>
      <c r="AK83" s="115">
        <v>3.4593528934245617E-2</v>
      </c>
      <c r="AL83" s="115">
        <v>3.2312427586691159E-2</v>
      </c>
      <c r="AM83" s="115">
        <v>3.3913249460441122E-2</v>
      </c>
      <c r="AN83" s="115">
        <v>0.1012190616919099</v>
      </c>
      <c r="AO83" s="115">
        <v>9.6532169610977575E-2</v>
      </c>
      <c r="AP83" s="115">
        <v>7.7297186676136678E-2</v>
      </c>
    </row>
    <row r="84" spans="1:42" ht="14.45" customHeight="1" x14ac:dyDescent="0.25">
      <c r="A84" s="91" t="s">
        <v>229</v>
      </c>
      <c r="B84" s="116"/>
      <c r="C84" s="161"/>
      <c r="D84" s="161"/>
      <c r="E84" s="161"/>
      <c r="F84" s="161"/>
      <c r="G84" s="161"/>
      <c r="H84" s="161"/>
      <c r="I84" s="161"/>
      <c r="J84" s="161"/>
      <c r="K84" s="117">
        <v>-1.7841629592479789E-2</v>
      </c>
      <c r="L84" s="117">
        <v>1.613028820420933E-2</v>
      </c>
      <c r="M84" s="117">
        <v>3.6879387857309563E-2</v>
      </c>
      <c r="N84" s="117">
        <v>1.12760223514413E-2</v>
      </c>
      <c r="O84" s="117">
        <v>1.8273443393489231E-2</v>
      </c>
      <c r="P84" s="117">
        <v>5.2772366858005161E-2</v>
      </c>
      <c r="Q84" s="117">
        <v>4.2364100268365228E-2</v>
      </c>
      <c r="R84" s="117">
        <v>3.353834644246699E-2</v>
      </c>
      <c r="S84" s="117">
        <v>2.7979891238093781E-2</v>
      </c>
      <c r="T84" s="117">
        <v>6.7728963547544638E-2</v>
      </c>
      <c r="U84" s="117">
        <v>7.816729444991434E-2</v>
      </c>
      <c r="V84" s="117">
        <v>7.3199039289493381E-2</v>
      </c>
      <c r="W84" s="117">
        <v>7.4168981231744993E-2</v>
      </c>
      <c r="X84" s="117">
        <v>8.4336180801431321E-2</v>
      </c>
      <c r="Y84" s="117">
        <v>9.4022225393706194E-2</v>
      </c>
      <c r="Z84" s="117">
        <v>6.2106951314910348E-2</v>
      </c>
      <c r="AA84" s="117">
        <v>9.3270376926681081E-2</v>
      </c>
      <c r="AB84" s="117">
        <v>9.2334262152750576E-2</v>
      </c>
      <c r="AC84" s="117">
        <v>0.1166224259159309</v>
      </c>
      <c r="AD84" s="117">
        <v>0.1098928976757937</v>
      </c>
      <c r="AE84" s="117">
        <v>0.13110746594962469</v>
      </c>
      <c r="AF84" s="117">
        <v>0.1343833101760262</v>
      </c>
      <c r="AG84" s="117">
        <v>0.12628852132761201</v>
      </c>
      <c r="AH84" s="117">
        <v>0.1094247790866216</v>
      </c>
      <c r="AI84" s="117">
        <v>0.135337070392165</v>
      </c>
      <c r="AJ84" s="117">
        <v>0.14429188454199271</v>
      </c>
      <c r="AK84" s="117">
        <v>0.128595555636105</v>
      </c>
      <c r="AL84" s="117">
        <v>0.12525028700339819</v>
      </c>
      <c r="AM84" s="117">
        <v>0.1201409893941494</v>
      </c>
      <c r="AN84" s="117">
        <v>0.14663498460538529</v>
      </c>
      <c r="AO84" s="117">
        <v>0.13061048542167439</v>
      </c>
      <c r="AP84" s="117">
        <v>0.12714665467939471</v>
      </c>
    </row>
    <row r="85" spans="1:42" ht="14.45" customHeight="1" x14ac:dyDescent="0.25">
      <c r="A85" s="111"/>
      <c r="B85" s="97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</row>
    <row r="86" spans="1:42" ht="14.45" customHeight="1" x14ac:dyDescent="0.25">
      <c r="A86" s="95" t="s">
        <v>230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</row>
    <row r="87" spans="1:42" ht="14.45" customHeight="1" x14ac:dyDescent="0.25">
      <c r="A87" s="135" t="s">
        <v>231</v>
      </c>
      <c r="B87" s="108"/>
      <c r="C87" s="109">
        <v>453.25299999999999</v>
      </c>
      <c r="D87" s="109">
        <v>614.68299999999999</v>
      </c>
      <c r="E87" s="109">
        <v>618.80600000000004</v>
      </c>
      <c r="F87" s="109">
        <v>619.71600000000012</v>
      </c>
      <c r="G87" s="109">
        <v>625.45600000000002</v>
      </c>
      <c r="H87" s="109">
        <v>840.38400000000001</v>
      </c>
      <c r="I87" s="109">
        <v>849.02800000000002</v>
      </c>
      <c r="J87" s="109">
        <v>841.55999999999972</v>
      </c>
      <c r="K87" s="109">
        <v>865.702</v>
      </c>
      <c r="L87" s="109">
        <v>1169.2909999999999</v>
      </c>
      <c r="M87" s="109">
        <v>1162.5260000000001</v>
      </c>
      <c r="N87" s="109">
        <v>1126.148999999999</v>
      </c>
      <c r="O87" s="109">
        <v>1064.7570000000001</v>
      </c>
      <c r="P87" s="109">
        <v>1220.0029999999999</v>
      </c>
      <c r="Q87" s="109">
        <v>1204.0329999999999</v>
      </c>
      <c r="R87" s="109">
        <v>1136.570999999999</v>
      </c>
      <c r="S87" s="109">
        <v>1102.912</v>
      </c>
      <c r="T87" s="109">
        <v>1273.6590000000001</v>
      </c>
      <c r="U87" s="109">
        <v>1271.029</v>
      </c>
      <c r="V87" s="109">
        <v>1178.9490000000001</v>
      </c>
      <c r="W87" s="109">
        <v>1173.021</v>
      </c>
      <c r="X87" s="109">
        <v>1227.2149999999999</v>
      </c>
      <c r="Y87" s="109">
        <v>1328.4839999999999</v>
      </c>
      <c r="Z87" s="109">
        <v>1278.6369999999999</v>
      </c>
      <c r="AA87" s="109">
        <v>1269.857</v>
      </c>
      <c r="AB87" s="109">
        <v>1433.086</v>
      </c>
      <c r="AC87" s="109">
        <v>1457.432</v>
      </c>
      <c r="AD87" s="109">
        <v>1402.3389999999999</v>
      </c>
      <c r="AE87" s="109">
        <v>1404.3579999999999</v>
      </c>
      <c r="AF87" s="109">
        <v>1595.2149999999999</v>
      </c>
      <c r="AG87" s="109">
        <v>1628.5889999999999</v>
      </c>
      <c r="AH87" s="109">
        <v>1572.7950000000001</v>
      </c>
      <c r="AI87" s="109">
        <v>1571.6420000000001</v>
      </c>
      <c r="AJ87" s="109">
        <v>1738.8320000000001</v>
      </c>
      <c r="AK87" s="109">
        <v>1712.4280000000001</v>
      </c>
      <c r="AL87" s="109">
        <v>1630.9559999999999</v>
      </c>
      <c r="AM87" s="109">
        <v>1591.626</v>
      </c>
      <c r="AN87" s="109">
        <v>1795.943</v>
      </c>
      <c r="AO87" s="109">
        <v>1765.652</v>
      </c>
      <c r="AP87" s="109">
        <v>1746.495000000001</v>
      </c>
    </row>
    <row r="88" spans="1:42" ht="14.45" customHeight="1" x14ac:dyDescent="0.25">
      <c r="A88" s="125" t="s">
        <v>232</v>
      </c>
      <c r="B88" s="97"/>
      <c r="C88" s="98">
        <v>117.8</v>
      </c>
      <c r="D88" s="98">
        <v>211.7</v>
      </c>
      <c r="E88" s="98">
        <v>213.6</v>
      </c>
      <c r="F88" s="99">
        <v>230.5</v>
      </c>
      <c r="G88" s="98">
        <v>229.6</v>
      </c>
      <c r="H88" s="98">
        <v>309.8</v>
      </c>
      <c r="I88" s="98">
        <v>303.89999999999998</v>
      </c>
      <c r="J88" s="99">
        <v>247.90000000000009</v>
      </c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</row>
    <row r="89" spans="1:42" ht="14.45" customHeight="1" x14ac:dyDescent="0.25">
      <c r="A89" s="125" t="s">
        <v>233</v>
      </c>
      <c r="B89" s="97"/>
      <c r="C89" s="98">
        <v>6.8</v>
      </c>
      <c r="D89" s="98">
        <v>7.6</v>
      </c>
      <c r="E89" s="98">
        <v>6.6</v>
      </c>
      <c r="F89" s="99">
        <v>1.600000000000001</v>
      </c>
      <c r="G89" s="63"/>
      <c r="H89" s="98">
        <v>-3.1</v>
      </c>
      <c r="I89" s="63"/>
      <c r="J89" s="99">
        <v>3.1</v>
      </c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98">
        <v>-10</v>
      </c>
      <c r="AJ89" s="63"/>
      <c r="AK89" s="63"/>
      <c r="AL89" s="63"/>
      <c r="AM89" s="63"/>
      <c r="AN89" s="63"/>
      <c r="AO89" s="63"/>
      <c r="AP89" s="63"/>
    </row>
    <row r="90" spans="1:42" ht="14.45" customHeight="1" x14ac:dyDescent="0.25">
      <c r="A90" s="125" t="s">
        <v>234</v>
      </c>
      <c r="B90" s="97"/>
      <c r="C90" s="98">
        <v>-6.9</v>
      </c>
      <c r="D90" s="98">
        <v>-9.8000000000000007</v>
      </c>
      <c r="E90" s="98">
        <v>-5.0999999999999996</v>
      </c>
      <c r="F90" s="99">
        <v>0</v>
      </c>
      <c r="G90" s="63"/>
      <c r="H90" s="63"/>
      <c r="I90" s="63"/>
      <c r="J90" s="99">
        <v>0</v>
      </c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</row>
    <row r="91" spans="1:42" ht="14.45" customHeight="1" x14ac:dyDescent="0.25">
      <c r="A91" s="125" t="s">
        <v>235</v>
      </c>
      <c r="B91" s="97"/>
      <c r="C91" s="63"/>
      <c r="D91" s="63"/>
      <c r="E91" s="63"/>
      <c r="F91" s="99">
        <v>0</v>
      </c>
      <c r="G91" s="63"/>
      <c r="H91" s="63"/>
      <c r="I91" s="63"/>
      <c r="J91" s="99">
        <v>0</v>
      </c>
      <c r="K91" s="63"/>
      <c r="L91" s="63"/>
      <c r="M91" s="63"/>
      <c r="N91" s="63"/>
      <c r="O91" s="98">
        <v>5.7</v>
      </c>
      <c r="P91" s="98">
        <v>7.8</v>
      </c>
      <c r="Q91" s="98">
        <v>46.9</v>
      </c>
      <c r="R91" s="99">
        <v>11.7</v>
      </c>
      <c r="S91" s="98">
        <v>53.8</v>
      </c>
      <c r="T91" s="63"/>
      <c r="U91" s="98">
        <v>53.9</v>
      </c>
      <c r="V91" s="99">
        <v>83.5</v>
      </c>
      <c r="W91" s="98">
        <v>50.6</v>
      </c>
      <c r="X91" s="98">
        <v>77.2</v>
      </c>
      <c r="Y91" s="63"/>
      <c r="Z91" s="99">
        <v>-32.300000000000011</v>
      </c>
      <c r="AA91" s="98">
        <v>-7.7</v>
      </c>
      <c r="AB91" s="98">
        <v>10.7</v>
      </c>
      <c r="AC91" s="98">
        <v>4.9000000000000004</v>
      </c>
      <c r="AD91" s="99">
        <v>-7.8999999999999986</v>
      </c>
      <c r="AE91" s="98">
        <v>-30</v>
      </c>
      <c r="AF91" s="98">
        <v>-60</v>
      </c>
      <c r="AG91" s="98">
        <v>-25</v>
      </c>
      <c r="AH91" s="99">
        <v>5</v>
      </c>
      <c r="AI91" s="98">
        <v>-5</v>
      </c>
      <c r="AJ91" s="63"/>
      <c r="AK91" s="63"/>
      <c r="AL91" s="63"/>
      <c r="AM91" s="98">
        <v>-85</v>
      </c>
      <c r="AN91" s="63"/>
      <c r="AO91" s="98">
        <v>60</v>
      </c>
      <c r="AP91" s="63"/>
    </row>
    <row r="92" spans="1:42" ht="14.45" customHeight="1" x14ac:dyDescent="0.25">
      <c r="A92" s="125" t="s">
        <v>236</v>
      </c>
      <c r="B92" s="97"/>
      <c r="C92" s="98">
        <v>23</v>
      </c>
      <c r="D92" s="98">
        <v>19.8</v>
      </c>
      <c r="E92" s="98">
        <v>11.8</v>
      </c>
      <c r="F92" s="99">
        <v>-0.19999999999999571</v>
      </c>
      <c r="G92" s="98">
        <v>12.6</v>
      </c>
      <c r="H92" s="98">
        <v>7.6</v>
      </c>
      <c r="I92" s="63"/>
      <c r="J92" s="99">
        <v>12.6</v>
      </c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</row>
    <row r="93" spans="1:42" ht="14.45" customHeight="1" x14ac:dyDescent="0.25">
      <c r="A93" s="125" t="s">
        <v>237</v>
      </c>
      <c r="B93" s="97"/>
      <c r="C93" s="98">
        <v>23.8</v>
      </c>
      <c r="D93" s="98">
        <v>-2.6</v>
      </c>
      <c r="E93" s="63"/>
      <c r="F93" s="99">
        <v>-5.8999999999999986</v>
      </c>
      <c r="G93" s="63"/>
      <c r="H93" s="98">
        <v>12</v>
      </c>
      <c r="I93" s="98">
        <v>5.6</v>
      </c>
      <c r="J93" s="99">
        <v>11.3</v>
      </c>
      <c r="K93" s="63"/>
      <c r="L93" s="63"/>
      <c r="M93" s="63"/>
      <c r="N93" s="63"/>
      <c r="O93" s="98">
        <v>46.1</v>
      </c>
      <c r="P93" s="98">
        <v>56.6</v>
      </c>
      <c r="Q93" s="98">
        <v>25.9</v>
      </c>
      <c r="R93" s="99">
        <v>27.300000000000011</v>
      </c>
      <c r="S93" s="98">
        <v>12.9</v>
      </c>
      <c r="T93" s="63"/>
      <c r="U93" s="98">
        <v>34.4</v>
      </c>
      <c r="V93" s="99">
        <v>27</v>
      </c>
      <c r="W93" s="98">
        <v>55.6</v>
      </c>
      <c r="X93" s="98">
        <v>96.5</v>
      </c>
      <c r="Y93" s="98">
        <v>115.3</v>
      </c>
      <c r="Z93" s="99">
        <v>145.1</v>
      </c>
      <c r="AA93" s="98">
        <v>140</v>
      </c>
      <c r="AB93" s="98">
        <v>148.1</v>
      </c>
      <c r="AC93" s="98">
        <v>180.9</v>
      </c>
      <c r="AD93" s="99">
        <v>141</v>
      </c>
      <c r="AE93" s="98">
        <v>175</v>
      </c>
      <c r="AF93" s="98">
        <v>185</v>
      </c>
      <c r="AG93" s="98">
        <v>95</v>
      </c>
      <c r="AH93" s="99">
        <v>60</v>
      </c>
      <c r="AI93" s="98">
        <v>40</v>
      </c>
      <c r="AJ93" s="98">
        <v>65</v>
      </c>
      <c r="AK93" s="98">
        <v>60</v>
      </c>
      <c r="AL93" s="99">
        <v>85</v>
      </c>
      <c r="AM93" s="98">
        <v>40</v>
      </c>
      <c r="AN93" s="98">
        <v>50</v>
      </c>
      <c r="AO93" s="98">
        <v>60</v>
      </c>
      <c r="AP93" s="99">
        <v>65</v>
      </c>
    </row>
    <row r="94" spans="1:42" ht="14.45" customHeight="1" x14ac:dyDescent="0.25">
      <c r="A94" s="125" t="s">
        <v>238</v>
      </c>
      <c r="B94" s="97"/>
      <c r="C94" s="98">
        <v>1.1000000000000001</v>
      </c>
      <c r="D94" s="98">
        <v>1</v>
      </c>
      <c r="E94" s="63"/>
      <c r="F94" s="99">
        <v>-2.1</v>
      </c>
      <c r="G94" s="63"/>
      <c r="H94" s="63"/>
      <c r="I94" s="63"/>
      <c r="J94" s="99">
        <v>0</v>
      </c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</row>
    <row r="95" spans="1:42" ht="14.45" customHeight="1" x14ac:dyDescent="0.25">
      <c r="A95" s="125" t="s">
        <v>239</v>
      </c>
      <c r="B95" s="97"/>
      <c r="C95" s="63"/>
      <c r="D95" s="63"/>
      <c r="E95" s="63"/>
      <c r="F95" s="99">
        <v>0</v>
      </c>
      <c r="G95" s="63"/>
      <c r="H95" s="98">
        <v>2.2000000000000002</v>
      </c>
      <c r="I95" s="63"/>
      <c r="J95" s="99">
        <v>-2.2000000000000002</v>
      </c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</row>
    <row r="96" spans="1:42" ht="14.45" customHeight="1" x14ac:dyDescent="0.25">
      <c r="A96" s="125" t="s">
        <v>240</v>
      </c>
      <c r="B96" s="97"/>
      <c r="C96" s="98">
        <v>1.1000000000000001</v>
      </c>
      <c r="D96" s="63"/>
      <c r="E96" s="63"/>
      <c r="F96" s="99">
        <v>-1.1000000000000001</v>
      </c>
      <c r="G96" s="98">
        <v>-2.4</v>
      </c>
      <c r="H96" s="63"/>
      <c r="I96" s="63"/>
      <c r="J96" s="99">
        <v>2.4</v>
      </c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</row>
    <row r="97" spans="1:42" ht="14.45" customHeight="1" x14ac:dyDescent="0.25">
      <c r="A97" s="125" t="s">
        <v>241</v>
      </c>
      <c r="B97" s="97"/>
      <c r="C97" s="98">
        <v>4.8</v>
      </c>
      <c r="D97" s="63"/>
      <c r="E97" s="63"/>
      <c r="F97" s="99">
        <v>-4.8</v>
      </c>
      <c r="G97" s="63"/>
      <c r="H97" s="63"/>
      <c r="I97" s="63"/>
      <c r="J97" s="99">
        <v>0</v>
      </c>
      <c r="K97" s="63"/>
      <c r="L97" s="63"/>
      <c r="M97" s="63"/>
      <c r="N97" s="63"/>
      <c r="O97" s="98">
        <v>-20</v>
      </c>
      <c r="P97" s="98">
        <v>-17.7</v>
      </c>
      <c r="Q97" s="98">
        <v>-8.9</v>
      </c>
      <c r="R97" s="99">
        <v>0.89999999999999858</v>
      </c>
      <c r="S97" s="98">
        <v>3.6</v>
      </c>
      <c r="T97" s="98">
        <v>-9.4</v>
      </c>
      <c r="U97" s="63"/>
      <c r="V97" s="99">
        <v>-6.6999999999999993</v>
      </c>
      <c r="W97" s="63"/>
      <c r="X97" s="98">
        <v>8.6</v>
      </c>
      <c r="Y97" s="63"/>
      <c r="Z97" s="99">
        <v>9.0000000000000018</v>
      </c>
      <c r="AA97" s="63"/>
      <c r="AB97" s="98">
        <v>5.7</v>
      </c>
      <c r="AC97" s="63"/>
      <c r="AD97" s="99">
        <v>-5.7</v>
      </c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</row>
    <row r="98" spans="1:42" ht="14.45" customHeight="1" x14ac:dyDescent="0.25">
      <c r="A98" s="125" t="s">
        <v>242</v>
      </c>
      <c r="B98" s="97"/>
      <c r="C98" s="63"/>
      <c r="D98" s="63"/>
      <c r="E98" s="63"/>
      <c r="F98" s="99">
        <v>0</v>
      </c>
      <c r="G98" s="63"/>
      <c r="H98" s="63"/>
      <c r="I98" s="63"/>
      <c r="J98" s="99">
        <v>0</v>
      </c>
      <c r="K98" s="63"/>
      <c r="L98" s="63"/>
      <c r="M98" s="63"/>
      <c r="N98" s="63"/>
      <c r="O98" s="63"/>
      <c r="P98" s="63"/>
      <c r="Q98" s="63"/>
      <c r="R98" s="99">
        <v>20</v>
      </c>
      <c r="S98" s="63"/>
      <c r="T98" s="63"/>
      <c r="U98" s="63"/>
      <c r="V98" s="99">
        <v>0</v>
      </c>
      <c r="W98" s="63"/>
      <c r="X98" s="98">
        <v>1.4</v>
      </c>
      <c r="Y98" s="63"/>
      <c r="Z98" s="99">
        <v>0.1000000000000001</v>
      </c>
      <c r="AA98" s="63"/>
      <c r="AB98" s="63"/>
      <c r="AC98" s="63"/>
      <c r="AD98" s="99">
        <v>0</v>
      </c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</row>
    <row r="99" spans="1:42" ht="14.45" customHeight="1" x14ac:dyDescent="0.25">
      <c r="A99" s="125" t="s">
        <v>243</v>
      </c>
      <c r="B99" s="97"/>
      <c r="C99" s="63"/>
      <c r="D99" s="63"/>
      <c r="E99" s="63"/>
      <c r="F99" s="99">
        <v>0</v>
      </c>
      <c r="G99" s="63"/>
      <c r="H99" s="63"/>
      <c r="I99" s="63"/>
      <c r="J99" s="99">
        <v>0</v>
      </c>
      <c r="K99" s="63"/>
      <c r="L99" s="63"/>
      <c r="M99" s="63"/>
      <c r="N99" s="63"/>
      <c r="O99" s="63"/>
      <c r="P99" s="63"/>
      <c r="Q99" s="63"/>
      <c r="R99" s="99">
        <v>0</v>
      </c>
      <c r="S99" s="63"/>
      <c r="T99" s="98">
        <v>-34.200000000000003</v>
      </c>
      <c r="U99" s="98">
        <v>-30.8</v>
      </c>
      <c r="V99" s="99">
        <v>-5.7000000000000028</v>
      </c>
      <c r="W99" s="98">
        <v>-9.4</v>
      </c>
      <c r="X99" s="98">
        <v>22.2</v>
      </c>
      <c r="Y99" s="98">
        <v>9.4</v>
      </c>
      <c r="Z99" s="99">
        <v>6.1000000000000014</v>
      </c>
      <c r="AA99" s="63"/>
      <c r="AB99" s="63"/>
      <c r="AC99" s="63"/>
      <c r="AD99" s="99">
        <v>0</v>
      </c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</row>
    <row r="100" spans="1:42" ht="14.45" customHeight="1" x14ac:dyDescent="0.25">
      <c r="A100" s="125" t="s">
        <v>244</v>
      </c>
      <c r="B100" s="97"/>
      <c r="C100" s="63"/>
      <c r="D100" s="63"/>
      <c r="E100" s="63"/>
      <c r="F100" s="99">
        <v>0</v>
      </c>
      <c r="G100" s="63"/>
      <c r="H100" s="63"/>
      <c r="I100" s="63"/>
      <c r="J100" s="99">
        <v>0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</row>
    <row r="101" spans="1:42" ht="14.45" customHeight="1" x14ac:dyDescent="0.25">
      <c r="A101" s="125" t="s">
        <v>245</v>
      </c>
      <c r="B101" s="97"/>
      <c r="C101" s="63"/>
      <c r="D101" s="63"/>
      <c r="E101" s="63"/>
      <c r="F101" s="99">
        <v>0</v>
      </c>
      <c r="G101" s="63"/>
      <c r="H101" s="63"/>
      <c r="I101" s="63"/>
      <c r="J101" s="99">
        <v>0</v>
      </c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</row>
    <row r="102" spans="1:42" ht="14.45" customHeight="1" x14ac:dyDescent="0.25">
      <c r="A102" s="125" t="s">
        <v>246</v>
      </c>
      <c r="B102" s="97"/>
      <c r="C102" s="63"/>
      <c r="D102" s="63"/>
      <c r="E102" s="63"/>
      <c r="F102" s="99">
        <v>0</v>
      </c>
      <c r="G102" s="63"/>
      <c r="H102" s="63"/>
      <c r="I102" s="63"/>
      <c r="J102" s="99">
        <v>0</v>
      </c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</row>
    <row r="103" spans="1:42" ht="14.45" customHeight="1" x14ac:dyDescent="0.25">
      <c r="A103" s="125" t="s">
        <v>247</v>
      </c>
      <c r="B103" s="97"/>
      <c r="C103" s="63"/>
      <c r="D103" s="63"/>
      <c r="E103" s="63"/>
      <c r="F103" s="99">
        <v>0</v>
      </c>
      <c r="G103" s="63"/>
      <c r="H103" s="63"/>
      <c r="I103" s="63"/>
      <c r="J103" s="99">
        <v>0</v>
      </c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</row>
    <row r="104" spans="1:42" ht="14.45" customHeight="1" x14ac:dyDescent="0.25">
      <c r="A104" s="125" t="s">
        <v>248</v>
      </c>
      <c r="B104" s="97"/>
      <c r="C104" s="63"/>
      <c r="D104" s="63"/>
      <c r="E104" s="63"/>
      <c r="F104" s="99">
        <v>0</v>
      </c>
      <c r="G104" s="63"/>
      <c r="H104" s="63"/>
      <c r="I104" s="63"/>
      <c r="J104" s="99">
        <v>0</v>
      </c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</row>
    <row r="105" spans="1:42" ht="14.45" customHeight="1" x14ac:dyDescent="0.25">
      <c r="A105" s="130" t="s">
        <v>249</v>
      </c>
      <c r="B105" s="101"/>
      <c r="C105" s="102">
        <v>0.7</v>
      </c>
      <c r="D105" s="102">
        <v>-2</v>
      </c>
      <c r="E105" s="102">
        <v>3.3</v>
      </c>
      <c r="F105" s="103">
        <v>3.9</v>
      </c>
      <c r="G105" s="102">
        <v>0.4</v>
      </c>
      <c r="H105" s="102">
        <v>0.4</v>
      </c>
      <c r="I105" s="102">
        <v>4</v>
      </c>
      <c r="J105" s="103">
        <v>9.5</v>
      </c>
      <c r="K105" s="158"/>
      <c r="L105" s="158"/>
      <c r="M105" s="158"/>
      <c r="N105" s="158"/>
      <c r="O105" s="102">
        <v>6.4</v>
      </c>
      <c r="P105" s="102">
        <v>7</v>
      </c>
      <c r="Q105" s="102">
        <v>3.1</v>
      </c>
      <c r="R105" s="103">
        <v>-17.600000000000001</v>
      </c>
      <c r="S105" s="102">
        <v>-0.2</v>
      </c>
      <c r="T105" s="102">
        <v>-2.8</v>
      </c>
      <c r="U105" s="158"/>
      <c r="V105" s="103">
        <v>1.5</v>
      </c>
      <c r="W105" s="158"/>
      <c r="X105" s="158"/>
      <c r="Y105" s="102">
        <v>4.2</v>
      </c>
      <c r="Z105" s="103">
        <v>-4.2</v>
      </c>
      <c r="AA105" s="102">
        <v>2.2000000000000002</v>
      </c>
      <c r="AB105" s="102">
        <v>-2.4</v>
      </c>
      <c r="AC105" s="102">
        <v>-14.6</v>
      </c>
      <c r="AD105" s="103">
        <v>43.04300000000039</v>
      </c>
      <c r="AE105" s="158">
        <v>22.284000000000109</v>
      </c>
      <c r="AF105" s="158">
        <v>18.617000000000189</v>
      </c>
      <c r="AG105" s="158">
        <v>13.839000000000169</v>
      </c>
      <c r="AH105" s="103">
        <v>-6.8390000000006239</v>
      </c>
      <c r="AI105" s="158">
        <v>-5.0160000000000764</v>
      </c>
      <c r="AJ105" s="158">
        <v>-7.8890000000001237</v>
      </c>
      <c r="AK105" s="158">
        <v>-6.7760000000000673</v>
      </c>
      <c r="AL105" s="103">
        <v>30.539000000000669</v>
      </c>
      <c r="AM105" s="158">
        <v>33.351000000000113</v>
      </c>
      <c r="AN105" s="158">
        <v>9.5760000000000218</v>
      </c>
      <c r="AO105" s="158">
        <v>2.6649999999999641</v>
      </c>
      <c r="AP105" s="103">
        <v>92.746999999999389</v>
      </c>
    </row>
    <row r="106" spans="1:42" ht="14.45" customHeight="1" x14ac:dyDescent="0.25">
      <c r="A106" s="135" t="s">
        <v>250</v>
      </c>
      <c r="B106" s="108"/>
      <c r="C106" s="109">
        <v>625.45600000000002</v>
      </c>
      <c r="D106" s="109">
        <v>840.38400000000001</v>
      </c>
      <c r="E106" s="109">
        <v>849.02800000000002</v>
      </c>
      <c r="F106" s="109">
        <v>841.55999999999972</v>
      </c>
      <c r="G106" s="109">
        <v>865.702</v>
      </c>
      <c r="H106" s="109">
        <v>1169.2909999999999</v>
      </c>
      <c r="I106" s="109">
        <v>1162.5260000000001</v>
      </c>
      <c r="J106" s="109">
        <v>1126.148999999999</v>
      </c>
      <c r="K106" s="109">
        <v>1064.7570000000001</v>
      </c>
      <c r="L106" s="109">
        <v>1220.0029999999999</v>
      </c>
      <c r="M106" s="109">
        <v>1204.0329999999999</v>
      </c>
      <c r="N106" s="109">
        <v>1136.570999999999</v>
      </c>
      <c r="O106" s="109">
        <v>1102.912</v>
      </c>
      <c r="P106" s="109">
        <v>1273.6590000000001</v>
      </c>
      <c r="Q106" s="109">
        <v>1271.029</v>
      </c>
      <c r="R106" s="109">
        <v>1178.9490000000001</v>
      </c>
      <c r="S106" s="109">
        <v>1173.021</v>
      </c>
      <c r="T106" s="109">
        <v>1227.2149999999999</v>
      </c>
      <c r="U106" s="109">
        <v>1328.4839999999999</v>
      </c>
      <c r="V106" s="109">
        <v>1278.6369999999999</v>
      </c>
      <c r="W106" s="109">
        <v>1269.857</v>
      </c>
      <c r="X106" s="109">
        <v>1433.086</v>
      </c>
      <c r="Y106" s="109">
        <v>1457.432</v>
      </c>
      <c r="Z106" s="109">
        <v>1402.3389999999999</v>
      </c>
      <c r="AA106" s="109">
        <v>1404.3579999999999</v>
      </c>
      <c r="AB106" s="109">
        <v>1595.2149999999999</v>
      </c>
      <c r="AC106" s="109">
        <v>1628.5889999999999</v>
      </c>
      <c r="AD106" s="109">
        <v>1572.7950000000001</v>
      </c>
      <c r="AE106" s="109">
        <v>1571.6420000000001</v>
      </c>
      <c r="AF106" s="109">
        <v>1738.8320000000001</v>
      </c>
      <c r="AG106" s="109">
        <v>1712.4280000000001</v>
      </c>
      <c r="AH106" s="109">
        <v>1630.9559999999999</v>
      </c>
      <c r="AI106" s="109">
        <v>1591.626</v>
      </c>
      <c r="AJ106" s="109">
        <v>1795.943</v>
      </c>
      <c r="AK106" s="109">
        <v>1765.652</v>
      </c>
      <c r="AL106" s="109">
        <v>1746.495000000001</v>
      </c>
      <c r="AM106" s="109">
        <v>1579.9770000000001</v>
      </c>
      <c r="AN106" s="109">
        <v>1855.519</v>
      </c>
      <c r="AO106" s="109">
        <v>1888.317</v>
      </c>
      <c r="AP106" s="109">
        <v>1904.242</v>
      </c>
    </row>
    <row r="107" spans="1:42" ht="14.45" customHeight="1" x14ac:dyDescent="0.25">
      <c r="A107" s="162"/>
      <c r="B107" s="97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</row>
    <row r="108" spans="1:42" ht="14.45" customHeight="1" x14ac:dyDescent="0.25">
      <c r="A108" s="95" t="s">
        <v>251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</row>
    <row r="109" spans="1:42" ht="14.45" customHeight="1" x14ac:dyDescent="0.25">
      <c r="A109" s="135" t="s">
        <v>252</v>
      </c>
      <c r="B109" s="108"/>
      <c r="C109" s="109">
        <v>268.88</v>
      </c>
      <c r="D109" s="109">
        <v>377.36599999999999</v>
      </c>
      <c r="E109" s="109">
        <v>380.27</v>
      </c>
      <c r="F109" s="109">
        <v>378.90999999999991</v>
      </c>
      <c r="G109" s="109">
        <v>381.55799999999999</v>
      </c>
      <c r="H109" s="109">
        <v>520.67700000000002</v>
      </c>
      <c r="I109" s="109">
        <v>521.83799999999997</v>
      </c>
      <c r="J109" s="109">
        <v>516.63300000000004</v>
      </c>
      <c r="K109" s="109">
        <v>533.68100000000004</v>
      </c>
      <c r="L109" s="109">
        <v>754.11300000000006</v>
      </c>
      <c r="M109" s="109">
        <v>752.202</v>
      </c>
      <c r="N109" s="109">
        <v>742.72499999999991</v>
      </c>
      <c r="O109" s="109">
        <v>707.11599999999999</v>
      </c>
      <c r="P109" s="109">
        <v>815.29499999999996</v>
      </c>
      <c r="Q109" s="109">
        <v>791.31700000000001</v>
      </c>
      <c r="R109" s="109">
        <v>755.92399999999998</v>
      </c>
      <c r="S109" s="109">
        <v>713.60400000000004</v>
      </c>
      <c r="T109" s="109">
        <v>837.88</v>
      </c>
      <c r="U109" s="109">
        <v>838.80499999999995</v>
      </c>
      <c r="V109" s="109">
        <v>765.75800000000027</v>
      </c>
      <c r="W109" s="109">
        <v>767.726</v>
      </c>
      <c r="X109" s="109">
        <v>797.91399999999999</v>
      </c>
      <c r="Y109" s="109">
        <v>856.04600000000005</v>
      </c>
      <c r="Z109" s="109">
        <v>816.76200000000017</v>
      </c>
      <c r="AA109" s="109">
        <v>821.154</v>
      </c>
      <c r="AB109" s="109">
        <v>938.14599999999996</v>
      </c>
      <c r="AC109" s="109">
        <v>939.72</v>
      </c>
      <c r="AD109" s="109">
        <v>909.50700000000006</v>
      </c>
      <c r="AE109" s="109">
        <v>896.78200000000004</v>
      </c>
      <c r="AF109" s="109">
        <v>1044.556</v>
      </c>
      <c r="AG109" s="109">
        <v>1007.482</v>
      </c>
      <c r="AH109" s="109">
        <v>974.18299999999999</v>
      </c>
      <c r="AI109" s="109">
        <v>947.53599999999994</v>
      </c>
      <c r="AJ109" s="109">
        <v>1067.2550000000001</v>
      </c>
      <c r="AK109" s="109">
        <v>1050.8779999999999</v>
      </c>
      <c r="AL109" s="109">
        <v>989.47800000000007</v>
      </c>
      <c r="AM109" s="109">
        <v>951.06700000000001</v>
      </c>
      <c r="AN109" s="109">
        <v>1079.2329999999999</v>
      </c>
      <c r="AO109" s="109">
        <v>1067.616</v>
      </c>
      <c r="AP109" s="109">
        <v>1048.6210000000001</v>
      </c>
    </row>
    <row r="110" spans="1:42" ht="14.45" customHeight="1" x14ac:dyDescent="0.25">
      <c r="A110" s="125" t="s">
        <v>232</v>
      </c>
      <c r="B110" s="97"/>
      <c r="C110" s="98">
        <v>76.2</v>
      </c>
      <c r="D110" s="98">
        <v>134.9</v>
      </c>
      <c r="E110" s="98">
        <v>135.69999999999999</v>
      </c>
      <c r="F110" s="99">
        <v>147.1</v>
      </c>
      <c r="G110" s="98">
        <v>146.9</v>
      </c>
      <c r="H110" s="98">
        <v>216.7</v>
      </c>
      <c r="I110" s="98">
        <v>215.8</v>
      </c>
      <c r="J110" s="99">
        <v>186.39999999999989</v>
      </c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</row>
    <row r="111" spans="1:42" ht="14.45" customHeight="1" x14ac:dyDescent="0.25">
      <c r="A111" s="125" t="s">
        <v>236</v>
      </c>
      <c r="B111" s="97"/>
      <c r="C111" s="98">
        <v>13.2</v>
      </c>
      <c r="D111" s="98">
        <v>11.3</v>
      </c>
      <c r="E111" s="98">
        <v>6.8</v>
      </c>
      <c r="F111" s="99">
        <v>-0.60000000000000142</v>
      </c>
      <c r="G111" s="98">
        <v>7.3</v>
      </c>
      <c r="H111" s="98">
        <v>4.5</v>
      </c>
      <c r="I111" s="63"/>
      <c r="J111" s="99">
        <v>7.1999999999999993</v>
      </c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</row>
    <row r="112" spans="1:42" ht="14.45" customHeight="1" x14ac:dyDescent="0.25">
      <c r="A112" s="125" t="s">
        <v>253</v>
      </c>
      <c r="B112" s="97"/>
      <c r="C112" s="98">
        <v>18.3</v>
      </c>
      <c r="D112" s="98">
        <v>2.7</v>
      </c>
      <c r="E112" s="63"/>
      <c r="F112" s="99">
        <v>-1.6999999999999991</v>
      </c>
      <c r="G112" s="63"/>
      <c r="H112" s="98">
        <v>9.6999999999999993</v>
      </c>
      <c r="I112" s="98">
        <v>11.5</v>
      </c>
      <c r="J112" s="99">
        <v>25.2</v>
      </c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</row>
    <row r="113" spans="1:42" ht="14.45" customHeight="1" x14ac:dyDescent="0.25">
      <c r="A113" s="125" t="s">
        <v>254</v>
      </c>
      <c r="B113" s="97"/>
      <c r="C113" s="98">
        <v>-4.5</v>
      </c>
      <c r="D113" s="98">
        <v>-3.8</v>
      </c>
      <c r="E113" s="63"/>
      <c r="F113" s="99">
        <v>-4.8999999999999986</v>
      </c>
      <c r="G113" s="63"/>
      <c r="H113" s="63"/>
      <c r="I113" s="63"/>
      <c r="J113" s="99">
        <v>0</v>
      </c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</row>
    <row r="114" spans="1:42" ht="14.45" customHeight="1" x14ac:dyDescent="0.25">
      <c r="A114" s="125" t="s">
        <v>255</v>
      </c>
      <c r="B114" s="97"/>
      <c r="C114" s="63"/>
      <c r="D114" s="63"/>
      <c r="E114" s="63"/>
      <c r="F114" s="63"/>
      <c r="G114" s="63"/>
      <c r="H114" s="63"/>
      <c r="I114" s="63"/>
      <c r="J114" s="99">
        <v>0</v>
      </c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>
        <v>0</v>
      </c>
      <c r="AI114" s="98">
        <v>35</v>
      </c>
      <c r="AJ114" s="98">
        <v>30</v>
      </c>
      <c r="AK114" s="98">
        <v>30</v>
      </c>
      <c r="AL114" s="63">
        <v>25</v>
      </c>
      <c r="AM114" s="63"/>
      <c r="AN114" s="98">
        <v>35</v>
      </c>
      <c r="AO114" s="98">
        <v>25</v>
      </c>
      <c r="AP114" s="63">
        <v>75</v>
      </c>
    </row>
    <row r="115" spans="1:42" ht="14.45" customHeight="1" x14ac:dyDescent="0.25">
      <c r="A115" s="125" t="s">
        <v>256</v>
      </c>
      <c r="B115" s="97"/>
      <c r="C115" s="98">
        <v>-3.8</v>
      </c>
      <c r="D115" s="98">
        <v>-4.7</v>
      </c>
      <c r="E115" s="63"/>
      <c r="F115" s="99">
        <v>-3.1</v>
      </c>
      <c r="G115" s="63"/>
      <c r="H115" s="63"/>
      <c r="I115" s="63"/>
      <c r="J115" s="99">
        <v>0</v>
      </c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</row>
    <row r="116" spans="1:42" ht="14.45" customHeight="1" x14ac:dyDescent="0.25">
      <c r="A116" s="125" t="s">
        <v>257</v>
      </c>
      <c r="B116" s="97"/>
      <c r="C116" s="63"/>
      <c r="D116" s="63"/>
      <c r="E116" s="63"/>
      <c r="F116" s="99">
        <v>0</v>
      </c>
      <c r="G116" s="63"/>
      <c r="H116" s="63"/>
      <c r="I116" s="63"/>
      <c r="J116" s="99">
        <v>0</v>
      </c>
      <c r="K116" s="63"/>
      <c r="L116" s="63"/>
      <c r="M116" s="63"/>
      <c r="N116" s="63"/>
      <c r="O116" s="63"/>
      <c r="P116" s="63"/>
      <c r="Q116" s="63"/>
      <c r="R116" s="99">
        <v>0</v>
      </c>
      <c r="S116" s="63"/>
      <c r="T116" s="98">
        <v>-26</v>
      </c>
      <c r="U116" s="98">
        <v>-24.3</v>
      </c>
      <c r="V116" s="99">
        <v>2.1999999999999962</v>
      </c>
      <c r="W116" s="98">
        <v>-9.6</v>
      </c>
      <c r="X116" s="98">
        <v>16.2</v>
      </c>
      <c r="Y116" s="98">
        <v>6.6</v>
      </c>
      <c r="Z116" s="99">
        <v>7.8000000000000007</v>
      </c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</row>
    <row r="117" spans="1:42" ht="14.45" customHeight="1" x14ac:dyDescent="0.25">
      <c r="A117" s="125" t="s">
        <v>241</v>
      </c>
      <c r="B117" s="97"/>
      <c r="C117" s="98">
        <v>4.5999999999999996</v>
      </c>
      <c r="D117" s="63"/>
      <c r="E117" s="63"/>
      <c r="F117" s="99">
        <v>-4.5999999999999996</v>
      </c>
      <c r="G117" s="63"/>
      <c r="H117" s="63"/>
      <c r="I117" s="63"/>
      <c r="J117" s="99">
        <v>0</v>
      </c>
      <c r="K117" s="63"/>
      <c r="L117" s="63"/>
      <c r="M117" s="63"/>
      <c r="N117" s="63"/>
      <c r="O117" s="98">
        <v>-20.7</v>
      </c>
      <c r="P117" s="98">
        <v>-19.600000000000001</v>
      </c>
      <c r="Q117" s="98">
        <v>-10.1</v>
      </c>
      <c r="R117" s="99">
        <v>0.79999999999999716</v>
      </c>
      <c r="S117" s="98">
        <v>3.3</v>
      </c>
      <c r="T117" s="98">
        <v>-9.8000000000000007</v>
      </c>
      <c r="U117" s="63"/>
      <c r="V117" s="99">
        <v>-6.6999999999999984</v>
      </c>
      <c r="W117" s="63"/>
      <c r="X117" s="98">
        <v>9.1</v>
      </c>
      <c r="Y117" s="63"/>
      <c r="Z117" s="99">
        <v>8.7999999999999989</v>
      </c>
      <c r="AA117" s="63"/>
      <c r="AB117" s="98">
        <v>5</v>
      </c>
      <c r="AC117" s="63"/>
      <c r="AD117" s="99">
        <v>-5</v>
      </c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</row>
    <row r="118" spans="1:42" ht="14.45" customHeight="1" x14ac:dyDescent="0.25">
      <c r="A118" s="125" t="s">
        <v>258</v>
      </c>
      <c r="B118" s="97"/>
      <c r="C118" s="63"/>
      <c r="D118" s="63"/>
      <c r="E118" s="63"/>
      <c r="F118" s="63"/>
      <c r="G118" s="63"/>
      <c r="H118" s="63"/>
      <c r="I118" s="63"/>
      <c r="J118" s="99">
        <v>0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</row>
    <row r="119" spans="1:42" ht="14.45" customHeight="1" x14ac:dyDescent="0.25">
      <c r="A119" s="125" t="s">
        <v>235</v>
      </c>
      <c r="B119" s="97"/>
      <c r="C119" s="63"/>
      <c r="D119" s="63"/>
      <c r="E119" s="63"/>
      <c r="F119" s="99">
        <v>0</v>
      </c>
      <c r="G119" s="63"/>
      <c r="H119" s="63"/>
      <c r="I119" s="63"/>
      <c r="J119" s="99">
        <v>0</v>
      </c>
      <c r="K119" s="63"/>
      <c r="L119" s="63"/>
      <c r="M119" s="63"/>
      <c r="N119" s="63"/>
      <c r="O119" s="63"/>
      <c r="P119" s="98">
        <v>5.6</v>
      </c>
      <c r="Q119" s="98">
        <v>36.200000000000003</v>
      </c>
      <c r="R119" s="99">
        <v>1.2999999999999969</v>
      </c>
      <c r="S119" s="98">
        <v>35.200000000000003</v>
      </c>
      <c r="T119" s="63"/>
      <c r="U119" s="98">
        <v>22.5</v>
      </c>
      <c r="V119" s="99">
        <v>43.099999999999987</v>
      </c>
      <c r="W119" s="98">
        <v>27.2</v>
      </c>
      <c r="X119" s="98">
        <v>49.8</v>
      </c>
      <c r="Y119" s="63"/>
      <c r="Z119" s="99">
        <v>-7.4000000000000057</v>
      </c>
      <c r="AA119" s="98">
        <v>-4.3</v>
      </c>
      <c r="AB119" s="98">
        <v>6.3</v>
      </c>
      <c r="AC119" s="98">
        <v>2.5</v>
      </c>
      <c r="AD119" s="99">
        <v>-4.5</v>
      </c>
      <c r="AE119" s="98">
        <v>-10</v>
      </c>
      <c r="AF119" s="98">
        <v>-20</v>
      </c>
      <c r="AG119" s="98">
        <v>-15</v>
      </c>
      <c r="AH119" s="99">
        <v>5</v>
      </c>
      <c r="AI119" s="98">
        <v>-20</v>
      </c>
      <c r="AJ119" s="63"/>
      <c r="AK119" s="63"/>
      <c r="AL119" s="63"/>
      <c r="AM119" s="63"/>
      <c r="AN119" s="63"/>
      <c r="AO119" s="98">
        <v>35</v>
      </c>
      <c r="AP119" s="63"/>
    </row>
    <row r="120" spans="1:42" ht="14.45" customHeight="1" x14ac:dyDescent="0.25">
      <c r="A120" s="125" t="s">
        <v>259</v>
      </c>
      <c r="B120" s="97"/>
      <c r="C120" s="63"/>
      <c r="D120" s="63"/>
      <c r="E120" s="63"/>
      <c r="F120" s="99">
        <v>0</v>
      </c>
      <c r="G120" s="63"/>
      <c r="H120" s="63"/>
      <c r="I120" s="63"/>
      <c r="J120" s="99">
        <v>0</v>
      </c>
      <c r="K120" s="63"/>
      <c r="L120" s="63"/>
      <c r="M120" s="63"/>
      <c r="N120" s="63"/>
      <c r="O120" s="98">
        <v>27.2</v>
      </c>
      <c r="P120" s="98">
        <v>29.6</v>
      </c>
      <c r="Q120" s="98">
        <v>18.8</v>
      </c>
      <c r="R120" s="99">
        <v>9.5</v>
      </c>
      <c r="S120" s="98">
        <v>5.9</v>
      </c>
      <c r="T120" s="63"/>
      <c r="U120" s="98">
        <v>12.8</v>
      </c>
      <c r="V120" s="99">
        <v>26.8</v>
      </c>
      <c r="W120" s="98">
        <v>35.799999999999997</v>
      </c>
      <c r="X120" s="98">
        <v>61</v>
      </c>
      <c r="Y120" s="98">
        <v>69.7</v>
      </c>
      <c r="Z120" s="99">
        <v>87.1</v>
      </c>
      <c r="AA120" s="98">
        <v>87.3</v>
      </c>
      <c r="AB120" s="98">
        <v>90</v>
      </c>
      <c r="AC120" s="98">
        <v>91.3</v>
      </c>
      <c r="AD120" s="99">
        <v>96.399999999999977</v>
      </c>
      <c r="AE120" s="98">
        <v>60</v>
      </c>
      <c r="AF120" s="98">
        <v>70</v>
      </c>
      <c r="AG120" s="98">
        <v>50</v>
      </c>
      <c r="AH120" s="99">
        <v>0</v>
      </c>
      <c r="AI120" s="63"/>
      <c r="AJ120" s="63"/>
      <c r="AK120" s="63"/>
      <c r="AL120" s="63"/>
      <c r="AM120" s="63"/>
      <c r="AN120" s="63"/>
      <c r="AO120" s="63"/>
      <c r="AP120" s="63"/>
    </row>
    <row r="121" spans="1:42" ht="14.45" customHeight="1" x14ac:dyDescent="0.25">
      <c r="A121" s="125" t="s">
        <v>260</v>
      </c>
      <c r="B121" s="97"/>
      <c r="C121" s="98">
        <v>5.9</v>
      </c>
      <c r="D121" s="98">
        <v>5.0999999999999996</v>
      </c>
      <c r="E121" s="98">
        <v>5.8</v>
      </c>
      <c r="F121" s="99">
        <v>1.1999999999999991</v>
      </c>
      <c r="G121" s="63"/>
      <c r="H121" s="63"/>
      <c r="I121" s="63"/>
      <c r="J121" s="99">
        <v>0</v>
      </c>
      <c r="K121" s="63"/>
      <c r="L121" s="63"/>
      <c r="M121" s="63"/>
      <c r="N121" s="63"/>
      <c r="O121" s="63"/>
      <c r="P121" s="63"/>
      <c r="Q121" s="63"/>
      <c r="R121" s="99">
        <v>22.7</v>
      </c>
      <c r="S121" s="98">
        <v>3.6</v>
      </c>
      <c r="T121" s="63"/>
      <c r="U121" s="63"/>
      <c r="V121" s="99">
        <v>-3.6</v>
      </c>
      <c r="W121" s="63"/>
      <c r="X121" s="98">
        <v>4.0999999999999996</v>
      </c>
      <c r="Y121" s="63"/>
      <c r="Z121" s="99">
        <v>3.9</v>
      </c>
      <c r="AA121" s="63"/>
      <c r="AB121" s="63"/>
      <c r="AC121" s="63"/>
      <c r="AD121" s="99">
        <v>0</v>
      </c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</row>
    <row r="122" spans="1:42" ht="14.45" customHeight="1" x14ac:dyDescent="0.25">
      <c r="A122" s="125" t="s">
        <v>261</v>
      </c>
      <c r="B122" s="97"/>
      <c r="C122" s="63"/>
      <c r="D122" s="63"/>
      <c r="E122" s="63"/>
      <c r="F122" s="63"/>
      <c r="G122" s="98">
        <v>-4</v>
      </c>
      <c r="H122" s="98">
        <v>-4.2</v>
      </c>
      <c r="I122" s="63"/>
      <c r="J122" s="99">
        <v>8.1999999999999993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98">
        <v>-15</v>
      </c>
      <c r="AJ122" s="63"/>
      <c r="AK122" s="63"/>
      <c r="AL122" s="63"/>
      <c r="AM122" s="63"/>
      <c r="AN122" s="63"/>
      <c r="AO122" s="63"/>
      <c r="AP122" s="63"/>
    </row>
    <row r="123" spans="1:42" ht="14.45" customHeight="1" x14ac:dyDescent="0.25">
      <c r="A123" s="125" t="s">
        <v>262</v>
      </c>
      <c r="B123" s="97"/>
      <c r="C123" s="63"/>
      <c r="D123" s="63"/>
      <c r="E123" s="63"/>
      <c r="F123" s="63"/>
      <c r="G123" s="63"/>
      <c r="H123" s="63"/>
      <c r="I123" s="63"/>
      <c r="J123" s="99">
        <v>0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</row>
    <row r="124" spans="1:42" ht="14.45" customHeight="1" x14ac:dyDescent="0.25">
      <c r="A124" s="125" t="s">
        <v>263</v>
      </c>
      <c r="B124" s="97"/>
      <c r="C124" s="63"/>
      <c r="D124" s="98">
        <v>-1.9</v>
      </c>
      <c r="E124" s="63"/>
      <c r="F124" s="99">
        <v>-3.4</v>
      </c>
      <c r="G124" s="63"/>
      <c r="H124" s="98">
        <v>2.1</v>
      </c>
      <c r="I124" s="63"/>
      <c r="J124" s="99">
        <v>-2.1</v>
      </c>
      <c r="K124" s="63"/>
      <c r="L124" s="63"/>
      <c r="M124" s="63"/>
      <c r="N124" s="63"/>
      <c r="O124" s="63"/>
      <c r="P124" s="63"/>
      <c r="Q124" s="63"/>
      <c r="R124" s="99">
        <v>0</v>
      </c>
      <c r="S124" s="63"/>
      <c r="T124" s="98">
        <v>-6.1</v>
      </c>
      <c r="U124" s="63"/>
      <c r="V124" s="99">
        <v>6.1</v>
      </c>
      <c r="W124" s="63"/>
      <c r="X124" s="63"/>
      <c r="Y124" s="63"/>
      <c r="Z124" s="99">
        <v>0</v>
      </c>
      <c r="AA124" s="63"/>
      <c r="AB124" s="63"/>
      <c r="AC124" s="63"/>
      <c r="AD124" s="99">
        <v>0</v>
      </c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</row>
    <row r="125" spans="1:42" ht="14.45" customHeight="1" x14ac:dyDescent="0.25">
      <c r="A125" s="125" t="s">
        <v>264</v>
      </c>
      <c r="B125" s="97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</row>
    <row r="126" spans="1:42" ht="14.45" customHeight="1" x14ac:dyDescent="0.25">
      <c r="A126" s="125" t="s">
        <v>249</v>
      </c>
      <c r="B126" s="97"/>
      <c r="C126" s="98">
        <v>2.8</v>
      </c>
      <c r="D126" s="98">
        <v>-0.3</v>
      </c>
      <c r="E126" s="98">
        <v>-6.7</v>
      </c>
      <c r="F126" s="99">
        <v>7.7</v>
      </c>
      <c r="G126" s="98">
        <v>1.9</v>
      </c>
      <c r="H126" s="98">
        <v>4.5999999999999996</v>
      </c>
      <c r="I126" s="98">
        <v>3.1</v>
      </c>
      <c r="J126" s="99">
        <v>1.2000000000000011</v>
      </c>
      <c r="K126" s="63"/>
      <c r="L126" s="63"/>
      <c r="M126" s="63"/>
      <c r="N126" s="63"/>
      <c r="O126" s="63"/>
      <c r="P126" s="98">
        <v>7</v>
      </c>
      <c r="Q126" s="98">
        <v>2.6</v>
      </c>
      <c r="R126" s="99">
        <v>-24.5</v>
      </c>
      <c r="S126" s="98">
        <v>6.1</v>
      </c>
      <c r="T126" s="98">
        <v>1.9</v>
      </c>
      <c r="U126" s="98">
        <v>6.2</v>
      </c>
      <c r="V126" s="99">
        <v>-16.8</v>
      </c>
      <c r="W126" s="63"/>
      <c r="X126" s="63"/>
      <c r="Y126" s="98">
        <v>7.4</v>
      </c>
      <c r="Z126" s="99">
        <v>-7.4</v>
      </c>
      <c r="AA126" s="98">
        <v>-7.4</v>
      </c>
      <c r="AB126" s="98">
        <v>5.0999999999999996</v>
      </c>
      <c r="AC126" s="98">
        <v>-26</v>
      </c>
      <c r="AD126" s="99">
        <v>-22.22399999999989</v>
      </c>
      <c r="AE126" s="63">
        <v>0.75399999999990541</v>
      </c>
      <c r="AF126" s="63">
        <v>-27.300999999999931</v>
      </c>
      <c r="AG126" s="99">
        <v>8.3959999999999582</v>
      </c>
      <c r="AH126" s="99">
        <v>10.294999999999851</v>
      </c>
      <c r="AI126" s="63">
        <v>3.5310000000000632</v>
      </c>
      <c r="AJ126" s="63">
        <v>-18.022000000000158</v>
      </c>
      <c r="AK126" s="99">
        <v>-13.26199999999994</v>
      </c>
      <c r="AL126" s="99">
        <v>34.143000000000029</v>
      </c>
      <c r="AM126" s="63">
        <v>1.80600000000004</v>
      </c>
      <c r="AN126" s="63">
        <v>-1.2100000000000359</v>
      </c>
      <c r="AO126" s="99">
        <v>12.184999999999951</v>
      </c>
      <c r="AP126" s="99">
        <v>26.375000000000451</v>
      </c>
    </row>
    <row r="127" spans="1:42" ht="14.45" customHeight="1" x14ac:dyDescent="0.25">
      <c r="A127" s="110" t="s">
        <v>265</v>
      </c>
      <c r="B127" s="105"/>
      <c r="C127" s="106">
        <v>381.55799999999999</v>
      </c>
      <c r="D127" s="106">
        <v>520.67700000000002</v>
      </c>
      <c r="E127" s="106">
        <v>521.83799999999997</v>
      </c>
      <c r="F127" s="106">
        <v>516.63300000000004</v>
      </c>
      <c r="G127" s="106">
        <v>533.68100000000004</v>
      </c>
      <c r="H127" s="106">
        <v>754.11300000000006</v>
      </c>
      <c r="I127" s="106">
        <v>752.202</v>
      </c>
      <c r="J127" s="106">
        <v>742.72499999999991</v>
      </c>
      <c r="K127" s="106">
        <v>707.11599999999999</v>
      </c>
      <c r="L127" s="106">
        <v>815.29499999999996</v>
      </c>
      <c r="M127" s="106">
        <v>791.31700000000001</v>
      </c>
      <c r="N127" s="106">
        <v>755.92399999999998</v>
      </c>
      <c r="O127" s="106">
        <v>713.60400000000004</v>
      </c>
      <c r="P127" s="106">
        <v>837.88</v>
      </c>
      <c r="Q127" s="106">
        <v>838.80499999999995</v>
      </c>
      <c r="R127" s="106">
        <v>765.75800000000027</v>
      </c>
      <c r="S127" s="106">
        <v>767.726</v>
      </c>
      <c r="T127" s="106">
        <v>797.91399999999999</v>
      </c>
      <c r="U127" s="106">
        <v>856.04600000000005</v>
      </c>
      <c r="V127" s="106">
        <v>816.76200000000017</v>
      </c>
      <c r="W127" s="106">
        <v>821.154</v>
      </c>
      <c r="X127" s="106">
        <v>938.14599999999996</v>
      </c>
      <c r="Y127" s="106">
        <v>939.72</v>
      </c>
      <c r="Z127" s="106">
        <v>909.50700000000006</v>
      </c>
      <c r="AA127" s="106">
        <v>896.78200000000004</v>
      </c>
      <c r="AB127" s="106">
        <v>1044.556</v>
      </c>
      <c r="AC127" s="106">
        <v>1007.482</v>
      </c>
      <c r="AD127" s="106">
        <v>974.18299999999999</v>
      </c>
      <c r="AE127" s="106">
        <v>947.53599999999994</v>
      </c>
      <c r="AF127" s="106">
        <v>1067.2550000000001</v>
      </c>
      <c r="AG127" s="106">
        <v>1050.8779999999999</v>
      </c>
      <c r="AH127" s="106">
        <v>989.47800000000007</v>
      </c>
      <c r="AI127" s="106">
        <v>951.06700000000001</v>
      </c>
      <c r="AJ127" s="106">
        <v>1079.2329999999999</v>
      </c>
      <c r="AK127" s="106">
        <v>1067.616</v>
      </c>
      <c r="AL127" s="106">
        <v>1048.6210000000001</v>
      </c>
      <c r="AM127" s="106">
        <v>952.87300000000005</v>
      </c>
      <c r="AN127" s="106">
        <v>1113.0229999999999</v>
      </c>
      <c r="AO127" s="106">
        <v>1139.8009999999999</v>
      </c>
      <c r="AP127" s="106">
        <v>1149.996000000001</v>
      </c>
    </row>
    <row r="128" spans="1:42" ht="14.45" customHeight="1" x14ac:dyDescent="0.25">
      <c r="A128" s="162"/>
      <c r="B128" s="97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</row>
    <row r="129" spans="1:42" ht="14.45" customHeight="1" x14ac:dyDescent="0.25">
      <c r="A129" s="95" t="s">
        <v>266</v>
      </c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</row>
    <row r="130" spans="1:42" ht="14.45" customHeight="1" x14ac:dyDescent="0.25">
      <c r="A130" s="135" t="s">
        <v>267</v>
      </c>
      <c r="B130" s="108"/>
      <c r="C130" s="109">
        <v>167.471</v>
      </c>
      <c r="D130" s="109">
        <v>199.001</v>
      </c>
      <c r="E130" s="109">
        <v>210.851</v>
      </c>
      <c r="F130" s="109">
        <v>225.56500000000011</v>
      </c>
      <c r="G130" s="109">
        <v>231.49700000000001</v>
      </c>
      <c r="H130" s="109">
        <v>264.971</v>
      </c>
      <c r="I130" s="109">
        <v>287.38900000000001</v>
      </c>
      <c r="J130" s="109">
        <v>304.00599999999997</v>
      </c>
      <c r="K130" s="109">
        <v>318.41300000000001</v>
      </c>
      <c r="L130" s="109">
        <v>367.86500000000001</v>
      </c>
      <c r="M130" s="109">
        <v>374.19400000000002</v>
      </c>
      <c r="N130" s="109">
        <v>384.29599999999999</v>
      </c>
      <c r="O130" s="109">
        <v>376.63799999999998</v>
      </c>
      <c r="P130" s="109">
        <v>385.029</v>
      </c>
      <c r="Q130" s="109">
        <v>368.31200000000001</v>
      </c>
      <c r="R130" s="109">
        <v>367.83100000000007</v>
      </c>
      <c r="S130" s="109">
        <v>369.154</v>
      </c>
      <c r="T130" s="109">
        <v>368.565</v>
      </c>
      <c r="U130" s="109">
        <v>378.37799999999999</v>
      </c>
      <c r="V130" s="109">
        <v>373.65100000000012</v>
      </c>
      <c r="W130" s="109">
        <v>372.47399999999999</v>
      </c>
      <c r="X130" s="109">
        <v>346.18299999999999</v>
      </c>
      <c r="Y130" s="109">
        <v>368.59399999999999</v>
      </c>
      <c r="Z130" s="109">
        <v>368.28</v>
      </c>
      <c r="AA130" s="109">
        <v>354.51900000000001</v>
      </c>
      <c r="AB130" s="109">
        <v>374.07900000000001</v>
      </c>
      <c r="AC130" s="109">
        <v>380.68099999999998</v>
      </c>
      <c r="AD130" s="109">
        <v>405.73700000000008</v>
      </c>
      <c r="AE130" s="109">
        <v>376.59100000000001</v>
      </c>
      <c r="AF130" s="109">
        <v>403.36599999999999</v>
      </c>
      <c r="AG130" s="109">
        <v>431.17700000000002</v>
      </c>
      <c r="AH130" s="109">
        <v>425.77299999999991</v>
      </c>
      <c r="AI130" s="109">
        <v>418.05200000000002</v>
      </c>
      <c r="AJ130" s="109">
        <v>437.90699999999998</v>
      </c>
      <c r="AK130" s="109">
        <v>445.29</v>
      </c>
      <c r="AL130" s="109">
        <v>463.01100000000002</v>
      </c>
      <c r="AM130" s="109">
        <v>425.15300000000002</v>
      </c>
      <c r="AN130" s="109">
        <v>457.57</v>
      </c>
      <c r="AO130" s="109">
        <v>470.98099999999999</v>
      </c>
      <c r="AP130" s="109">
        <v>479.125</v>
      </c>
    </row>
    <row r="131" spans="1:42" ht="14.45" customHeight="1" x14ac:dyDescent="0.25">
      <c r="A131" s="125" t="s">
        <v>268</v>
      </c>
      <c r="B131" s="97"/>
      <c r="C131" s="98">
        <v>4.5</v>
      </c>
      <c r="D131" s="98">
        <v>3.4</v>
      </c>
      <c r="E131" s="63"/>
      <c r="F131" s="99">
        <v>10.199999999999999</v>
      </c>
      <c r="G131" s="98">
        <v>8.3000000000000007</v>
      </c>
      <c r="H131" s="98">
        <v>9.5</v>
      </c>
      <c r="I131" s="98">
        <v>8.4</v>
      </c>
      <c r="J131" s="99">
        <v>6.3999999999999986</v>
      </c>
      <c r="K131" s="63"/>
      <c r="L131" s="63"/>
      <c r="M131" s="63"/>
      <c r="N131" s="63"/>
      <c r="O131" s="98">
        <v>3</v>
      </c>
      <c r="P131" s="98">
        <v>-9.3000000000000007</v>
      </c>
      <c r="Q131" s="98">
        <v>12.1</v>
      </c>
      <c r="R131" s="99">
        <v>16.2</v>
      </c>
      <c r="S131" s="98">
        <v>4.3</v>
      </c>
      <c r="T131" s="98">
        <v>-13.1</v>
      </c>
      <c r="U131" s="98">
        <v>-7.9</v>
      </c>
      <c r="V131" s="99">
        <v>6.3000000000000016</v>
      </c>
      <c r="W131" s="98">
        <v>-10.199999999999999</v>
      </c>
      <c r="X131" s="98">
        <v>24.2</v>
      </c>
      <c r="Y131" s="98">
        <v>9.5</v>
      </c>
      <c r="Z131" s="99">
        <v>19.7</v>
      </c>
      <c r="AA131" s="98">
        <v>20</v>
      </c>
      <c r="AB131" s="98">
        <v>15.2</v>
      </c>
      <c r="AC131" s="98">
        <v>31.5</v>
      </c>
      <c r="AD131" s="99">
        <v>8.2999999999999972</v>
      </c>
      <c r="AE131" s="98">
        <v>13</v>
      </c>
      <c r="AF131" s="98">
        <v>14</v>
      </c>
      <c r="AG131" s="98">
        <v>10</v>
      </c>
      <c r="AH131" s="99">
        <v>35</v>
      </c>
      <c r="AI131" s="63"/>
      <c r="AJ131" s="63"/>
      <c r="AK131" s="63"/>
      <c r="AL131" s="63"/>
      <c r="AM131" s="63"/>
      <c r="AN131" s="63"/>
      <c r="AO131" s="63"/>
      <c r="AP131" s="63"/>
    </row>
    <row r="132" spans="1:42" ht="14.45" customHeight="1" x14ac:dyDescent="0.25">
      <c r="A132" s="125" t="s">
        <v>269</v>
      </c>
      <c r="B132" s="97"/>
      <c r="C132" s="98">
        <v>27.3</v>
      </c>
      <c r="D132" s="98">
        <v>35.4</v>
      </c>
      <c r="E132" s="98">
        <v>39.6</v>
      </c>
      <c r="F132" s="99">
        <v>38.799999999999983</v>
      </c>
      <c r="G132" s="98">
        <v>44</v>
      </c>
      <c r="H132" s="98">
        <v>50.3</v>
      </c>
      <c r="I132" s="98">
        <v>45.4</v>
      </c>
      <c r="J132" s="99">
        <v>37.700000000000017</v>
      </c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</row>
    <row r="133" spans="1:42" ht="14.45" customHeight="1" x14ac:dyDescent="0.25">
      <c r="A133" s="125" t="s">
        <v>270</v>
      </c>
      <c r="B133" s="97"/>
      <c r="C133" s="98">
        <v>5.0999999999999996</v>
      </c>
      <c r="D133" s="98">
        <v>5.8</v>
      </c>
      <c r="E133" s="98">
        <v>6.5</v>
      </c>
      <c r="F133" s="99">
        <v>6.5</v>
      </c>
      <c r="G133" s="98">
        <v>6.1</v>
      </c>
      <c r="H133" s="98">
        <v>6.6</v>
      </c>
      <c r="I133" s="98">
        <v>5.2</v>
      </c>
      <c r="J133" s="99">
        <v>6.1000000000000014</v>
      </c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</row>
    <row r="134" spans="1:42" ht="14.45" customHeight="1" x14ac:dyDescent="0.25">
      <c r="A134" s="125" t="s">
        <v>271</v>
      </c>
      <c r="B134" s="97"/>
      <c r="C134" s="63"/>
      <c r="D134" s="63"/>
      <c r="E134" s="63"/>
      <c r="F134" s="99">
        <v>0</v>
      </c>
      <c r="G134" s="63"/>
      <c r="H134" s="63"/>
      <c r="I134" s="63"/>
      <c r="J134" s="99">
        <v>0</v>
      </c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</row>
    <row r="135" spans="1:42" ht="14.45" customHeight="1" x14ac:dyDescent="0.25">
      <c r="A135" s="125" t="s">
        <v>272</v>
      </c>
      <c r="B135" s="97"/>
      <c r="C135" s="63"/>
      <c r="D135" s="63"/>
      <c r="E135" s="63"/>
      <c r="F135" s="99">
        <v>0</v>
      </c>
      <c r="G135" s="63"/>
      <c r="H135" s="63"/>
      <c r="I135" s="63"/>
      <c r="J135" s="99">
        <v>0</v>
      </c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</row>
    <row r="136" spans="1:42" ht="14.45" customHeight="1" x14ac:dyDescent="0.25">
      <c r="A136" s="125" t="s">
        <v>273</v>
      </c>
      <c r="B136" s="97"/>
      <c r="C136" s="63"/>
      <c r="D136" s="63"/>
      <c r="E136" s="63"/>
      <c r="F136" s="99">
        <v>0</v>
      </c>
      <c r="G136" s="63"/>
      <c r="H136" s="63"/>
      <c r="I136" s="63"/>
      <c r="J136" s="99">
        <v>0</v>
      </c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</row>
    <row r="137" spans="1:42" ht="14.45" customHeight="1" x14ac:dyDescent="0.25">
      <c r="A137" s="125" t="s">
        <v>274</v>
      </c>
      <c r="B137" s="97"/>
      <c r="C137" s="63"/>
      <c r="D137" s="63"/>
      <c r="E137" s="63"/>
      <c r="F137" s="99">
        <v>0</v>
      </c>
      <c r="G137" s="63"/>
      <c r="H137" s="63"/>
      <c r="I137" s="63"/>
      <c r="J137" s="99">
        <v>0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</row>
    <row r="138" spans="1:42" ht="14.45" customHeight="1" x14ac:dyDescent="0.25">
      <c r="A138" s="125" t="s">
        <v>275</v>
      </c>
      <c r="B138" s="97"/>
      <c r="C138" s="63"/>
      <c r="D138" s="63"/>
      <c r="E138" s="63"/>
      <c r="F138" s="99">
        <v>0</v>
      </c>
      <c r="G138" s="63"/>
      <c r="H138" s="63"/>
      <c r="I138" s="63"/>
      <c r="J138" s="99">
        <v>0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</row>
    <row r="139" spans="1:42" ht="14.45" customHeight="1" x14ac:dyDescent="0.25">
      <c r="A139" s="125" t="s">
        <v>276</v>
      </c>
      <c r="B139" s="97"/>
      <c r="C139" s="63"/>
      <c r="D139" s="63"/>
      <c r="E139" s="63"/>
      <c r="F139" s="99">
        <v>0</v>
      </c>
      <c r="G139" s="63"/>
      <c r="H139" s="98">
        <v>3.7</v>
      </c>
      <c r="I139" s="63"/>
      <c r="J139" s="99">
        <v>3.1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98">
        <v>-6.2</v>
      </c>
      <c r="X139" s="63"/>
      <c r="Y139" s="63"/>
      <c r="Z139" s="63">
        <v>6.2</v>
      </c>
      <c r="AA139" s="63"/>
      <c r="AB139" s="63"/>
      <c r="AC139" s="98">
        <v>8.3000000000000007</v>
      </c>
      <c r="AD139" s="63"/>
      <c r="AE139" s="98">
        <v>13</v>
      </c>
      <c r="AF139" s="98">
        <v>9</v>
      </c>
      <c r="AG139" s="63"/>
      <c r="AH139" s="63">
        <v>8</v>
      </c>
      <c r="AI139" s="63"/>
      <c r="AJ139" s="63"/>
      <c r="AK139" s="63"/>
      <c r="AL139" s="63"/>
      <c r="AM139" s="63"/>
      <c r="AN139" s="63"/>
      <c r="AO139" s="63"/>
      <c r="AP139" s="63"/>
    </row>
    <row r="140" spans="1:42" ht="14.45" customHeight="1" x14ac:dyDescent="0.25">
      <c r="A140" s="125" t="s">
        <v>277</v>
      </c>
      <c r="B140" s="97"/>
      <c r="C140" s="63"/>
      <c r="D140" s="63"/>
      <c r="E140" s="63"/>
      <c r="F140" s="99">
        <v>0</v>
      </c>
      <c r="G140" s="63"/>
      <c r="H140" s="63"/>
      <c r="I140" s="63"/>
      <c r="J140" s="99">
        <v>0</v>
      </c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</row>
    <row r="141" spans="1:42" ht="14.45" customHeight="1" x14ac:dyDescent="0.25">
      <c r="A141" s="125" t="s">
        <v>278</v>
      </c>
      <c r="B141" s="97"/>
      <c r="C141" s="63"/>
      <c r="D141" s="63"/>
      <c r="E141" s="63"/>
      <c r="F141" s="99">
        <v>0</v>
      </c>
      <c r="G141" s="63"/>
      <c r="H141" s="63"/>
      <c r="I141" s="63"/>
      <c r="J141" s="99">
        <v>0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</row>
    <row r="142" spans="1:42" ht="14.45" customHeight="1" x14ac:dyDescent="0.25">
      <c r="A142" s="125" t="s">
        <v>279</v>
      </c>
      <c r="B142" s="97"/>
      <c r="C142" s="63"/>
      <c r="D142" s="63"/>
      <c r="E142" s="63"/>
      <c r="F142" s="99">
        <v>0</v>
      </c>
      <c r="G142" s="63"/>
      <c r="H142" s="63"/>
      <c r="I142" s="63"/>
      <c r="J142" s="99">
        <v>0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</row>
    <row r="143" spans="1:42" ht="14.45" customHeight="1" x14ac:dyDescent="0.25">
      <c r="A143" s="125" t="s">
        <v>280</v>
      </c>
      <c r="B143" s="97"/>
      <c r="C143" s="98">
        <v>4</v>
      </c>
      <c r="D143" s="63"/>
      <c r="E143" s="63"/>
      <c r="F143" s="99">
        <v>-4</v>
      </c>
      <c r="G143" s="63"/>
      <c r="H143" s="63"/>
      <c r="I143" s="63"/>
      <c r="J143" s="99">
        <v>0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</row>
    <row r="144" spans="1:42" ht="14.45" customHeight="1" x14ac:dyDescent="0.25">
      <c r="A144" s="125" t="s">
        <v>281</v>
      </c>
      <c r="B144" s="97"/>
      <c r="C144" s="98">
        <v>3.1</v>
      </c>
      <c r="D144" s="98">
        <v>2.8</v>
      </c>
      <c r="E144" s="63"/>
      <c r="F144" s="99">
        <v>6.4</v>
      </c>
      <c r="G144" s="63"/>
      <c r="H144" s="98">
        <v>4.5999999999999996</v>
      </c>
      <c r="I144" s="98">
        <v>3.4</v>
      </c>
      <c r="J144" s="99">
        <v>-8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</row>
    <row r="145" spans="1:42" ht="14.45" customHeight="1" x14ac:dyDescent="0.25">
      <c r="A145" s="125" t="s">
        <v>282</v>
      </c>
      <c r="B145" s="97"/>
      <c r="C145" s="98">
        <v>1.7</v>
      </c>
      <c r="D145" s="98">
        <v>2.7</v>
      </c>
      <c r="E145" s="63"/>
      <c r="F145" s="99">
        <v>7.2999999999999989</v>
      </c>
      <c r="G145" s="98">
        <v>4.0999999999999996</v>
      </c>
      <c r="H145" s="98">
        <v>4.8</v>
      </c>
      <c r="I145" s="98">
        <v>4</v>
      </c>
      <c r="J145" s="99">
        <v>2.100000000000001</v>
      </c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</row>
    <row r="146" spans="1:42" ht="14.45" customHeight="1" x14ac:dyDescent="0.25">
      <c r="A146" s="125" t="s">
        <v>283</v>
      </c>
      <c r="B146" s="97"/>
      <c r="C146" s="63"/>
      <c r="D146" s="63"/>
      <c r="E146" s="63"/>
      <c r="F146" s="99">
        <v>0</v>
      </c>
      <c r="G146" s="63"/>
      <c r="H146" s="63"/>
      <c r="I146" s="63"/>
      <c r="J146" s="99">
        <v>0</v>
      </c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</row>
    <row r="147" spans="1:42" ht="14.45" customHeight="1" x14ac:dyDescent="0.25">
      <c r="A147" s="125" t="s">
        <v>284</v>
      </c>
      <c r="B147" s="97"/>
      <c r="C147" s="98">
        <v>2.6</v>
      </c>
      <c r="D147" s="98">
        <v>3.2</v>
      </c>
      <c r="E147" s="63"/>
      <c r="F147" s="99">
        <v>5.1999999999999993</v>
      </c>
      <c r="G147" s="98">
        <v>3.9</v>
      </c>
      <c r="H147" s="98">
        <v>4</v>
      </c>
      <c r="I147" s="98">
        <v>3.7</v>
      </c>
      <c r="J147" s="99">
        <v>2.6999999999999988</v>
      </c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</row>
    <row r="148" spans="1:42" ht="14.45" customHeight="1" x14ac:dyDescent="0.25">
      <c r="A148" s="125" t="s">
        <v>285</v>
      </c>
      <c r="B148" s="97"/>
      <c r="C148" s="98">
        <v>1.6</v>
      </c>
      <c r="D148" s="63"/>
      <c r="E148" s="63"/>
      <c r="F148" s="99">
        <v>-1.6</v>
      </c>
      <c r="G148" s="63"/>
      <c r="H148" s="63"/>
      <c r="I148" s="63"/>
      <c r="J148" s="99">
        <v>0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</row>
    <row r="149" spans="1:42" ht="14.45" customHeight="1" x14ac:dyDescent="0.25">
      <c r="A149" s="125" t="s">
        <v>286</v>
      </c>
      <c r="B149" s="97"/>
      <c r="C149" s="63"/>
      <c r="D149" s="63"/>
      <c r="E149" s="63"/>
      <c r="F149" s="99">
        <v>0</v>
      </c>
      <c r="G149" s="63"/>
      <c r="H149" s="63"/>
      <c r="I149" s="63"/>
      <c r="J149" s="99">
        <v>0</v>
      </c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</row>
    <row r="150" spans="1:42" ht="14.45" customHeight="1" x14ac:dyDescent="0.25">
      <c r="A150" s="125" t="s">
        <v>287</v>
      </c>
      <c r="B150" s="97"/>
      <c r="C150" s="98">
        <v>1.3</v>
      </c>
      <c r="D150" s="63"/>
      <c r="E150" s="63"/>
      <c r="F150" s="99">
        <v>5.9</v>
      </c>
      <c r="G150" s="63"/>
      <c r="H150" s="98">
        <v>4.4000000000000004</v>
      </c>
      <c r="I150" s="63"/>
      <c r="J150" s="99">
        <v>1.399999999999999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</row>
    <row r="151" spans="1:42" ht="14.45" customHeight="1" x14ac:dyDescent="0.25">
      <c r="A151" s="125" t="s">
        <v>288</v>
      </c>
      <c r="B151" s="97"/>
      <c r="C151" s="98">
        <v>1.7</v>
      </c>
      <c r="D151" s="98">
        <v>1.8</v>
      </c>
      <c r="E151" s="63"/>
      <c r="F151" s="99">
        <v>3.1</v>
      </c>
      <c r="G151" s="63"/>
      <c r="H151" s="98">
        <v>2.6</v>
      </c>
      <c r="I151" s="63"/>
      <c r="J151" s="99">
        <v>6.5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</row>
    <row r="152" spans="1:42" ht="14.45" customHeight="1" x14ac:dyDescent="0.25">
      <c r="A152" s="125" t="s">
        <v>289</v>
      </c>
      <c r="B152" s="97"/>
      <c r="C152" s="63"/>
      <c r="D152" s="98">
        <v>1.7</v>
      </c>
      <c r="E152" s="63"/>
      <c r="F152" s="99">
        <v>-1.7</v>
      </c>
      <c r="G152" s="63"/>
      <c r="H152" s="63"/>
      <c r="I152" s="63"/>
      <c r="J152" s="99">
        <v>0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</row>
    <row r="153" spans="1:42" ht="14.45" customHeight="1" x14ac:dyDescent="0.25">
      <c r="A153" s="125" t="s">
        <v>290</v>
      </c>
      <c r="B153" s="97"/>
      <c r="C153" s="98">
        <v>1.3</v>
      </c>
      <c r="D153" s="98">
        <v>1.2</v>
      </c>
      <c r="E153" s="63"/>
      <c r="F153" s="99">
        <v>3.6</v>
      </c>
      <c r="G153" s="63"/>
      <c r="H153" s="63"/>
      <c r="I153" s="98">
        <v>2.5</v>
      </c>
      <c r="J153" s="99">
        <v>4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</row>
    <row r="154" spans="1:42" ht="14.45" customHeight="1" x14ac:dyDescent="0.25">
      <c r="A154" s="125" t="s">
        <v>291</v>
      </c>
      <c r="B154" s="97"/>
      <c r="C154" s="63"/>
      <c r="D154" s="63"/>
      <c r="E154" s="63"/>
      <c r="F154" s="99">
        <v>0</v>
      </c>
      <c r="G154" s="63"/>
      <c r="H154" s="63"/>
      <c r="I154" s="63"/>
      <c r="J154" s="99">
        <v>0</v>
      </c>
      <c r="K154" s="63"/>
      <c r="L154" s="63"/>
      <c r="M154" s="63"/>
      <c r="N154" s="63"/>
      <c r="O154" s="63"/>
      <c r="P154" s="63"/>
      <c r="Q154" s="63"/>
      <c r="R154" s="99">
        <v>0</v>
      </c>
      <c r="S154" s="63"/>
      <c r="T154" s="98">
        <v>-8.6</v>
      </c>
      <c r="U154" s="63"/>
      <c r="V154" s="99">
        <v>-19</v>
      </c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</row>
    <row r="155" spans="1:42" ht="14.45" customHeight="1" x14ac:dyDescent="0.25">
      <c r="A155" s="125" t="s">
        <v>292</v>
      </c>
      <c r="B155" s="97"/>
      <c r="C155" s="63"/>
      <c r="D155" s="63"/>
      <c r="E155" s="63"/>
      <c r="F155" s="99">
        <v>0</v>
      </c>
      <c r="G155" s="63"/>
      <c r="H155" s="63"/>
      <c r="I155" s="63"/>
      <c r="J155" s="99">
        <v>23.2</v>
      </c>
      <c r="K155" s="63"/>
      <c r="L155" s="63"/>
      <c r="M155" s="63"/>
      <c r="N155" s="63"/>
      <c r="O155" s="98">
        <v>-7.5</v>
      </c>
      <c r="P155" s="98">
        <v>-7.7</v>
      </c>
      <c r="Q155" s="63"/>
      <c r="R155" s="99">
        <v>-21.2</v>
      </c>
      <c r="S155" s="98">
        <v>-4.7</v>
      </c>
      <c r="T155" s="98">
        <v>-2.2000000000000002</v>
      </c>
      <c r="U155" s="63"/>
      <c r="V155" s="99">
        <v>6.9</v>
      </c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</row>
    <row r="156" spans="1:42" ht="14.45" customHeight="1" x14ac:dyDescent="0.25">
      <c r="A156" s="125" t="s">
        <v>293</v>
      </c>
      <c r="B156" s="97"/>
      <c r="C156" s="63"/>
      <c r="D156" s="98">
        <v>1.1000000000000001</v>
      </c>
      <c r="E156" s="63"/>
      <c r="F156" s="99">
        <v>4.5999999999999996</v>
      </c>
      <c r="G156" s="63"/>
      <c r="H156" s="98">
        <v>2.4</v>
      </c>
      <c r="I156" s="63"/>
      <c r="J156" s="99">
        <v>4.4000000000000004</v>
      </c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</row>
    <row r="157" spans="1:42" ht="14.45" customHeight="1" x14ac:dyDescent="0.25">
      <c r="A157" s="125" t="s">
        <v>294</v>
      </c>
      <c r="B157" s="97"/>
      <c r="C157" s="63"/>
      <c r="D157" s="63"/>
      <c r="E157" s="63"/>
      <c r="F157" s="99">
        <v>4.5999999999999996</v>
      </c>
      <c r="G157" s="63"/>
      <c r="H157" s="63"/>
      <c r="I157" s="63"/>
      <c r="J157" s="99">
        <v>4.5</v>
      </c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</row>
    <row r="158" spans="1:42" ht="14.45" customHeight="1" x14ac:dyDescent="0.25">
      <c r="A158" s="125" t="s">
        <v>295</v>
      </c>
      <c r="B158" s="97"/>
      <c r="C158" s="63"/>
      <c r="D158" s="98">
        <v>1.1000000000000001</v>
      </c>
      <c r="E158" s="63"/>
      <c r="F158" s="99">
        <v>3.1</v>
      </c>
      <c r="G158" s="63"/>
      <c r="H158" s="63"/>
      <c r="I158" s="63"/>
      <c r="J158" s="99">
        <v>5</v>
      </c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</row>
    <row r="159" spans="1:42" ht="14.45" customHeight="1" x14ac:dyDescent="0.25">
      <c r="A159" s="125" t="s">
        <v>296</v>
      </c>
      <c r="B159" s="97"/>
      <c r="C159" s="63"/>
      <c r="D159" s="63"/>
      <c r="E159" s="63"/>
      <c r="F159" s="99">
        <v>4</v>
      </c>
      <c r="G159" s="63"/>
      <c r="H159" s="63"/>
      <c r="I159" s="63"/>
      <c r="J159" s="99">
        <v>0</v>
      </c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</row>
    <row r="160" spans="1:42" ht="14.45" customHeight="1" x14ac:dyDescent="0.25">
      <c r="A160" s="125" t="s">
        <v>297</v>
      </c>
      <c r="B160" s="97"/>
      <c r="C160" s="63"/>
      <c r="D160" s="63"/>
      <c r="E160" s="98">
        <v>18</v>
      </c>
      <c r="F160" s="99">
        <v>1.899999999999999</v>
      </c>
      <c r="G160" s="98">
        <v>7.9</v>
      </c>
      <c r="H160" s="98">
        <v>5.8</v>
      </c>
      <c r="I160" s="98">
        <v>10.4</v>
      </c>
      <c r="J160" s="99">
        <v>-9.6000000000000014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</row>
    <row r="161" spans="1:42" ht="14.45" customHeight="1" x14ac:dyDescent="0.25">
      <c r="A161" s="125" t="s">
        <v>298</v>
      </c>
      <c r="B161" s="97"/>
      <c r="C161" s="63"/>
      <c r="D161" s="63"/>
      <c r="E161" s="63"/>
      <c r="F161" s="99">
        <v>0</v>
      </c>
      <c r="G161" s="63"/>
      <c r="H161" s="63"/>
      <c r="I161" s="63"/>
      <c r="J161" s="99">
        <v>0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</row>
    <row r="162" spans="1:42" ht="14.45" customHeight="1" x14ac:dyDescent="0.25">
      <c r="A162" s="125" t="s">
        <v>299</v>
      </c>
      <c r="B162" s="97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>
        <v>11.2</v>
      </c>
      <c r="AA162" s="63"/>
      <c r="AB162" s="98">
        <v>9.5</v>
      </c>
      <c r="AC162" s="98">
        <v>1.9</v>
      </c>
      <c r="AD162" s="63">
        <v>3.6</v>
      </c>
      <c r="AE162" s="63"/>
      <c r="AF162" s="98">
        <v>4</v>
      </c>
      <c r="AG162" s="98">
        <v>4</v>
      </c>
      <c r="AH162" s="63">
        <v>4</v>
      </c>
      <c r="AI162" s="63"/>
      <c r="AJ162" s="63"/>
      <c r="AK162" s="63"/>
      <c r="AL162" s="63">
        <v>0</v>
      </c>
      <c r="AM162" s="63"/>
      <c r="AN162" s="63"/>
      <c r="AO162" s="63"/>
      <c r="AP162" s="63">
        <v>0</v>
      </c>
    </row>
    <row r="163" spans="1:42" ht="14.45" customHeight="1" x14ac:dyDescent="0.25">
      <c r="A163" s="125" t="s">
        <v>249</v>
      </c>
      <c r="B163" s="97"/>
      <c r="C163" s="98">
        <v>9.8000000000000007</v>
      </c>
      <c r="D163" s="98">
        <v>5.8</v>
      </c>
      <c r="E163" s="98">
        <v>12.4</v>
      </c>
      <c r="F163" s="99">
        <v>-19.399999999999999</v>
      </c>
      <c r="G163" s="98">
        <v>12.6</v>
      </c>
      <c r="H163" s="98">
        <v>4.2</v>
      </c>
      <c r="I163" s="98">
        <v>3.8</v>
      </c>
      <c r="J163" s="99">
        <v>-9.2000000000000011</v>
      </c>
      <c r="K163" s="63"/>
      <c r="L163" s="63"/>
      <c r="M163" s="63"/>
      <c r="N163" s="63"/>
      <c r="O163" s="98">
        <v>-2.9</v>
      </c>
      <c r="P163" s="98">
        <v>0.6</v>
      </c>
      <c r="Q163" s="98">
        <v>-2</v>
      </c>
      <c r="R163" s="99">
        <v>10.6</v>
      </c>
      <c r="S163" s="98">
        <v>3.7</v>
      </c>
      <c r="T163" s="98">
        <v>1.5</v>
      </c>
      <c r="U163" s="98">
        <v>-1.9</v>
      </c>
      <c r="V163" s="99">
        <v>0.49999999999999961</v>
      </c>
      <c r="W163" s="98">
        <v>-1.6</v>
      </c>
      <c r="X163" s="98">
        <v>3.7</v>
      </c>
      <c r="Y163" s="98">
        <v>2.6</v>
      </c>
      <c r="Z163" s="99">
        <v>0.39999999999999952</v>
      </c>
      <c r="AA163" s="98">
        <v>2.1</v>
      </c>
      <c r="AB163" s="98">
        <v>4.5999999999999996</v>
      </c>
      <c r="AC163" s="98">
        <v>8.8000000000000007</v>
      </c>
      <c r="AD163" s="99">
        <v>8.1359999999997967</v>
      </c>
      <c r="AE163" s="99">
        <v>15.461000000000009</v>
      </c>
      <c r="AF163" s="99">
        <v>7.5409999999999968</v>
      </c>
      <c r="AG163" s="99">
        <v>0.1129999999999995</v>
      </c>
      <c r="AH163" s="99">
        <v>-9.7619999999999436</v>
      </c>
      <c r="AI163" s="99">
        <v>7.1009999999999991</v>
      </c>
      <c r="AJ163" s="99">
        <v>19.663000000000011</v>
      </c>
      <c r="AK163" s="99">
        <v>25.690999999999971</v>
      </c>
      <c r="AL163" s="99">
        <v>16.114000000000029</v>
      </c>
      <c r="AM163" s="99">
        <v>12.13099999999997</v>
      </c>
      <c r="AN163" s="99">
        <v>12.841999999999979</v>
      </c>
      <c r="AO163" s="99">
        <v>30.90100000000001</v>
      </c>
      <c r="AP163" s="99">
        <v>33.002999999999929</v>
      </c>
    </row>
    <row r="164" spans="1:42" ht="14.45" customHeight="1" x14ac:dyDescent="0.25">
      <c r="A164" s="110" t="s">
        <v>300</v>
      </c>
      <c r="B164" s="105"/>
      <c r="C164" s="106">
        <v>231.49700000000001</v>
      </c>
      <c r="D164" s="106">
        <v>264.971</v>
      </c>
      <c r="E164" s="106">
        <v>287.38900000000001</v>
      </c>
      <c r="F164" s="106">
        <v>304.00599999999997</v>
      </c>
      <c r="G164" s="106">
        <v>318.41300000000001</v>
      </c>
      <c r="H164" s="106">
        <v>367.86500000000001</v>
      </c>
      <c r="I164" s="106">
        <v>374.19400000000002</v>
      </c>
      <c r="J164" s="106">
        <v>384.29599999999999</v>
      </c>
      <c r="K164" s="106">
        <v>376.63799999999998</v>
      </c>
      <c r="L164" s="106">
        <v>385.029</v>
      </c>
      <c r="M164" s="106">
        <v>368.31200000000001</v>
      </c>
      <c r="N164" s="106">
        <v>367.83100000000007</v>
      </c>
      <c r="O164" s="106">
        <v>369.154</v>
      </c>
      <c r="P164" s="106">
        <v>368.565</v>
      </c>
      <c r="Q164" s="106">
        <v>378.37799999999999</v>
      </c>
      <c r="R164" s="106">
        <v>373.65100000000012</v>
      </c>
      <c r="S164" s="106">
        <v>372.47399999999999</v>
      </c>
      <c r="T164" s="106">
        <v>346.18299999999999</v>
      </c>
      <c r="U164" s="106">
        <v>368.59399999999999</v>
      </c>
      <c r="V164" s="106">
        <v>368.28</v>
      </c>
      <c r="W164" s="106">
        <v>354.51900000000001</v>
      </c>
      <c r="X164" s="106">
        <v>374.07900000000001</v>
      </c>
      <c r="Y164" s="106">
        <v>380.68099999999998</v>
      </c>
      <c r="Z164" s="106">
        <v>405.73700000000008</v>
      </c>
      <c r="AA164" s="106">
        <v>376.59100000000001</v>
      </c>
      <c r="AB164" s="106">
        <v>403.36599999999999</v>
      </c>
      <c r="AC164" s="106">
        <v>431.17700000000002</v>
      </c>
      <c r="AD164" s="106">
        <v>425.77299999999991</v>
      </c>
      <c r="AE164" s="106">
        <v>418.05200000000002</v>
      </c>
      <c r="AF164" s="106">
        <v>437.90699999999998</v>
      </c>
      <c r="AG164" s="106">
        <v>445.29</v>
      </c>
      <c r="AH164" s="106">
        <v>463.01100000000002</v>
      </c>
      <c r="AI164" s="106">
        <v>425.15300000000002</v>
      </c>
      <c r="AJ164" s="106">
        <v>457.57</v>
      </c>
      <c r="AK164" s="106">
        <v>470.98099999999999</v>
      </c>
      <c r="AL164" s="106">
        <v>479.125</v>
      </c>
      <c r="AM164" s="106">
        <v>437.28399999999999</v>
      </c>
      <c r="AN164" s="106">
        <v>470.41199999999998</v>
      </c>
      <c r="AO164" s="106">
        <v>501.88200000000001</v>
      </c>
      <c r="AP164" s="106">
        <v>512.12799999999993</v>
      </c>
    </row>
    <row r="165" spans="1:42" ht="14.45" customHeight="1" x14ac:dyDescent="0.25">
      <c r="A165" s="162"/>
      <c r="B165" s="97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</row>
    <row r="166" spans="1:42" ht="14.45" customHeight="1" x14ac:dyDescent="0.25">
      <c r="A166" s="95" t="s">
        <v>301</v>
      </c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</row>
    <row r="167" spans="1:42" ht="14.45" customHeight="1" x14ac:dyDescent="0.25">
      <c r="A167" s="125" t="s">
        <v>302</v>
      </c>
      <c r="B167" s="97"/>
      <c r="C167" s="98">
        <v>123.18600000000001</v>
      </c>
      <c r="D167" s="98">
        <v>185.03800000000001</v>
      </c>
      <c r="E167" s="98">
        <v>190.601</v>
      </c>
      <c r="F167" s="99">
        <v>170.958</v>
      </c>
      <c r="G167" s="98">
        <v>226.726</v>
      </c>
      <c r="H167" s="98">
        <v>262.49</v>
      </c>
      <c r="I167" s="98">
        <v>317.04000000000002</v>
      </c>
      <c r="J167" s="99">
        <v>279.64199999999983</v>
      </c>
      <c r="K167" s="98">
        <v>242.46799999999999</v>
      </c>
      <c r="L167" s="98">
        <v>328.68900000000002</v>
      </c>
      <c r="M167" s="98">
        <v>341.94900000000001</v>
      </c>
      <c r="N167" s="99">
        <v>275.71199999999999</v>
      </c>
      <c r="O167" s="98">
        <v>266.64299999999997</v>
      </c>
      <c r="P167" s="98">
        <v>344.84100000000001</v>
      </c>
      <c r="Q167" s="98">
        <v>306.58800000000002</v>
      </c>
      <c r="R167" s="99">
        <v>269.81700000000001</v>
      </c>
      <c r="S167" s="98">
        <v>284.92</v>
      </c>
      <c r="T167" s="98">
        <v>264.59500000000003</v>
      </c>
      <c r="U167" s="98">
        <v>324.31200000000001</v>
      </c>
      <c r="V167" s="99">
        <v>300.78899999999987</v>
      </c>
      <c r="W167" s="98">
        <v>307.42500000000001</v>
      </c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</row>
    <row r="168" spans="1:42" ht="14.45" customHeight="1" x14ac:dyDescent="0.25">
      <c r="A168" s="125" t="s">
        <v>303</v>
      </c>
      <c r="B168" s="97"/>
      <c r="C168" s="98">
        <v>29.141999999999999</v>
      </c>
      <c r="D168" s="98">
        <v>20.283000000000001</v>
      </c>
      <c r="E168" s="98">
        <v>29.716000000000001</v>
      </c>
      <c r="F168" s="99">
        <v>37.396000000000022</v>
      </c>
      <c r="G168" s="98">
        <v>57.793999999999997</v>
      </c>
      <c r="H168" s="98">
        <v>16.446000000000002</v>
      </c>
      <c r="I168" s="98">
        <v>27.855</v>
      </c>
      <c r="J168" s="99">
        <v>37.447000000000003</v>
      </c>
      <c r="K168" s="98">
        <v>34.582000000000001</v>
      </c>
      <c r="L168" s="98">
        <v>41.475000000000001</v>
      </c>
      <c r="M168" s="98">
        <v>34.005000000000003</v>
      </c>
      <c r="N168" s="99">
        <v>34.956999999999987</v>
      </c>
      <c r="O168" s="98">
        <v>33.292000000000002</v>
      </c>
      <c r="P168" s="98">
        <v>39.220999999999997</v>
      </c>
      <c r="Q168" s="98">
        <v>36.597000000000001</v>
      </c>
      <c r="R168" s="99">
        <v>35.838999999999999</v>
      </c>
      <c r="S168" s="98">
        <v>32.991</v>
      </c>
      <c r="T168" s="98">
        <v>32.4</v>
      </c>
      <c r="U168" s="98">
        <v>34.549999999999997</v>
      </c>
      <c r="V168" s="99">
        <v>32.933000000000007</v>
      </c>
      <c r="W168" s="98">
        <v>32.694000000000003</v>
      </c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</row>
    <row r="169" spans="1:42" ht="14.45" customHeight="1" x14ac:dyDescent="0.25">
      <c r="A169" s="125" t="s">
        <v>304</v>
      </c>
      <c r="B169" s="97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</row>
    <row r="170" spans="1:42" ht="14.45" customHeight="1" x14ac:dyDescent="0.25">
      <c r="A170" s="125" t="s">
        <v>305</v>
      </c>
      <c r="B170" s="97"/>
      <c r="C170" s="98">
        <v>4.5609999999999999</v>
      </c>
      <c r="D170" s="98">
        <v>5.83</v>
      </c>
      <c r="E170" s="98">
        <v>5.9989999999999997</v>
      </c>
      <c r="F170" s="99">
        <v>5.1679999999999993</v>
      </c>
      <c r="G170" s="98">
        <v>5.6210000000000004</v>
      </c>
      <c r="H170" s="98">
        <v>6.4660000000000002</v>
      </c>
      <c r="I170" s="98">
        <v>6.8810000000000002</v>
      </c>
      <c r="J170" s="99">
        <v>6.4130000000000003</v>
      </c>
      <c r="K170" s="98">
        <v>6.141</v>
      </c>
      <c r="L170" s="98">
        <v>8.0890000000000004</v>
      </c>
      <c r="M170" s="98">
        <v>7.9580000000000002</v>
      </c>
      <c r="N170" s="99">
        <v>7.8769999999999989</v>
      </c>
      <c r="O170" s="98">
        <v>6.9820000000000002</v>
      </c>
      <c r="P170" s="98">
        <v>7.0670000000000002</v>
      </c>
      <c r="Q170" s="98">
        <v>4.5190000000000001</v>
      </c>
      <c r="R170" s="99">
        <v>9.6410000000000018</v>
      </c>
      <c r="S170" s="98">
        <v>6.3410000000000002</v>
      </c>
      <c r="T170" s="98">
        <v>4.0389999999999997</v>
      </c>
      <c r="U170" s="98">
        <v>5.9649999999999999</v>
      </c>
      <c r="V170" s="99">
        <v>5.1780000000000008</v>
      </c>
      <c r="W170" s="98">
        <v>5.0359999999999996</v>
      </c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</row>
    <row r="171" spans="1:42" ht="14.45" customHeight="1" x14ac:dyDescent="0.25">
      <c r="A171" s="125" t="s">
        <v>306</v>
      </c>
      <c r="B171" s="97"/>
      <c r="C171" s="63"/>
      <c r="D171" s="63"/>
      <c r="E171" s="63"/>
      <c r="F171" s="63"/>
      <c r="G171" s="63"/>
      <c r="H171" s="63"/>
      <c r="I171" s="63"/>
      <c r="J171" s="99">
        <v>15.598000000000001</v>
      </c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</row>
    <row r="172" spans="1:42" ht="14.45" customHeight="1" x14ac:dyDescent="0.25">
      <c r="A172" s="130" t="s">
        <v>307</v>
      </c>
      <c r="B172" s="101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02">
        <v>2.5459999999999998</v>
      </c>
      <c r="N172" s="103">
        <v>6.5170000000000012</v>
      </c>
      <c r="O172" s="158"/>
      <c r="P172" s="158"/>
      <c r="Q172" s="102">
        <v>3.6160000000000001</v>
      </c>
      <c r="R172" s="103">
        <v>9.65</v>
      </c>
      <c r="S172" s="102">
        <v>3.262</v>
      </c>
      <c r="T172" s="102">
        <v>3.988</v>
      </c>
      <c r="U172" s="102">
        <v>4.359</v>
      </c>
      <c r="V172" s="103">
        <v>3.8699999999999992</v>
      </c>
      <c r="W172" s="102">
        <v>4.1900000000000004</v>
      </c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63"/>
      <c r="AK172" s="158"/>
      <c r="AL172" s="158"/>
      <c r="AM172" s="158"/>
      <c r="AN172" s="63"/>
      <c r="AO172" s="63"/>
      <c r="AP172" s="158"/>
    </row>
    <row r="173" spans="1:42" ht="14.45" customHeight="1" x14ac:dyDescent="0.25">
      <c r="A173" s="135" t="s">
        <v>308</v>
      </c>
      <c r="B173" s="108"/>
      <c r="C173" s="109">
        <v>156.88900000000001</v>
      </c>
      <c r="D173" s="109">
        <v>211.15100000000001</v>
      </c>
      <c r="E173" s="109">
        <v>226.316</v>
      </c>
      <c r="F173" s="109">
        <v>213.52199999999999</v>
      </c>
      <c r="G173" s="109">
        <v>290.14100000000002</v>
      </c>
      <c r="H173" s="109">
        <v>285.40199999999999</v>
      </c>
      <c r="I173" s="109">
        <v>351.77600000000012</v>
      </c>
      <c r="J173" s="109">
        <v>339.09999999999991</v>
      </c>
      <c r="K173" s="109">
        <v>283.19099999999997</v>
      </c>
      <c r="L173" s="109">
        <v>378.25299999999999</v>
      </c>
      <c r="M173" s="109">
        <v>386.45800000000003</v>
      </c>
      <c r="N173" s="109">
        <v>325.06299999999999</v>
      </c>
      <c r="O173" s="109">
        <v>306.91699999999997</v>
      </c>
      <c r="P173" s="109">
        <v>391.12900000000002</v>
      </c>
      <c r="Q173" s="109">
        <v>351.32</v>
      </c>
      <c r="R173" s="109">
        <v>324.947</v>
      </c>
      <c r="S173" s="109">
        <v>327.51400000000001</v>
      </c>
      <c r="T173" s="109">
        <v>305.02199999999999</v>
      </c>
      <c r="U173" s="109">
        <v>369.18599999999998</v>
      </c>
      <c r="V173" s="109">
        <v>342.76999999999992</v>
      </c>
      <c r="W173" s="109">
        <v>349.34500000000003</v>
      </c>
      <c r="X173" s="163">
        <v>366.80799999999999</v>
      </c>
      <c r="Y173" s="163">
        <v>403.88900000000001</v>
      </c>
      <c r="Z173" s="109">
        <v>438.74200000000019</v>
      </c>
      <c r="AA173" s="163">
        <v>419.70800000000003</v>
      </c>
      <c r="AB173" s="163">
        <v>510.57100000000003</v>
      </c>
      <c r="AC173" s="163">
        <v>481.02100000000002</v>
      </c>
      <c r="AD173" s="109">
        <v>456.42700000000008</v>
      </c>
      <c r="AE173" s="163">
        <v>469.52699999999999</v>
      </c>
      <c r="AF173" s="163">
        <v>523.19100000000003</v>
      </c>
      <c r="AG173" s="163">
        <v>552.154</v>
      </c>
      <c r="AH173" s="109">
        <v>474.53699999999998</v>
      </c>
      <c r="AI173" s="163">
        <v>457.24400000000003</v>
      </c>
      <c r="AJ173" s="164">
        <v>538.78899999999999</v>
      </c>
      <c r="AK173" s="163">
        <v>585.96699999999998</v>
      </c>
      <c r="AL173" s="109">
        <v>527.74800000000005</v>
      </c>
      <c r="AM173" s="163">
        <v>443.25599999999997</v>
      </c>
      <c r="AN173" s="164">
        <v>604.6</v>
      </c>
      <c r="AO173" s="164">
        <v>635.84</v>
      </c>
      <c r="AP173" s="109">
        <v>580.26900000000023</v>
      </c>
    </row>
    <row r="174" spans="1:42" ht="14.45" customHeight="1" x14ac:dyDescent="0.25">
      <c r="A174" s="162"/>
      <c r="B174" s="97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</row>
    <row r="175" spans="1:42" ht="14.45" customHeight="1" x14ac:dyDescent="0.25">
      <c r="A175" s="125" t="s">
        <v>309</v>
      </c>
      <c r="B175" s="97"/>
      <c r="C175" s="63"/>
      <c r="D175" s="63"/>
      <c r="E175" s="63"/>
      <c r="F175" s="99">
        <v>0</v>
      </c>
      <c r="G175" s="63"/>
      <c r="H175" s="63"/>
      <c r="I175" s="63"/>
      <c r="J175" s="99">
        <v>91.45</v>
      </c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</row>
    <row r="176" spans="1:42" ht="14.45" customHeight="1" x14ac:dyDescent="0.25">
      <c r="A176" s="125" t="s">
        <v>310</v>
      </c>
      <c r="B176" s="97"/>
      <c r="C176" s="98">
        <v>15.625999999999999</v>
      </c>
      <c r="D176" s="98">
        <v>18.724</v>
      </c>
      <c r="E176" s="98">
        <v>20.097000000000001</v>
      </c>
      <c r="F176" s="99">
        <v>19.065999999999999</v>
      </c>
      <c r="G176" s="98">
        <v>16.835999999999999</v>
      </c>
      <c r="H176" s="98">
        <v>23.324999999999999</v>
      </c>
      <c r="I176" s="98">
        <v>22.074000000000002</v>
      </c>
      <c r="J176" s="99">
        <v>20.942000000000011</v>
      </c>
      <c r="K176" s="98">
        <v>20.036999999999999</v>
      </c>
      <c r="L176" s="98">
        <v>22.655999999999999</v>
      </c>
      <c r="M176" s="98">
        <v>22.632000000000001</v>
      </c>
      <c r="N176" s="99">
        <v>21.158000000000001</v>
      </c>
      <c r="O176" s="98">
        <v>22.712</v>
      </c>
      <c r="P176" s="98">
        <v>26.311</v>
      </c>
      <c r="Q176" s="98">
        <v>25.931000000000001</v>
      </c>
      <c r="R176" s="99">
        <v>23.059000000000012</v>
      </c>
      <c r="S176" s="98">
        <v>21.545999999999999</v>
      </c>
      <c r="T176" s="98">
        <v>15.449</v>
      </c>
      <c r="U176" s="98">
        <v>21.187000000000001</v>
      </c>
      <c r="V176" s="99">
        <v>24.785</v>
      </c>
      <c r="W176" s="98">
        <v>18.350999999999999</v>
      </c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</row>
    <row r="177" spans="1:42" ht="14.45" customHeight="1" x14ac:dyDescent="0.25">
      <c r="A177" s="125" t="s">
        <v>311</v>
      </c>
      <c r="B177" s="97"/>
      <c r="C177" s="98">
        <v>5.6429999999999998</v>
      </c>
      <c r="D177" s="98">
        <v>6.8129999999999997</v>
      </c>
      <c r="E177" s="98">
        <v>7.6280000000000001</v>
      </c>
      <c r="F177" s="99">
        <v>7.5399999999999991</v>
      </c>
      <c r="G177" s="98">
        <v>7.85</v>
      </c>
      <c r="H177" s="98">
        <v>9.0020000000000007</v>
      </c>
      <c r="I177" s="98">
        <v>9.2859999999999996</v>
      </c>
      <c r="J177" s="99">
        <v>9.1970000000000027</v>
      </c>
      <c r="K177" s="98">
        <v>9.3469999999999995</v>
      </c>
      <c r="L177" s="98">
        <v>10.353</v>
      </c>
      <c r="M177" s="98">
        <v>10.199</v>
      </c>
      <c r="N177" s="99">
        <v>10.124000000000001</v>
      </c>
      <c r="O177" s="98">
        <v>10.749000000000001</v>
      </c>
      <c r="P177" s="98">
        <v>9.8849999999999998</v>
      </c>
      <c r="Q177" s="98">
        <v>10.872999999999999</v>
      </c>
      <c r="R177" s="99">
        <v>10.207000000000001</v>
      </c>
      <c r="S177" s="98">
        <v>9.09</v>
      </c>
      <c r="T177" s="98">
        <v>6.3449999999999998</v>
      </c>
      <c r="U177" s="98">
        <v>7.5549999999999997</v>
      </c>
      <c r="V177" s="99">
        <v>9.8200000000000038</v>
      </c>
      <c r="W177" s="98">
        <v>8.8179999999999996</v>
      </c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</row>
    <row r="178" spans="1:42" ht="14.45" customHeight="1" x14ac:dyDescent="0.25">
      <c r="A178" s="125" t="s">
        <v>312</v>
      </c>
      <c r="B178" s="97"/>
      <c r="C178" s="98">
        <v>1.488</v>
      </c>
      <c r="D178" s="98">
        <v>1.835</v>
      </c>
      <c r="E178" s="98">
        <v>1.92</v>
      </c>
      <c r="F178" s="99">
        <v>1.9499999999999991</v>
      </c>
      <c r="G178" s="98">
        <v>2.093</v>
      </c>
      <c r="H178" s="98">
        <v>3.0150000000000001</v>
      </c>
      <c r="I178" s="98">
        <v>1.7729999999999999</v>
      </c>
      <c r="J178" s="99">
        <v>3.593</v>
      </c>
      <c r="K178" s="98">
        <v>0.48099999999999998</v>
      </c>
      <c r="L178" s="98">
        <v>4.2560000000000002</v>
      </c>
      <c r="M178" s="98">
        <v>1.9370000000000001</v>
      </c>
      <c r="N178" s="99">
        <v>3.008999999999999</v>
      </c>
      <c r="O178" s="98">
        <v>0.435</v>
      </c>
      <c r="P178" s="98">
        <v>1.351</v>
      </c>
      <c r="Q178" s="98">
        <v>1.6020000000000001</v>
      </c>
      <c r="R178" s="99">
        <v>1.681</v>
      </c>
      <c r="S178" s="98">
        <v>1.157</v>
      </c>
      <c r="T178" s="98">
        <v>1.161</v>
      </c>
      <c r="U178" s="98">
        <v>1.151</v>
      </c>
      <c r="V178" s="99">
        <v>1.069</v>
      </c>
      <c r="W178" s="98">
        <v>2.508</v>
      </c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</row>
    <row r="179" spans="1:42" ht="14.45" customHeight="1" x14ac:dyDescent="0.25">
      <c r="A179" s="125" t="s">
        <v>313</v>
      </c>
      <c r="B179" s="97"/>
      <c r="C179" s="98">
        <v>0.48099999999999998</v>
      </c>
      <c r="D179" s="98">
        <v>1.3360000000000001</v>
      </c>
      <c r="E179" s="98">
        <v>0.189</v>
      </c>
      <c r="F179" s="99">
        <v>5.7999999999999829E-2</v>
      </c>
      <c r="G179" s="98">
        <v>0.65600000000000003</v>
      </c>
      <c r="H179" s="98">
        <v>0.48099999999999998</v>
      </c>
      <c r="I179" s="98">
        <v>2.7069999999999999</v>
      </c>
      <c r="J179" s="99">
        <v>0.99900000000000011</v>
      </c>
      <c r="K179" s="98">
        <v>3.8679999999999999</v>
      </c>
      <c r="L179" s="98">
        <v>4.6139999999999999</v>
      </c>
      <c r="M179" s="98">
        <v>1.1080000000000001</v>
      </c>
      <c r="N179" s="99">
        <v>-1.2789999999999999</v>
      </c>
      <c r="O179" s="98">
        <v>0.999</v>
      </c>
      <c r="P179" s="98">
        <v>4.5019999999999998</v>
      </c>
      <c r="Q179" s="98">
        <v>2.879</v>
      </c>
      <c r="R179" s="99">
        <v>-0.37799999999999828</v>
      </c>
      <c r="S179" s="98">
        <v>1.7350000000000001</v>
      </c>
      <c r="T179" s="98">
        <v>4.1449999999999996</v>
      </c>
      <c r="U179" s="98">
        <v>0.56499999999999995</v>
      </c>
      <c r="V179" s="99">
        <v>1.988999999999999</v>
      </c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</row>
    <row r="180" spans="1:42" ht="14.45" customHeight="1" x14ac:dyDescent="0.25">
      <c r="A180" s="125" t="s">
        <v>314</v>
      </c>
      <c r="B180" s="97"/>
      <c r="C180" s="63"/>
      <c r="D180" s="63"/>
      <c r="E180" s="63"/>
      <c r="F180" s="99">
        <v>0</v>
      </c>
      <c r="G180" s="63"/>
      <c r="H180" s="98">
        <v>8.4</v>
      </c>
      <c r="I180" s="63"/>
      <c r="J180" s="99">
        <v>0</v>
      </c>
      <c r="K180" s="63"/>
      <c r="L180" s="98">
        <v>3.7890000000000001</v>
      </c>
      <c r="M180" s="63"/>
      <c r="N180" s="99">
        <v>0</v>
      </c>
      <c r="O180" s="63"/>
      <c r="P180" s="63"/>
      <c r="Q180" s="63"/>
      <c r="R180" s="99">
        <v>0</v>
      </c>
      <c r="S180" s="63"/>
      <c r="T180" s="63"/>
      <c r="U180" s="63"/>
      <c r="V180" s="99">
        <v>0</v>
      </c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</row>
    <row r="181" spans="1:42" ht="14.45" customHeight="1" x14ac:dyDescent="0.25">
      <c r="A181" s="125" t="s">
        <v>315</v>
      </c>
      <c r="B181" s="97"/>
      <c r="C181" s="63"/>
      <c r="D181" s="63"/>
      <c r="E181" s="63"/>
      <c r="F181" s="99">
        <v>0</v>
      </c>
      <c r="G181" s="63"/>
      <c r="H181" s="63"/>
      <c r="I181" s="63"/>
      <c r="J181" s="99">
        <v>12.364000000000001</v>
      </c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</row>
    <row r="182" spans="1:42" ht="14.45" customHeight="1" x14ac:dyDescent="0.25">
      <c r="A182" s="125" t="s">
        <v>316</v>
      </c>
      <c r="B182" s="97"/>
      <c r="C182" s="63"/>
      <c r="D182" s="63"/>
      <c r="E182" s="63"/>
      <c r="F182" s="99">
        <v>0</v>
      </c>
      <c r="G182" s="63"/>
      <c r="H182" s="63"/>
      <c r="I182" s="63"/>
      <c r="J182" s="99">
        <v>30.646999999999998</v>
      </c>
      <c r="K182" s="63"/>
      <c r="L182" s="63"/>
      <c r="M182" s="63"/>
      <c r="N182" s="99">
        <v>1.32</v>
      </c>
      <c r="O182" s="63"/>
      <c r="P182" s="63"/>
      <c r="Q182" s="63"/>
      <c r="R182" s="99">
        <v>0</v>
      </c>
      <c r="S182" s="63"/>
      <c r="T182" s="63"/>
      <c r="U182" s="63"/>
      <c r="V182" s="99">
        <v>0</v>
      </c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</row>
    <row r="183" spans="1:42" ht="14.45" customHeight="1" x14ac:dyDescent="0.25">
      <c r="A183" s="110" t="s">
        <v>317</v>
      </c>
      <c r="B183" s="105"/>
      <c r="C183" s="106">
        <v>23.238</v>
      </c>
      <c r="D183" s="106">
        <v>28.707999999999998</v>
      </c>
      <c r="E183" s="106">
        <v>29.834</v>
      </c>
      <c r="F183" s="106">
        <v>28.614000000000001</v>
      </c>
      <c r="G183" s="106">
        <v>27.434999999999999</v>
      </c>
      <c r="H183" s="106">
        <v>44.222999999999999</v>
      </c>
      <c r="I183" s="106">
        <v>35.840000000000003</v>
      </c>
      <c r="J183" s="106">
        <v>169.19200000000001</v>
      </c>
      <c r="K183" s="106">
        <v>33.732999999999997</v>
      </c>
      <c r="L183" s="106">
        <v>45.667999999999999</v>
      </c>
      <c r="M183" s="106">
        <v>35.875999999999998</v>
      </c>
      <c r="N183" s="106">
        <v>34.332000000000001</v>
      </c>
      <c r="O183" s="106">
        <v>34.895000000000003</v>
      </c>
      <c r="P183" s="106">
        <v>42.048999999999999</v>
      </c>
      <c r="Q183" s="106">
        <v>41.284999999999997</v>
      </c>
      <c r="R183" s="106">
        <v>34.56900000000001</v>
      </c>
      <c r="S183" s="106">
        <v>33.527999999999999</v>
      </c>
      <c r="T183" s="106">
        <v>27.1</v>
      </c>
      <c r="U183" s="106">
        <v>30.457999999999998</v>
      </c>
      <c r="V183" s="106">
        <v>37.662999999999997</v>
      </c>
      <c r="W183" s="106">
        <v>29.677</v>
      </c>
      <c r="X183" s="164">
        <v>50.325000000000003</v>
      </c>
      <c r="Y183" s="164">
        <v>51.024000000000001</v>
      </c>
      <c r="Z183" s="106">
        <v>76.046999999999997</v>
      </c>
      <c r="AA183" s="164">
        <v>59.668999999999997</v>
      </c>
      <c r="AB183" s="164">
        <v>60.600999999999999</v>
      </c>
      <c r="AC183" s="164">
        <v>67.540000000000006</v>
      </c>
      <c r="AD183" s="106">
        <v>68.523000000000025</v>
      </c>
      <c r="AE183" s="164">
        <v>47.439</v>
      </c>
      <c r="AF183" s="164">
        <v>55.494999999999997</v>
      </c>
      <c r="AG183" s="164">
        <v>67.89</v>
      </c>
      <c r="AH183" s="106">
        <v>83.147999999999996</v>
      </c>
      <c r="AI183" s="164">
        <v>55.398000000000003</v>
      </c>
      <c r="AJ183" s="164">
        <v>63.804000000000002</v>
      </c>
      <c r="AK183" s="164">
        <v>65.591999999999999</v>
      </c>
      <c r="AL183" s="106">
        <v>89.52800000000002</v>
      </c>
      <c r="AM183" s="164">
        <v>80.045000000000002</v>
      </c>
      <c r="AN183" s="164">
        <v>88.998999999999995</v>
      </c>
      <c r="AO183" s="164">
        <v>92.412999999999997</v>
      </c>
      <c r="AP183" s="106">
        <v>120.56</v>
      </c>
    </row>
    <row r="184" spans="1:42" ht="14.45" customHeight="1" x14ac:dyDescent="0.25">
      <c r="A184" s="111"/>
      <c r="B184" s="108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</row>
    <row r="185" spans="1:42" ht="14.45" customHeight="1" x14ac:dyDescent="0.25">
      <c r="A185" s="113" t="s">
        <v>318</v>
      </c>
      <c r="B185" s="97"/>
      <c r="C185" s="98">
        <v>5</v>
      </c>
      <c r="D185" s="98">
        <v>7.9</v>
      </c>
      <c r="E185" s="98">
        <v>10.5</v>
      </c>
      <c r="F185" s="99">
        <v>13.5</v>
      </c>
      <c r="G185" s="98">
        <v>0</v>
      </c>
      <c r="H185" s="98">
        <v>6.6</v>
      </c>
      <c r="I185" s="98">
        <v>11.7</v>
      </c>
      <c r="J185" s="99">
        <v>16.7</v>
      </c>
      <c r="K185" s="98">
        <v>5.9</v>
      </c>
      <c r="L185" s="98">
        <v>11.3</v>
      </c>
      <c r="M185" s="98">
        <v>18.3</v>
      </c>
      <c r="N185" s="99">
        <v>24.7</v>
      </c>
      <c r="O185" s="98">
        <v>6.2</v>
      </c>
      <c r="P185" s="98">
        <v>12.8</v>
      </c>
      <c r="Q185" s="98">
        <v>18.8</v>
      </c>
      <c r="R185" s="99">
        <v>27.2</v>
      </c>
      <c r="S185" s="98">
        <v>10.5</v>
      </c>
      <c r="T185" s="98">
        <v>20.5</v>
      </c>
      <c r="U185" s="98">
        <v>32</v>
      </c>
      <c r="V185" s="99">
        <v>43.4</v>
      </c>
      <c r="W185" s="98">
        <v>10</v>
      </c>
      <c r="X185" s="98">
        <v>19.899999999999999</v>
      </c>
      <c r="Y185" s="98">
        <v>28.6</v>
      </c>
      <c r="Z185" s="99">
        <v>39.1</v>
      </c>
      <c r="AA185" s="98">
        <v>9.8000000000000007</v>
      </c>
      <c r="AB185" s="98">
        <v>18.7</v>
      </c>
      <c r="AC185" s="98">
        <v>28.4</v>
      </c>
      <c r="AD185" s="99">
        <v>36.5</v>
      </c>
      <c r="AE185" s="98">
        <v>6.5</v>
      </c>
      <c r="AF185" s="98">
        <v>13.4</v>
      </c>
      <c r="AG185" s="98">
        <v>21</v>
      </c>
      <c r="AH185" s="99">
        <v>28.2</v>
      </c>
      <c r="AI185" s="98">
        <v>9.6999999999999993</v>
      </c>
      <c r="AJ185" s="98">
        <v>23.7</v>
      </c>
      <c r="AK185" s="98">
        <v>44.2</v>
      </c>
      <c r="AL185" s="99">
        <v>64.3</v>
      </c>
      <c r="AM185" s="98">
        <v>19.8</v>
      </c>
      <c r="AN185" s="98">
        <v>35.200000000000003</v>
      </c>
      <c r="AO185" s="98">
        <v>51.6</v>
      </c>
      <c r="AP185" s="99">
        <v>68.900000000000006</v>
      </c>
    </row>
    <row r="186" spans="1:42" ht="14.45" customHeight="1" x14ac:dyDescent="0.25">
      <c r="A186" s="135" t="s">
        <v>319</v>
      </c>
      <c r="B186" s="108"/>
      <c r="C186" s="109">
        <v>5</v>
      </c>
      <c r="D186" s="109">
        <v>2.9</v>
      </c>
      <c r="E186" s="109">
        <v>2.6</v>
      </c>
      <c r="F186" s="109">
        <v>3</v>
      </c>
      <c r="G186" s="109">
        <v>0</v>
      </c>
      <c r="H186" s="109">
        <v>6.6</v>
      </c>
      <c r="I186" s="109">
        <v>5.0999999999999996</v>
      </c>
      <c r="J186" s="109">
        <v>5</v>
      </c>
      <c r="K186" s="109">
        <v>5.9</v>
      </c>
      <c r="L186" s="109">
        <v>5.4</v>
      </c>
      <c r="M186" s="109">
        <v>7</v>
      </c>
      <c r="N186" s="109">
        <v>6.3999999999999986</v>
      </c>
      <c r="O186" s="109">
        <v>6.2</v>
      </c>
      <c r="P186" s="109">
        <v>6.6000000000000014</v>
      </c>
      <c r="Q186" s="109">
        <v>6</v>
      </c>
      <c r="R186" s="109">
        <v>8.3999999999999986</v>
      </c>
      <c r="S186" s="109">
        <v>10.5</v>
      </c>
      <c r="T186" s="109">
        <v>10</v>
      </c>
      <c r="U186" s="109">
        <v>11.5</v>
      </c>
      <c r="V186" s="109">
        <v>11.4</v>
      </c>
      <c r="W186" s="109">
        <v>10</v>
      </c>
      <c r="X186" s="109">
        <v>9.8999999999999986</v>
      </c>
      <c r="Y186" s="109">
        <v>8.7000000000000028</v>
      </c>
      <c r="Z186" s="109">
        <v>10.5</v>
      </c>
      <c r="AA186" s="109">
        <v>9.8000000000000007</v>
      </c>
      <c r="AB186" s="109">
        <v>8.8999999999999986</v>
      </c>
      <c r="AC186" s="109">
        <v>9.6999999999999993</v>
      </c>
      <c r="AD186" s="109">
        <v>8.1000000000000014</v>
      </c>
      <c r="AE186" s="109">
        <v>6.5</v>
      </c>
      <c r="AF186" s="109">
        <v>6.9</v>
      </c>
      <c r="AG186" s="109">
        <v>7.6</v>
      </c>
      <c r="AH186" s="109">
        <v>7.1999999999999993</v>
      </c>
      <c r="AI186" s="109">
        <v>9.6999999999999993</v>
      </c>
      <c r="AJ186" s="109">
        <v>14</v>
      </c>
      <c r="AK186" s="109">
        <v>20.5</v>
      </c>
      <c r="AL186" s="109">
        <v>20.099999999999991</v>
      </c>
      <c r="AM186" s="109">
        <v>19.8</v>
      </c>
      <c r="AN186" s="109">
        <v>15.4</v>
      </c>
      <c r="AO186" s="109">
        <v>16.399999999999999</v>
      </c>
      <c r="AP186" s="109">
        <v>17.3</v>
      </c>
    </row>
    <row r="187" spans="1:42" ht="14.45" customHeight="1" x14ac:dyDescent="0.25">
      <c r="A187" s="162"/>
      <c r="B187" s="97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</row>
    <row r="188" spans="1:42" ht="14.45" customHeight="1" x14ac:dyDescent="0.25">
      <c r="A188" s="125" t="s">
        <v>320</v>
      </c>
      <c r="B188" s="97"/>
      <c r="C188" s="98">
        <v>16.968</v>
      </c>
      <c r="D188" s="98">
        <v>20.341000000000001</v>
      </c>
      <c r="E188" s="98">
        <v>20.53</v>
      </c>
      <c r="F188" s="99">
        <v>22.28400000000001</v>
      </c>
      <c r="G188" s="98">
        <v>23.335999999999999</v>
      </c>
      <c r="H188" s="98">
        <v>27.620999999999999</v>
      </c>
      <c r="I188" s="98">
        <v>29.344000000000001</v>
      </c>
      <c r="J188" s="99">
        <v>28.227000000000022</v>
      </c>
      <c r="K188" s="98">
        <v>29.169</v>
      </c>
      <c r="L188" s="98">
        <v>34.796999999999997</v>
      </c>
      <c r="M188" s="98">
        <v>32.378999999999998</v>
      </c>
      <c r="N188" s="99">
        <v>29.007000000000009</v>
      </c>
      <c r="O188" s="98">
        <v>34.326000000000001</v>
      </c>
      <c r="P188" s="98">
        <v>36.613999999999997</v>
      </c>
      <c r="Q188" s="98">
        <v>31.178000000000001</v>
      </c>
      <c r="R188" s="99">
        <v>30.210000000000012</v>
      </c>
      <c r="S188" s="98">
        <v>31.027999999999999</v>
      </c>
      <c r="T188" s="98">
        <v>32.610999999999997</v>
      </c>
      <c r="U188" s="98">
        <v>31.196000000000002</v>
      </c>
      <c r="V188" s="99">
        <v>30.824000000000009</v>
      </c>
      <c r="W188" s="98">
        <v>27.544</v>
      </c>
      <c r="X188" s="98">
        <v>34.029000000000003</v>
      </c>
      <c r="Y188" s="98">
        <v>31.417000000000002</v>
      </c>
      <c r="Z188" s="99">
        <v>32.151999999999987</v>
      </c>
      <c r="AA188" s="98">
        <v>32.021999999999998</v>
      </c>
      <c r="AB188" s="98">
        <v>41.246000000000002</v>
      </c>
      <c r="AC188" s="98">
        <v>40.357999999999997</v>
      </c>
      <c r="AD188" s="99">
        <v>40.341000000000008</v>
      </c>
      <c r="AE188" s="98">
        <v>42.826999999999998</v>
      </c>
      <c r="AF188" s="98">
        <v>39.759</v>
      </c>
      <c r="AG188" s="98">
        <v>31.087</v>
      </c>
      <c r="AH188" s="99">
        <v>33.224999999999987</v>
      </c>
      <c r="AI188" s="98">
        <v>36.963999999999999</v>
      </c>
      <c r="AJ188" s="98">
        <v>37.131999999999998</v>
      </c>
      <c r="AK188" s="98">
        <v>34.887</v>
      </c>
      <c r="AL188" s="99">
        <v>33.224999999999987</v>
      </c>
      <c r="AM188" s="98">
        <v>27.274000000000001</v>
      </c>
      <c r="AN188" s="98">
        <v>29.265999999999998</v>
      </c>
      <c r="AO188" s="98">
        <v>32.061</v>
      </c>
      <c r="AP188" s="99">
        <v>30.742999999999991</v>
      </c>
    </row>
    <row r="189" spans="1:42" ht="14.45" customHeight="1" x14ac:dyDescent="0.25">
      <c r="A189" s="130" t="s">
        <v>321</v>
      </c>
      <c r="B189" s="101"/>
      <c r="C189" s="102">
        <v>33.222000000000001</v>
      </c>
      <c r="D189" s="102">
        <v>42.51</v>
      </c>
      <c r="E189" s="102">
        <v>39.831000000000003</v>
      </c>
      <c r="F189" s="103">
        <v>34.314999999999984</v>
      </c>
      <c r="G189" s="102">
        <v>33.634</v>
      </c>
      <c r="H189" s="102">
        <v>40.506999999999998</v>
      </c>
      <c r="I189" s="102">
        <v>37.267000000000003</v>
      </c>
      <c r="J189" s="103">
        <v>37.103000000000009</v>
      </c>
      <c r="K189" s="102">
        <v>38.076000000000001</v>
      </c>
      <c r="L189" s="102">
        <v>41.084000000000003</v>
      </c>
      <c r="M189" s="102">
        <v>38.569000000000003</v>
      </c>
      <c r="N189" s="103">
        <v>37.853999999999999</v>
      </c>
      <c r="O189" s="102">
        <v>37.445999999999998</v>
      </c>
      <c r="P189" s="102">
        <v>39.993000000000002</v>
      </c>
      <c r="Q189" s="102">
        <v>42.87</v>
      </c>
      <c r="R189" s="103">
        <v>39.880000000000003</v>
      </c>
      <c r="S189" s="102">
        <v>41.834000000000003</v>
      </c>
      <c r="T189" s="102">
        <v>40.384999999999998</v>
      </c>
      <c r="U189" s="102">
        <v>37.006</v>
      </c>
      <c r="V189" s="103">
        <v>36.63300000000001</v>
      </c>
      <c r="W189" s="102">
        <v>41.253</v>
      </c>
      <c r="X189" s="102">
        <v>42.557000000000002</v>
      </c>
      <c r="Y189" s="102">
        <v>41.866999999999997</v>
      </c>
      <c r="Z189" s="103">
        <v>43.722000000000008</v>
      </c>
      <c r="AA189" s="102">
        <v>45.366</v>
      </c>
      <c r="AB189" s="102">
        <v>50.561999999999998</v>
      </c>
      <c r="AC189" s="102">
        <v>48.585000000000001</v>
      </c>
      <c r="AD189" s="103">
        <v>48.74799999999999</v>
      </c>
      <c r="AE189" s="102">
        <v>49.604999999999997</v>
      </c>
      <c r="AF189" s="102">
        <v>53.106999999999999</v>
      </c>
      <c r="AG189" s="102">
        <v>47.505000000000003</v>
      </c>
      <c r="AH189" s="103">
        <v>50.02200000000002</v>
      </c>
      <c r="AI189" s="102">
        <v>50.555999999999997</v>
      </c>
      <c r="AJ189" s="102">
        <v>49.369</v>
      </c>
      <c r="AK189" s="102">
        <v>55.055999999999997</v>
      </c>
      <c r="AL189" s="103">
        <v>58.336000000000013</v>
      </c>
      <c r="AM189" s="102">
        <v>53.018000000000001</v>
      </c>
      <c r="AN189" s="102">
        <v>57.125999999999998</v>
      </c>
      <c r="AO189" s="102">
        <v>55.381</v>
      </c>
      <c r="AP189" s="103">
        <v>56.918000000000013</v>
      </c>
    </row>
    <row r="190" spans="1:42" ht="14.45" customHeight="1" x14ac:dyDescent="0.25">
      <c r="A190" s="135" t="s">
        <v>322</v>
      </c>
      <c r="B190" s="108"/>
      <c r="C190" s="109">
        <v>50.19</v>
      </c>
      <c r="D190" s="109">
        <v>62.850999999999999</v>
      </c>
      <c r="E190" s="109">
        <v>60.360999999999997</v>
      </c>
      <c r="F190" s="109">
        <v>56.59899999999999</v>
      </c>
      <c r="G190" s="109">
        <v>56.97</v>
      </c>
      <c r="H190" s="109">
        <v>68.128</v>
      </c>
      <c r="I190" s="109">
        <v>66.611000000000004</v>
      </c>
      <c r="J190" s="109">
        <v>65.330000000000027</v>
      </c>
      <c r="K190" s="109">
        <v>67.245000000000005</v>
      </c>
      <c r="L190" s="109">
        <v>75.881</v>
      </c>
      <c r="M190" s="109">
        <v>70.948000000000008</v>
      </c>
      <c r="N190" s="109">
        <v>66.861000000000004</v>
      </c>
      <c r="O190" s="109">
        <v>71.771999999999991</v>
      </c>
      <c r="P190" s="109">
        <v>76.606999999999999</v>
      </c>
      <c r="Q190" s="109">
        <v>74.048000000000002</v>
      </c>
      <c r="R190" s="109">
        <v>70.09</v>
      </c>
      <c r="S190" s="109">
        <v>72.861999999999995</v>
      </c>
      <c r="T190" s="109">
        <v>72.995999999999995</v>
      </c>
      <c r="U190" s="109">
        <v>68.201999999999998</v>
      </c>
      <c r="V190" s="109">
        <v>67.457000000000022</v>
      </c>
      <c r="W190" s="109">
        <v>68.796999999999997</v>
      </c>
      <c r="X190" s="109">
        <v>76.586000000000013</v>
      </c>
      <c r="Y190" s="109">
        <v>73.283999999999992</v>
      </c>
      <c r="Z190" s="109">
        <v>75.873999999999995</v>
      </c>
      <c r="AA190" s="109">
        <v>77.388000000000005</v>
      </c>
      <c r="AB190" s="109">
        <v>91.807999999999993</v>
      </c>
      <c r="AC190" s="109">
        <v>88.942999999999998</v>
      </c>
      <c r="AD190" s="109">
        <v>89.088999999999999</v>
      </c>
      <c r="AE190" s="109">
        <v>92.431999999999988</v>
      </c>
      <c r="AF190" s="109">
        <v>92.866</v>
      </c>
      <c r="AG190" s="109">
        <v>78.591999999999999</v>
      </c>
      <c r="AH190" s="109">
        <v>83.247000000000014</v>
      </c>
      <c r="AI190" s="109">
        <v>87.52</v>
      </c>
      <c r="AJ190" s="109">
        <v>86.501000000000005</v>
      </c>
      <c r="AK190" s="109">
        <v>89.942999999999998</v>
      </c>
      <c r="AL190" s="109">
        <v>91.561000000000007</v>
      </c>
      <c r="AM190" s="109">
        <v>80.292000000000002</v>
      </c>
      <c r="AN190" s="109">
        <v>86.391999999999996</v>
      </c>
      <c r="AO190" s="109">
        <v>87.442000000000007</v>
      </c>
      <c r="AP190" s="109">
        <v>87.661000000000001</v>
      </c>
    </row>
    <row r="191" spans="1:42" ht="14.45" customHeight="1" x14ac:dyDescent="0.25">
      <c r="A191" s="162"/>
      <c r="B191" s="97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</row>
    <row r="192" spans="1:42" ht="14.45" customHeight="1" x14ac:dyDescent="0.25">
      <c r="A192" s="113" t="s">
        <v>323</v>
      </c>
      <c r="B192" s="97"/>
      <c r="C192" s="98">
        <v>6.5</v>
      </c>
      <c r="D192" s="98">
        <v>15.1</v>
      </c>
      <c r="E192" s="98">
        <v>23.2</v>
      </c>
      <c r="F192" s="99">
        <v>29.9</v>
      </c>
      <c r="G192" s="98">
        <v>6.7</v>
      </c>
      <c r="H192" s="98">
        <v>15</v>
      </c>
      <c r="I192" s="98">
        <v>22.6</v>
      </c>
      <c r="J192" s="99">
        <v>29.9</v>
      </c>
      <c r="K192" s="98">
        <v>7.2</v>
      </c>
      <c r="L192" s="98">
        <v>15</v>
      </c>
      <c r="M192" s="98">
        <v>22.2</v>
      </c>
      <c r="N192" s="99">
        <v>29.2</v>
      </c>
      <c r="O192" s="98">
        <v>6.8</v>
      </c>
      <c r="P192" s="98">
        <v>14.3</v>
      </c>
      <c r="Q192" s="98">
        <v>22.2</v>
      </c>
      <c r="R192" s="99">
        <v>29.4</v>
      </c>
      <c r="S192" s="98">
        <v>7.7</v>
      </c>
      <c r="T192" s="98">
        <v>15.1</v>
      </c>
      <c r="U192" s="98">
        <v>21.9</v>
      </c>
      <c r="V192" s="99">
        <v>28.3</v>
      </c>
      <c r="W192" s="98">
        <v>7.2</v>
      </c>
      <c r="X192" s="98">
        <v>14.3</v>
      </c>
      <c r="Y192" s="98">
        <v>21</v>
      </c>
      <c r="Z192" s="99">
        <v>28</v>
      </c>
      <c r="AA192" s="98">
        <v>6.5</v>
      </c>
      <c r="AB192" s="98">
        <v>13.4</v>
      </c>
      <c r="AC192" s="98">
        <v>20.100000000000001</v>
      </c>
      <c r="AD192" s="99">
        <v>26.9</v>
      </c>
      <c r="AE192" s="98">
        <v>6.2</v>
      </c>
      <c r="AF192" s="98">
        <v>13.1</v>
      </c>
      <c r="AG192" s="98">
        <v>19.3</v>
      </c>
      <c r="AH192" s="99">
        <v>25.3</v>
      </c>
      <c r="AI192" s="98">
        <v>6.1</v>
      </c>
      <c r="AJ192" s="98">
        <v>11.9</v>
      </c>
      <c r="AK192" s="98">
        <v>19</v>
      </c>
      <c r="AL192" s="99">
        <v>26.5</v>
      </c>
      <c r="AM192" s="98">
        <v>6.3</v>
      </c>
      <c r="AN192" s="98">
        <v>13.3</v>
      </c>
      <c r="AO192" s="98">
        <v>20.399999999999999</v>
      </c>
      <c r="AP192" s="99">
        <v>27.3</v>
      </c>
    </row>
    <row r="193" spans="1:42" ht="14.45" customHeight="1" x14ac:dyDescent="0.25">
      <c r="A193" s="135" t="s">
        <v>324</v>
      </c>
      <c r="B193" s="108"/>
      <c r="C193" s="109">
        <v>6.5</v>
      </c>
      <c r="D193" s="109">
        <v>8.6</v>
      </c>
      <c r="E193" s="109">
        <v>8.1</v>
      </c>
      <c r="F193" s="109">
        <v>6.6999999999999993</v>
      </c>
      <c r="G193" s="109">
        <v>6.7</v>
      </c>
      <c r="H193" s="109">
        <v>8.3000000000000007</v>
      </c>
      <c r="I193" s="109">
        <v>7.6000000000000014</v>
      </c>
      <c r="J193" s="109">
        <v>7.2999999999999972</v>
      </c>
      <c r="K193" s="109">
        <v>7.2</v>
      </c>
      <c r="L193" s="109">
        <v>7.8</v>
      </c>
      <c r="M193" s="109">
        <v>7.1999999999999993</v>
      </c>
      <c r="N193" s="109">
        <v>7</v>
      </c>
      <c r="O193" s="109">
        <v>6.8</v>
      </c>
      <c r="P193" s="109">
        <v>7.5000000000000009</v>
      </c>
      <c r="Q193" s="109">
        <v>7.8999999999999986</v>
      </c>
      <c r="R193" s="109">
        <v>7.1999999999999993</v>
      </c>
      <c r="S193" s="109">
        <v>7.7</v>
      </c>
      <c r="T193" s="109">
        <v>7.3999999999999986</v>
      </c>
      <c r="U193" s="109">
        <v>6.7999999999999989</v>
      </c>
      <c r="V193" s="109">
        <v>6.4000000000000021</v>
      </c>
      <c r="W193" s="109">
        <v>7.2</v>
      </c>
      <c r="X193" s="109">
        <v>7.1000000000000014</v>
      </c>
      <c r="Y193" s="109">
        <v>6.6999999999999993</v>
      </c>
      <c r="Z193" s="109">
        <v>7</v>
      </c>
      <c r="AA193" s="109">
        <v>6.5</v>
      </c>
      <c r="AB193" s="109">
        <v>6.9</v>
      </c>
      <c r="AC193" s="109">
        <v>6.7000000000000011</v>
      </c>
      <c r="AD193" s="109">
        <v>6.7999999999999972</v>
      </c>
      <c r="AE193" s="109">
        <v>6.2</v>
      </c>
      <c r="AF193" s="109">
        <v>6.8999999999999986</v>
      </c>
      <c r="AG193" s="109">
        <v>6.2000000000000011</v>
      </c>
      <c r="AH193" s="109">
        <v>6</v>
      </c>
      <c r="AI193" s="109">
        <v>6.1</v>
      </c>
      <c r="AJ193" s="109">
        <v>5.8000000000000007</v>
      </c>
      <c r="AK193" s="109">
        <v>7.1</v>
      </c>
      <c r="AL193" s="109">
        <v>7.5</v>
      </c>
      <c r="AM193" s="109">
        <v>6.3</v>
      </c>
      <c r="AN193" s="109">
        <v>7.0000000000000009</v>
      </c>
      <c r="AO193" s="109">
        <v>7.0999999999999979</v>
      </c>
      <c r="AP193" s="109">
        <v>6.9000000000000021</v>
      </c>
    </row>
    <row r="194" spans="1:42" ht="14.45" customHeight="1" x14ac:dyDescent="0.25">
      <c r="A194" s="162"/>
      <c r="B194" s="97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</row>
    <row r="195" spans="1:42" ht="14.45" customHeight="1" x14ac:dyDescent="0.25">
      <c r="A195" s="165" t="s">
        <v>325</v>
      </c>
      <c r="B195" s="166"/>
      <c r="C195" s="167">
        <v>5.1110769230769231</v>
      </c>
      <c r="D195" s="168">
        <v>4.9430232558139533</v>
      </c>
      <c r="E195" s="168">
        <v>4.9174074074074081</v>
      </c>
      <c r="F195" s="167">
        <v>5.121641791044774</v>
      </c>
      <c r="G195" s="168">
        <v>5.0199999999999996</v>
      </c>
      <c r="H195" s="168">
        <v>4.8803614457831319</v>
      </c>
      <c r="I195" s="168">
        <v>4.9035526315789468</v>
      </c>
      <c r="J195" s="167">
        <v>5.0826027397260303</v>
      </c>
      <c r="K195" s="168">
        <v>5.2883333333333331</v>
      </c>
      <c r="L195" s="168">
        <v>5.2671794871794866</v>
      </c>
      <c r="M195" s="168">
        <v>5.3568055555555567</v>
      </c>
      <c r="N195" s="167">
        <v>5.4077142857142846</v>
      </c>
      <c r="O195" s="168">
        <v>5.506764705882353</v>
      </c>
      <c r="P195" s="168">
        <v>5.3323999999999998</v>
      </c>
      <c r="Q195" s="168">
        <v>5.4265822784810132</v>
      </c>
      <c r="R195" s="167">
        <v>5.5388888888888888</v>
      </c>
      <c r="S195" s="168">
        <v>5.432987012987013</v>
      </c>
      <c r="T195" s="168">
        <v>5.4574324324324328</v>
      </c>
      <c r="U195" s="168">
        <v>5.4420588235294129</v>
      </c>
      <c r="V195" s="167">
        <v>5.7239062499999998</v>
      </c>
      <c r="W195" s="168">
        <v>5.7295833333333333</v>
      </c>
      <c r="X195" s="168">
        <v>5.9939436619718309</v>
      </c>
      <c r="Y195" s="168">
        <v>6.2488059701492542</v>
      </c>
      <c r="Z195" s="167">
        <v>6.2460000000000013</v>
      </c>
      <c r="AA195" s="168">
        <v>6.9793846153846157</v>
      </c>
      <c r="AB195" s="168">
        <v>7.327826086956521</v>
      </c>
      <c r="AC195" s="168">
        <v>7.2514925373134318</v>
      </c>
      <c r="AD195" s="167">
        <v>7.1688235294117666</v>
      </c>
      <c r="AE195" s="168">
        <v>8.0008064516129025</v>
      </c>
      <c r="AF195" s="168">
        <v>7.6966666666666672</v>
      </c>
      <c r="AG195" s="168">
        <v>7.6620967741935484</v>
      </c>
      <c r="AH195" s="167">
        <v>8.3370000000000033</v>
      </c>
      <c r="AI195" s="168">
        <v>8.2878688524590167</v>
      </c>
      <c r="AJ195" s="168">
        <v>8.5118965517241367</v>
      </c>
      <c r="AK195" s="168">
        <v>7.7543661971830984</v>
      </c>
      <c r="AL195" s="167">
        <v>7.7781333333333347</v>
      </c>
      <c r="AM195" s="168">
        <v>8.4155555555555566</v>
      </c>
      <c r="AN195" s="168">
        <v>8.1608571428571413</v>
      </c>
      <c r="AO195" s="168">
        <v>7.800140845070425</v>
      </c>
      <c r="AP195" s="167">
        <v>8.2489855072463758</v>
      </c>
    </row>
    <row r="196" spans="1:42" ht="14.45" customHeight="1" x14ac:dyDescent="0.25">
      <c r="A196" s="162"/>
      <c r="B196" s="97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</row>
    <row r="197" spans="1:42" ht="14.45" customHeight="1" x14ac:dyDescent="0.25">
      <c r="A197" s="95" t="s">
        <v>326</v>
      </c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4.45" customHeight="1" x14ac:dyDescent="0.25">
      <c r="A198" s="125" t="s">
        <v>327</v>
      </c>
      <c r="B198" s="97"/>
      <c r="C198" s="63"/>
      <c r="D198" s="63"/>
      <c r="E198" s="63"/>
      <c r="F198" s="63"/>
      <c r="G198" s="63"/>
      <c r="H198" s="63"/>
      <c r="I198" s="63"/>
      <c r="J198" s="63"/>
      <c r="K198" s="98">
        <v>1.1259999999999999</v>
      </c>
      <c r="L198" s="98">
        <v>1.1100000000000001</v>
      </c>
      <c r="M198" s="98">
        <v>1.1100000000000001</v>
      </c>
      <c r="N198" s="99">
        <v>1.0920000000000001</v>
      </c>
      <c r="O198" s="98">
        <v>1.1100000000000001</v>
      </c>
      <c r="P198" s="98">
        <v>1.151</v>
      </c>
      <c r="Q198" s="98">
        <v>1.1319999999999999</v>
      </c>
      <c r="R198" s="99">
        <v>1.132000000000001</v>
      </c>
      <c r="S198" s="98">
        <v>0.82599999999999996</v>
      </c>
      <c r="T198" s="98">
        <v>0.82599999999999996</v>
      </c>
      <c r="U198" s="98">
        <v>0.82599999999999996</v>
      </c>
      <c r="V198" s="99">
        <v>0.82600000000000007</v>
      </c>
      <c r="W198" s="98">
        <v>0.94499999999999995</v>
      </c>
      <c r="X198" s="98">
        <v>0.94499999999999995</v>
      </c>
      <c r="Y198" s="98">
        <v>0.94399999999999995</v>
      </c>
      <c r="Z198" s="99">
        <v>0.94400000000000039</v>
      </c>
      <c r="AA198" s="98">
        <v>0.96299999999999997</v>
      </c>
      <c r="AB198" s="98">
        <v>0.96399999999999997</v>
      </c>
      <c r="AC198" s="98">
        <v>0.96299999999999997</v>
      </c>
      <c r="AD198" s="99">
        <v>0.96399999999999997</v>
      </c>
      <c r="AE198" s="98">
        <v>0.98299999999999998</v>
      </c>
      <c r="AF198" s="98">
        <v>0.98299999999999998</v>
      </c>
      <c r="AG198" s="98">
        <v>0.98299999999999998</v>
      </c>
      <c r="AH198" s="99">
        <v>0.98200000000000021</v>
      </c>
      <c r="AI198" s="98">
        <v>1</v>
      </c>
      <c r="AJ198" s="98">
        <v>1</v>
      </c>
      <c r="AK198" s="98">
        <v>1</v>
      </c>
      <c r="AL198" s="99">
        <v>1.01</v>
      </c>
      <c r="AM198" s="98">
        <v>1</v>
      </c>
      <c r="AN198" s="98">
        <v>1</v>
      </c>
      <c r="AO198" s="98">
        <v>1</v>
      </c>
      <c r="AP198" s="99">
        <v>1.1000000000000001</v>
      </c>
    </row>
    <row r="199" spans="1:42" ht="14.45" customHeight="1" x14ac:dyDescent="0.25">
      <c r="A199" s="130" t="s">
        <v>328</v>
      </c>
      <c r="B199" s="101"/>
      <c r="C199" s="158"/>
      <c r="D199" s="158"/>
      <c r="E199" s="158"/>
      <c r="F199" s="158"/>
      <c r="G199" s="158"/>
      <c r="H199" s="158"/>
      <c r="I199" s="158"/>
      <c r="J199" s="158"/>
      <c r="K199" s="102">
        <v>1.0489999999999999</v>
      </c>
      <c r="L199" s="102">
        <v>1.0489999999999999</v>
      </c>
      <c r="M199" s="102">
        <v>1.0489999999999999</v>
      </c>
      <c r="N199" s="103">
        <v>1.0529999999999999</v>
      </c>
      <c r="O199" s="102">
        <v>1.08</v>
      </c>
      <c r="P199" s="102">
        <v>1.081</v>
      </c>
      <c r="Q199" s="102">
        <v>1.08</v>
      </c>
      <c r="R199" s="103">
        <v>1.113</v>
      </c>
      <c r="S199" s="102">
        <v>1.113</v>
      </c>
      <c r="T199" s="102">
        <v>1.113</v>
      </c>
      <c r="U199" s="102">
        <v>1.1120000000000001</v>
      </c>
      <c r="V199" s="103">
        <v>1.113</v>
      </c>
      <c r="W199" s="102">
        <v>1.113</v>
      </c>
      <c r="X199" s="102">
        <v>1.113</v>
      </c>
      <c r="Y199" s="102">
        <v>1.1120000000000001</v>
      </c>
      <c r="Z199" s="103">
        <v>1.113</v>
      </c>
      <c r="AA199" s="102">
        <v>0.92700000000000005</v>
      </c>
      <c r="AB199" s="102">
        <v>0</v>
      </c>
      <c r="AC199" s="102">
        <v>0</v>
      </c>
      <c r="AD199" s="103">
        <v>0</v>
      </c>
      <c r="AE199" s="102">
        <v>0</v>
      </c>
      <c r="AF199" s="102">
        <v>0</v>
      </c>
      <c r="AG199" s="158"/>
      <c r="AH199" s="103">
        <v>0</v>
      </c>
      <c r="AI199" s="102">
        <v>0</v>
      </c>
      <c r="AJ199" s="102">
        <v>0</v>
      </c>
      <c r="AK199" s="102">
        <v>0</v>
      </c>
      <c r="AL199" s="103">
        <v>0</v>
      </c>
      <c r="AM199" s="102">
        <v>0</v>
      </c>
      <c r="AN199" s="102">
        <v>0</v>
      </c>
      <c r="AO199" s="102">
        <v>0</v>
      </c>
      <c r="AP199" s="103">
        <v>0</v>
      </c>
    </row>
    <row r="200" spans="1:42" ht="14.45" customHeight="1" x14ac:dyDescent="0.25">
      <c r="A200" s="135" t="s">
        <v>329</v>
      </c>
      <c r="B200" s="108"/>
      <c r="C200" s="112"/>
      <c r="D200" s="112"/>
      <c r="E200" s="112"/>
      <c r="F200" s="112"/>
      <c r="G200" s="112"/>
      <c r="H200" s="112"/>
      <c r="I200" s="112"/>
      <c r="J200" s="112"/>
      <c r="K200" s="109">
        <v>2.1749999999999998</v>
      </c>
      <c r="L200" s="109">
        <v>2.1589999999999998</v>
      </c>
      <c r="M200" s="109">
        <v>2.1589999999999998</v>
      </c>
      <c r="N200" s="109">
        <v>2.145</v>
      </c>
      <c r="O200" s="109">
        <v>2.19</v>
      </c>
      <c r="P200" s="109">
        <v>2.2320000000000002</v>
      </c>
      <c r="Q200" s="109">
        <v>2.2120000000000002</v>
      </c>
      <c r="R200" s="109">
        <v>2.245000000000001</v>
      </c>
      <c r="S200" s="109">
        <v>1.9390000000000001</v>
      </c>
      <c r="T200" s="109">
        <v>1.9390000000000001</v>
      </c>
      <c r="U200" s="109">
        <v>1.9379999999999999</v>
      </c>
      <c r="V200" s="109">
        <v>1.9390000000000001</v>
      </c>
      <c r="W200" s="109">
        <v>2.0579999999999998</v>
      </c>
      <c r="X200" s="109">
        <v>2.0579999999999998</v>
      </c>
      <c r="Y200" s="109">
        <v>2.056</v>
      </c>
      <c r="Z200" s="109">
        <v>2.0569999999999999</v>
      </c>
      <c r="AA200" s="109">
        <v>1.89</v>
      </c>
      <c r="AB200" s="109">
        <v>0.96399999999999997</v>
      </c>
      <c r="AC200" s="109">
        <v>0.96299999999999997</v>
      </c>
      <c r="AD200" s="109">
        <v>0.96399999999999997</v>
      </c>
      <c r="AE200" s="109">
        <v>0.98299999999999998</v>
      </c>
      <c r="AF200" s="109">
        <v>0.98299999999999998</v>
      </c>
      <c r="AG200" s="109">
        <v>0.98299999999999998</v>
      </c>
      <c r="AH200" s="109">
        <v>0.98200000000000021</v>
      </c>
      <c r="AI200" s="109">
        <v>1</v>
      </c>
      <c r="AJ200" s="109">
        <v>1</v>
      </c>
      <c r="AK200" s="109">
        <v>1</v>
      </c>
      <c r="AL200" s="109">
        <v>1.01</v>
      </c>
      <c r="AM200" s="109">
        <v>1</v>
      </c>
      <c r="AN200" s="109">
        <v>1</v>
      </c>
      <c r="AO200" s="109">
        <v>1</v>
      </c>
      <c r="AP200" s="109">
        <v>1.1000000000000001</v>
      </c>
    </row>
    <row r="201" spans="1:42" ht="14.45" customHeight="1" x14ac:dyDescent="0.25">
      <c r="A201" s="162"/>
      <c r="B201" s="97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</row>
    <row r="202" spans="1:42" ht="14.45" customHeight="1" x14ac:dyDescent="0.25">
      <c r="A202" s="95" t="s">
        <v>330</v>
      </c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</row>
    <row r="203" spans="1:42" ht="14.45" customHeight="1" x14ac:dyDescent="0.25">
      <c r="A203" s="143" t="s">
        <v>331</v>
      </c>
      <c r="B203" s="114"/>
      <c r="C203" s="169">
        <v>0.2</v>
      </c>
      <c r="D203" s="169">
        <v>0.2</v>
      </c>
      <c r="E203" s="169">
        <v>0.2</v>
      </c>
      <c r="F203" s="115">
        <v>0.2</v>
      </c>
      <c r="G203" s="169">
        <v>0.2</v>
      </c>
      <c r="H203" s="169">
        <v>0.19</v>
      </c>
      <c r="I203" s="169">
        <v>0.19</v>
      </c>
      <c r="J203" s="115">
        <v>0.19</v>
      </c>
      <c r="K203" s="169">
        <v>0.19</v>
      </c>
      <c r="L203" s="169">
        <v>0.19</v>
      </c>
      <c r="M203" s="169">
        <v>0.19</v>
      </c>
      <c r="N203" s="115">
        <v>0.19</v>
      </c>
      <c r="O203" s="169">
        <v>0.2</v>
      </c>
      <c r="P203" s="169">
        <v>0.19</v>
      </c>
      <c r="Q203" s="169">
        <v>0.19</v>
      </c>
      <c r="R203" s="115">
        <v>0.19</v>
      </c>
      <c r="S203" s="169">
        <v>0.2</v>
      </c>
      <c r="T203" s="169">
        <v>0.2</v>
      </c>
      <c r="U203" s="169">
        <v>0.19</v>
      </c>
      <c r="V203" s="115">
        <v>0.19</v>
      </c>
      <c r="W203" s="169">
        <v>0.2</v>
      </c>
      <c r="X203" s="169">
        <v>0.2</v>
      </c>
      <c r="Y203" s="169">
        <v>0.2</v>
      </c>
      <c r="Z203" s="115">
        <v>0.2</v>
      </c>
      <c r="AA203" s="169">
        <v>0.2</v>
      </c>
      <c r="AB203" s="169">
        <v>0.2</v>
      </c>
      <c r="AC203" s="169">
        <v>0.2</v>
      </c>
      <c r="AD203" s="115">
        <v>0.2</v>
      </c>
      <c r="AE203" s="169">
        <v>0.21</v>
      </c>
      <c r="AF203" s="169">
        <v>0.21</v>
      </c>
      <c r="AG203" s="169">
        <v>0.21</v>
      </c>
      <c r="AH203" s="115">
        <v>0.21</v>
      </c>
      <c r="AI203" s="169">
        <v>0.21</v>
      </c>
      <c r="AJ203" s="169">
        <v>0.21</v>
      </c>
      <c r="AK203" s="169">
        <v>0.21</v>
      </c>
      <c r="AL203" s="115">
        <v>0.21</v>
      </c>
      <c r="AM203" s="169">
        <v>0.21</v>
      </c>
      <c r="AN203" s="169">
        <v>0.21</v>
      </c>
      <c r="AO203" s="169">
        <v>0.21</v>
      </c>
      <c r="AP203" s="115">
        <v>0.21</v>
      </c>
    </row>
    <row r="204" spans="1:42" ht="14.45" customHeight="1" x14ac:dyDescent="0.25">
      <c r="A204" s="143" t="s">
        <v>332</v>
      </c>
      <c r="B204" s="114"/>
      <c r="C204" s="169">
        <v>7.0000000000000007E-2</v>
      </c>
      <c r="D204" s="169">
        <v>0.06</v>
      </c>
      <c r="E204" s="169">
        <v>0.06</v>
      </c>
      <c r="F204" s="115">
        <v>0.06</v>
      </c>
      <c r="G204" s="169">
        <v>0.08</v>
      </c>
      <c r="H204" s="169">
        <v>0.09</v>
      </c>
      <c r="I204" s="169">
        <v>0.09</v>
      </c>
      <c r="J204" s="115">
        <v>0.1</v>
      </c>
      <c r="K204" s="169">
        <v>0.12</v>
      </c>
      <c r="L204" s="169">
        <v>0.12</v>
      </c>
      <c r="M204" s="169">
        <v>0.11</v>
      </c>
      <c r="N204" s="115">
        <v>0.11</v>
      </c>
      <c r="O204" s="169">
        <v>0.12</v>
      </c>
      <c r="P204" s="169">
        <v>0.12</v>
      </c>
      <c r="Q204" s="169">
        <v>0.12</v>
      </c>
      <c r="R204" s="115">
        <v>0.12</v>
      </c>
      <c r="S204" s="169">
        <v>0.13</v>
      </c>
      <c r="T204" s="169">
        <v>0.14000000000000001</v>
      </c>
      <c r="U204" s="169">
        <v>0.13</v>
      </c>
      <c r="V204" s="115">
        <v>0.13</v>
      </c>
      <c r="W204" s="169">
        <v>0.13</v>
      </c>
      <c r="X204" s="169">
        <v>0.13</v>
      </c>
      <c r="Y204" s="169">
        <v>0.13</v>
      </c>
      <c r="Z204" s="115">
        <v>0.13</v>
      </c>
      <c r="AA204" s="169">
        <v>0.12</v>
      </c>
      <c r="AB204" s="169">
        <v>0.12</v>
      </c>
      <c r="AC204" s="169">
        <v>0.12</v>
      </c>
      <c r="AD204" s="115">
        <v>0.12</v>
      </c>
      <c r="AE204" s="169">
        <v>0.11</v>
      </c>
      <c r="AF204" s="169">
        <v>0.11</v>
      </c>
      <c r="AG204" s="169">
        <v>0.12</v>
      </c>
      <c r="AH204" s="115">
        <v>0.14000000000000001</v>
      </c>
      <c r="AI204" s="169">
        <v>0.15</v>
      </c>
      <c r="AJ204" s="169">
        <v>0.15</v>
      </c>
      <c r="AK204" s="169">
        <v>0.15</v>
      </c>
      <c r="AL204" s="115">
        <v>0.15</v>
      </c>
      <c r="AM204" s="169">
        <v>0.15</v>
      </c>
      <c r="AN204" s="169">
        <v>0.15</v>
      </c>
      <c r="AO204" s="169">
        <v>0.15</v>
      </c>
      <c r="AP204" s="115">
        <v>0.15</v>
      </c>
    </row>
    <row r="205" spans="1:42" ht="14.45" customHeight="1" x14ac:dyDescent="0.25">
      <c r="A205" s="143" t="s">
        <v>333</v>
      </c>
      <c r="B205" s="114"/>
      <c r="C205" s="169">
        <v>0.09</v>
      </c>
      <c r="D205" s="169">
        <v>0.08</v>
      </c>
      <c r="E205" s="169">
        <v>0.08</v>
      </c>
      <c r="F205" s="115">
        <v>0.08</v>
      </c>
      <c r="G205" s="169">
        <v>7.0000000000000007E-2</v>
      </c>
      <c r="H205" s="169">
        <v>7.0000000000000007E-2</v>
      </c>
      <c r="I205" s="169">
        <v>0.06</v>
      </c>
      <c r="J205" s="115">
        <v>0.06</v>
      </c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</row>
    <row r="206" spans="1:42" ht="14.45" customHeight="1" x14ac:dyDescent="0.25">
      <c r="A206" s="91" t="s">
        <v>334</v>
      </c>
      <c r="B206" s="116"/>
      <c r="C206" s="117">
        <v>0.36</v>
      </c>
      <c r="D206" s="117">
        <v>0.34</v>
      </c>
      <c r="E206" s="117">
        <v>0.34</v>
      </c>
      <c r="F206" s="117">
        <v>0.34</v>
      </c>
      <c r="G206" s="117">
        <v>0.35</v>
      </c>
      <c r="H206" s="117">
        <v>0.35</v>
      </c>
      <c r="I206" s="117">
        <v>0.34</v>
      </c>
      <c r="J206" s="117">
        <v>0.35</v>
      </c>
      <c r="K206" s="117">
        <v>0.31</v>
      </c>
      <c r="L206" s="117">
        <v>0.31</v>
      </c>
      <c r="M206" s="117">
        <v>0.3</v>
      </c>
      <c r="N206" s="117">
        <v>0.3</v>
      </c>
      <c r="O206" s="117">
        <v>0.32</v>
      </c>
      <c r="P206" s="117">
        <v>0.31</v>
      </c>
      <c r="Q206" s="117">
        <v>0.31</v>
      </c>
      <c r="R206" s="117">
        <v>0.31</v>
      </c>
      <c r="S206" s="117">
        <v>0.33</v>
      </c>
      <c r="T206" s="117">
        <v>0.34</v>
      </c>
      <c r="U206" s="117">
        <v>0.32</v>
      </c>
      <c r="V206" s="117">
        <v>0.32</v>
      </c>
      <c r="W206" s="117">
        <v>0.33</v>
      </c>
      <c r="X206" s="117">
        <v>0.33</v>
      </c>
      <c r="Y206" s="117">
        <v>0.33</v>
      </c>
      <c r="Z206" s="117">
        <v>0.33</v>
      </c>
      <c r="AA206" s="117">
        <v>0.32</v>
      </c>
      <c r="AB206" s="117">
        <v>0.32</v>
      </c>
      <c r="AC206" s="117">
        <v>0.32</v>
      </c>
      <c r="AD206" s="117">
        <v>0.32</v>
      </c>
      <c r="AE206" s="117">
        <v>0.32</v>
      </c>
      <c r="AF206" s="117">
        <v>0.32</v>
      </c>
      <c r="AG206" s="117">
        <v>0.33</v>
      </c>
      <c r="AH206" s="117">
        <v>0.35</v>
      </c>
      <c r="AI206" s="117">
        <v>0.36</v>
      </c>
      <c r="AJ206" s="117">
        <v>0.36</v>
      </c>
      <c r="AK206" s="117">
        <v>0.36</v>
      </c>
      <c r="AL206" s="117">
        <v>0.36</v>
      </c>
      <c r="AM206" s="117">
        <v>0.36</v>
      </c>
      <c r="AN206" s="117">
        <v>0.36</v>
      </c>
      <c r="AO206" s="117">
        <v>0.36</v>
      </c>
      <c r="AP206" s="117">
        <v>0.36</v>
      </c>
    </row>
    <row r="207" spans="1:42" ht="14.45" customHeight="1" x14ac:dyDescent="0.25">
      <c r="A207" s="170"/>
      <c r="B207" s="114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</row>
    <row r="208" spans="1:42" ht="14.45" customHeight="1" x14ac:dyDescent="0.25">
      <c r="A208" s="143" t="s">
        <v>335</v>
      </c>
      <c r="B208" s="114"/>
      <c r="C208" s="169">
        <v>0.14000000000000001</v>
      </c>
      <c r="D208" s="169">
        <v>0.14000000000000001</v>
      </c>
      <c r="E208" s="169">
        <v>0.14000000000000001</v>
      </c>
      <c r="F208" s="115">
        <v>0.14000000000000001</v>
      </c>
      <c r="G208" s="169">
        <v>0.14000000000000001</v>
      </c>
      <c r="H208" s="169">
        <v>0.14000000000000001</v>
      </c>
      <c r="I208" s="169">
        <v>0.14000000000000001</v>
      </c>
      <c r="J208" s="115">
        <v>0.13</v>
      </c>
      <c r="K208" s="169">
        <v>0.14000000000000001</v>
      </c>
      <c r="L208" s="169">
        <v>0.13</v>
      </c>
      <c r="M208" s="169">
        <v>0.14000000000000001</v>
      </c>
      <c r="N208" s="115">
        <v>0.14000000000000001</v>
      </c>
      <c r="O208" s="169">
        <v>0.14000000000000001</v>
      </c>
      <c r="P208" s="169">
        <v>0.14000000000000001</v>
      </c>
      <c r="Q208" s="169">
        <v>0.14000000000000001</v>
      </c>
      <c r="R208" s="115">
        <v>0.13</v>
      </c>
      <c r="S208" s="169">
        <v>0.14000000000000001</v>
      </c>
      <c r="T208" s="169">
        <v>0.14000000000000001</v>
      </c>
      <c r="U208" s="169">
        <v>0.14000000000000001</v>
      </c>
      <c r="V208" s="115">
        <v>0.14000000000000001</v>
      </c>
      <c r="W208" s="169">
        <v>0.14000000000000001</v>
      </c>
      <c r="X208" s="169">
        <v>0.14000000000000001</v>
      </c>
      <c r="Y208" s="169">
        <v>0.14000000000000001</v>
      </c>
      <c r="Z208" s="115">
        <v>0.14000000000000001</v>
      </c>
      <c r="AA208" s="169">
        <v>0.15</v>
      </c>
      <c r="AB208" s="169">
        <v>0.15</v>
      </c>
      <c r="AC208" s="169">
        <v>0.16</v>
      </c>
      <c r="AD208" s="115">
        <v>0.16</v>
      </c>
      <c r="AE208" s="169">
        <v>0.16</v>
      </c>
      <c r="AF208" s="169">
        <v>0.16</v>
      </c>
      <c r="AG208" s="169">
        <v>0.16</v>
      </c>
      <c r="AH208" s="115">
        <v>0.17</v>
      </c>
      <c r="AI208" s="169">
        <v>0.17</v>
      </c>
      <c r="AJ208" s="169">
        <v>0.17</v>
      </c>
      <c r="AK208" s="169">
        <v>0.17</v>
      </c>
      <c r="AL208" s="115">
        <v>0.17</v>
      </c>
      <c r="AM208" s="169">
        <v>0.17</v>
      </c>
      <c r="AN208" s="169">
        <v>0.17</v>
      </c>
      <c r="AO208" s="169">
        <v>0.17</v>
      </c>
      <c r="AP208" s="115">
        <v>0.17</v>
      </c>
    </row>
    <row r="209" spans="1:42" ht="14.45" customHeight="1" x14ac:dyDescent="0.25">
      <c r="A209" s="143" t="s">
        <v>336</v>
      </c>
      <c r="B209" s="114"/>
      <c r="C209" s="169">
        <v>0.05</v>
      </c>
      <c r="D209" s="169">
        <v>0.04</v>
      </c>
      <c r="E209" s="169">
        <v>0.04</v>
      </c>
      <c r="F209" s="115">
        <v>0.05</v>
      </c>
      <c r="G209" s="169">
        <v>0.06</v>
      </c>
      <c r="H209" s="169">
        <v>7.0000000000000007E-2</v>
      </c>
      <c r="I209" s="169">
        <v>7.0000000000000007E-2</v>
      </c>
      <c r="J209" s="115">
        <v>7.0000000000000007E-2</v>
      </c>
      <c r="K209" s="169">
        <v>0.08</v>
      </c>
      <c r="L209" s="169">
        <v>0.08</v>
      </c>
      <c r="M209" s="169">
        <v>0.08</v>
      </c>
      <c r="N209" s="115">
        <v>0.08</v>
      </c>
      <c r="O209" s="169">
        <v>0.09</v>
      </c>
      <c r="P209" s="169">
        <v>0.08</v>
      </c>
      <c r="Q209" s="169">
        <v>0.08</v>
      </c>
      <c r="R209" s="115">
        <v>0.08</v>
      </c>
      <c r="S209" s="169">
        <v>0.09</v>
      </c>
      <c r="T209" s="169">
        <v>0.1</v>
      </c>
      <c r="U209" s="169">
        <v>0.1</v>
      </c>
      <c r="V209" s="115">
        <v>0.1</v>
      </c>
      <c r="W209" s="169">
        <v>0.09</v>
      </c>
      <c r="X209" s="169">
        <v>0.09</v>
      </c>
      <c r="Y209" s="169">
        <v>0.09</v>
      </c>
      <c r="Z209" s="115">
        <v>0.09</v>
      </c>
      <c r="AA209" s="169">
        <v>0.09</v>
      </c>
      <c r="AB209" s="169">
        <v>0.09</v>
      </c>
      <c r="AC209" s="169">
        <v>0.09</v>
      </c>
      <c r="AD209" s="115">
        <v>0.1</v>
      </c>
      <c r="AE209" s="169">
        <v>0.09</v>
      </c>
      <c r="AF209" s="169">
        <v>0.09</v>
      </c>
      <c r="AG209" s="169">
        <v>0.09</v>
      </c>
      <c r="AH209" s="115">
        <v>0.11</v>
      </c>
      <c r="AI209" s="169">
        <v>0.12</v>
      </c>
      <c r="AJ209" s="169">
        <v>0.12</v>
      </c>
      <c r="AK209" s="169">
        <v>0.12</v>
      </c>
      <c r="AL209" s="115">
        <v>0.12</v>
      </c>
      <c r="AM209" s="169">
        <v>0.12</v>
      </c>
      <c r="AN209" s="169">
        <v>0.12</v>
      </c>
      <c r="AO209" s="169">
        <v>0.12</v>
      </c>
      <c r="AP209" s="115">
        <v>0.12</v>
      </c>
    </row>
    <row r="210" spans="1:42" ht="14.45" customHeight="1" x14ac:dyDescent="0.25">
      <c r="A210" s="143" t="s">
        <v>337</v>
      </c>
      <c r="B210" s="114"/>
      <c r="C210" s="169">
        <v>0.06</v>
      </c>
      <c r="D210" s="169">
        <v>0.06</v>
      </c>
      <c r="E210" s="169">
        <v>0.06</v>
      </c>
      <c r="F210" s="115">
        <v>0.05</v>
      </c>
      <c r="G210" s="169">
        <v>0.05</v>
      </c>
      <c r="H210" s="169">
        <v>0.04</v>
      </c>
      <c r="I210" s="169">
        <v>0.04</v>
      </c>
      <c r="J210" s="115">
        <v>0.04</v>
      </c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160"/>
    </row>
    <row r="211" spans="1:42" ht="14.45" customHeight="1" x14ac:dyDescent="0.25">
      <c r="A211" s="91" t="s">
        <v>338</v>
      </c>
      <c r="B211" s="116"/>
      <c r="C211" s="117">
        <v>0.25</v>
      </c>
      <c r="D211" s="117">
        <v>0.24</v>
      </c>
      <c r="E211" s="117">
        <v>0.24</v>
      </c>
      <c r="F211" s="117">
        <v>0.24</v>
      </c>
      <c r="G211" s="117">
        <v>0.25</v>
      </c>
      <c r="H211" s="117">
        <v>0.25</v>
      </c>
      <c r="I211" s="117">
        <v>0.25</v>
      </c>
      <c r="J211" s="117">
        <v>0.24</v>
      </c>
      <c r="K211" s="117">
        <v>0.22</v>
      </c>
      <c r="L211" s="117">
        <v>0.21</v>
      </c>
      <c r="M211" s="117">
        <v>0.22</v>
      </c>
      <c r="N211" s="117">
        <v>0.22</v>
      </c>
      <c r="O211" s="117">
        <v>0.23</v>
      </c>
      <c r="P211" s="117">
        <v>0.22</v>
      </c>
      <c r="Q211" s="117">
        <v>0.22</v>
      </c>
      <c r="R211" s="117">
        <v>0.21</v>
      </c>
      <c r="S211" s="117">
        <v>0.23</v>
      </c>
      <c r="T211" s="117">
        <v>0.24</v>
      </c>
      <c r="U211" s="117">
        <v>0.24</v>
      </c>
      <c r="V211" s="117">
        <v>0.24</v>
      </c>
      <c r="W211" s="117">
        <v>0.23</v>
      </c>
      <c r="X211" s="117">
        <v>0.23</v>
      </c>
      <c r="Y211" s="117">
        <v>0.23</v>
      </c>
      <c r="Z211" s="117">
        <v>0.23</v>
      </c>
      <c r="AA211" s="117">
        <v>0.24</v>
      </c>
      <c r="AB211" s="117">
        <v>0.24</v>
      </c>
      <c r="AC211" s="117">
        <v>0.25</v>
      </c>
      <c r="AD211" s="117">
        <v>0.26</v>
      </c>
      <c r="AE211" s="117">
        <v>0.25</v>
      </c>
      <c r="AF211" s="117">
        <v>0.25</v>
      </c>
      <c r="AG211" s="117">
        <v>0.25</v>
      </c>
      <c r="AH211" s="117">
        <v>0.28000000000000003</v>
      </c>
      <c r="AI211" s="117">
        <v>0.28999999999999998</v>
      </c>
      <c r="AJ211" s="117">
        <v>0.28999999999999998</v>
      </c>
      <c r="AK211" s="117">
        <v>0.28999999999999998</v>
      </c>
      <c r="AL211" s="117">
        <v>0.28999999999999998</v>
      </c>
      <c r="AM211" s="117">
        <v>0.28999999999999998</v>
      </c>
      <c r="AN211" s="117">
        <v>0.28999999999999998</v>
      </c>
      <c r="AO211" s="117">
        <v>0.28999999999999998</v>
      </c>
      <c r="AP211" s="117">
        <v>0.28999999999999998</v>
      </c>
    </row>
    <row r="212" spans="1:42" ht="14.45" customHeight="1" x14ac:dyDescent="0.25">
      <c r="A212" s="162"/>
      <c r="B212" s="97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</row>
    <row r="213" spans="1:42" ht="14.45" customHeight="1" x14ac:dyDescent="0.25">
      <c r="A213" s="95" t="s">
        <v>339</v>
      </c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</row>
    <row r="214" spans="1:42" ht="14.45" customHeight="1" x14ac:dyDescent="0.25">
      <c r="A214" s="171" t="s">
        <v>340</v>
      </c>
      <c r="B214" s="172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</row>
    <row r="215" spans="1:42" ht="14.45" customHeight="1" x14ac:dyDescent="0.25">
      <c r="A215" s="171" t="s">
        <v>341</v>
      </c>
      <c r="B215" s="172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</row>
    <row r="216" spans="1:42" ht="14.45" customHeight="1" x14ac:dyDescent="0.25">
      <c r="A216" s="171" t="s">
        <v>342</v>
      </c>
      <c r="B216" s="172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</row>
    <row r="217" spans="1:42" ht="14.45" customHeight="1" x14ac:dyDescent="0.25">
      <c r="A217" s="171" t="s">
        <v>343</v>
      </c>
      <c r="B217" s="172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</row>
    <row r="218" spans="1:42" ht="14.45" customHeight="1" x14ac:dyDescent="0.25">
      <c r="A218" s="171" t="s">
        <v>344</v>
      </c>
      <c r="B218" s="172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</row>
    <row r="219" spans="1:42" ht="14.45" customHeight="1" x14ac:dyDescent="0.25">
      <c r="A219" s="171" t="s">
        <v>345</v>
      </c>
      <c r="B219" s="172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</row>
    <row r="220" spans="1:42" ht="14.45" customHeight="1" x14ac:dyDescent="0.25">
      <c r="A220" s="171" t="s">
        <v>346</v>
      </c>
      <c r="B220" s="172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</row>
    <row r="221" spans="1:42" ht="14.45" customHeight="1" x14ac:dyDescent="0.25">
      <c r="A221" s="171" t="s">
        <v>347</v>
      </c>
      <c r="B221" s="172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</row>
    <row r="222" spans="1:42" ht="14.45" customHeight="1" x14ac:dyDescent="0.25">
      <c r="A222" s="174" t="s">
        <v>348</v>
      </c>
      <c r="B222" s="175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6"/>
      <c r="AH222" s="176"/>
      <c r="AI222" s="176"/>
      <c r="AJ222" s="176"/>
      <c r="AK222" s="176"/>
      <c r="AL222" s="176"/>
      <c r="AM222" s="176"/>
      <c r="AN222" s="176"/>
      <c r="AO222" s="176"/>
      <c r="AP222" s="176"/>
    </row>
    <row r="223" spans="1:42" ht="14.45" customHeight="1" x14ac:dyDescent="0.25">
      <c r="A223" s="177" t="s">
        <v>349</v>
      </c>
      <c r="B223" s="178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</row>
    <row r="224" spans="1:42" ht="14.45" customHeight="1" x14ac:dyDescent="0.25">
      <c r="A224" s="162"/>
      <c r="B224" s="97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</row>
    <row r="225" spans="1:42" ht="14.45" customHeight="1" x14ac:dyDescent="0.25">
      <c r="A225" s="95" t="s">
        <v>350</v>
      </c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</row>
    <row r="226" spans="1:42" ht="14.45" customHeight="1" x14ac:dyDescent="0.25">
      <c r="A226" s="171" t="s">
        <v>351</v>
      </c>
      <c r="B226" s="172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</row>
    <row r="227" spans="1:42" ht="14.45" customHeight="1" x14ac:dyDescent="0.25">
      <c r="A227" s="174" t="s">
        <v>352</v>
      </c>
      <c r="B227" s="175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6"/>
      <c r="AH227" s="176"/>
      <c r="AI227" s="176"/>
      <c r="AJ227" s="176"/>
      <c r="AK227" s="176"/>
      <c r="AL227" s="176"/>
      <c r="AM227" s="176"/>
      <c r="AN227" s="176"/>
      <c r="AO227" s="176"/>
      <c r="AP227" s="176"/>
    </row>
    <row r="228" spans="1:42" ht="14.45" customHeight="1" x14ac:dyDescent="0.25">
      <c r="A228" s="177" t="s">
        <v>353</v>
      </c>
      <c r="B228" s="178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</row>
    <row r="229" spans="1:42" ht="14.45" customHeight="1" x14ac:dyDescent="0.25">
      <c r="A229" s="162"/>
      <c r="B229" s="97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</row>
    <row r="230" spans="1:42" ht="14.45" customHeight="1" x14ac:dyDescent="0.25">
      <c r="A230" s="95" t="s">
        <v>354</v>
      </c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</row>
    <row r="231" spans="1:42" ht="14.45" customHeight="1" x14ac:dyDescent="0.25">
      <c r="A231" s="180" t="s">
        <v>355</v>
      </c>
      <c r="B231" s="97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98">
        <v>1.341</v>
      </c>
      <c r="P231" s="98">
        <v>1.3420000000000001</v>
      </c>
      <c r="Q231" s="98">
        <v>1.3560000000000001</v>
      </c>
      <c r="R231" s="63">
        <v>1.357</v>
      </c>
      <c r="S231" s="98">
        <v>1.385</v>
      </c>
      <c r="T231" s="98">
        <v>1.385</v>
      </c>
      <c r="U231" s="98">
        <v>1.397</v>
      </c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</row>
    <row r="232" spans="1:42" ht="14.45" customHeight="1" x14ac:dyDescent="0.25">
      <c r="A232" s="180" t="s">
        <v>356</v>
      </c>
      <c r="B232" s="97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98">
        <v>2.8959999999999999</v>
      </c>
      <c r="P232" s="98">
        <v>3.0259999999999998</v>
      </c>
      <c r="Q232" s="98">
        <v>3.7170000000000001</v>
      </c>
      <c r="R232" s="63">
        <v>3.7850000000000001</v>
      </c>
      <c r="S232" s="98">
        <v>4.6689999999999996</v>
      </c>
      <c r="T232" s="98">
        <v>4.71</v>
      </c>
      <c r="U232" s="98">
        <v>4.8460000000000001</v>
      </c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</row>
    <row r="233" spans="1:42" ht="14.45" customHeight="1" x14ac:dyDescent="0.25">
      <c r="A233" s="181" t="s">
        <v>357</v>
      </c>
      <c r="B233" s="182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>
        <v>4.2370000000000001</v>
      </c>
      <c r="P233" s="183">
        <v>4.3680000000000003</v>
      </c>
      <c r="Q233" s="183">
        <v>5.0730000000000004</v>
      </c>
      <c r="R233" s="183">
        <v>5.1420000000000003</v>
      </c>
      <c r="S233" s="183">
        <v>6.0539999999999994</v>
      </c>
      <c r="T233" s="183">
        <v>6.0949999999999998</v>
      </c>
      <c r="U233" s="183">
        <v>6.2430000000000003</v>
      </c>
      <c r="V233" s="183">
        <v>6.4310000000000009</v>
      </c>
      <c r="W233" s="184">
        <v>6.2539999999999996</v>
      </c>
      <c r="X233" s="184">
        <v>6.5650000000000004</v>
      </c>
      <c r="Y233" s="184">
        <v>6.8280000000000003</v>
      </c>
      <c r="Z233" s="183">
        <v>6.7380000000000031</v>
      </c>
      <c r="AA233" s="184">
        <v>7.3029999999999999</v>
      </c>
      <c r="AB233" s="184">
        <v>7.3360000000000003</v>
      </c>
      <c r="AC233" s="184">
        <v>7.75</v>
      </c>
      <c r="AD233" s="183">
        <v>8.0950000000000024</v>
      </c>
      <c r="AE233" s="184">
        <v>8.2729999999999997</v>
      </c>
      <c r="AF233" s="184">
        <v>8.3049999999999997</v>
      </c>
      <c r="AG233" s="184">
        <v>8.2929999999999993</v>
      </c>
      <c r="AH233" s="183">
        <v>8.0880000000000045</v>
      </c>
      <c r="AI233" s="184">
        <v>7.7889999999999997</v>
      </c>
      <c r="AJ233" s="184">
        <v>7.4749999999999996</v>
      </c>
      <c r="AK233" s="184">
        <v>7.2889999999999997</v>
      </c>
      <c r="AL233" s="183">
        <v>7.0630000000000024</v>
      </c>
      <c r="AM233" s="184">
        <v>6.5940000000000003</v>
      </c>
      <c r="AN233" s="184">
        <v>6.6390000000000002</v>
      </c>
      <c r="AO233" s="184">
        <v>7.2080000000000002</v>
      </c>
      <c r="AP233" s="183">
        <v>7.1379999999999981</v>
      </c>
    </row>
    <row r="234" spans="1:42" ht="14.45" customHeight="1" x14ac:dyDescent="0.25">
      <c r="A234" s="180" t="s">
        <v>358</v>
      </c>
      <c r="B234" s="97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98">
        <v>2.262</v>
      </c>
      <c r="P234" s="98">
        <v>2.3170000000000002</v>
      </c>
      <c r="Q234" s="98">
        <v>2.8140000000000001</v>
      </c>
      <c r="R234" s="63">
        <v>2.8739999999999992</v>
      </c>
      <c r="S234" s="98">
        <v>2.6</v>
      </c>
      <c r="T234" s="98">
        <v>3.0569999999999999</v>
      </c>
      <c r="U234" s="98">
        <v>3.7109999999999999</v>
      </c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</row>
    <row r="235" spans="1:42" ht="14.45" customHeight="1" x14ac:dyDescent="0.25">
      <c r="A235" s="180" t="s">
        <v>359</v>
      </c>
      <c r="B235" s="97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98">
        <v>1.0589999999999999</v>
      </c>
      <c r="P235" s="98">
        <v>0.77900000000000003</v>
      </c>
      <c r="Q235" s="98">
        <v>0.83799999999999997</v>
      </c>
      <c r="R235" s="63">
        <v>0.66199999999999992</v>
      </c>
      <c r="S235" s="98">
        <v>0.89</v>
      </c>
      <c r="T235" s="98">
        <v>0.45100000000000001</v>
      </c>
      <c r="U235" s="98">
        <v>0.27100000000000002</v>
      </c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</row>
    <row r="236" spans="1:42" ht="14.45" customHeight="1" x14ac:dyDescent="0.25">
      <c r="A236" s="185" t="s">
        <v>360</v>
      </c>
      <c r="B236" s="186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>
        <v>3.3210000000000002</v>
      </c>
      <c r="P236" s="187">
        <v>3.0960000000000001</v>
      </c>
      <c r="Q236" s="187">
        <v>3.6520000000000001</v>
      </c>
      <c r="R236" s="187">
        <v>3.5359999999999991</v>
      </c>
      <c r="S236" s="187">
        <v>3.49</v>
      </c>
      <c r="T236" s="187">
        <v>3.508</v>
      </c>
      <c r="U236" s="187">
        <v>3.9820000000000002</v>
      </c>
      <c r="V236" s="187">
        <v>4.3249999999999993</v>
      </c>
      <c r="W236" s="188">
        <v>3.8769999999999998</v>
      </c>
      <c r="X236" s="188">
        <v>4.4939999999999998</v>
      </c>
      <c r="Y236" s="188">
        <v>4.5609999999999999</v>
      </c>
      <c r="Z236" s="187">
        <v>4.3130000000000024</v>
      </c>
      <c r="AA236" s="188">
        <v>3.58</v>
      </c>
      <c r="AB236" s="188">
        <v>3.6949999999999998</v>
      </c>
      <c r="AC236" s="188">
        <v>3.7309999999999999</v>
      </c>
      <c r="AD236" s="187">
        <v>4.0589999999999993</v>
      </c>
      <c r="AE236" s="188">
        <v>3.7650000000000001</v>
      </c>
      <c r="AF236" s="188">
        <v>4.0259999999999998</v>
      </c>
      <c r="AG236" s="188">
        <v>4.1509999999999998</v>
      </c>
      <c r="AH236" s="187">
        <v>4.052999999999999</v>
      </c>
      <c r="AI236" s="188">
        <v>3.03</v>
      </c>
      <c r="AJ236" s="188">
        <v>3.3690000000000002</v>
      </c>
      <c r="AK236" s="188">
        <v>3.4209999999999998</v>
      </c>
      <c r="AL236" s="187">
        <v>2.996</v>
      </c>
      <c r="AM236" s="188">
        <v>2.0870000000000002</v>
      </c>
      <c r="AN236" s="188">
        <v>1.83</v>
      </c>
      <c r="AO236" s="188">
        <v>1.9079999999999999</v>
      </c>
      <c r="AP236" s="187">
        <v>2.1269999999999998</v>
      </c>
    </row>
    <row r="237" spans="1:42" ht="14.45" customHeight="1" x14ac:dyDescent="0.25">
      <c r="A237" s="189" t="s">
        <v>361</v>
      </c>
      <c r="B237" s="97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>
        <v>7.5579999999999998</v>
      </c>
      <c r="P237" s="63">
        <v>7.4640000000000004</v>
      </c>
      <c r="Q237" s="63">
        <v>8.7250000000000014</v>
      </c>
      <c r="R237" s="63">
        <v>8.677999999999999</v>
      </c>
      <c r="S237" s="63">
        <v>9.5440000000000005</v>
      </c>
      <c r="T237" s="63">
        <v>9.6029999999999998</v>
      </c>
      <c r="U237" s="63">
        <v>10.225</v>
      </c>
      <c r="V237" s="63">
        <v>10.756</v>
      </c>
      <c r="W237" s="63">
        <v>10.131</v>
      </c>
      <c r="X237" s="63">
        <v>11.058999999999999</v>
      </c>
      <c r="Y237" s="63">
        <v>11.388999999999999</v>
      </c>
      <c r="Z237" s="63">
        <v>11.051000000000011</v>
      </c>
      <c r="AA237" s="63">
        <v>10.882999999999999</v>
      </c>
      <c r="AB237" s="63">
        <v>11.031000000000001</v>
      </c>
      <c r="AC237" s="63">
        <v>11.481</v>
      </c>
      <c r="AD237" s="63">
        <v>12.154</v>
      </c>
      <c r="AE237" s="63">
        <v>12.038</v>
      </c>
      <c r="AF237" s="63">
        <v>12.331</v>
      </c>
      <c r="AG237" s="63">
        <v>12.444000000000001</v>
      </c>
      <c r="AH237" s="63">
        <v>12.141</v>
      </c>
      <c r="AI237" s="63">
        <v>10.819000000000001</v>
      </c>
      <c r="AJ237" s="63">
        <v>10.843999999999999</v>
      </c>
      <c r="AK237" s="63">
        <v>10.71</v>
      </c>
      <c r="AL237" s="63">
        <v>10.058999999999999</v>
      </c>
      <c r="AM237" s="63">
        <v>8.6810000000000009</v>
      </c>
      <c r="AN237" s="63">
        <v>8.4690000000000012</v>
      </c>
      <c r="AO237" s="63">
        <v>9.1159999999999997</v>
      </c>
      <c r="AP237" s="63">
        <v>9.264999999999997</v>
      </c>
    </row>
    <row r="238" spans="1:42" ht="14.45" customHeight="1" x14ac:dyDescent="0.25">
      <c r="A238" s="180" t="s">
        <v>362</v>
      </c>
      <c r="B238" s="97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98">
        <v>0.35299999999999998</v>
      </c>
      <c r="P238" s="98">
        <v>0.35399999999999998</v>
      </c>
      <c r="Q238" s="98">
        <v>0.35299999999999998</v>
      </c>
      <c r="R238" s="63">
        <v>0.35399999999999993</v>
      </c>
      <c r="S238" s="98">
        <v>0.35399999999999998</v>
      </c>
      <c r="T238" s="98">
        <v>0.35299999999999998</v>
      </c>
      <c r="U238" s="98">
        <v>0.64300000000000002</v>
      </c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</row>
    <row r="239" spans="1:42" ht="14.45" customHeight="1" x14ac:dyDescent="0.25">
      <c r="A239" s="190" t="s">
        <v>363</v>
      </c>
      <c r="B239" s="101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02">
        <v>1.139</v>
      </c>
      <c r="P239" s="102">
        <v>1.137</v>
      </c>
      <c r="Q239" s="102">
        <v>1.139</v>
      </c>
      <c r="R239" s="158">
        <v>1.1379999999999999</v>
      </c>
      <c r="S239" s="102">
        <v>0.57099999999999995</v>
      </c>
      <c r="T239" s="102">
        <v>0.57099999999999995</v>
      </c>
      <c r="U239" s="102">
        <v>0.77200000000000002</v>
      </c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</row>
    <row r="240" spans="1:42" ht="14.45" customHeight="1" x14ac:dyDescent="0.25">
      <c r="A240" s="191" t="s">
        <v>364</v>
      </c>
      <c r="B240" s="97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>
        <v>1.492</v>
      </c>
      <c r="P240" s="63">
        <v>1.4910000000000001</v>
      </c>
      <c r="Q240" s="63">
        <v>1.492</v>
      </c>
      <c r="R240" s="63">
        <v>1.492</v>
      </c>
      <c r="S240" s="63">
        <v>0.92499999999999993</v>
      </c>
      <c r="T240" s="63">
        <v>0.92399999999999993</v>
      </c>
      <c r="U240" s="63">
        <v>1.415</v>
      </c>
      <c r="V240" s="63">
        <v>1.4139999999999999</v>
      </c>
      <c r="W240" s="98">
        <v>1.4139999999999999</v>
      </c>
      <c r="X240" s="98">
        <v>1.4139999999999999</v>
      </c>
      <c r="Y240" s="98">
        <v>1.4139999999999999</v>
      </c>
      <c r="Z240" s="63">
        <v>1.4139999999999999</v>
      </c>
      <c r="AA240" s="98">
        <v>1.08</v>
      </c>
      <c r="AB240" s="98">
        <v>0.41199999999999998</v>
      </c>
      <c r="AC240" s="98">
        <v>0.41099999999999998</v>
      </c>
      <c r="AD240" s="63">
        <v>0.41199999999999992</v>
      </c>
      <c r="AE240" s="98">
        <v>0.41099999999999998</v>
      </c>
      <c r="AF240" s="98">
        <v>0.41099999999999998</v>
      </c>
      <c r="AG240" s="98">
        <v>0.41299999999999998</v>
      </c>
      <c r="AH240" s="63">
        <v>0.41099999999999998</v>
      </c>
      <c r="AI240" s="98">
        <v>0.41199999999999998</v>
      </c>
      <c r="AJ240" s="98">
        <v>0.41099999999999998</v>
      </c>
      <c r="AK240" s="98">
        <v>0.41199999999999998</v>
      </c>
      <c r="AL240" s="63">
        <v>0.41200000000000009</v>
      </c>
      <c r="AM240" s="98">
        <v>0.41099999999999998</v>
      </c>
      <c r="AN240" s="98">
        <v>0.374</v>
      </c>
      <c r="AO240" s="98">
        <v>0.16500000000000001</v>
      </c>
      <c r="AP240" s="63">
        <v>0.10100000000000001</v>
      </c>
    </row>
    <row r="241" spans="1:42" ht="14.45" customHeight="1" x14ac:dyDescent="0.25">
      <c r="A241" s="191" t="s">
        <v>365</v>
      </c>
      <c r="B241" s="97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98">
        <v>0.70199999999999996</v>
      </c>
      <c r="P241" s="98">
        <v>0.71499999999999997</v>
      </c>
      <c r="Q241" s="98">
        <v>0.66600000000000004</v>
      </c>
      <c r="R241" s="63">
        <v>0.63100000000000023</v>
      </c>
      <c r="S241" s="98">
        <v>0.26600000000000001</v>
      </c>
      <c r="T241" s="98">
        <v>0.24099999999999999</v>
      </c>
      <c r="U241" s="98">
        <v>0.61299999999999999</v>
      </c>
      <c r="V241" s="63">
        <v>0.60799999999999987</v>
      </c>
      <c r="W241" s="98">
        <v>0.58399999999999996</v>
      </c>
      <c r="X241" s="98">
        <v>0.57899999999999996</v>
      </c>
      <c r="Y241" s="98">
        <v>0.57499999999999996</v>
      </c>
      <c r="Z241" s="63">
        <v>0.56300000000000039</v>
      </c>
      <c r="AA241" s="98">
        <v>0.47</v>
      </c>
      <c r="AB241" s="98">
        <v>0.14399999999999999</v>
      </c>
      <c r="AC241" s="98">
        <v>0.13900000000000001</v>
      </c>
      <c r="AD241" s="63">
        <v>0.13100000000000001</v>
      </c>
      <c r="AE241" s="98">
        <v>0.121</v>
      </c>
      <c r="AF241" s="98">
        <v>0.11600000000000001</v>
      </c>
      <c r="AG241" s="98">
        <v>0.109</v>
      </c>
      <c r="AH241" s="63">
        <v>0.10100000000000001</v>
      </c>
      <c r="AI241" s="98">
        <v>9.1999999999999998E-2</v>
      </c>
      <c r="AJ241" s="102">
        <v>8.4000000000000005E-2</v>
      </c>
      <c r="AK241" s="98">
        <v>7.6999999999999999E-2</v>
      </c>
      <c r="AL241" s="63">
        <v>6.8000000000000005E-2</v>
      </c>
      <c r="AM241" s="98">
        <v>5.8000000000000003E-2</v>
      </c>
      <c r="AN241" s="102">
        <v>4.8000000000000001E-2</v>
      </c>
      <c r="AO241" s="102">
        <v>2.8000000000000001E-2</v>
      </c>
      <c r="AP241" s="63">
        <v>2.1999999999999988E-2</v>
      </c>
    </row>
    <row r="242" spans="1:42" ht="14.45" customHeight="1" x14ac:dyDescent="0.25">
      <c r="A242" s="192" t="s">
        <v>366</v>
      </c>
      <c r="B242" s="186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>
        <v>2.194</v>
      </c>
      <c r="P242" s="187">
        <v>2.206</v>
      </c>
      <c r="Q242" s="187">
        <v>2.1579999999999999</v>
      </c>
      <c r="R242" s="187">
        <v>2.1230000000000002</v>
      </c>
      <c r="S242" s="187">
        <v>1.1910000000000001</v>
      </c>
      <c r="T242" s="187">
        <v>1.165</v>
      </c>
      <c r="U242" s="187">
        <v>2.028</v>
      </c>
      <c r="V242" s="187">
        <v>2.0219999999999998</v>
      </c>
      <c r="W242" s="187">
        <v>1.998</v>
      </c>
      <c r="X242" s="187">
        <v>1.9930000000000001</v>
      </c>
      <c r="Y242" s="187">
        <v>1.9890000000000001</v>
      </c>
      <c r="Z242" s="187">
        <v>1.9770000000000001</v>
      </c>
      <c r="AA242" s="187">
        <v>1.55</v>
      </c>
      <c r="AB242" s="187">
        <v>0.55599999999999994</v>
      </c>
      <c r="AC242" s="187">
        <v>0.55000000000000004</v>
      </c>
      <c r="AD242" s="187">
        <v>0.54299999999999993</v>
      </c>
      <c r="AE242" s="187">
        <v>0.53200000000000003</v>
      </c>
      <c r="AF242" s="187">
        <v>0.52700000000000002</v>
      </c>
      <c r="AG242" s="187">
        <v>0.52200000000000002</v>
      </c>
      <c r="AH242" s="187">
        <v>0.51200000000000001</v>
      </c>
      <c r="AI242" s="187">
        <v>0.504</v>
      </c>
      <c r="AJ242" s="158">
        <v>0.495</v>
      </c>
      <c r="AK242" s="187">
        <v>0.48899999999999999</v>
      </c>
      <c r="AL242" s="187">
        <v>0.48000000000000009</v>
      </c>
      <c r="AM242" s="187">
        <v>0.46899999999999997</v>
      </c>
      <c r="AN242" s="158">
        <v>0.42199999999999999</v>
      </c>
      <c r="AO242" s="158">
        <v>0.193</v>
      </c>
      <c r="AP242" s="187">
        <v>0.123</v>
      </c>
    </row>
    <row r="243" spans="1:42" ht="14.45" customHeight="1" x14ac:dyDescent="0.25">
      <c r="A243" s="111" t="s">
        <v>367</v>
      </c>
      <c r="B243" s="108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>
        <v>9.7519999999999989</v>
      </c>
      <c r="P243" s="112">
        <v>9.67</v>
      </c>
      <c r="Q243" s="112">
        <v>10.882999999999999</v>
      </c>
      <c r="R243" s="112">
        <v>10.801</v>
      </c>
      <c r="S243" s="112">
        <v>10.734999999999999</v>
      </c>
      <c r="T243" s="112">
        <v>10.768000000000001</v>
      </c>
      <c r="U243" s="112">
        <v>12.253</v>
      </c>
      <c r="V243" s="112">
        <v>12.778</v>
      </c>
      <c r="W243" s="112">
        <v>12.129</v>
      </c>
      <c r="X243" s="112">
        <v>13.052</v>
      </c>
      <c r="Y243" s="112">
        <v>13.378</v>
      </c>
      <c r="Z243" s="112">
        <v>13.028000000000009</v>
      </c>
      <c r="AA243" s="112">
        <v>12.433</v>
      </c>
      <c r="AB243" s="112">
        <v>11.587</v>
      </c>
      <c r="AC243" s="112">
        <v>12.031000000000001</v>
      </c>
      <c r="AD243" s="112">
        <v>12.696999999999999</v>
      </c>
      <c r="AE243" s="112">
        <v>12.57</v>
      </c>
      <c r="AF243" s="112">
        <v>12.858000000000001</v>
      </c>
      <c r="AG243" s="112">
        <v>12.965999999999999</v>
      </c>
      <c r="AH243" s="112">
        <v>12.653</v>
      </c>
      <c r="AI243" s="112">
        <v>11.323</v>
      </c>
      <c r="AJ243" s="112">
        <v>11.339</v>
      </c>
      <c r="AK243" s="112">
        <v>11.199</v>
      </c>
      <c r="AL243" s="112">
        <v>10.539</v>
      </c>
      <c r="AM243" s="112">
        <v>9.15</v>
      </c>
      <c r="AN243" s="112">
        <v>8.8910000000000018</v>
      </c>
      <c r="AO243" s="112">
        <v>9.3089999999999993</v>
      </c>
      <c r="AP243" s="112">
        <v>9.3879999999999963</v>
      </c>
    </row>
    <row r="244" spans="1:42" ht="14.45" customHeight="1" x14ac:dyDescent="0.25">
      <c r="A244" s="111"/>
      <c r="B244" s="108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</row>
    <row r="245" spans="1:42" ht="14.45" customHeight="1" x14ac:dyDescent="0.25">
      <c r="A245" s="191" t="s">
        <v>368</v>
      </c>
      <c r="B245" s="97"/>
      <c r="C245" s="63"/>
      <c r="D245" s="63"/>
      <c r="E245" s="63"/>
      <c r="F245" s="63"/>
      <c r="G245" s="63"/>
      <c r="H245" s="63"/>
      <c r="I245" s="63"/>
      <c r="J245" s="63"/>
      <c r="K245" s="98">
        <v>0.4</v>
      </c>
      <c r="L245" s="98">
        <v>0.3</v>
      </c>
      <c r="M245" s="98">
        <v>0.3</v>
      </c>
      <c r="N245" s="63">
        <v>0.39999999999999991</v>
      </c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</row>
    <row r="246" spans="1:42" ht="14.45" customHeight="1" x14ac:dyDescent="0.25">
      <c r="A246" s="191" t="s">
        <v>369</v>
      </c>
      <c r="B246" s="97"/>
      <c r="C246" s="63"/>
      <c r="D246" s="63"/>
      <c r="E246" s="63"/>
      <c r="F246" s="63"/>
      <c r="G246" s="63"/>
      <c r="H246" s="63"/>
      <c r="I246" s="63"/>
      <c r="J246" s="63"/>
      <c r="K246" s="98">
        <v>1.1000000000000001</v>
      </c>
      <c r="L246" s="98">
        <v>1.2</v>
      </c>
      <c r="M246" s="98">
        <v>1.1000000000000001</v>
      </c>
      <c r="N246" s="63">
        <v>1.1000000000000001</v>
      </c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</row>
    <row r="247" spans="1:42" ht="14.45" customHeight="1" x14ac:dyDescent="0.25">
      <c r="A247" s="193" t="s">
        <v>370</v>
      </c>
      <c r="B247" s="182"/>
      <c r="C247" s="183"/>
      <c r="D247" s="183"/>
      <c r="E247" s="183"/>
      <c r="F247" s="183"/>
      <c r="G247" s="183"/>
      <c r="H247" s="183"/>
      <c r="I247" s="183"/>
      <c r="J247" s="183"/>
      <c r="K247" s="183">
        <v>1.5</v>
      </c>
      <c r="L247" s="183">
        <v>1.5</v>
      </c>
      <c r="M247" s="183">
        <v>1.4</v>
      </c>
      <c r="N247" s="183">
        <v>1.5</v>
      </c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</row>
    <row r="248" spans="1:42" ht="14.45" customHeight="1" x14ac:dyDescent="0.25">
      <c r="A248" s="194" t="s">
        <v>371</v>
      </c>
      <c r="B248" s="101"/>
      <c r="C248" s="158"/>
      <c r="D248" s="158"/>
      <c r="E248" s="158"/>
      <c r="F248" s="158"/>
      <c r="G248" s="158"/>
      <c r="H248" s="158"/>
      <c r="I248" s="158"/>
      <c r="J248" s="158"/>
      <c r="K248" s="102">
        <v>0.9</v>
      </c>
      <c r="L248" s="102">
        <v>0.9</v>
      </c>
      <c r="M248" s="102">
        <v>0.8</v>
      </c>
      <c r="N248" s="158">
        <v>0.69999999999999973</v>
      </c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</row>
    <row r="249" spans="1:42" ht="14.45" customHeight="1" x14ac:dyDescent="0.25">
      <c r="A249" s="111" t="s">
        <v>372</v>
      </c>
      <c r="B249" s="108"/>
      <c r="C249" s="112"/>
      <c r="D249" s="112"/>
      <c r="E249" s="112"/>
      <c r="F249" s="112"/>
      <c r="G249" s="112"/>
      <c r="H249" s="112"/>
      <c r="I249" s="112"/>
      <c r="J249" s="112"/>
      <c r="K249" s="112">
        <v>2.4</v>
      </c>
      <c r="L249" s="112">
        <v>2.4</v>
      </c>
      <c r="M249" s="112">
        <v>2.2000000000000002</v>
      </c>
      <c r="N249" s="112">
        <v>2.2000000000000002</v>
      </c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</row>
    <row r="250" spans="1:42" ht="14.45" customHeight="1" x14ac:dyDescent="0.25">
      <c r="A250" s="162"/>
      <c r="B250" s="97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</row>
    <row r="251" spans="1:42" ht="14.45" customHeight="1" x14ac:dyDescent="0.25">
      <c r="A251" s="111" t="s">
        <v>373</v>
      </c>
      <c r="B251" s="108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</row>
    <row r="252" spans="1:42" ht="14.45" customHeight="1" x14ac:dyDescent="0.25">
      <c r="A252" s="162"/>
      <c r="B252" s="97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</row>
    <row r="253" spans="1:42" ht="14.45" customHeight="1" x14ac:dyDescent="0.25">
      <c r="A253" s="78" t="s">
        <v>374</v>
      </c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</row>
    <row r="254" spans="1:42" ht="14.45" customHeight="1" x14ac:dyDescent="0.25">
      <c r="A254" s="195" t="s">
        <v>375</v>
      </c>
      <c r="B254" s="80"/>
      <c r="C254" s="123">
        <v>0.57105375917730417</v>
      </c>
      <c r="D254" s="123">
        <v>0.58632363300586399</v>
      </c>
      <c r="E254" s="123">
        <v>0.57805042943224483</v>
      </c>
      <c r="F254" s="123">
        <v>0.57440467702837605</v>
      </c>
      <c r="G254" s="123">
        <v>0.57606428078022232</v>
      </c>
      <c r="H254" s="123">
        <v>0.60895619653277089</v>
      </c>
      <c r="I254" s="123">
        <v>0.60984098420164368</v>
      </c>
      <c r="J254" s="123">
        <v>0.61641665534489687</v>
      </c>
      <c r="K254" s="123">
        <v>0.61976206777696685</v>
      </c>
      <c r="L254" s="123">
        <v>0.63000500818440608</v>
      </c>
      <c r="M254" s="123">
        <v>0.61852789749118176</v>
      </c>
      <c r="N254" s="123">
        <v>0.62395046151978217</v>
      </c>
      <c r="O254" s="123">
        <v>0.60551703127720069</v>
      </c>
      <c r="P254" s="123">
        <v>0.62247744490479784</v>
      </c>
      <c r="Q254" s="123">
        <v>0.62407466706109771</v>
      </c>
      <c r="R254" s="123">
        <v>0.61262870573705919</v>
      </c>
      <c r="S254" s="123">
        <v>0.61735211901577214</v>
      </c>
      <c r="T254" s="123">
        <v>0.61527686672669424</v>
      </c>
      <c r="U254" s="123">
        <v>0.60817668861649821</v>
      </c>
      <c r="V254" s="123">
        <v>0.60395092586871812</v>
      </c>
      <c r="W254" s="123">
        <v>0.61237446421132458</v>
      </c>
      <c r="X254" s="123">
        <v>0.62368134222230909</v>
      </c>
      <c r="Y254" s="123">
        <v>0.6122151839674167</v>
      </c>
      <c r="Z254" s="123">
        <v>0.6163153132017295</v>
      </c>
      <c r="AA254" s="123">
        <v>0.60776027195344784</v>
      </c>
      <c r="AB254" s="123">
        <v>0.62811157116752292</v>
      </c>
      <c r="AC254" s="123">
        <v>0.5925073790870502</v>
      </c>
      <c r="AD254" s="123">
        <v>0.59192456741024746</v>
      </c>
      <c r="AE254" s="123">
        <v>0.57521178487212732</v>
      </c>
      <c r="AF254" s="123">
        <v>0.58865893887391074</v>
      </c>
      <c r="AG254" s="123">
        <v>0.58791785698435195</v>
      </c>
      <c r="AH254" s="123">
        <v>0.57868391299336097</v>
      </c>
      <c r="AI254" s="123">
        <v>0.5681711658392109</v>
      </c>
      <c r="AJ254" s="123">
        <v>0.57439183760286372</v>
      </c>
      <c r="AK254" s="123">
        <v>0.57703669805828095</v>
      </c>
      <c r="AL254" s="123">
        <v>0.57143536053638844</v>
      </c>
      <c r="AM254" s="123">
        <v>0.5693120849227552</v>
      </c>
      <c r="AN254" s="123">
        <v>0.5703299184756393</v>
      </c>
      <c r="AO254" s="123">
        <v>0.57443480093649524</v>
      </c>
      <c r="AP254" s="123">
        <v>0.57486916053736892</v>
      </c>
    </row>
    <row r="255" spans="1:42" ht="14.45" customHeight="1" x14ac:dyDescent="0.25">
      <c r="A255" s="196" t="s">
        <v>376</v>
      </c>
      <c r="B255" s="197"/>
      <c r="C255" s="198">
        <v>0.42894624082269578</v>
      </c>
      <c r="D255" s="198">
        <v>0.41367636699413601</v>
      </c>
      <c r="E255" s="198">
        <v>0.42194957056775523</v>
      </c>
      <c r="F255" s="198">
        <v>0.42559532297162389</v>
      </c>
      <c r="G255" s="198">
        <v>0.42393571921977768</v>
      </c>
      <c r="H255" s="198">
        <v>0.39104380346722911</v>
      </c>
      <c r="I255" s="198">
        <v>0.39015901579835632</v>
      </c>
      <c r="J255" s="198">
        <v>0.38358334465510308</v>
      </c>
      <c r="K255" s="198">
        <v>0.38023793222303309</v>
      </c>
      <c r="L255" s="198">
        <v>0.36999499181559392</v>
      </c>
      <c r="M255" s="198">
        <v>0.38147210250881819</v>
      </c>
      <c r="N255" s="198">
        <v>0.37604953848021783</v>
      </c>
      <c r="O255" s="198">
        <v>0.39448296872279931</v>
      </c>
      <c r="P255" s="198">
        <v>0.37752255509520222</v>
      </c>
      <c r="Q255" s="198">
        <v>0.37592533293890229</v>
      </c>
      <c r="R255" s="198">
        <v>0.38737129426294081</v>
      </c>
      <c r="S255" s="198">
        <v>0.38264788098422792</v>
      </c>
      <c r="T255" s="198">
        <v>0.38472313327330582</v>
      </c>
      <c r="U255" s="198">
        <v>0.39182331138350179</v>
      </c>
      <c r="V255" s="198">
        <v>0.39604907413128188</v>
      </c>
      <c r="W255" s="198">
        <v>0.38762553578867542</v>
      </c>
      <c r="X255" s="198">
        <v>0.37631865777769091</v>
      </c>
      <c r="Y255" s="198">
        <v>0.3877848160325833</v>
      </c>
      <c r="Z255" s="198">
        <v>0.3836846867982705</v>
      </c>
      <c r="AA255" s="198">
        <v>0.39223972804655222</v>
      </c>
      <c r="AB255" s="198">
        <v>0.37188842883247708</v>
      </c>
      <c r="AC255" s="198">
        <v>0.4074926209129498</v>
      </c>
      <c r="AD255" s="198">
        <v>0.40807543258975248</v>
      </c>
      <c r="AE255" s="198">
        <v>0.42478821512787268</v>
      </c>
      <c r="AF255" s="198">
        <v>0.41134106112608931</v>
      </c>
      <c r="AG255" s="198">
        <v>0.41208214301564811</v>
      </c>
      <c r="AH255" s="198">
        <v>0.42131608700663897</v>
      </c>
      <c r="AI255" s="198">
        <v>0.4318288341607891</v>
      </c>
      <c r="AJ255" s="198">
        <v>0.42560816239713628</v>
      </c>
      <c r="AK255" s="198">
        <v>0.42296330194171899</v>
      </c>
      <c r="AL255" s="198">
        <v>0.42856463946361162</v>
      </c>
      <c r="AM255" s="198">
        <v>0.4306879150772448</v>
      </c>
      <c r="AN255" s="198">
        <v>0.4296700815243607</v>
      </c>
      <c r="AO255" s="198">
        <v>0.42556519906350482</v>
      </c>
      <c r="AP255" s="198">
        <v>0.42513083946263108</v>
      </c>
    </row>
    <row r="256" spans="1:42" ht="14.45" customHeight="1" x14ac:dyDescent="0.25">
      <c r="A256" s="122"/>
      <c r="B256" s="80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</row>
    <row r="257" spans="1:42" ht="14.45" customHeight="1" x14ac:dyDescent="0.25">
      <c r="A257" s="199" t="s">
        <v>377</v>
      </c>
      <c r="B257" s="200"/>
      <c r="C257" s="201">
        <v>0.61004770919137397</v>
      </c>
      <c r="D257" s="201">
        <v>0.61957033927347505</v>
      </c>
      <c r="E257" s="201">
        <v>0.61462990619861768</v>
      </c>
      <c r="F257" s="201">
        <v>0.6138991872237276</v>
      </c>
      <c r="G257" s="201">
        <v>0.61647194993196275</v>
      </c>
      <c r="H257" s="201">
        <v>0.64493184331359776</v>
      </c>
      <c r="I257" s="201">
        <v>0.64704101241606637</v>
      </c>
      <c r="J257" s="201">
        <v>0.65952640369968829</v>
      </c>
      <c r="K257" s="201">
        <v>0.66411021481896804</v>
      </c>
      <c r="L257" s="201">
        <v>0.66827294686980276</v>
      </c>
      <c r="M257" s="201">
        <v>0.6572220196622518</v>
      </c>
      <c r="N257" s="201">
        <v>0.66509175405672005</v>
      </c>
      <c r="O257" s="201">
        <v>0.64701807578483139</v>
      </c>
      <c r="P257" s="201">
        <v>0.65785269055532125</v>
      </c>
      <c r="Q257" s="201">
        <v>0.65994166930888276</v>
      </c>
      <c r="R257" s="201">
        <v>0.649525976102444</v>
      </c>
      <c r="S257" s="201">
        <v>0.65448615156932399</v>
      </c>
      <c r="T257" s="201">
        <v>0.65018273081733846</v>
      </c>
      <c r="U257" s="201">
        <v>0.64437810316119737</v>
      </c>
      <c r="V257" s="201">
        <v>0.63877550860799437</v>
      </c>
      <c r="W257" s="201">
        <v>0.64665076461365334</v>
      </c>
      <c r="X257" s="201">
        <v>0.65463342744259589</v>
      </c>
      <c r="Y257" s="201">
        <v>0.6447779381816785</v>
      </c>
      <c r="Z257" s="201">
        <v>0.64856429151581763</v>
      </c>
      <c r="AA257" s="201">
        <v>0.63857079177816489</v>
      </c>
      <c r="AB257" s="201">
        <v>0.65480577853142063</v>
      </c>
      <c r="AC257" s="201">
        <v>0.61862262363309595</v>
      </c>
      <c r="AD257" s="201">
        <v>0.61939604334957832</v>
      </c>
      <c r="AE257" s="201">
        <v>0.6028955703652612</v>
      </c>
      <c r="AF257" s="201">
        <v>0.61377694912446978</v>
      </c>
      <c r="AG257" s="201">
        <v>0.61367718817959049</v>
      </c>
      <c r="AH257" s="201">
        <v>0.60668589465319722</v>
      </c>
      <c r="AI257" s="201">
        <v>0.59754427233533502</v>
      </c>
      <c r="AJ257" s="201">
        <v>0.60092831454004936</v>
      </c>
      <c r="AK257" s="201">
        <v>0.60465822257160529</v>
      </c>
      <c r="AL257" s="201">
        <v>0.60041454455924559</v>
      </c>
      <c r="AM257" s="201">
        <v>0.60309295641645411</v>
      </c>
      <c r="AN257" s="201">
        <v>0.59984457178827055</v>
      </c>
      <c r="AO257" s="201">
        <v>0.6036068096617252</v>
      </c>
      <c r="AP257" s="201">
        <v>0.60391273798183231</v>
      </c>
    </row>
    <row r="258" spans="1:42" ht="14.45" customHeight="1" x14ac:dyDescent="0.25">
      <c r="A258" s="202" t="s">
        <v>378</v>
      </c>
      <c r="B258" s="89"/>
      <c r="C258" s="90">
        <v>0.38995229080862598</v>
      </c>
      <c r="D258" s="90">
        <v>0.38042966072652501</v>
      </c>
      <c r="E258" s="90">
        <v>0.38537009380138232</v>
      </c>
      <c r="F258" s="90">
        <v>0.3861008127762724</v>
      </c>
      <c r="G258" s="90">
        <v>0.38352805006803731</v>
      </c>
      <c r="H258" s="90">
        <v>0.35506815668640218</v>
      </c>
      <c r="I258" s="90">
        <v>0.35295898758393363</v>
      </c>
      <c r="J258" s="90">
        <v>0.34047359630031171</v>
      </c>
      <c r="K258" s="90">
        <v>0.33588978518103202</v>
      </c>
      <c r="L258" s="90">
        <v>0.33172705313019718</v>
      </c>
      <c r="M258" s="90">
        <v>0.3427779803377482</v>
      </c>
      <c r="N258" s="90">
        <v>0.33490824594327989</v>
      </c>
      <c r="O258" s="90">
        <v>0.35298192421516861</v>
      </c>
      <c r="P258" s="90">
        <v>0.34214730944467869</v>
      </c>
      <c r="Q258" s="90">
        <v>0.34005833069111718</v>
      </c>
      <c r="R258" s="90">
        <v>0.350474023897556</v>
      </c>
      <c r="S258" s="90">
        <v>0.34551384843067601</v>
      </c>
      <c r="T258" s="90">
        <v>0.34981726918266148</v>
      </c>
      <c r="U258" s="90">
        <v>0.35562189683880258</v>
      </c>
      <c r="V258" s="90">
        <v>0.36122449139200558</v>
      </c>
      <c r="W258" s="90">
        <v>0.35334923538634672</v>
      </c>
      <c r="X258" s="90">
        <v>0.34536657255740411</v>
      </c>
      <c r="Y258" s="90">
        <v>0.3552220618183215</v>
      </c>
      <c r="Z258" s="90">
        <v>0.35143570848418237</v>
      </c>
      <c r="AA258" s="90">
        <v>0.36142920822183511</v>
      </c>
      <c r="AB258" s="90">
        <v>0.34519422146857942</v>
      </c>
      <c r="AC258" s="90">
        <v>0.38137737636690411</v>
      </c>
      <c r="AD258" s="90">
        <v>0.38060395665042168</v>
      </c>
      <c r="AE258" s="90">
        <v>0.3971044296347388</v>
      </c>
      <c r="AF258" s="90">
        <v>0.38622305087553022</v>
      </c>
      <c r="AG258" s="90">
        <v>0.38632281182040951</v>
      </c>
      <c r="AH258" s="90">
        <v>0.39331410534680278</v>
      </c>
      <c r="AI258" s="90">
        <v>0.40245572766466498</v>
      </c>
      <c r="AJ258" s="90">
        <v>0.39907168545995059</v>
      </c>
      <c r="AK258" s="90">
        <v>0.39534177742839471</v>
      </c>
      <c r="AL258" s="90">
        <v>0.39958545544075441</v>
      </c>
      <c r="AM258" s="90">
        <v>0.39690704358354589</v>
      </c>
      <c r="AN258" s="90">
        <v>0.40015542821172939</v>
      </c>
      <c r="AO258" s="90">
        <v>0.3963931903382748</v>
      </c>
      <c r="AP258" s="90">
        <v>0.39608726201816769</v>
      </c>
    </row>
    <row r="259" spans="1:42" ht="14.45" customHeight="1" x14ac:dyDescent="0.25">
      <c r="A259" s="203" t="s">
        <v>379</v>
      </c>
      <c r="B259" s="204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</row>
    <row r="260" spans="1:42" ht="14.45" customHeight="1" x14ac:dyDescent="0.25">
      <c r="A260" s="202"/>
      <c r="B260" s="89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</row>
    <row r="261" spans="1:42" ht="14.45" customHeight="1" x14ac:dyDescent="0.25">
      <c r="A261" s="206" t="s">
        <v>380</v>
      </c>
      <c r="B261" s="89"/>
      <c r="C261" s="147">
        <v>0.37012515668568208</v>
      </c>
      <c r="D261" s="147">
        <v>0.31529753065265398</v>
      </c>
      <c r="E261" s="147">
        <v>0.33849178118978412</v>
      </c>
      <c r="F261" s="147">
        <v>0.36124102856599649</v>
      </c>
      <c r="G261" s="147">
        <v>0.3678090151114356</v>
      </c>
      <c r="H261" s="147">
        <v>0.31460517527287912</v>
      </c>
      <c r="I261" s="147">
        <v>0.32188011278887518</v>
      </c>
      <c r="J261" s="147">
        <v>0.34124791657231879</v>
      </c>
      <c r="K261" s="147">
        <v>0.35373141477351172</v>
      </c>
      <c r="L261" s="147">
        <v>0.31559676492598793</v>
      </c>
      <c r="M261" s="147">
        <v>0.30589859248043871</v>
      </c>
      <c r="N261" s="147">
        <v>0.32363222359183919</v>
      </c>
      <c r="O261" s="147">
        <v>0.33470848082167931</v>
      </c>
      <c r="P261" s="147">
        <v>0.28937494258667351</v>
      </c>
      <c r="Q261" s="147">
        <v>0.29769423042275189</v>
      </c>
      <c r="R261" s="147">
        <v>0.31693567745508933</v>
      </c>
      <c r="S261" s="147">
        <v>0.31753395719258221</v>
      </c>
      <c r="T261" s="147">
        <v>0.28208830563511689</v>
      </c>
      <c r="U261" s="147">
        <v>0.27745460238888842</v>
      </c>
      <c r="V261" s="147">
        <v>0.28802545210251218</v>
      </c>
      <c r="W261" s="147">
        <v>0.27918025415460168</v>
      </c>
      <c r="X261" s="147">
        <v>0.26103039175597281</v>
      </c>
      <c r="Y261" s="147">
        <v>0.26119983642461542</v>
      </c>
      <c r="Z261" s="147">
        <v>0.28932875716927231</v>
      </c>
      <c r="AA261" s="147">
        <v>0.26815883129515411</v>
      </c>
      <c r="AB261" s="147">
        <v>0.25285995931582889</v>
      </c>
      <c r="AC261" s="147">
        <v>0.26475495045097319</v>
      </c>
      <c r="AD261" s="147">
        <v>0.27071105897462788</v>
      </c>
      <c r="AE261" s="147">
        <v>0.26599696368511411</v>
      </c>
      <c r="AF261" s="147">
        <v>0.25183974069950399</v>
      </c>
      <c r="AG261" s="147">
        <v>0.26003429049279742</v>
      </c>
      <c r="AH261" s="147">
        <v>0.2838893262601811</v>
      </c>
      <c r="AI261" s="147">
        <v>0.26711865727249989</v>
      </c>
      <c r="AJ261" s="147">
        <v>0.25477980091795788</v>
      </c>
      <c r="AK261" s="147">
        <v>0.26674622179228968</v>
      </c>
      <c r="AL261" s="147">
        <v>0.27433516843735578</v>
      </c>
      <c r="AM261" s="147">
        <v>0.27676605418939643</v>
      </c>
      <c r="AN261" s="147">
        <v>0.25352044360634413</v>
      </c>
      <c r="AO261" s="147">
        <v>0.26578270491660028</v>
      </c>
      <c r="AP261" s="147">
        <v>0.26894060733877312</v>
      </c>
    </row>
    <row r="262" spans="1:42" ht="14.45" customHeight="1" x14ac:dyDescent="0.25">
      <c r="A262" s="91" t="s">
        <v>381</v>
      </c>
      <c r="B262" s="83"/>
      <c r="C262" s="84">
        <v>1.9827134122943919E-2</v>
      </c>
      <c r="D262" s="84">
        <v>6.5132130073870975E-2</v>
      </c>
      <c r="E262" s="84">
        <v>4.6878312611598263E-2</v>
      </c>
      <c r="F262" s="84">
        <v>2.485978421027582E-2</v>
      </c>
      <c r="G262" s="84">
        <v>1.5719034956601631E-2</v>
      </c>
      <c r="H262" s="84">
        <v>4.0462981413523127E-2</v>
      </c>
      <c r="I262" s="84">
        <v>3.107887479505839E-2</v>
      </c>
      <c r="J262" s="84">
        <v>-7.7432027200710217E-4</v>
      </c>
      <c r="K262" s="84">
        <v>-1.7841629592479692E-2</v>
      </c>
      <c r="L262" s="84">
        <v>1.6130288204209309E-2</v>
      </c>
      <c r="M262" s="84">
        <v>3.6879387857309473E-2</v>
      </c>
      <c r="N262" s="84">
        <v>1.1276022351440739E-2</v>
      </c>
      <c r="O262" s="84">
        <v>1.8273443393489231E-2</v>
      </c>
      <c r="P262" s="84">
        <v>5.2772366858005251E-2</v>
      </c>
      <c r="Q262" s="84">
        <v>4.2364100268365283E-2</v>
      </c>
      <c r="R262" s="84">
        <v>3.3538346442466747E-2</v>
      </c>
      <c r="S262" s="84">
        <v>2.7979891238093749E-2</v>
      </c>
      <c r="T262" s="84">
        <v>6.7728963547544596E-2</v>
      </c>
      <c r="U262" s="84">
        <v>7.8167294449914257E-2</v>
      </c>
      <c r="V262" s="84">
        <v>7.3199039289493437E-2</v>
      </c>
      <c r="W262" s="84">
        <v>7.4168981231744965E-2</v>
      </c>
      <c r="X262" s="84">
        <v>8.4336180801431349E-2</v>
      </c>
      <c r="Y262" s="84">
        <v>9.4022225393706194E-2</v>
      </c>
      <c r="Z262" s="84">
        <v>6.2106951314910161E-2</v>
      </c>
      <c r="AA262" s="84">
        <v>9.3270376926681026E-2</v>
      </c>
      <c r="AB262" s="84">
        <v>9.2334262152750507E-2</v>
      </c>
      <c r="AC262" s="84">
        <v>0.1166224259159309</v>
      </c>
      <c r="AD262" s="84">
        <v>0.1098928976757938</v>
      </c>
      <c r="AE262" s="84">
        <v>0.13110746594962469</v>
      </c>
      <c r="AF262" s="84">
        <v>0.1343833101760262</v>
      </c>
      <c r="AG262" s="84">
        <v>0.12628852132761209</v>
      </c>
      <c r="AH262" s="84">
        <v>0.1094247790866216</v>
      </c>
      <c r="AI262" s="84">
        <v>0.135337070392165</v>
      </c>
      <c r="AJ262" s="84">
        <v>0.14429188454199271</v>
      </c>
      <c r="AK262" s="84">
        <v>0.128595555636105</v>
      </c>
      <c r="AL262" s="84">
        <v>0.1252502870033986</v>
      </c>
      <c r="AM262" s="84">
        <v>0.1201409893941494</v>
      </c>
      <c r="AN262" s="84">
        <v>0.1466349846053854</v>
      </c>
      <c r="AO262" s="84">
        <v>0.1306104854216745</v>
      </c>
      <c r="AP262" s="84">
        <v>0.12714665467939459</v>
      </c>
    </row>
    <row r="263" spans="1:42" ht="14.45" customHeight="1" x14ac:dyDescent="0.25">
      <c r="A263" s="93" t="s">
        <v>382</v>
      </c>
      <c r="B263" s="89"/>
      <c r="C263" s="147">
        <v>2.9362577063774289E-2</v>
      </c>
      <c r="D263" s="147">
        <v>5.2790153072880958E-2</v>
      </c>
      <c r="E263" s="147">
        <v>5.3080699340893413E-2</v>
      </c>
      <c r="F263" s="147">
        <v>1.2090641190170301E-2</v>
      </c>
      <c r="G263" s="147">
        <v>1.9040039182074139E-2</v>
      </c>
      <c r="H263" s="147">
        <v>4.0634880453197603E-2</v>
      </c>
      <c r="I263" s="147">
        <v>3.295238128007464E-2</v>
      </c>
      <c r="J263" s="147">
        <v>1.6387707132892261E-2</v>
      </c>
      <c r="K263" s="147">
        <v>-3.3622695131376459E-3</v>
      </c>
      <c r="L263" s="147">
        <v>2.792042314650045E-2</v>
      </c>
      <c r="M263" s="147">
        <v>4.5920668287330907E-2</v>
      </c>
      <c r="N263" s="147">
        <v>3.4089379370051999E-2</v>
      </c>
      <c r="O263" s="147">
        <v>1.880476411536006E-2</v>
      </c>
      <c r="P263" s="147">
        <v>6.0876576854558488E-2</v>
      </c>
      <c r="Q263" s="147">
        <v>4.6219244407484067E-2</v>
      </c>
      <c r="R263" s="147">
        <v>3.2563749576953481E-2</v>
      </c>
      <c r="S263" s="147">
        <v>3.1340444885470907E-2</v>
      </c>
      <c r="T263" s="147">
        <v>6.656372355292263E-2</v>
      </c>
      <c r="U263" s="147">
        <v>7.9185748567540057E-2</v>
      </c>
      <c r="V263" s="147">
        <v>6.5676966957783967E-2</v>
      </c>
      <c r="W263" s="147">
        <v>7.3802010777591479E-2</v>
      </c>
      <c r="X263" s="147">
        <v>8.4229418192627692E-2</v>
      </c>
      <c r="Y263" s="147">
        <v>9.4142299606431043E-2</v>
      </c>
      <c r="Z263" s="147">
        <v>6.4739695608551001E-2</v>
      </c>
      <c r="AA263" s="147">
        <v>8.3532831372057484E-2</v>
      </c>
      <c r="AB263" s="147">
        <v>0.1003469751726256</v>
      </c>
      <c r="AC263" s="147">
        <v>0.11906994336815491</v>
      </c>
      <c r="AD263" s="147">
        <v>0.11015930238842329</v>
      </c>
      <c r="AE263" s="147">
        <v>0.1330703811682305</v>
      </c>
      <c r="AF263" s="147">
        <v>0.1351430155414669</v>
      </c>
      <c r="AG263" s="147">
        <v>0.12589259227249269</v>
      </c>
      <c r="AH263" s="147">
        <v>0.1077895418392649</v>
      </c>
      <c r="AI263" s="147">
        <v>0.13609038806855381</v>
      </c>
      <c r="AJ263" s="147">
        <v>0.1435518833281457</v>
      </c>
      <c r="AK263" s="147">
        <v>0.12814529703474981</v>
      </c>
      <c r="AL263" s="147">
        <v>0.12650995279116209</v>
      </c>
      <c r="AM263" s="147">
        <v>0.1205422610582306</v>
      </c>
      <c r="AN263" s="147">
        <v>0.14555226866445459</v>
      </c>
      <c r="AO263" s="147">
        <v>0.130454791224143</v>
      </c>
      <c r="AP263" s="147">
        <v>0.12711567122246001</v>
      </c>
    </row>
    <row r="264" spans="1:42" ht="14.45" customHeight="1" x14ac:dyDescent="0.25">
      <c r="A264" s="207" t="s">
        <v>383</v>
      </c>
      <c r="B264" s="208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</row>
    <row r="265" spans="1:42" ht="14.45" customHeight="1" x14ac:dyDescent="0.25">
      <c r="A265" s="92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</row>
    <row r="266" spans="1:42" ht="14.45" customHeight="1" x14ac:dyDescent="0.25">
      <c r="A266" s="143" t="s">
        <v>384</v>
      </c>
      <c r="B266" s="80"/>
      <c r="C266" s="81">
        <v>3.7353546852216618E-2</v>
      </c>
      <c r="D266" s="81">
        <v>3.1579611225344598E-2</v>
      </c>
      <c r="E266" s="81">
        <v>3.5330990261805258E-2</v>
      </c>
      <c r="F266" s="81">
        <v>3.7684775892390332E-2</v>
      </c>
      <c r="G266" s="81">
        <v>3.8104336134143157E-2</v>
      </c>
      <c r="H266" s="81">
        <v>3.1936446958028407E-2</v>
      </c>
      <c r="I266" s="81">
        <v>3.3003132833158137E-2</v>
      </c>
      <c r="J266" s="81">
        <v>3.7051047419124843E-2</v>
      </c>
      <c r="K266" s="81">
        <v>3.9043650335240813E-2</v>
      </c>
      <c r="L266" s="81">
        <v>3.3676966368115492E-2</v>
      </c>
      <c r="M266" s="81">
        <v>3.3955879946812102E-2</v>
      </c>
      <c r="N266" s="81">
        <v>3.6038223744931049E-2</v>
      </c>
      <c r="O266" s="81">
        <v>3.624858556258341E-2</v>
      </c>
      <c r="P266" s="81">
        <v>3.0885032807054319E-2</v>
      </c>
      <c r="Q266" s="81">
        <v>3.1336027738155463E-2</v>
      </c>
      <c r="R266" s="81">
        <v>3.2012411054252558E-2</v>
      </c>
      <c r="S266" s="81">
        <v>3.2223634529987097E-2</v>
      </c>
      <c r="T266" s="81">
        <v>3.0213939692718881E-2</v>
      </c>
      <c r="U266" s="81">
        <v>3.1859623450489427E-2</v>
      </c>
      <c r="V266" s="81">
        <v>3.029241293658794E-2</v>
      </c>
      <c r="W266" s="81">
        <v>2.97009820790845E-2</v>
      </c>
      <c r="X266" s="81">
        <v>2.6898595059891731E-2</v>
      </c>
      <c r="Y266" s="81">
        <v>2.8574918075079999E-2</v>
      </c>
      <c r="Z266" s="81">
        <v>2.8103047836507439E-2</v>
      </c>
      <c r="AA266" s="81">
        <v>2.660361531746179E-2</v>
      </c>
      <c r="AB266" s="81">
        <v>2.299125823164903E-2</v>
      </c>
      <c r="AC266" s="81">
        <v>2.2488178417022341E-2</v>
      </c>
      <c r="AD266" s="81">
        <v>2.3716377531718999E-2</v>
      </c>
      <c r="AE266" s="81">
        <v>2.392465968712976E-2</v>
      </c>
      <c r="AF266" s="81">
        <v>2.1746781747747919E-2</v>
      </c>
      <c r="AG266" s="81">
        <v>2.2336121577082362E-2</v>
      </c>
      <c r="AH266" s="81">
        <v>2.440777065720964E-2</v>
      </c>
      <c r="AI266" s="81">
        <v>2.5689452170296289E-2</v>
      </c>
      <c r="AJ266" s="81">
        <v>2.327245352441586E-2</v>
      </c>
      <c r="AK266" s="81">
        <v>2.4302070849748419E-2</v>
      </c>
      <c r="AL266" s="81">
        <v>2.5622747273825561E-2</v>
      </c>
      <c r="AM266" s="81">
        <v>3.0070690902462501E-2</v>
      </c>
      <c r="AN266" s="81">
        <v>2.6354890464608548E-2</v>
      </c>
      <c r="AO266" s="81">
        <v>2.606765707240892E-2</v>
      </c>
      <c r="AP266" s="81">
        <v>2.596518719784564E-2</v>
      </c>
    </row>
    <row r="267" spans="1:42" ht="14.45" customHeight="1" x14ac:dyDescent="0.25">
      <c r="A267" s="143" t="s">
        <v>385</v>
      </c>
      <c r="B267" s="80"/>
      <c r="C267" s="81">
        <v>1.640403161853112E-3</v>
      </c>
      <c r="D267" s="81">
        <v>1.667095042266393E-3</v>
      </c>
      <c r="E267" s="81">
        <v>1.2484865045675759E-3</v>
      </c>
      <c r="F267" s="81">
        <v>1.809734302961168E-3</v>
      </c>
      <c r="G267" s="81">
        <v>2.303333017597279E-3</v>
      </c>
      <c r="H267" s="81">
        <v>4.0391998227986021E-3</v>
      </c>
      <c r="I267" s="81">
        <v>4.196895381264591E-3</v>
      </c>
      <c r="J267" s="81">
        <v>6.0587009356665982E-3</v>
      </c>
      <c r="K267" s="81">
        <v>5.304496706760321E-3</v>
      </c>
      <c r="L267" s="81">
        <v>4.5909723172811879E-3</v>
      </c>
      <c r="M267" s="81">
        <v>4.7382422242579726E-3</v>
      </c>
      <c r="N267" s="81">
        <v>5.1030687920068374E-3</v>
      </c>
      <c r="O267" s="81">
        <v>5.2524589450472928E-3</v>
      </c>
      <c r="P267" s="81">
        <v>4.4902128434690918E-3</v>
      </c>
      <c r="Q267" s="81">
        <v>4.5309745096295999E-3</v>
      </c>
      <c r="R267" s="81">
        <v>4.8848593111322034E-3</v>
      </c>
      <c r="S267" s="81">
        <v>4.9103980235647958E-3</v>
      </c>
      <c r="T267" s="81">
        <v>4.6919243979253846E-3</v>
      </c>
      <c r="U267" s="81">
        <v>4.3417910942096412E-3</v>
      </c>
      <c r="V267" s="81">
        <v>4.532169802688329E-3</v>
      </c>
      <c r="W267" s="81">
        <v>4.5753183232442709E-3</v>
      </c>
      <c r="X267" s="81">
        <v>4.0534901603951198E-3</v>
      </c>
      <c r="Y267" s="81">
        <v>3.9878361391817944E-3</v>
      </c>
      <c r="Z267" s="81">
        <v>4.1459304775806711E-3</v>
      </c>
      <c r="AA267" s="81">
        <v>4.2069045072552734E-3</v>
      </c>
      <c r="AB267" s="81">
        <v>3.702949132248631E-3</v>
      </c>
      <c r="AC267" s="81">
        <v>3.6270661290233458E-3</v>
      </c>
      <c r="AD267" s="81">
        <v>3.7550984076119261E-3</v>
      </c>
      <c r="AE267" s="81">
        <v>3.7591258060041669E-3</v>
      </c>
      <c r="AF267" s="81">
        <v>3.3712285028110818E-3</v>
      </c>
      <c r="AG267" s="81">
        <v>3.4232096181562089E-3</v>
      </c>
      <c r="AH267" s="81">
        <v>3.5942110026266792E-3</v>
      </c>
      <c r="AI267" s="81">
        <v>3.683654325827802E-3</v>
      </c>
      <c r="AJ267" s="81">
        <v>3.264023412769781E-3</v>
      </c>
      <c r="AK267" s="81">
        <v>3.319453663575834E-3</v>
      </c>
      <c r="AL267" s="81">
        <v>3.356436749031631E-3</v>
      </c>
      <c r="AM267" s="81">
        <v>3.7101805912364552E-3</v>
      </c>
      <c r="AN267" s="81">
        <v>3.159762848022574E-3</v>
      </c>
      <c r="AO267" s="81">
        <v>3.1043516528210038E-3</v>
      </c>
      <c r="AP267" s="81">
        <v>3.078390246617815E-3</v>
      </c>
    </row>
    <row r="268" spans="1:42" ht="14.45" customHeight="1" x14ac:dyDescent="0.25">
      <c r="A268" s="143" t="s">
        <v>386</v>
      </c>
      <c r="B268" s="80"/>
      <c r="C268" s="81">
        <v>2.60130208999514E-3</v>
      </c>
      <c r="D268" s="81">
        <v>1.5100239890335849E-3</v>
      </c>
      <c r="E268" s="81">
        <v>1.824439241108656E-3</v>
      </c>
      <c r="F268" s="81">
        <v>3.219021816626266E-3</v>
      </c>
      <c r="G268" s="81">
        <v>2.3795717232950831E-3</v>
      </c>
      <c r="H268" s="81">
        <v>2.1525864818937291E-3</v>
      </c>
      <c r="I268" s="81">
        <v>1.6309312651932081E-3</v>
      </c>
      <c r="J268" s="81">
        <v>1.286685864836714E-3</v>
      </c>
      <c r="K268" s="81">
        <v>7.0626443404457541E-4</v>
      </c>
      <c r="L268" s="81">
        <v>7.9999803279172269E-4</v>
      </c>
      <c r="M268" s="81">
        <v>2.2972792273965909E-3</v>
      </c>
      <c r="N268" s="81">
        <v>9.7838146495027637E-4</v>
      </c>
      <c r="O268" s="81">
        <v>1.8541823826379619E-3</v>
      </c>
      <c r="P268" s="81">
        <v>0</v>
      </c>
      <c r="Q268" s="81">
        <v>0</v>
      </c>
      <c r="R268" s="81">
        <v>0</v>
      </c>
      <c r="S268" s="81">
        <v>0</v>
      </c>
      <c r="T268" s="81">
        <v>0</v>
      </c>
      <c r="U268" s="81">
        <v>0</v>
      </c>
      <c r="V268" s="81">
        <v>0</v>
      </c>
      <c r="W268" s="81">
        <v>0</v>
      </c>
      <c r="X268" s="81">
        <v>0</v>
      </c>
      <c r="Y268" s="81">
        <v>0</v>
      </c>
      <c r="Z268" s="81">
        <v>0</v>
      </c>
      <c r="AA268" s="81">
        <v>0</v>
      </c>
      <c r="AB268" s="81">
        <v>0</v>
      </c>
      <c r="AC268" s="81">
        <v>0</v>
      </c>
      <c r="AD268" s="81">
        <v>0</v>
      </c>
      <c r="AE268" s="81">
        <v>0</v>
      </c>
      <c r="AF268" s="81">
        <v>0</v>
      </c>
      <c r="AG268" s="81">
        <v>0</v>
      </c>
      <c r="AH268" s="81">
        <v>0</v>
      </c>
      <c r="AI268" s="81">
        <v>0</v>
      </c>
      <c r="AJ268" s="81">
        <v>0</v>
      </c>
      <c r="AK268" s="81">
        <v>0</v>
      </c>
      <c r="AL268" s="81">
        <v>0</v>
      </c>
      <c r="AM268" s="81">
        <v>0</v>
      </c>
      <c r="AN268" s="81">
        <v>0</v>
      </c>
      <c r="AO268" s="81">
        <v>0</v>
      </c>
      <c r="AP268" s="81">
        <v>0</v>
      </c>
    </row>
    <row r="269" spans="1:42" ht="14.45" customHeight="1" x14ac:dyDescent="0.25">
      <c r="A269" s="91" t="s">
        <v>387</v>
      </c>
      <c r="B269" s="83"/>
      <c r="C269" s="84">
        <v>6.1422386227008789E-2</v>
      </c>
      <c r="D269" s="84">
        <v>9.9888860330515569E-2</v>
      </c>
      <c r="E269" s="84">
        <v>8.5282228619079747E-2</v>
      </c>
      <c r="F269" s="84">
        <v>6.7573316222253585E-2</v>
      </c>
      <c r="G269" s="84">
        <v>5.8506275831637158E-2</v>
      </c>
      <c r="H269" s="84">
        <v>7.8591214676243873E-2</v>
      </c>
      <c r="I269" s="84">
        <v>6.9909834274674329E-2</v>
      </c>
      <c r="J269" s="84">
        <v>4.3622113947621041E-2</v>
      </c>
      <c r="K269" s="84">
        <v>2.721278188356601E-2</v>
      </c>
      <c r="L269" s="84">
        <v>5.5198224922397711E-2</v>
      </c>
      <c r="M269" s="84">
        <v>7.7870789255776118E-2</v>
      </c>
      <c r="N269" s="84">
        <v>5.33956963533289E-2</v>
      </c>
      <c r="O269" s="84">
        <v>6.162867028375791E-2</v>
      </c>
      <c r="P269" s="84">
        <v>8.8147612508528664E-2</v>
      </c>
      <c r="Q269" s="84">
        <v>7.8231102516150341E-2</v>
      </c>
      <c r="R269" s="84">
        <v>7.0435616807851514E-2</v>
      </c>
      <c r="S269" s="84">
        <v>6.5113923791645642E-2</v>
      </c>
      <c r="T269" s="84">
        <v>0.1026348276381889</v>
      </c>
      <c r="U269" s="84">
        <v>0.11436870899461329</v>
      </c>
      <c r="V269" s="84">
        <v>0.10802362202876969</v>
      </c>
      <c r="W269" s="84">
        <v>0.1084452816340737</v>
      </c>
      <c r="X269" s="84">
        <v>0.1152882660217182</v>
      </c>
      <c r="Y269" s="84">
        <v>0.126584979607968</v>
      </c>
      <c r="Z269" s="84">
        <v>9.4355929628998261E-2</v>
      </c>
      <c r="AA269" s="84">
        <v>0.12408089675139811</v>
      </c>
      <c r="AB269" s="84">
        <v>0.11902846951664819</v>
      </c>
      <c r="AC269" s="84">
        <v>0.14273767046197661</v>
      </c>
      <c r="AD269" s="84">
        <v>0.1373643736151248</v>
      </c>
      <c r="AE269" s="84">
        <v>0.15879125144275871</v>
      </c>
      <c r="AF269" s="84">
        <v>0.15950132042658521</v>
      </c>
      <c r="AG269" s="84">
        <v>0.15204785252285069</v>
      </c>
      <c r="AH269" s="84">
        <v>0.13742676074645799</v>
      </c>
      <c r="AI269" s="84">
        <v>0.16471017688828901</v>
      </c>
      <c r="AJ269" s="84">
        <v>0.1708283614791784</v>
      </c>
      <c r="AK269" s="84">
        <v>0.15621708014942931</v>
      </c>
      <c r="AL269" s="84">
        <v>0.15422947102625581</v>
      </c>
      <c r="AM269" s="84">
        <v>0.1539218608878484</v>
      </c>
      <c r="AN269" s="84">
        <v>0.17614963791801649</v>
      </c>
      <c r="AO269" s="84">
        <v>0.1597824941469044</v>
      </c>
      <c r="AP269" s="84">
        <v>0.15619023212385799</v>
      </c>
    </row>
    <row r="270" spans="1:42" ht="14.45" customHeight="1" x14ac:dyDescent="0.25">
      <c r="A270" s="93" t="s">
        <v>388</v>
      </c>
      <c r="B270" s="89"/>
      <c r="C270" s="147">
        <v>6.1422386227008789E-2</v>
      </c>
      <c r="D270" s="147">
        <v>9.9888860330515569E-2</v>
      </c>
      <c r="E270" s="147">
        <v>8.5282228619079747E-2</v>
      </c>
      <c r="F270" s="147">
        <v>6.7573316222253585E-2</v>
      </c>
      <c r="G270" s="147">
        <v>5.8506275831637158E-2</v>
      </c>
      <c r="H270" s="147">
        <v>7.8591214676243873E-2</v>
      </c>
      <c r="I270" s="147">
        <v>6.9909834274674329E-2</v>
      </c>
      <c r="J270" s="147">
        <v>4.3622113947621041E-2</v>
      </c>
      <c r="K270" s="147">
        <v>2.721278188356601E-2</v>
      </c>
      <c r="L270" s="147">
        <v>5.5198224922397711E-2</v>
      </c>
      <c r="M270" s="147">
        <v>7.7870789255776118E-2</v>
      </c>
      <c r="N270" s="147">
        <v>5.33956963533289E-2</v>
      </c>
      <c r="O270" s="147">
        <v>6.162867028375791E-2</v>
      </c>
      <c r="P270" s="147">
        <v>8.8147612508528664E-2</v>
      </c>
      <c r="Q270" s="147">
        <v>7.8231102516150341E-2</v>
      </c>
      <c r="R270" s="147">
        <v>7.0435616807851514E-2</v>
      </c>
      <c r="S270" s="147">
        <v>6.5113923791645642E-2</v>
      </c>
      <c r="T270" s="147">
        <v>0.1026348276381889</v>
      </c>
      <c r="U270" s="147">
        <v>0.11436870899461329</v>
      </c>
      <c r="V270" s="147">
        <v>0.10802362202876969</v>
      </c>
      <c r="W270" s="147">
        <v>0.1084452816340737</v>
      </c>
      <c r="X270" s="147">
        <v>0.1152882660217182</v>
      </c>
      <c r="Y270" s="147">
        <v>0.126584979607968</v>
      </c>
      <c r="Z270" s="147">
        <v>9.4355929628998261E-2</v>
      </c>
      <c r="AA270" s="147">
        <v>0.12408089675139811</v>
      </c>
      <c r="AB270" s="147">
        <v>0.11902846951664819</v>
      </c>
      <c r="AC270" s="147">
        <v>0.14273767046197661</v>
      </c>
      <c r="AD270" s="147">
        <v>0.1373643736151248</v>
      </c>
      <c r="AE270" s="147">
        <v>0.15879125144275871</v>
      </c>
      <c r="AF270" s="147">
        <v>0.15950132042658521</v>
      </c>
      <c r="AG270" s="147">
        <v>0.15204785252285069</v>
      </c>
      <c r="AH270" s="147">
        <v>0.13742676074645799</v>
      </c>
      <c r="AI270" s="147">
        <v>0.16471017688828901</v>
      </c>
      <c r="AJ270" s="147">
        <v>0.1708283614791784</v>
      </c>
      <c r="AK270" s="147">
        <v>0.15621708014942931</v>
      </c>
      <c r="AL270" s="147">
        <v>0.15422947102625581</v>
      </c>
      <c r="AM270" s="147">
        <v>0.1539218608878484</v>
      </c>
      <c r="AN270" s="147">
        <v>0.17614963791801649</v>
      </c>
      <c r="AO270" s="147">
        <v>0.1597824941469044</v>
      </c>
      <c r="AP270" s="147">
        <v>0.15619023212385799</v>
      </c>
    </row>
    <row r="271" spans="1:42" ht="14.45" customHeight="1" x14ac:dyDescent="0.25">
      <c r="A271" s="207" t="s">
        <v>389</v>
      </c>
      <c r="B271" s="203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  <c r="AG271" s="210"/>
      <c r="AH271" s="210"/>
      <c r="AI271" s="210"/>
      <c r="AJ271" s="210"/>
      <c r="AK271" s="210"/>
      <c r="AL271" s="210"/>
      <c r="AM271" s="210"/>
      <c r="AN271" s="210"/>
      <c r="AO271" s="210"/>
      <c r="AP271" s="210"/>
    </row>
    <row r="272" spans="1:42" ht="14.45" customHeight="1" x14ac:dyDescent="0.25">
      <c r="A272" s="210"/>
      <c r="B272" s="203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0"/>
      <c r="AF272" s="210"/>
      <c r="AG272" s="210"/>
      <c r="AH272" s="210"/>
      <c r="AI272" s="210"/>
      <c r="AJ272" s="210"/>
      <c r="AK272" s="210"/>
      <c r="AL272" s="210"/>
      <c r="AM272" s="210"/>
      <c r="AN272" s="210"/>
      <c r="AO272" s="210"/>
      <c r="AP272" s="210"/>
    </row>
    <row r="273" spans="1:42" ht="14.45" customHeight="1" x14ac:dyDescent="0.25">
      <c r="A273" s="95" t="s">
        <v>390</v>
      </c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</row>
    <row r="274" spans="1:42" ht="14.45" customHeight="1" x14ac:dyDescent="0.25">
      <c r="A274" s="135" t="s">
        <v>391</v>
      </c>
      <c r="B274" s="211"/>
      <c r="C274" s="163">
        <v>625.45600000000002</v>
      </c>
      <c r="D274" s="163">
        <v>840.38400000000001</v>
      </c>
      <c r="E274" s="163">
        <v>849.02800000000002</v>
      </c>
      <c r="F274" s="109">
        <v>841.55999999999972</v>
      </c>
      <c r="G274" s="163">
        <v>865.702</v>
      </c>
      <c r="H274" s="163">
        <v>1169.2909999999999</v>
      </c>
      <c r="I274" s="163">
        <v>1162.5260000000001</v>
      </c>
      <c r="J274" s="109">
        <v>1126.148999999999</v>
      </c>
      <c r="K274" s="163">
        <v>1064.7570000000001</v>
      </c>
      <c r="L274" s="163">
        <v>1220.0029999999999</v>
      </c>
      <c r="M274" s="163">
        <v>1204.0329999999999</v>
      </c>
      <c r="N274" s="109">
        <v>1136.570999999999</v>
      </c>
      <c r="O274" s="163">
        <v>1102.912</v>
      </c>
      <c r="P274" s="163">
        <v>1273.6590000000001</v>
      </c>
      <c r="Q274" s="163">
        <v>1271.029</v>
      </c>
      <c r="R274" s="109">
        <v>1178.9490000000001</v>
      </c>
      <c r="S274" s="163">
        <v>1173.021</v>
      </c>
      <c r="T274" s="163">
        <v>1227.2149999999999</v>
      </c>
      <c r="U274" s="163">
        <v>1328.4839999999999</v>
      </c>
      <c r="V274" s="109">
        <v>1278.6369999999999</v>
      </c>
      <c r="W274" s="163">
        <v>1269.857</v>
      </c>
      <c r="X274" s="163">
        <v>1433.086</v>
      </c>
      <c r="Y274" s="163">
        <v>1457.432</v>
      </c>
      <c r="Z274" s="109">
        <v>1402.3389999999999</v>
      </c>
      <c r="AA274" s="163">
        <v>1404.3579999999999</v>
      </c>
      <c r="AB274" s="163">
        <v>1595.2149999999999</v>
      </c>
      <c r="AC274" s="163">
        <v>1628.5889999999999</v>
      </c>
      <c r="AD274" s="109">
        <v>1572.7950000000001</v>
      </c>
      <c r="AE274" s="163">
        <v>1571.6420000000001</v>
      </c>
      <c r="AF274" s="163">
        <v>1738.8320000000001</v>
      </c>
      <c r="AG274" s="163">
        <v>1712.4280000000001</v>
      </c>
      <c r="AH274" s="109">
        <v>1630.9559999999999</v>
      </c>
      <c r="AI274" s="163">
        <v>1591.626</v>
      </c>
      <c r="AJ274" s="163">
        <v>1795.943</v>
      </c>
      <c r="AK274" s="163">
        <v>1765.652</v>
      </c>
      <c r="AL274" s="109">
        <v>1746.495000000001</v>
      </c>
      <c r="AM274" s="163">
        <v>1579.9770000000001</v>
      </c>
      <c r="AN274" s="163">
        <v>1855.519</v>
      </c>
      <c r="AO274" s="163">
        <v>1888.317</v>
      </c>
      <c r="AP274" s="109">
        <v>1904.242</v>
      </c>
    </row>
    <row r="275" spans="1:42" ht="14.45" customHeight="1" x14ac:dyDescent="0.25">
      <c r="A275" s="130" t="s">
        <v>392</v>
      </c>
      <c r="B275" s="190"/>
      <c r="C275" s="102">
        <v>381.55799999999999</v>
      </c>
      <c r="D275" s="102">
        <v>520.67700000000002</v>
      </c>
      <c r="E275" s="102">
        <v>521.83799999999997</v>
      </c>
      <c r="F275" s="103">
        <v>516.63300000000004</v>
      </c>
      <c r="G275" s="102">
        <v>533.68100000000004</v>
      </c>
      <c r="H275" s="102">
        <v>754.11300000000006</v>
      </c>
      <c r="I275" s="102">
        <v>752.202</v>
      </c>
      <c r="J275" s="103">
        <v>742.72499999999991</v>
      </c>
      <c r="K275" s="102">
        <v>707.11599999999999</v>
      </c>
      <c r="L275" s="102">
        <v>815.29499999999996</v>
      </c>
      <c r="M275" s="102">
        <v>791.31700000000001</v>
      </c>
      <c r="N275" s="103">
        <v>755.92399999999998</v>
      </c>
      <c r="O275" s="102">
        <v>713.60400000000004</v>
      </c>
      <c r="P275" s="102">
        <v>837.88</v>
      </c>
      <c r="Q275" s="102">
        <v>838.80499999999995</v>
      </c>
      <c r="R275" s="103">
        <v>765.75800000000027</v>
      </c>
      <c r="S275" s="102">
        <v>767.726</v>
      </c>
      <c r="T275" s="102">
        <v>797.91399999999999</v>
      </c>
      <c r="U275" s="102">
        <v>856.04600000000005</v>
      </c>
      <c r="V275" s="103">
        <v>816.76200000000017</v>
      </c>
      <c r="W275" s="102">
        <v>821.154</v>
      </c>
      <c r="X275" s="102">
        <v>938.14599999999996</v>
      </c>
      <c r="Y275" s="102">
        <v>939.72</v>
      </c>
      <c r="Z275" s="103">
        <v>909.50700000000006</v>
      </c>
      <c r="AA275" s="102">
        <v>896.78200000000004</v>
      </c>
      <c r="AB275" s="102">
        <v>1044.556</v>
      </c>
      <c r="AC275" s="102">
        <v>1007.482</v>
      </c>
      <c r="AD275" s="103">
        <v>974.18299999999999</v>
      </c>
      <c r="AE275" s="102">
        <v>947.53599999999994</v>
      </c>
      <c r="AF275" s="102">
        <v>1067.2550000000001</v>
      </c>
      <c r="AG275" s="102">
        <v>1050.8779999999999</v>
      </c>
      <c r="AH275" s="103">
        <v>989.47800000000007</v>
      </c>
      <c r="AI275" s="102">
        <v>951.06700000000001</v>
      </c>
      <c r="AJ275" s="102">
        <v>1079.2329999999999</v>
      </c>
      <c r="AK275" s="102">
        <v>1067.616</v>
      </c>
      <c r="AL275" s="103">
        <v>1048.6210000000001</v>
      </c>
      <c r="AM275" s="102">
        <v>952.87300000000005</v>
      </c>
      <c r="AN275" s="102">
        <v>1113.0229999999999</v>
      </c>
      <c r="AO275" s="102">
        <v>1139.8009999999999</v>
      </c>
      <c r="AP275" s="103">
        <v>1149.996000000001</v>
      </c>
    </row>
    <row r="276" spans="1:42" ht="14.45" customHeight="1" x14ac:dyDescent="0.25">
      <c r="A276" s="135" t="s">
        <v>393</v>
      </c>
      <c r="B276" s="211"/>
      <c r="C276" s="109">
        <v>243.898</v>
      </c>
      <c r="D276" s="109">
        <v>319.70699999999999</v>
      </c>
      <c r="E276" s="109">
        <v>327.19000000000011</v>
      </c>
      <c r="F276" s="112">
        <v>324.92699999999968</v>
      </c>
      <c r="G276" s="109">
        <v>332.02100000000002</v>
      </c>
      <c r="H276" s="109">
        <v>415.17799999999988</v>
      </c>
      <c r="I276" s="109">
        <v>410.32400000000013</v>
      </c>
      <c r="J276" s="112">
        <v>383.42399999999952</v>
      </c>
      <c r="K276" s="109">
        <v>357.64100000000008</v>
      </c>
      <c r="L276" s="109">
        <v>404.70800000000003</v>
      </c>
      <c r="M276" s="109">
        <v>412.71599999999989</v>
      </c>
      <c r="N276" s="112">
        <v>380.64699999999948</v>
      </c>
      <c r="O276" s="109">
        <v>389.30799999999999</v>
      </c>
      <c r="P276" s="109">
        <v>435.77900000000011</v>
      </c>
      <c r="Q276" s="109">
        <v>432.22399999999999</v>
      </c>
      <c r="R276" s="112">
        <v>413.1909999999998</v>
      </c>
      <c r="S276" s="109">
        <v>405.29500000000002</v>
      </c>
      <c r="T276" s="109">
        <v>429.30099999999987</v>
      </c>
      <c r="U276" s="109">
        <v>472.43799999999987</v>
      </c>
      <c r="V276" s="112">
        <v>461.875</v>
      </c>
      <c r="W276" s="109">
        <v>448.70299999999997</v>
      </c>
      <c r="X276" s="109">
        <v>494.94000000000011</v>
      </c>
      <c r="Y276" s="109">
        <v>517.71199999999999</v>
      </c>
      <c r="Z276" s="112">
        <v>492.83199999999988</v>
      </c>
      <c r="AA276" s="109">
        <v>507.57599999999991</v>
      </c>
      <c r="AB276" s="109">
        <v>550.65899999999988</v>
      </c>
      <c r="AC276" s="109">
        <v>621.10699999999997</v>
      </c>
      <c r="AD276" s="112">
        <v>598.61200000000008</v>
      </c>
      <c r="AE276" s="109">
        <v>624.10600000000011</v>
      </c>
      <c r="AF276" s="109">
        <v>671.577</v>
      </c>
      <c r="AG276" s="109">
        <v>661.55000000000018</v>
      </c>
      <c r="AH276" s="112">
        <v>641.47800000000007</v>
      </c>
      <c r="AI276" s="109">
        <v>640.55899999999997</v>
      </c>
      <c r="AJ276" s="109">
        <v>716.71</v>
      </c>
      <c r="AK276" s="109">
        <v>698.03600000000006</v>
      </c>
      <c r="AL276" s="112">
        <v>697.87400000000071</v>
      </c>
      <c r="AM276" s="109">
        <v>627.10400000000004</v>
      </c>
      <c r="AN276" s="109">
        <v>742.49600000000009</v>
      </c>
      <c r="AO276" s="109">
        <v>748.51600000000008</v>
      </c>
      <c r="AP276" s="112">
        <v>754.24599999999964</v>
      </c>
    </row>
    <row r="277" spans="1:42" ht="14.45" customHeight="1" x14ac:dyDescent="0.25">
      <c r="A277" s="125" t="s">
        <v>394</v>
      </c>
      <c r="B277" s="180"/>
      <c r="C277" s="98">
        <v>231.49700000000001</v>
      </c>
      <c r="D277" s="98">
        <v>264.971</v>
      </c>
      <c r="E277" s="98">
        <v>287.38900000000001</v>
      </c>
      <c r="F277" s="99">
        <v>304.00599999999997</v>
      </c>
      <c r="G277" s="98">
        <v>318.41300000000001</v>
      </c>
      <c r="H277" s="98">
        <v>367.86500000000001</v>
      </c>
      <c r="I277" s="98">
        <v>374.19400000000002</v>
      </c>
      <c r="J277" s="99">
        <v>384.29599999999999</v>
      </c>
      <c r="K277" s="98">
        <v>376.63799999999998</v>
      </c>
      <c r="L277" s="98">
        <v>385.029</v>
      </c>
      <c r="M277" s="98">
        <v>368.31200000000001</v>
      </c>
      <c r="N277" s="99">
        <v>367.83100000000007</v>
      </c>
      <c r="O277" s="102">
        <v>369.154</v>
      </c>
      <c r="P277" s="98">
        <v>368.565</v>
      </c>
      <c r="Q277" s="98">
        <v>378.37799999999999</v>
      </c>
      <c r="R277" s="99">
        <v>373.65100000000012</v>
      </c>
      <c r="S277" s="102">
        <v>372.47399999999999</v>
      </c>
      <c r="T277" s="98">
        <v>346.18299999999999</v>
      </c>
      <c r="U277" s="98">
        <v>368.59399999999999</v>
      </c>
      <c r="V277" s="99">
        <v>368.28</v>
      </c>
      <c r="W277" s="102">
        <v>354.51900000000001</v>
      </c>
      <c r="X277" s="98">
        <v>374.07900000000001</v>
      </c>
      <c r="Y277" s="98">
        <v>380.68099999999998</v>
      </c>
      <c r="Z277" s="99">
        <v>405.73700000000008</v>
      </c>
      <c r="AA277" s="102">
        <v>376.59100000000001</v>
      </c>
      <c r="AB277" s="98">
        <v>403.36599999999999</v>
      </c>
      <c r="AC277" s="98">
        <v>431.17700000000002</v>
      </c>
      <c r="AD277" s="99">
        <v>425.77299999999991</v>
      </c>
      <c r="AE277" s="102">
        <v>418.05200000000002</v>
      </c>
      <c r="AF277" s="98">
        <v>437.90699999999998</v>
      </c>
      <c r="AG277" s="98">
        <v>445.29</v>
      </c>
      <c r="AH277" s="99">
        <v>463.01100000000002</v>
      </c>
      <c r="AI277" s="102">
        <v>425.15300000000002</v>
      </c>
      <c r="AJ277" s="98">
        <v>457.57</v>
      </c>
      <c r="AK277" s="98">
        <v>470.98099999999999</v>
      </c>
      <c r="AL277" s="99">
        <v>479.125</v>
      </c>
      <c r="AM277" s="102">
        <v>437.28399999999999</v>
      </c>
      <c r="AN277" s="98">
        <v>470.41199999999998</v>
      </c>
      <c r="AO277" s="98">
        <v>501.88200000000001</v>
      </c>
      <c r="AP277" s="99">
        <v>512.12799999999993</v>
      </c>
    </row>
    <row r="278" spans="1:42" ht="14.45" customHeight="1" x14ac:dyDescent="0.25">
      <c r="A278" s="110" t="s">
        <v>395</v>
      </c>
      <c r="B278" s="212"/>
      <c r="C278" s="106">
        <v>231.49700000000001</v>
      </c>
      <c r="D278" s="106">
        <v>264.971</v>
      </c>
      <c r="E278" s="106">
        <v>287.38900000000001</v>
      </c>
      <c r="F278" s="159">
        <v>304.00599999999997</v>
      </c>
      <c r="G278" s="106">
        <v>318.41300000000001</v>
      </c>
      <c r="H278" s="106">
        <v>367.86500000000001</v>
      </c>
      <c r="I278" s="106">
        <v>374.19400000000002</v>
      </c>
      <c r="J278" s="159">
        <v>384.29599999999999</v>
      </c>
      <c r="K278" s="106">
        <v>376.63799999999998</v>
      </c>
      <c r="L278" s="106">
        <v>385.029</v>
      </c>
      <c r="M278" s="106">
        <v>368.31200000000001</v>
      </c>
      <c r="N278" s="159">
        <v>367.83100000000007</v>
      </c>
      <c r="O278" s="106">
        <v>369.154</v>
      </c>
      <c r="P278" s="106">
        <v>368.565</v>
      </c>
      <c r="Q278" s="106">
        <v>378.37799999999999</v>
      </c>
      <c r="R278" s="159">
        <v>373.65100000000012</v>
      </c>
      <c r="S278" s="106">
        <v>372.47399999999999</v>
      </c>
      <c r="T278" s="106">
        <v>346.18299999999999</v>
      </c>
      <c r="U278" s="106">
        <v>368.59399999999999</v>
      </c>
      <c r="V278" s="159">
        <v>368.28</v>
      </c>
      <c r="W278" s="106">
        <v>354.51900000000001</v>
      </c>
      <c r="X278" s="106">
        <v>374.07900000000001</v>
      </c>
      <c r="Y278" s="106">
        <v>380.68099999999998</v>
      </c>
      <c r="Z278" s="159">
        <v>405.73700000000008</v>
      </c>
      <c r="AA278" s="106">
        <v>376.59100000000001</v>
      </c>
      <c r="AB278" s="106">
        <v>403.36599999999999</v>
      </c>
      <c r="AC278" s="106">
        <v>431.17700000000002</v>
      </c>
      <c r="AD278" s="159">
        <v>425.77299999999991</v>
      </c>
      <c r="AE278" s="106">
        <v>418.05200000000002</v>
      </c>
      <c r="AF278" s="106">
        <v>437.90699999999998</v>
      </c>
      <c r="AG278" s="106">
        <v>445.29</v>
      </c>
      <c r="AH278" s="159">
        <v>463.01100000000002</v>
      </c>
      <c r="AI278" s="106">
        <v>425.15300000000002</v>
      </c>
      <c r="AJ278" s="106">
        <v>457.57</v>
      </c>
      <c r="AK278" s="106">
        <v>470.98099999999999</v>
      </c>
      <c r="AL278" s="159">
        <v>479.125</v>
      </c>
      <c r="AM278" s="106">
        <v>437.28399999999999</v>
      </c>
      <c r="AN278" s="106">
        <v>470.41199999999998</v>
      </c>
      <c r="AO278" s="106">
        <v>501.88200000000001</v>
      </c>
      <c r="AP278" s="159">
        <v>512.12799999999993</v>
      </c>
    </row>
    <row r="279" spans="1:42" ht="14.45" customHeight="1" x14ac:dyDescent="0.25">
      <c r="A279" s="135" t="s">
        <v>396</v>
      </c>
      <c r="B279" s="211"/>
      <c r="C279" s="109">
        <v>12.40100000000001</v>
      </c>
      <c r="D279" s="109">
        <v>54.73599999999999</v>
      </c>
      <c r="E279" s="109">
        <v>39.801000000000037</v>
      </c>
      <c r="F279" s="112">
        <v>20.920999999999712</v>
      </c>
      <c r="G279" s="109">
        <v>13.607999999999951</v>
      </c>
      <c r="H279" s="109">
        <v>47.312999999999867</v>
      </c>
      <c r="I279" s="109">
        <v>36.130000000000052</v>
      </c>
      <c r="J279" s="112">
        <v>-0.87200000000052569</v>
      </c>
      <c r="K279" s="109">
        <v>-18.9969999999999</v>
      </c>
      <c r="L279" s="109">
        <v>19.67899999999997</v>
      </c>
      <c r="M279" s="109">
        <v>44.403999999999883</v>
      </c>
      <c r="N279" s="112">
        <v>12.815999999999351</v>
      </c>
      <c r="O279" s="109">
        <v>20.154</v>
      </c>
      <c r="P279" s="109">
        <v>67.214000000000112</v>
      </c>
      <c r="Q279" s="109">
        <v>53.84600000000006</v>
      </c>
      <c r="R279" s="112">
        <v>39.539999999999743</v>
      </c>
      <c r="S279" s="109">
        <v>32.82099999999997</v>
      </c>
      <c r="T279" s="109">
        <v>83.117999999999938</v>
      </c>
      <c r="U279" s="109">
        <v>103.84399999999989</v>
      </c>
      <c r="V279" s="112">
        <v>93.595000000000027</v>
      </c>
      <c r="W279" s="109">
        <v>94.183999999999969</v>
      </c>
      <c r="X279" s="109">
        <v>120.861</v>
      </c>
      <c r="Y279" s="109">
        <v>137.03100000000001</v>
      </c>
      <c r="Z279" s="112">
        <v>87.0949999999998</v>
      </c>
      <c r="AA279" s="109">
        <v>130.9849999999999</v>
      </c>
      <c r="AB279" s="109">
        <v>147.29299999999989</v>
      </c>
      <c r="AC279" s="109">
        <v>189.92999999999989</v>
      </c>
      <c r="AD279" s="112">
        <v>172.8390000000002</v>
      </c>
      <c r="AE279" s="109">
        <v>206.05400000000009</v>
      </c>
      <c r="AF279" s="109">
        <v>233.67</v>
      </c>
      <c r="AG279" s="109">
        <v>216.26000000000019</v>
      </c>
      <c r="AH279" s="112">
        <v>178.4670000000001</v>
      </c>
      <c r="AI279" s="109">
        <v>215.40599999999989</v>
      </c>
      <c r="AJ279" s="109">
        <v>259.14</v>
      </c>
      <c r="AK279" s="109">
        <v>227.05500000000009</v>
      </c>
      <c r="AL279" s="112">
        <v>218.74900000000071</v>
      </c>
      <c r="AM279" s="109">
        <v>189.82000000000011</v>
      </c>
      <c r="AN279" s="109">
        <v>272.08400000000012</v>
      </c>
      <c r="AO279" s="109">
        <v>246.6340000000001</v>
      </c>
      <c r="AP279" s="112">
        <v>242.11799999999971</v>
      </c>
    </row>
    <row r="280" spans="1:42" ht="15" customHeight="1" x14ac:dyDescent="0.25">
      <c r="A280" s="125" t="s">
        <v>397</v>
      </c>
      <c r="B280" s="180"/>
      <c r="C280" s="98">
        <v>-9.3610000000000007</v>
      </c>
      <c r="D280" s="98">
        <v>-9.8079999999999998</v>
      </c>
      <c r="E280" s="98">
        <v>-8.452</v>
      </c>
      <c r="F280" s="99">
        <v>-8.7040000000000024</v>
      </c>
      <c r="G280" s="98">
        <v>-9.4700000000000006</v>
      </c>
      <c r="H280" s="98">
        <v>-10.44</v>
      </c>
      <c r="I280" s="98">
        <v>-10.696999999999999</v>
      </c>
      <c r="J280" s="99">
        <v>-11.262</v>
      </c>
      <c r="K280" s="98">
        <v>-12.045999999999999</v>
      </c>
      <c r="L280" s="98">
        <v>-12.744</v>
      </c>
      <c r="M280" s="98">
        <v>-12.827</v>
      </c>
      <c r="N280" s="99">
        <v>-12.888999999999999</v>
      </c>
      <c r="O280" s="98">
        <v>-12.885999999999999</v>
      </c>
      <c r="P280" s="98">
        <v>-11.994999999999999</v>
      </c>
      <c r="Q280" s="98">
        <v>-10.965</v>
      </c>
      <c r="R280" s="99">
        <v>-10.144</v>
      </c>
      <c r="S280" s="98">
        <v>-9.5609999999999999</v>
      </c>
      <c r="T280" s="98">
        <v>-9.1839999999999993</v>
      </c>
      <c r="U280" s="98">
        <v>-9.0329999999999995</v>
      </c>
      <c r="V280" s="99">
        <v>-8.9570000000000007</v>
      </c>
      <c r="W280" s="98">
        <v>-8.7460000000000004</v>
      </c>
      <c r="X280" s="98">
        <v>-8.3650000000000002</v>
      </c>
      <c r="Y280" s="98">
        <v>-8.0969999999999995</v>
      </c>
      <c r="Z280" s="99">
        <v>-8.2409999999999997</v>
      </c>
      <c r="AA280" s="98">
        <v>-7.6989999999999998</v>
      </c>
      <c r="AB280" s="98">
        <v>-7.1459999999999999</v>
      </c>
      <c r="AC280" s="98">
        <v>-6.0830000000000002</v>
      </c>
      <c r="AD280" s="99">
        <v>-3.8640000000000039</v>
      </c>
      <c r="AE280" s="98">
        <v>-2.9289999999999998</v>
      </c>
      <c r="AF280" s="98">
        <v>-1.353</v>
      </c>
      <c r="AG280" s="98">
        <v>1.516</v>
      </c>
      <c r="AH280" s="99">
        <v>3.6840000000000002</v>
      </c>
      <c r="AI280" s="98">
        <v>2.7160000000000002</v>
      </c>
      <c r="AJ280" s="98">
        <v>1.62</v>
      </c>
      <c r="AK280" s="98">
        <v>-2.1869999999999998</v>
      </c>
      <c r="AL280" s="99">
        <v>-3.9970000000000012</v>
      </c>
      <c r="AM280" s="98">
        <v>-6.8739999999999997</v>
      </c>
      <c r="AN280" s="98">
        <v>-5.9480000000000004</v>
      </c>
      <c r="AO280" s="98">
        <v>-4.6870000000000003</v>
      </c>
      <c r="AP280" s="99">
        <v>-25.169</v>
      </c>
    </row>
    <row r="281" spans="1:42" ht="15" customHeight="1" x14ac:dyDescent="0.25">
      <c r="A281" s="125" t="s">
        <v>398</v>
      </c>
      <c r="B281" s="180"/>
      <c r="C281" s="98">
        <v>-17.151</v>
      </c>
      <c r="D281" s="98">
        <v>-16.274000000000001</v>
      </c>
      <c r="E281" s="98">
        <v>7.3250000000000002</v>
      </c>
      <c r="F281" s="99">
        <v>27.97</v>
      </c>
      <c r="G281" s="98">
        <v>-12.246</v>
      </c>
      <c r="H281" s="98">
        <v>-25.548999999999999</v>
      </c>
      <c r="I281" s="98">
        <v>5.226</v>
      </c>
      <c r="J281" s="99">
        <v>28.372</v>
      </c>
      <c r="K281" s="98">
        <v>4.51</v>
      </c>
      <c r="L281" s="98">
        <v>-9.8179999999999996</v>
      </c>
      <c r="M281" s="98">
        <v>1.696</v>
      </c>
      <c r="N281" s="99">
        <v>-27.241</v>
      </c>
      <c r="O281" s="98">
        <v>-15.851000000000001</v>
      </c>
      <c r="P281" s="98">
        <v>-31.181000000000001</v>
      </c>
      <c r="Q281" s="98">
        <v>-20.710999999999999</v>
      </c>
      <c r="R281" s="99">
        <v>-32.796000000000006</v>
      </c>
      <c r="S281" s="98">
        <v>-2.298</v>
      </c>
      <c r="T281" s="98">
        <v>-16.134</v>
      </c>
      <c r="U281" s="98">
        <v>-21.393999999999998</v>
      </c>
      <c r="V281" s="99">
        <v>4.222999999999999</v>
      </c>
      <c r="W281" s="98">
        <v>-12.055</v>
      </c>
      <c r="X281" s="98">
        <v>-47.040999999999997</v>
      </c>
      <c r="Y281" s="98">
        <v>-34.981999999999999</v>
      </c>
      <c r="Z281" s="99">
        <v>-56.494999999999997</v>
      </c>
      <c r="AA281" s="98">
        <v>3.2789999999999999</v>
      </c>
      <c r="AB281" s="98">
        <v>-6.1989999999999998</v>
      </c>
      <c r="AC281" s="98">
        <v>-24.745999999999999</v>
      </c>
      <c r="AD281" s="99">
        <v>-13.502000000000001</v>
      </c>
      <c r="AE281" s="98">
        <v>-43.923000000000002</v>
      </c>
      <c r="AF281" s="98">
        <v>-27.788</v>
      </c>
      <c r="AG281" s="98">
        <v>-19.472999999999999</v>
      </c>
      <c r="AH281" s="99">
        <v>-73.908000000000015</v>
      </c>
      <c r="AI281" s="98">
        <v>4.7130000000000001</v>
      </c>
      <c r="AJ281" s="98">
        <v>-28.535</v>
      </c>
      <c r="AK281" s="98">
        <v>-69.304999999999993</v>
      </c>
      <c r="AL281" s="99">
        <v>31.279</v>
      </c>
      <c r="AM281" s="98">
        <v>-43.472999999999999</v>
      </c>
      <c r="AN281" s="98">
        <v>-13.144</v>
      </c>
      <c r="AO281" s="98">
        <v>-49.716999999999999</v>
      </c>
      <c r="AP281" s="99">
        <v>-28.725999999999999</v>
      </c>
    </row>
    <row r="282" spans="1:42" ht="15" customHeight="1" x14ac:dyDescent="0.25">
      <c r="A282" s="125" t="s">
        <v>399</v>
      </c>
      <c r="B282" s="180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98">
        <v>-39.777000000000001</v>
      </c>
      <c r="AG282" s="98">
        <v>-77.319000000000003</v>
      </c>
      <c r="AH282" s="63">
        <v>4.2999999999999972</v>
      </c>
      <c r="AI282" s="63"/>
      <c r="AJ282" s="63"/>
      <c r="AK282" s="63"/>
      <c r="AL282" s="63">
        <v>0</v>
      </c>
      <c r="AM282" s="63"/>
      <c r="AN282" s="63"/>
      <c r="AO282" s="63"/>
      <c r="AP282" s="63">
        <v>0</v>
      </c>
    </row>
    <row r="283" spans="1:42" ht="14.45" customHeight="1" x14ac:dyDescent="0.25">
      <c r="A283" s="125" t="s">
        <v>400</v>
      </c>
      <c r="B283" s="180"/>
      <c r="C283" s="63"/>
      <c r="D283" s="98">
        <v>-0.69199999999999995</v>
      </c>
      <c r="E283" s="63"/>
      <c r="F283" s="99">
        <v>0</v>
      </c>
      <c r="G283" s="63"/>
      <c r="H283" s="63"/>
      <c r="I283" s="63"/>
      <c r="J283" s="99">
        <v>12.893000000000001</v>
      </c>
      <c r="K283" s="63"/>
      <c r="L283" s="63"/>
      <c r="M283" s="98">
        <v>10.17</v>
      </c>
      <c r="N283" s="99">
        <v>0</v>
      </c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</row>
    <row r="284" spans="1:42" ht="14.45" customHeight="1" x14ac:dyDescent="0.25">
      <c r="A284" s="125" t="s">
        <v>401</v>
      </c>
      <c r="B284" s="180"/>
      <c r="C284" s="63"/>
      <c r="D284" s="63"/>
      <c r="E284" s="63"/>
      <c r="F284" s="99">
        <v>0</v>
      </c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</row>
    <row r="285" spans="1:42" ht="14.45" customHeight="1" x14ac:dyDescent="0.25">
      <c r="A285" s="125" t="s">
        <v>402</v>
      </c>
      <c r="B285" s="180"/>
      <c r="C285" s="63"/>
      <c r="D285" s="63"/>
      <c r="E285" s="63"/>
      <c r="F285" s="99">
        <v>0</v>
      </c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</row>
    <row r="286" spans="1:42" ht="14.45" customHeight="1" x14ac:dyDescent="0.25">
      <c r="A286" s="110" t="s">
        <v>403</v>
      </c>
      <c r="B286" s="212"/>
      <c r="C286" s="106">
        <v>-14.11099999999999</v>
      </c>
      <c r="D286" s="106">
        <v>27.961999999999989</v>
      </c>
      <c r="E286" s="106">
        <v>38.674000000000049</v>
      </c>
      <c r="F286" s="159">
        <v>40.186999999999713</v>
      </c>
      <c r="G286" s="106">
        <v>-8.1080000000000538</v>
      </c>
      <c r="H286" s="106">
        <v>11.323999999999881</v>
      </c>
      <c r="I286" s="106">
        <v>30.659000000000049</v>
      </c>
      <c r="J286" s="159">
        <v>29.130999999999482</v>
      </c>
      <c r="K286" s="106">
        <v>-26.532999999999902</v>
      </c>
      <c r="L286" s="106">
        <v>-2.8830000000000262</v>
      </c>
      <c r="M286" s="106">
        <v>43.442999999999877</v>
      </c>
      <c r="N286" s="159">
        <v>-27.31400000000065</v>
      </c>
      <c r="O286" s="106">
        <v>-8.5830000000000037</v>
      </c>
      <c r="P286" s="106">
        <v>24.03800000000011</v>
      </c>
      <c r="Q286" s="106">
        <v>22.170000000000059</v>
      </c>
      <c r="R286" s="159">
        <v>-3.400000000000269</v>
      </c>
      <c r="S286" s="106">
        <v>20.961999999999971</v>
      </c>
      <c r="T286" s="106">
        <v>57.79999999999994</v>
      </c>
      <c r="U286" s="106">
        <v>73.416999999999888</v>
      </c>
      <c r="V286" s="159">
        <v>88.861000000000033</v>
      </c>
      <c r="W286" s="106">
        <v>73.382999999999981</v>
      </c>
      <c r="X286" s="106">
        <v>65.455000000000055</v>
      </c>
      <c r="Y286" s="106">
        <v>93.951999999999998</v>
      </c>
      <c r="Z286" s="159">
        <v>22.358999999999799</v>
      </c>
      <c r="AA286" s="106">
        <v>126.5649999999999</v>
      </c>
      <c r="AB286" s="106">
        <v>133.94799999999989</v>
      </c>
      <c r="AC286" s="106">
        <v>159.10099999999991</v>
      </c>
      <c r="AD286" s="159">
        <v>155.47300000000021</v>
      </c>
      <c r="AE286" s="106">
        <v>159.20200000000011</v>
      </c>
      <c r="AF286" s="106">
        <v>164.75200000000001</v>
      </c>
      <c r="AG286" s="106">
        <v>120.98400000000019</v>
      </c>
      <c r="AH286" s="159">
        <v>112.54300000000011</v>
      </c>
      <c r="AI286" s="106">
        <v>222.83500000000001</v>
      </c>
      <c r="AJ286" s="106">
        <v>232.22500000000011</v>
      </c>
      <c r="AK286" s="106">
        <v>155.56299999999999</v>
      </c>
      <c r="AL286" s="159">
        <v>246.03100000000069</v>
      </c>
      <c r="AM286" s="106">
        <v>139.4730000000001</v>
      </c>
      <c r="AN286" s="106">
        <v>252.9920000000001</v>
      </c>
      <c r="AO286" s="106">
        <v>192.2300000000001</v>
      </c>
      <c r="AP286" s="159">
        <v>188.2229999999997</v>
      </c>
    </row>
    <row r="287" spans="1:42" ht="14.45" customHeight="1" x14ac:dyDescent="0.25">
      <c r="A287" s="125" t="s">
        <v>404</v>
      </c>
      <c r="B287" s="180"/>
      <c r="C287" s="98">
        <v>-5.0780000000000003</v>
      </c>
      <c r="D287" s="98">
        <v>10.638</v>
      </c>
      <c r="E287" s="98">
        <v>13.121</v>
      </c>
      <c r="F287" s="99">
        <v>17.367999999999999</v>
      </c>
      <c r="G287" s="98">
        <v>-3.6909999999999998</v>
      </c>
      <c r="H287" s="98">
        <v>3.7429999999999999</v>
      </c>
      <c r="I287" s="98">
        <v>11.747999999999999</v>
      </c>
      <c r="J287" s="99">
        <v>-51.640999999999998</v>
      </c>
      <c r="K287" s="98">
        <v>-12.971</v>
      </c>
      <c r="L287" s="98">
        <v>-0.13500000000000001</v>
      </c>
      <c r="M287" s="98">
        <v>16.492999999999999</v>
      </c>
      <c r="N287" s="99">
        <v>-1.5179999999999989</v>
      </c>
      <c r="O287" s="102">
        <v>-3.0049999999999999</v>
      </c>
      <c r="P287" s="98">
        <v>7.1820000000000004</v>
      </c>
      <c r="Q287" s="98">
        <v>6.6239999999999997</v>
      </c>
      <c r="R287" s="99">
        <v>4.863999999999999</v>
      </c>
      <c r="S287" s="102">
        <v>5.3609999999999998</v>
      </c>
      <c r="T287" s="98">
        <v>15.186999999999999</v>
      </c>
      <c r="U287" s="98">
        <v>18.363</v>
      </c>
      <c r="V287" s="99">
        <v>20.032</v>
      </c>
      <c r="W287" s="102">
        <v>20.02</v>
      </c>
      <c r="X287" s="98">
        <v>17.274999999999999</v>
      </c>
      <c r="Y287" s="98">
        <v>25.021999999999998</v>
      </c>
      <c r="Z287" s="99">
        <v>3.252000000000002</v>
      </c>
      <c r="AA287" s="102">
        <v>33.174999999999997</v>
      </c>
      <c r="AB287" s="98">
        <v>34.386000000000003</v>
      </c>
      <c r="AC287" s="98">
        <v>40.340000000000003</v>
      </c>
      <c r="AD287" s="99">
        <v>37.027999999999992</v>
      </c>
      <c r="AE287" s="102">
        <v>41.075000000000003</v>
      </c>
      <c r="AF287" s="98">
        <v>42.433</v>
      </c>
      <c r="AG287" s="98">
        <v>28.890999999999998</v>
      </c>
      <c r="AH287" s="99">
        <v>36.706999999999987</v>
      </c>
      <c r="AI287" s="102">
        <v>57.094000000000001</v>
      </c>
      <c r="AJ287" s="98">
        <v>59.412999999999997</v>
      </c>
      <c r="AK287" s="98">
        <v>39.939</v>
      </c>
      <c r="AL287" s="99">
        <v>67.082999999999998</v>
      </c>
      <c r="AM287" s="102">
        <v>35.862000000000002</v>
      </c>
      <c r="AN287" s="98">
        <v>65.605000000000004</v>
      </c>
      <c r="AO287" s="98">
        <v>49.896000000000001</v>
      </c>
      <c r="AP287" s="99">
        <v>50.973000000000013</v>
      </c>
    </row>
    <row r="288" spans="1:42" ht="14.45" customHeight="1" x14ac:dyDescent="0.25">
      <c r="A288" s="213" t="s">
        <v>405</v>
      </c>
      <c r="B288" s="214"/>
      <c r="C288" s="215">
        <v>-9.0329999999999906</v>
      </c>
      <c r="D288" s="215">
        <v>17.323999999999991</v>
      </c>
      <c r="E288" s="215">
        <v>25.553000000000051</v>
      </c>
      <c r="F288" s="216">
        <v>22.818999999999701</v>
      </c>
      <c r="G288" s="215">
        <v>-4.417000000000054</v>
      </c>
      <c r="H288" s="215">
        <v>7.5809999999998769</v>
      </c>
      <c r="I288" s="215">
        <v>18.911000000000051</v>
      </c>
      <c r="J288" s="216">
        <v>80.77199999999948</v>
      </c>
      <c r="K288" s="215">
        <v>-13.5619999999999</v>
      </c>
      <c r="L288" s="215">
        <v>-2.748000000000026</v>
      </c>
      <c r="M288" s="215">
        <v>26.949999999999889</v>
      </c>
      <c r="N288" s="216">
        <v>-25.79600000000066</v>
      </c>
      <c r="O288" s="215">
        <v>-5.5780000000000038</v>
      </c>
      <c r="P288" s="215">
        <v>16.856000000000119</v>
      </c>
      <c r="Q288" s="215">
        <v>15.54600000000006</v>
      </c>
      <c r="R288" s="216">
        <v>-8.2640000000002676</v>
      </c>
      <c r="S288" s="215">
        <v>15.600999999999971</v>
      </c>
      <c r="T288" s="215">
        <v>42.612999999999943</v>
      </c>
      <c r="U288" s="215">
        <v>55.053999999999888</v>
      </c>
      <c r="V288" s="216">
        <v>68.829000000000036</v>
      </c>
      <c r="W288" s="215">
        <v>53.362999999999992</v>
      </c>
      <c r="X288" s="215">
        <v>48.180000000000057</v>
      </c>
      <c r="Y288" s="215">
        <v>68.930000000000007</v>
      </c>
      <c r="Z288" s="216">
        <v>19.10699999999979</v>
      </c>
      <c r="AA288" s="215">
        <v>93.389999999999901</v>
      </c>
      <c r="AB288" s="215">
        <v>99.561999999999898</v>
      </c>
      <c r="AC288" s="215">
        <v>118.7609999999999</v>
      </c>
      <c r="AD288" s="216">
        <v>118.44500000000021</v>
      </c>
      <c r="AE288" s="215">
        <v>118.12700000000009</v>
      </c>
      <c r="AF288" s="215">
        <v>122.319</v>
      </c>
      <c r="AG288" s="215">
        <v>92.09300000000016</v>
      </c>
      <c r="AH288" s="216">
        <v>75.836000000000084</v>
      </c>
      <c r="AI288" s="215">
        <v>165.74100000000001</v>
      </c>
      <c r="AJ288" s="215">
        <v>172.8120000000001</v>
      </c>
      <c r="AK288" s="215">
        <v>115.62400000000009</v>
      </c>
      <c r="AL288" s="216">
        <v>178.94800000000069</v>
      </c>
      <c r="AM288" s="215">
        <v>103.6110000000001</v>
      </c>
      <c r="AN288" s="215">
        <v>187.38700000000011</v>
      </c>
      <c r="AO288" s="215">
        <v>142.33400000000009</v>
      </c>
      <c r="AP288" s="216">
        <v>137.24999999999969</v>
      </c>
    </row>
    <row r="289" spans="1:42" ht="14.45" customHeight="1" x14ac:dyDescent="0.25">
      <c r="A289" s="125" t="s">
        <v>406</v>
      </c>
      <c r="B289" s="180"/>
      <c r="C289" s="98">
        <v>1.008</v>
      </c>
      <c r="D289" s="98">
        <v>1.6719999999999999</v>
      </c>
      <c r="E289" s="98">
        <v>2.411</v>
      </c>
      <c r="F289" s="99">
        <v>1.426000000000001</v>
      </c>
      <c r="G289" s="98">
        <v>0.63400000000000001</v>
      </c>
      <c r="H289" s="98">
        <v>1.2330000000000001</v>
      </c>
      <c r="I289" s="98">
        <v>1.595</v>
      </c>
      <c r="J289" s="99">
        <v>2.850000000000001</v>
      </c>
      <c r="K289" s="98">
        <v>0.623</v>
      </c>
      <c r="L289" s="98">
        <v>1.1850000000000001</v>
      </c>
      <c r="M289" s="98">
        <v>1.786</v>
      </c>
      <c r="N289" s="99">
        <v>1.18</v>
      </c>
      <c r="O289" s="188">
        <v>1.2529999999999999</v>
      </c>
      <c r="P289" s="98">
        <v>1.486</v>
      </c>
      <c r="Q289" s="98">
        <v>2.54</v>
      </c>
      <c r="R289" s="99">
        <v>1.9059999999999999</v>
      </c>
      <c r="S289" s="188">
        <v>0.93900000000000006</v>
      </c>
      <c r="T289" s="98">
        <v>3.044</v>
      </c>
      <c r="U289" s="98">
        <v>3.17</v>
      </c>
      <c r="V289" s="99">
        <v>2.451000000000001</v>
      </c>
      <c r="W289" s="187"/>
      <c r="X289" s="63"/>
      <c r="Y289" s="63"/>
      <c r="Z289" s="99">
        <v>0</v>
      </c>
      <c r="AA289" s="187"/>
      <c r="AB289" s="63"/>
      <c r="AC289" s="63"/>
      <c r="AD289" s="99">
        <v>0</v>
      </c>
      <c r="AE289" s="187"/>
      <c r="AF289" s="63"/>
      <c r="AG289" s="63"/>
      <c r="AH289" s="99">
        <v>0</v>
      </c>
      <c r="AI289" s="187"/>
      <c r="AJ289" s="63"/>
      <c r="AK289" s="63"/>
      <c r="AL289" s="99">
        <v>0</v>
      </c>
      <c r="AM289" s="187"/>
      <c r="AN289" s="63"/>
      <c r="AO289" s="63"/>
      <c r="AP289" s="99">
        <v>0</v>
      </c>
    </row>
    <row r="290" spans="1:42" ht="14.45" customHeight="1" x14ac:dyDescent="0.25">
      <c r="A290" s="213" t="s">
        <v>407</v>
      </c>
      <c r="B290" s="214"/>
      <c r="C290" s="215">
        <v>-10.04099999999999</v>
      </c>
      <c r="D290" s="215">
        <v>15.65199999999999</v>
      </c>
      <c r="E290" s="215">
        <v>23.142000000000049</v>
      </c>
      <c r="F290" s="216">
        <v>21.392999999999699</v>
      </c>
      <c r="G290" s="215">
        <v>-5.0510000000000543</v>
      </c>
      <c r="H290" s="215">
        <v>6.3479999999998764</v>
      </c>
      <c r="I290" s="215">
        <v>17.316000000000049</v>
      </c>
      <c r="J290" s="216">
        <v>77.921999999999485</v>
      </c>
      <c r="K290" s="215">
        <v>-14.184999999999899</v>
      </c>
      <c r="L290" s="215">
        <v>-3.933000000000026</v>
      </c>
      <c r="M290" s="215">
        <v>25.163999999999881</v>
      </c>
      <c r="N290" s="216">
        <v>-26.97600000000066</v>
      </c>
      <c r="O290" s="215">
        <v>-6.831000000000004</v>
      </c>
      <c r="P290" s="215">
        <v>15.370000000000109</v>
      </c>
      <c r="Q290" s="215">
        <v>13.006000000000061</v>
      </c>
      <c r="R290" s="216">
        <v>-10.17000000000027</v>
      </c>
      <c r="S290" s="215">
        <v>14.661999999999971</v>
      </c>
      <c r="T290" s="215">
        <v>39.568999999999953</v>
      </c>
      <c r="U290" s="215">
        <v>51.883999999999887</v>
      </c>
      <c r="V290" s="216">
        <v>66.378000000000043</v>
      </c>
      <c r="W290" s="215">
        <v>53.362999999999992</v>
      </c>
      <c r="X290" s="215">
        <v>48.180000000000057</v>
      </c>
      <c r="Y290" s="215">
        <v>68.930000000000007</v>
      </c>
      <c r="Z290" s="216">
        <v>19.10699999999979</v>
      </c>
      <c r="AA290" s="215">
        <v>93.389999999999901</v>
      </c>
      <c r="AB290" s="215">
        <v>99.561999999999898</v>
      </c>
      <c r="AC290" s="215">
        <v>118.7609999999999</v>
      </c>
      <c r="AD290" s="216">
        <v>118.44500000000021</v>
      </c>
      <c r="AE290" s="215">
        <v>118.12700000000009</v>
      </c>
      <c r="AF290" s="215">
        <v>122.319</v>
      </c>
      <c r="AG290" s="215">
        <v>92.09300000000016</v>
      </c>
      <c r="AH290" s="216">
        <v>75.836000000000084</v>
      </c>
      <c r="AI290" s="215">
        <v>165.74100000000001</v>
      </c>
      <c r="AJ290" s="215">
        <v>172.8120000000001</v>
      </c>
      <c r="AK290" s="215">
        <v>115.62400000000009</v>
      </c>
      <c r="AL290" s="216">
        <v>178.94800000000069</v>
      </c>
      <c r="AM290" s="215">
        <v>103.6110000000001</v>
      </c>
      <c r="AN290" s="215">
        <v>187.38700000000011</v>
      </c>
      <c r="AO290" s="215">
        <v>142.33400000000009</v>
      </c>
      <c r="AP290" s="216">
        <v>137.24999999999969</v>
      </c>
    </row>
    <row r="291" spans="1:42" ht="14.45" customHeight="1" x14ac:dyDescent="0.25">
      <c r="A291" s="189"/>
      <c r="B291" s="180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</row>
    <row r="292" spans="1:42" ht="14.45" customHeight="1" x14ac:dyDescent="0.25">
      <c r="A292" s="217" t="s">
        <v>408</v>
      </c>
      <c r="B292" s="217"/>
      <c r="C292" s="218">
        <v>0</v>
      </c>
      <c r="D292" s="218">
        <v>0</v>
      </c>
      <c r="E292" s="218">
        <v>0</v>
      </c>
      <c r="F292" s="218">
        <v>0</v>
      </c>
      <c r="G292" s="218">
        <v>0</v>
      </c>
      <c r="H292" s="218">
        <v>0</v>
      </c>
      <c r="I292" s="218">
        <v>0</v>
      </c>
      <c r="J292" s="218">
        <v>0</v>
      </c>
      <c r="K292" s="218">
        <v>0</v>
      </c>
      <c r="L292" s="218">
        <v>0</v>
      </c>
      <c r="M292" s="218">
        <v>0</v>
      </c>
      <c r="N292" s="218">
        <v>0</v>
      </c>
      <c r="O292" s="218">
        <v>0</v>
      </c>
      <c r="P292" s="218">
        <v>0</v>
      </c>
      <c r="Q292" s="218">
        <v>0</v>
      </c>
      <c r="R292" s="218">
        <v>0</v>
      </c>
      <c r="S292" s="218">
        <v>0</v>
      </c>
      <c r="T292" s="218">
        <v>0</v>
      </c>
      <c r="U292" s="218">
        <v>0</v>
      </c>
      <c r="V292" s="218">
        <v>0</v>
      </c>
      <c r="W292" s="218">
        <v>0</v>
      </c>
      <c r="X292" s="218">
        <v>0</v>
      </c>
      <c r="Y292" s="218">
        <v>0</v>
      </c>
      <c r="Z292" s="218">
        <v>0</v>
      </c>
      <c r="AA292" s="218">
        <v>0</v>
      </c>
      <c r="AB292" s="218">
        <v>0</v>
      </c>
      <c r="AC292" s="218">
        <v>0</v>
      </c>
      <c r="AD292" s="218">
        <v>0</v>
      </c>
      <c r="AE292" s="218">
        <v>0</v>
      </c>
      <c r="AF292" s="218">
        <v>0</v>
      </c>
      <c r="AG292" s="218">
        <v>0</v>
      </c>
      <c r="AH292" s="218">
        <v>0</v>
      </c>
      <c r="AI292" s="218">
        <v>0</v>
      </c>
      <c r="AJ292" s="218">
        <v>0</v>
      </c>
      <c r="AK292" s="218">
        <v>0</v>
      </c>
      <c r="AL292" s="218">
        <v>0</v>
      </c>
      <c r="AM292" s="218">
        <v>0</v>
      </c>
      <c r="AN292" s="218">
        <v>0</v>
      </c>
      <c r="AO292" s="218">
        <v>0</v>
      </c>
      <c r="AP292" s="218">
        <v>0</v>
      </c>
    </row>
    <row r="293" spans="1:42" ht="14.45" customHeight="1" x14ac:dyDescent="0.25">
      <c r="A293" s="189"/>
      <c r="B293" s="180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</row>
    <row r="294" spans="1:42" ht="14.45" customHeight="1" x14ac:dyDescent="0.25">
      <c r="A294" s="95" t="s">
        <v>409</v>
      </c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121" t="s">
        <v>121</v>
      </c>
      <c r="AF294" s="121" t="s">
        <v>121</v>
      </c>
      <c r="AG294" s="121" t="s">
        <v>121</v>
      </c>
      <c r="AH294" s="121" t="s">
        <v>121</v>
      </c>
      <c r="AI294" s="95"/>
      <c r="AJ294" s="121"/>
      <c r="AK294" s="121"/>
      <c r="AL294" s="121"/>
      <c r="AM294" s="95"/>
      <c r="AN294" s="121"/>
      <c r="AO294" s="121"/>
      <c r="AP294" s="121"/>
    </row>
    <row r="295" spans="1:42" ht="14.45" customHeight="1" x14ac:dyDescent="0.25">
      <c r="A295" s="135" t="s">
        <v>410</v>
      </c>
      <c r="B295" s="211"/>
      <c r="C295" s="109">
        <v>625.45600000000002</v>
      </c>
      <c r="D295" s="109">
        <v>840.38400000000001</v>
      </c>
      <c r="E295" s="109">
        <v>849.02800000000002</v>
      </c>
      <c r="F295" s="109">
        <v>841.55999999999972</v>
      </c>
      <c r="G295" s="109">
        <v>865.702</v>
      </c>
      <c r="H295" s="109">
        <v>1169.2909999999999</v>
      </c>
      <c r="I295" s="109">
        <v>1162.5260000000001</v>
      </c>
      <c r="J295" s="109">
        <v>1126.148999999999</v>
      </c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</row>
    <row r="296" spans="1:42" ht="14.45" customHeight="1" x14ac:dyDescent="0.25">
      <c r="A296" s="125" t="s">
        <v>411</v>
      </c>
      <c r="B296" s="180"/>
      <c r="C296" s="98">
        <v>-35.311</v>
      </c>
      <c r="D296" s="98">
        <v>-162.81899999999999</v>
      </c>
      <c r="E296" s="98">
        <v>-174.42</v>
      </c>
      <c r="F296" s="98">
        <v>-219.78</v>
      </c>
      <c r="G296" s="98">
        <v>-264.90600000000001</v>
      </c>
      <c r="H296" s="98">
        <v>-472.649</v>
      </c>
      <c r="I296" s="98">
        <v>-478.27199999999999</v>
      </c>
      <c r="J296" s="98">
        <v>-536.07000000000005</v>
      </c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</row>
    <row r="297" spans="1:42" ht="14.45" customHeight="1" x14ac:dyDescent="0.25">
      <c r="A297" s="125" t="s">
        <v>412</v>
      </c>
      <c r="B297" s="180"/>
      <c r="C297" s="63"/>
      <c r="D297" s="63"/>
      <c r="E297" s="63"/>
      <c r="F297" s="98">
        <v>-68.929000000000002</v>
      </c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</row>
    <row r="298" spans="1:42" ht="14.45" customHeight="1" x14ac:dyDescent="0.25">
      <c r="A298" s="125" t="s">
        <v>413</v>
      </c>
      <c r="B298" s="180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</row>
    <row r="299" spans="1:42" ht="14.45" customHeight="1" x14ac:dyDescent="0.25">
      <c r="A299" s="110" t="s">
        <v>414</v>
      </c>
      <c r="B299" s="212"/>
      <c r="C299" s="106">
        <v>590.14499999999998</v>
      </c>
      <c r="D299" s="106">
        <v>677.56500000000005</v>
      </c>
      <c r="E299" s="106">
        <v>674.60800000000006</v>
      </c>
      <c r="F299" s="106">
        <v>552.85099999999977</v>
      </c>
      <c r="G299" s="106">
        <v>600.79600000000005</v>
      </c>
      <c r="H299" s="106">
        <v>696.64199999999994</v>
      </c>
      <c r="I299" s="106">
        <v>684.25400000000013</v>
      </c>
      <c r="J299" s="106">
        <v>590.07899999999938</v>
      </c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  <c r="AN299" s="159"/>
      <c r="AO299" s="159"/>
      <c r="AP299" s="159"/>
    </row>
    <row r="300" spans="1:42" ht="14.45" customHeight="1" x14ac:dyDescent="0.25">
      <c r="A300" s="111"/>
      <c r="B300" s="211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</row>
    <row r="301" spans="1:42" ht="14.45" customHeight="1" x14ac:dyDescent="0.25">
      <c r="A301" s="135" t="s">
        <v>415</v>
      </c>
      <c r="B301" s="211"/>
      <c r="C301" s="112"/>
      <c r="D301" s="112"/>
      <c r="E301" s="112"/>
      <c r="F301" s="112"/>
      <c r="G301" s="112"/>
      <c r="H301" s="112"/>
      <c r="I301" s="112"/>
      <c r="J301" s="112"/>
      <c r="K301" s="109">
        <v>357.64100000000008</v>
      </c>
      <c r="L301" s="109">
        <v>404.70800000000003</v>
      </c>
      <c r="M301" s="109">
        <v>412.71599999999989</v>
      </c>
      <c r="N301" s="109">
        <v>380.64699999999948</v>
      </c>
      <c r="O301" s="109">
        <v>389.30799999999999</v>
      </c>
      <c r="P301" s="109">
        <v>435.77900000000011</v>
      </c>
      <c r="Q301" s="109">
        <v>432.22399999999999</v>
      </c>
      <c r="R301" s="109">
        <v>413.1909999999998</v>
      </c>
      <c r="S301" s="109">
        <v>405.29500000000002</v>
      </c>
      <c r="T301" s="109">
        <v>429.30099999999987</v>
      </c>
      <c r="U301" s="109">
        <v>472.43799999999987</v>
      </c>
      <c r="V301" s="109">
        <v>461.875</v>
      </c>
      <c r="W301" s="109">
        <v>448.70299999999997</v>
      </c>
      <c r="X301" s="109">
        <v>494.94000000000011</v>
      </c>
      <c r="Y301" s="109">
        <v>517.71199999999999</v>
      </c>
      <c r="Z301" s="109">
        <v>492.83199999999988</v>
      </c>
      <c r="AA301" s="109">
        <v>507.57599999999991</v>
      </c>
      <c r="AB301" s="109">
        <v>550.65899999999988</v>
      </c>
      <c r="AC301" s="109">
        <v>621.10699999999997</v>
      </c>
      <c r="AD301" s="109">
        <v>598.61200000000008</v>
      </c>
      <c r="AE301" s="109">
        <v>624.10600000000011</v>
      </c>
      <c r="AF301" s="109">
        <v>671.577</v>
      </c>
      <c r="AG301" s="109">
        <v>661.55000000000018</v>
      </c>
      <c r="AH301" s="109">
        <v>641.47800000000007</v>
      </c>
      <c r="AI301" s="109">
        <v>640.55899999999997</v>
      </c>
      <c r="AJ301" s="109">
        <v>716.71</v>
      </c>
      <c r="AK301" s="109">
        <v>698.03600000000006</v>
      </c>
      <c r="AL301" s="109">
        <v>697.87400000000071</v>
      </c>
      <c r="AM301" s="109">
        <v>627.10400000000004</v>
      </c>
      <c r="AN301" s="109">
        <v>742.49600000000009</v>
      </c>
      <c r="AO301" s="109">
        <v>748.51600000000008</v>
      </c>
      <c r="AP301" s="109">
        <v>754.24599999999964</v>
      </c>
    </row>
    <row r="302" spans="1:42" ht="14.45" customHeight="1" x14ac:dyDescent="0.25">
      <c r="A302" s="125" t="s">
        <v>416</v>
      </c>
      <c r="B302" s="180"/>
      <c r="C302" s="63"/>
      <c r="D302" s="63"/>
      <c r="E302" s="63"/>
      <c r="F302" s="63"/>
      <c r="G302" s="63"/>
      <c r="H302" s="63"/>
      <c r="I302" s="63"/>
      <c r="J302" s="63"/>
      <c r="K302" s="98">
        <v>0.19900000000000001</v>
      </c>
      <c r="L302" s="98">
        <v>2.8000000000000001E-2</v>
      </c>
      <c r="M302" s="98">
        <v>0.112</v>
      </c>
      <c r="N302" s="98">
        <v>0.83499999999999996</v>
      </c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</row>
    <row r="303" spans="1:42" ht="14.45" customHeight="1" x14ac:dyDescent="0.25">
      <c r="A303" s="125" t="s">
        <v>417</v>
      </c>
      <c r="B303" s="180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98">
        <v>-21.707000000000001</v>
      </c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</row>
    <row r="304" spans="1:42" ht="14.45" customHeight="1" x14ac:dyDescent="0.25">
      <c r="A304" s="125" t="s">
        <v>418</v>
      </c>
      <c r="B304" s="180"/>
      <c r="C304" s="63"/>
      <c r="D304" s="63"/>
      <c r="E304" s="63"/>
      <c r="F304" s="63"/>
      <c r="G304" s="63"/>
      <c r="H304" s="63"/>
      <c r="I304" s="63"/>
      <c r="J304" s="63"/>
      <c r="K304" s="98">
        <v>2.7650000000000001</v>
      </c>
      <c r="L304" s="98">
        <v>-0.249</v>
      </c>
      <c r="M304" s="98">
        <v>0.26</v>
      </c>
      <c r="N304" s="98">
        <v>7.6</v>
      </c>
      <c r="O304" s="98">
        <v>-3.9049999999999998</v>
      </c>
      <c r="P304" s="98">
        <v>4.8739999999999997</v>
      </c>
      <c r="Q304" s="98">
        <v>-0.48699999999999999</v>
      </c>
      <c r="R304" s="98">
        <v>-7.0839999999999996</v>
      </c>
      <c r="S304" s="98">
        <v>1.536</v>
      </c>
      <c r="T304" s="98">
        <v>-1.266</v>
      </c>
      <c r="U304" s="98">
        <v>-1.194</v>
      </c>
      <c r="V304" s="98">
        <v>-1.0720000000000001</v>
      </c>
      <c r="W304" s="98">
        <v>-0.28799999999999998</v>
      </c>
      <c r="X304" s="98">
        <v>-2.1280000000000001</v>
      </c>
      <c r="Y304" s="98">
        <v>-3.794</v>
      </c>
      <c r="Z304" s="98">
        <v>2.7410000000000001</v>
      </c>
      <c r="AA304" s="98">
        <v>-7.4939999999999998</v>
      </c>
      <c r="AB304" s="98">
        <v>13.663</v>
      </c>
      <c r="AC304" s="98">
        <v>-1.1000000000000001</v>
      </c>
      <c r="AD304" s="98">
        <v>-1.736</v>
      </c>
      <c r="AE304" s="98">
        <v>0.39500000000000002</v>
      </c>
      <c r="AF304" s="98">
        <v>1.097</v>
      </c>
      <c r="AG304" s="98">
        <v>2.5000000000000001E-2</v>
      </c>
      <c r="AH304" s="98">
        <v>-2.7370000000000001</v>
      </c>
      <c r="AI304" s="98">
        <v>1.1559999999999999</v>
      </c>
      <c r="AJ304" s="98">
        <v>-1.075</v>
      </c>
      <c r="AK304" s="98">
        <v>-1.4259999999999999</v>
      </c>
      <c r="AL304" s="98">
        <v>2.073</v>
      </c>
      <c r="AM304" s="98">
        <v>0.79900000000000004</v>
      </c>
      <c r="AN304" s="98">
        <v>-1.32</v>
      </c>
      <c r="AO304" s="98">
        <v>-0.378</v>
      </c>
      <c r="AP304" s="98">
        <v>-1.284</v>
      </c>
    </row>
    <row r="305" spans="1:42" ht="14.45" customHeight="1" x14ac:dyDescent="0.25">
      <c r="A305" s="130" t="s">
        <v>419</v>
      </c>
      <c r="B305" s="190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02">
        <v>1.294</v>
      </c>
      <c r="Q305" s="102">
        <v>3.581</v>
      </c>
      <c r="R305" s="102">
        <v>0.75</v>
      </c>
      <c r="S305" s="102">
        <v>0.64800000000000002</v>
      </c>
      <c r="T305" s="102">
        <v>0.67100000000000004</v>
      </c>
      <c r="U305" s="102">
        <v>3.1219999999999999</v>
      </c>
      <c r="V305" s="102">
        <v>0.54300000000000004</v>
      </c>
      <c r="W305" s="102">
        <v>0.27600000000000002</v>
      </c>
      <c r="X305" s="102">
        <v>1.8280000000000001</v>
      </c>
      <c r="Y305" s="102">
        <v>4.3600000000000003</v>
      </c>
      <c r="Z305" s="102">
        <v>1.0780000000000001</v>
      </c>
      <c r="AA305" s="102">
        <v>5.0000000000000001E-3</v>
      </c>
      <c r="AB305" s="102">
        <v>8.4000000000000005E-2</v>
      </c>
      <c r="AC305" s="102">
        <v>0.36899999999999999</v>
      </c>
      <c r="AD305" s="102">
        <v>7.4999999999999997E-2</v>
      </c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</row>
    <row r="306" spans="1:42" ht="14.45" customHeight="1" x14ac:dyDescent="0.25">
      <c r="A306" s="135" t="s">
        <v>420</v>
      </c>
      <c r="B306" s="211"/>
      <c r="C306" s="112"/>
      <c r="D306" s="112"/>
      <c r="E306" s="112"/>
      <c r="F306" s="112"/>
      <c r="G306" s="112"/>
      <c r="H306" s="112"/>
      <c r="I306" s="112"/>
      <c r="J306" s="112"/>
      <c r="K306" s="109">
        <v>360.60500000000008</v>
      </c>
      <c r="L306" s="109">
        <v>404.48700000000002</v>
      </c>
      <c r="M306" s="109">
        <v>413.08799999999991</v>
      </c>
      <c r="N306" s="109">
        <v>389.08199999999948</v>
      </c>
      <c r="O306" s="109">
        <v>385.40300000000002</v>
      </c>
      <c r="P306" s="109">
        <v>441.94700000000012</v>
      </c>
      <c r="Q306" s="109">
        <v>435.31799999999998</v>
      </c>
      <c r="R306" s="109">
        <v>406.8569999999998</v>
      </c>
      <c r="S306" s="109">
        <v>407.47899999999998</v>
      </c>
      <c r="T306" s="109">
        <v>428.7059999999999</v>
      </c>
      <c r="U306" s="109">
        <v>474.36599999999987</v>
      </c>
      <c r="V306" s="109">
        <v>439.63900000000001</v>
      </c>
      <c r="W306" s="109">
        <v>448.69099999999997</v>
      </c>
      <c r="X306" s="109">
        <v>494.64</v>
      </c>
      <c r="Y306" s="109">
        <v>518.27800000000002</v>
      </c>
      <c r="Z306" s="109">
        <v>496.65099999999978</v>
      </c>
      <c r="AA306" s="109">
        <v>500.08699999999988</v>
      </c>
      <c r="AB306" s="109">
        <v>564.40599999999984</v>
      </c>
      <c r="AC306" s="109">
        <v>620.37599999999998</v>
      </c>
      <c r="AD306" s="109">
        <v>596.95100000000014</v>
      </c>
      <c r="AE306" s="109">
        <v>624.50100000000009</v>
      </c>
      <c r="AF306" s="109">
        <v>672.67399999999998</v>
      </c>
      <c r="AG306" s="109">
        <v>661.57500000000016</v>
      </c>
      <c r="AH306" s="109">
        <v>638.7410000000001</v>
      </c>
      <c r="AI306" s="109">
        <v>641.71499999999992</v>
      </c>
      <c r="AJ306" s="109">
        <v>715.63499999999999</v>
      </c>
      <c r="AK306" s="109">
        <v>696.61</v>
      </c>
      <c r="AL306" s="109">
        <v>699.94700000000068</v>
      </c>
      <c r="AM306" s="109">
        <v>627.90300000000002</v>
      </c>
      <c r="AN306" s="109">
        <v>741.17600000000004</v>
      </c>
      <c r="AO306" s="109">
        <v>748.13800000000003</v>
      </c>
      <c r="AP306" s="109">
        <v>752.96199999999965</v>
      </c>
    </row>
    <row r="307" spans="1:42" ht="14.45" customHeight="1" x14ac:dyDescent="0.25">
      <c r="A307" s="111"/>
      <c r="B307" s="211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</row>
    <row r="308" spans="1:42" ht="14.45" customHeight="1" x14ac:dyDescent="0.25">
      <c r="A308" s="135" t="s">
        <v>421</v>
      </c>
      <c r="B308" s="211"/>
      <c r="C308" s="112"/>
      <c r="D308" s="112"/>
      <c r="E308" s="112"/>
      <c r="F308" s="112"/>
      <c r="G308" s="112"/>
      <c r="H308" s="112"/>
      <c r="I308" s="112"/>
      <c r="J308" s="112"/>
      <c r="K308" s="109">
        <v>376.63799999999998</v>
      </c>
      <c r="L308" s="109">
        <v>385.029</v>
      </c>
      <c r="M308" s="109">
        <v>368.31200000000001</v>
      </c>
      <c r="N308" s="109">
        <v>367.83100000000007</v>
      </c>
      <c r="O308" s="109">
        <v>369.154</v>
      </c>
      <c r="P308" s="109">
        <v>368.565</v>
      </c>
      <c r="Q308" s="109">
        <v>378.37799999999999</v>
      </c>
      <c r="R308" s="109">
        <v>373.65100000000012</v>
      </c>
      <c r="S308" s="109">
        <v>372.47399999999999</v>
      </c>
      <c r="T308" s="109">
        <v>346.18299999999999</v>
      </c>
      <c r="U308" s="109">
        <v>368.59399999999999</v>
      </c>
      <c r="V308" s="109">
        <v>368.28</v>
      </c>
      <c r="W308" s="109">
        <v>354.51900000000001</v>
      </c>
      <c r="X308" s="109">
        <v>374.07900000000001</v>
      </c>
      <c r="Y308" s="109">
        <v>380.68099999999998</v>
      </c>
      <c r="Z308" s="109">
        <v>405.73700000000008</v>
      </c>
      <c r="AA308" s="109">
        <v>376.59100000000001</v>
      </c>
      <c r="AB308" s="109">
        <v>403.36599999999999</v>
      </c>
      <c r="AC308" s="109">
        <v>431.17700000000002</v>
      </c>
      <c r="AD308" s="109">
        <v>425.77299999999991</v>
      </c>
      <c r="AE308" s="109">
        <v>418.05200000000002</v>
      </c>
      <c r="AF308" s="109">
        <v>437.90699999999998</v>
      </c>
      <c r="AG308" s="109">
        <v>445.29</v>
      </c>
      <c r="AH308" s="109">
        <v>463.01100000000002</v>
      </c>
      <c r="AI308" s="109">
        <v>425.15300000000002</v>
      </c>
      <c r="AJ308" s="109">
        <v>457.57</v>
      </c>
      <c r="AK308" s="109">
        <v>470.98099999999999</v>
      </c>
      <c r="AL308" s="109">
        <v>479.125</v>
      </c>
      <c r="AM308" s="109">
        <v>437.28399999999999</v>
      </c>
      <c r="AN308" s="109">
        <v>470.41199999999998</v>
      </c>
      <c r="AO308" s="109">
        <v>501.88200000000001</v>
      </c>
      <c r="AP308" s="109">
        <v>512.12799999999993</v>
      </c>
    </row>
    <row r="309" spans="1:42" ht="14.45" customHeight="1" x14ac:dyDescent="0.25">
      <c r="A309" s="125" t="s">
        <v>416</v>
      </c>
      <c r="B309" s="180"/>
      <c r="C309" s="63"/>
      <c r="D309" s="63"/>
      <c r="E309" s="63"/>
      <c r="F309" s="63"/>
      <c r="G309" s="63"/>
      <c r="H309" s="63"/>
      <c r="I309" s="63"/>
      <c r="J309" s="63"/>
      <c r="K309" s="98">
        <v>-12.250999999999999</v>
      </c>
      <c r="L309" s="98">
        <v>-9.843</v>
      </c>
      <c r="M309" s="98">
        <v>-10.305</v>
      </c>
      <c r="N309" s="98">
        <v>-9.7629999999999999</v>
      </c>
      <c r="O309" s="98">
        <v>-4.7300000000000004</v>
      </c>
      <c r="P309" s="98">
        <v>-2.1850000000000001</v>
      </c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</row>
    <row r="310" spans="1:42" ht="14.45" customHeight="1" x14ac:dyDescent="0.25">
      <c r="A310" s="125" t="s">
        <v>422</v>
      </c>
      <c r="B310" s="180"/>
      <c r="C310" s="63"/>
      <c r="D310" s="63"/>
      <c r="E310" s="63"/>
      <c r="F310" s="63"/>
      <c r="G310" s="63"/>
      <c r="H310" s="63"/>
      <c r="I310" s="63"/>
      <c r="J310" s="63"/>
      <c r="K310" s="63"/>
      <c r="L310" s="98">
        <v>-4.8099999999999996</v>
      </c>
      <c r="M310" s="63"/>
      <c r="N310" s="98">
        <v>-3.7450000000000001</v>
      </c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</row>
    <row r="311" spans="1:42" ht="14.45" customHeight="1" x14ac:dyDescent="0.25">
      <c r="A311" s="125" t="s">
        <v>417</v>
      </c>
      <c r="B311" s="180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98">
        <v>-14.353</v>
      </c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</row>
    <row r="312" spans="1:42" ht="14.45" customHeight="1" x14ac:dyDescent="0.25">
      <c r="A312" s="125" t="s">
        <v>418</v>
      </c>
      <c r="B312" s="180"/>
      <c r="C312" s="63"/>
      <c r="D312" s="63"/>
      <c r="E312" s="63"/>
      <c r="F312" s="63"/>
      <c r="G312" s="63"/>
      <c r="H312" s="63"/>
      <c r="I312" s="63"/>
      <c r="J312" s="63"/>
      <c r="K312" s="98">
        <v>-0.20200000000000001</v>
      </c>
      <c r="L312" s="98">
        <v>4.8000000000000001E-2</v>
      </c>
      <c r="M312" s="98">
        <v>-0.20899999999999999</v>
      </c>
      <c r="N312" s="98">
        <v>-3.9860000000000002</v>
      </c>
      <c r="O312" s="98">
        <v>2.7149999999999999</v>
      </c>
      <c r="P312" s="98">
        <v>-6.6000000000000003E-2</v>
      </c>
      <c r="Q312" s="98">
        <v>-7.3999999999999996E-2</v>
      </c>
      <c r="R312" s="98">
        <v>0.96099999999999997</v>
      </c>
      <c r="S312" s="98">
        <v>-2.3290000000000002</v>
      </c>
      <c r="T312" s="98">
        <v>0.80500000000000005</v>
      </c>
      <c r="U312" s="98">
        <v>0.57499999999999996</v>
      </c>
      <c r="V312" s="98">
        <v>1.74</v>
      </c>
      <c r="W312" s="98">
        <v>0.56000000000000005</v>
      </c>
      <c r="X312" s="98">
        <v>0.505</v>
      </c>
      <c r="Y312" s="98">
        <v>0.42599999999999999</v>
      </c>
      <c r="Z312" s="98">
        <v>0.28100000000000003</v>
      </c>
      <c r="AA312" s="98">
        <v>6.2249999999999996</v>
      </c>
      <c r="AB312" s="98">
        <v>0.998</v>
      </c>
      <c r="AC312" s="98">
        <v>-4.7110000000000003</v>
      </c>
      <c r="AD312" s="98">
        <v>-2.085</v>
      </c>
      <c r="AE312" s="98">
        <v>-2.69</v>
      </c>
      <c r="AF312" s="98">
        <v>-0.224</v>
      </c>
      <c r="AG312" s="98">
        <v>0.70299999999999996</v>
      </c>
      <c r="AH312" s="98">
        <v>-7.0000000000000007E-2</v>
      </c>
      <c r="AI312" s="98">
        <v>-4.2999999999999997E-2</v>
      </c>
      <c r="AJ312" s="98">
        <v>0.254</v>
      </c>
      <c r="AK312" s="98">
        <v>-0.63100000000000001</v>
      </c>
      <c r="AL312" s="98">
        <v>-0.127</v>
      </c>
      <c r="AM312" s="98">
        <v>0.16500000000000001</v>
      </c>
      <c r="AN312" s="98">
        <v>0.68899999999999995</v>
      </c>
      <c r="AO312" s="98">
        <v>-8.4000000000000005E-2</v>
      </c>
      <c r="AP312" s="98">
        <v>-1.2250000000000001</v>
      </c>
    </row>
    <row r="313" spans="1:42" ht="14.45" customHeight="1" x14ac:dyDescent="0.25">
      <c r="A313" s="125" t="s">
        <v>423</v>
      </c>
      <c r="B313" s="180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98">
        <v>-2.476</v>
      </c>
      <c r="P313" s="98">
        <v>-1.903</v>
      </c>
      <c r="Q313" s="98">
        <v>-1.732</v>
      </c>
      <c r="R313" s="98">
        <v>-1.194</v>
      </c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</row>
    <row r="314" spans="1:42" ht="14.45" customHeight="1" x14ac:dyDescent="0.25">
      <c r="A314" s="125" t="s">
        <v>419</v>
      </c>
      <c r="B314" s="180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98">
        <v>-4.952</v>
      </c>
      <c r="S314" s="98">
        <v>0.57099999999999995</v>
      </c>
      <c r="T314" s="98">
        <v>0.03</v>
      </c>
      <c r="U314" s="63"/>
      <c r="V314" s="98">
        <v>-5.0000000000000001E-3</v>
      </c>
      <c r="W314" s="98">
        <v>-0.106</v>
      </c>
      <c r="X314" s="98">
        <v>-0.65200000000000002</v>
      </c>
      <c r="Y314" s="98">
        <v>-3.5000000000000003E-2</v>
      </c>
      <c r="Z314" s="98">
        <v>-0.154</v>
      </c>
      <c r="AA314" s="98">
        <v>-3.9E-2</v>
      </c>
      <c r="AB314" s="98">
        <v>-3.3000000000000002E-2</v>
      </c>
      <c r="AC314" s="98">
        <v>-6.0000000000000001E-3</v>
      </c>
      <c r="AD314" s="98">
        <v>5.0000000000000001E-3</v>
      </c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</row>
    <row r="315" spans="1:42" ht="14.45" customHeight="1" x14ac:dyDescent="0.25">
      <c r="A315" s="110" t="s">
        <v>424</v>
      </c>
      <c r="B315" s="212"/>
      <c r="C315" s="159"/>
      <c r="D315" s="159"/>
      <c r="E315" s="159"/>
      <c r="F315" s="159"/>
      <c r="G315" s="159"/>
      <c r="H315" s="159"/>
      <c r="I315" s="159"/>
      <c r="J315" s="159"/>
      <c r="K315" s="106">
        <v>364.185</v>
      </c>
      <c r="L315" s="106">
        <v>370.42399999999998</v>
      </c>
      <c r="M315" s="106">
        <v>357.798</v>
      </c>
      <c r="N315" s="106">
        <v>350.33700000000022</v>
      </c>
      <c r="O315" s="106">
        <v>364.66300000000001</v>
      </c>
      <c r="P315" s="106">
        <v>364.411</v>
      </c>
      <c r="Q315" s="106">
        <v>376.57199999999989</v>
      </c>
      <c r="R315" s="106">
        <v>368.46600000000012</v>
      </c>
      <c r="S315" s="106">
        <v>370.71600000000001</v>
      </c>
      <c r="T315" s="106">
        <v>347.01799999999997</v>
      </c>
      <c r="U315" s="106">
        <v>369.16899999999998</v>
      </c>
      <c r="V315" s="106">
        <v>355.66199999999998</v>
      </c>
      <c r="W315" s="106">
        <v>354.97300000000001</v>
      </c>
      <c r="X315" s="106">
        <v>373.93200000000002</v>
      </c>
      <c r="Y315" s="106">
        <v>381.07199999999989</v>
      </c>
      <c r="Z315" s="106">
        <v>405.86400000000009</v>
      </c>
      <c r="AA315" s="106">
        <v>382.77699999999999</v>
      </c>
      <c r="AB315" s="106">
        <v>404.33100000000002</v>
      </c>
      <c r="AC315" s="106">
        <v>426.46</v>
      </c>
      <c r="AD315" s="106">
        <v>423.69299999999993</v>
      </c>
      <c r="AE315" s="106">
        <v>415.36200000000002</v>
      </c>
      <c r="AF315" s="106">
        <v>437.68299999999999</v>
      </c>
      <c r="AG315" s="106">
        <v>445.99299999999999</v>
      </c>
      <c r="AH315" s="106">
        <v>462.94099999999997</v>
      </c>
      <c r="AI315" s="106">
        <v>425.11</v>
      </c>
      <c r="AJ315" s="106">
        <v>457.82400000000001</v>
      </c>
      <c r="AK315" s="106">
        <v>470.35</v>
      </c>
      <c r="AL315" s="106">
        <v>478.99799999999999</v>
      </c>
      <c r="AM315" s="106">
        <v>437.44900000000001</v>
      </c>
      <c r="AN315" s="106">
        <v>471.101</v>
      </c>
      <c r="AO315" s="106">
        <v>501.798</v>
      </c>
      <c r="AP315" s="106">
        <v>510.90299999999991</v>
      </c>
    </row>
    <row r="316" spans="1:42" ht="14.45" customHeight="1" x14ac:dyDescent="0.25">
      <c r="A316" s="111"/>
      <c r="B316" s="211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</row>
    <row r="317" spans="1:42" ht="14.45" customHeight="1" x14ac:dyDescent="0.25">
      <c r="A317" s="135" t="s">
        <v>425</v>
      </c>
      <c r="B317" s="211"/>
      <c r="C317" s="109">
        <v>12.40100000000001</v>
      </c>
      <c r="D317" s="109">
        <v>54.73599999999999</v>
      </c>
      <c r="E317" s="109">
        <v>39.801000000000037</v>
      </c>
      <c r="F317" s="109">
        <v>20.920999999999712</v>
      </c>
      <c r="G317" s="109">
        <v>13.607999999999951</v>
      </c>
      <c r="H317" s="109">
        <v>47.312999999999867</v>
      </c>
      <c r="I317" s="109">
        <v>36.130000000000052</v>
      </c>
      <c r="J317" s="109">
        <v>-0.87200000000052569</v>
      </c>
      <c r="K317" s="109">
        <v>-18.9969999999999</v>
      </c>
      <c r="L317" s="109">
        <v>19.67899999999997</v>
      </c>
      <c r="M317" s="109">
        <v>44.403999999999883</v>
      </c>
      <c r="N317" s="109">
        <v>12.815999999999351</v>
      </c>
      <c r="O317" s="109">
        <v>20.154</v>
      </c>
      <c r="P317" s="109">
        <v>67.214000000000112</v>
      </c>
      <c r="Q317" s="109">
        <v>53.84600000000006</v>
      </c>
      <c r="R317" s="109">
        <v>39.539999999999743</v>
      </c>
      <c r="S317" s="109">
        <v>32.82099999999997</v>
      </c>
      <c r="T317" s="109">
        <v>83.117999999999938</v>
      </c>
      <c r="U317" s="109">
        <v>103.84399999999989</v>
      </c>
      <c r="V317" s="109">
        <v>93.595000000000027</v>
      </c>
      <c r="W317" s="109">
        <v>94.183999999999969</v>
      </c>
      <c r="X317" s="109">
        <v>120.861</v>
      </c>
      <c r="Y317" s="109">
        <v>137.03100000000001</v>
      </c>
      <c r="Z317" s="109">
        <v>87.0949999999998</v>
      </c>
      <c r="AA317" s="109">
        <v>130.9849999999999</v>
      </c>
      <c r="AB317" s="109">
        <v>147.29299999999989</v>
      </c>
      <c r="AC317" s="109">
        <v>189.92999999999989</v>
      </c>
      <c r="AD317" s="109">
        <v>172.8390000000002</v>
      </c>
      <c r="AE317" s="109">
        <v>206.05400000000009</v>
      </c>
      <c r="AF317" s="109">
        <v>233.67</v>
      </c>
      <c r="AG317" s="109">
        <v>216.26000000000019</v>
      </c>
      <c r="AH317" s="109">
        <v>178.4670000000001</v>
      </c>
      <c r="AI317" s="109">
        <v>215.40599999999989</v>
      </c>
      <c r="AJ317" s="109">
        <v>259.14</v>
      </c>
      <c r="AK317" s="109">
        <v>227.05500000000009</v>
      </c>
      <c r="AL317" s="109">
        <v>218.74900000000071</v>
      </c>
      <c r="AM317" s="109">
        <v>189.82000000000011</v>
      </c>
      <c r="AN317" s="109">
        <v>272.08400000000012</v>
      </c>
      <c r="AO317" s="109">
        <v>246.6340000000001</v>
      </c>
      <c r="AP317" s="109">
        <v>242.11799999999971</v>
      </c>
    </row>
    <row r="318" spans="1:42" ht="14.45" customHeight="1" x14ac:dyDescent="0.25">
      <c r="A318" s="125" t="s">
        <v>411</v>
      </c>
      <c r="B318" s="180"/>
      <c r="C318" s="98">
        <v>-1.206</v>
      </c>
      <c r="D318" s="98">
        <v>-13.502000000000001</v>
      </c>
      <c r="E318" s="98">
        <v>-2.512</v>
      </c>
      <c r="F318" s="98">
        <v>-5.1529999999999996</v>
      </c>
      <c r="G318" s="98">
        <v>-4.45</v>
      </c>
      <c r="H318" s="98">
        <v>-15.32</v>
      </c>
      <c r="I318" s="98">
        <v>-10.329000000000001</v>
      </c>
      <c r="J318" s="98">
        <v>0.41499999999999998</v>
      </c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</row>
    <row r="319" spans="1:42" ht="14.45" customHeight="1" x14ac:dyDescent="0.25">
      <c r="A319" s="125" t="s">
        <v>412</v>
      </c>
      <c r="B319" s="180"/>
      <c r="C319" s="63"/>
      <c r="D319" s="63"/>
      <c r="E319" s="63"/>
      <c r="F319" s="98">
        <v>-11.538</v>
      </c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</row>
    <row r="320" spans="1:42" ht="14.45" customHeight="1" x14ac:dyDescent="0.25">
      <c r="A320" s="125" t="s">
        <v>426</v>
      </c>
      <c r="B320" s="180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</row>
    <row r="321" spans="1:42" ht="14.45" customHeight="1" x14ac:dyDescent="0.25">
      <c r="A321" s="125" t="s">
        <v>413</v>
      </c>
      <c r="B321" s="180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</row>
    <row r="322" spans="1:42" ht="14.45" customHeight="1" x14ac:dyDescent="0.25">
      <c r="A322" s="125" t="s">
        <v>427</v>
      </c>
      <c r="B322" s="180"/>
      <c r="C322" s="98">
        <v>4</v>
      </c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</row>
    <row r="323" spans="1:42" ht="14.45" customHeight="1" x14ac:dyDescent="0.25">
      <c r="A323" s="125" t="s">
        <v>428</v>
      </c>
      <c r="B323" s="180"/>
      <c r="C323" s="98">
        <v>-2.2130000000000001</v>
      </c>
      <c r="D323" s="98">
        <v>-1.105</v>
      </c>
      <c r="E323" s="98">
        <v>-1.6140000000000001</v>
      </c>
      <c r="F323" s="98">
        <v>-2.5910000000000002</v>
      </c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</row>
    <row r="324" spans="1:42" ht="14.45" customHeight="1" x14ac:dyDescent="0.25">
      <c r="A324" s="125" t="s">
        <v>416</v>
      </c>
      <c r="B324" s="180"/>
      <c r="C324" s="98">
        <v>6.423</v>
      </c>
      <c r="D324" s="98">
        <v>7.0049999999999999</v>
      </c>
      <c r="E324" s="98">
        <v>9.7799999999999994</v>
      </c>
      <c r="F324" s="98">
        <v>9.0660000000000007</v>
      </c>
      <c r="G324" s="98">
        <v>7.6520000000000001</v>
      </c>
      <c r="H324" s="98">
        <v>11.574</v>
      </c>
      <c r="I324" s="98">
        <v>13.148</v>
      </c>
      <c r="J324" s="98">
        <v>17.170999999999999</v>
      </c>
      <c r="K324" s="98">
        <v>12.45</v>
      </c>
      <c r="L324" s="98">
        <v>9.8710000000000004</v>
      </c>
      <c r="M324" s="98">
        <v>10.417</v>
      </c>
      <c r="N324" s="98">
        <v>10.598000000000001</v>
      </c>
      <c r="O324" s="98">
        <v>4.7300000000000004</v>
      </c>
      <c r="P324" s="98">
        <v>2.1850000000000001</v>
      </c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</row>
    <row r="325" spans="1:42" ht="14.45" customHeight="1" x14ac:dyDescent="0.25">
      <c r="A325" s="125" t="s">
        <v>422</v>
      </c>
      <c r="B325" s="180"/>
      <c r="C325" s="63"/>
      <c r="D325" s="63"/>
      <c r="E325" s="63"/>
      <c r="F325" s="63"/>
      <c r="G325" s="63"/>
      <c r="H325" s="63"/>
      <c r="I325" s="63"/>
      <c r="J325" s="63"/>
      <c r="K325" s="63"/>
      <c r="L325" s="98">
        <v>4.8099999999999996</v>
      </c>
      <c r="M325" s="63"/>
      <c r="N325" s="98">
        <v>3.7450000000000001</v>
      </c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</row>
    <row r="326" spans="1:42" ht="14.45" customHeight="1" x14ac:dyDescent="0.25">
      <c r="A326" s="125" t="s">
        <v>429</v>
      </c>
      <c r="B326" s="180"/>
      <c r="C326" s="63"/>
      <c r="D326" s="63"/>
      <c r="E326" s="63"/>
      <c r="F326" s="63"/>
      <c r="G326" s="63"/>
      <c r="H326" s="98">
        <v>2.76</v>
      </c>
      <c r="I326" s="98">
        <v>2.76</v>
      </c>
      <c r="J326" s="98">
        <v>2.33</v>
      </c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</row>
    <row r="327" spans="1:42" ht="14.45" customHeight="1" x14ac:dyDescent="0.25">
      <c r="A327" s="125" t="s">
        <v>417</v>
      </c>
      <c r="B327" s="180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98">
        <v>-7.3540000000000001</v>
      </c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</row>
    <row r="328" spans="1:42" ht="14.45" customHeight="1" x14ac:dyDescent="0.25">
      <c r="A328" s="125" t="s">
        <v>418</v>
      </c>
      <c r="B328" s="180"/>
      <c r="C328" s="98">
        <v>-1.04</v>
      </c>
      <c r="D328" s="98">
        <v>-2.77</v>
      </c>
      <c r="E328" s="98">
        <v>-0.38800000000000001</v>
      </c>
      <c r="F328" s="98">
        <v>-0.53</v>
      </c>
      <c r="G328" s="98">
        <v>-0.32700000000000001</v>
      </c>
      <c r="H328" s="98">
        <v>1.1870000000000001</v>
      </c>
      <c r="I328" s="98">
        <v>-3.4009999999999998</v>
      </c>
      <c r="J328" s="98">
        <v>-0.58899999999999997</v>
      </c>
      <c r="K328" s="98">
        <v>2.9670000000000001</v>
      </c>
      <c r="L328" s="98">
        <v>-0.29699999999999999</v>
      </c>
      <c r="M328" s="98">
        <v>0.46899999999999997</v>
      </c>
      <c r="N328" s="98">
        <v>11.586</v>
      </c>
      <c r="O328" s="98">
        <v>-6.62</v>
      </c>
      <c r="P328" s="98">
        <v>4.9400000000000004</v>
      </c>
      <c r="Q328" s="98">
        <v>-0.41299999999999998</v>
      </c>
      <c r="R328" s="98">
        <v>-8.0449999999999999</v>
      </c>
      <c r="S328" s="98">
        <v>3.8650000000000002</v>
      </c>
      <c r="T328" s="98">
        <v>-2.0710000000000002</v>
      </c>
      <c r="U328" s="98">
        <v>-1.7689999999999999</v>
      </c>
      <c r="V328" s="98">
        <v>-2.8119999999999998</v>
      </c>
      <c r="W328" s="98">
        <v>-0.84799999999999998</v>
      </c>
      <c r="X328" s="98">
        <v>-2.633</v>
      </c>
      <c r="Y328" s="98">
        <v>-4.22</v>
      </c>
      <c r="Z328" s="98">
        <v>2.46</v>
      </c>
      <c r="AA328" s="98">
        <v>-13.718999999999999</v>
      </c>
      <c r="AB328" s="98">
        <v>12.664999999999999</v>
      </c>
      <c r="AC328" s="98">
        <v>3.6110000000000002</v>
      </c>
      <c r="AD328" s="98">
        <v>0.34899999999999998</v>
      </c>
      <c r="AE328" s="98">
        <v>3.085</v>
      </c>
      <c r="AF328" s="98">
        <v>1.321</v>
      </c>
      <c r="AG328" s="98">
        <v>-0.67800000000000005</v>
      </c>
      <c r="AH328" s="98">
        <v>-2.6669999999999998</v>
      </c>
      <c r="AI328" s="98">
        <v>1.1990000000000001</v>
      </c>
      <c r="AJ328" s="98">
        <v>-1.329</v>
      </c>
      <c r="AK328" s="98">
        <v>-0.79500000000000004</v>
      </c>
      <c r="AL328" s="98">
        <v>2.2000000000000002</v>
      </c>
      <c r="AM328" s="98">
        <v>0.63400000000000001</v>
      </c>
      <c r="AN328" s="98">
        <v>-2.0089999999999999</v>
      </c>
      <c r="AO328" s="98">
        <v>-0.29399999999999998</v>
      </c>
      <c r="AP328" s="98">
        <v>-5.8999999999999997E-2</v>
      </c>
    </row>
    <row r="329" spans="1:42" ht="14.45" customHeight="1" x14ac:dyDescent="0.25">
      <c r="A329" s="125" t="s">
        <v>423</v>
      </c>
      <c r="B329" s="180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98">
        <v>2.476</v>
      </c>
      <c r="P329" s="98">
        <v>1.903</v>
      </c>
      <c r="Q329" s="98">
        <v>1.732</v>
      </c>
      <c r="R329" s="98">
        <v>1.194</v>
      </c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</row>
    <row r="330" spans="1:42" ht="14.45" customHeight="1" x14ac:dyDescent="0.25">
      <c r="A330" s="130" t="s">
        <v>419</v>
      </c>
      <c r="B330" s="190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02">
        <v>1.294</v>
      </c>
      <c r="Q330" s="102">
        <v>3.581</v>
      </c>
      <c r="R330" s="102">
        <v>5.702</v>
      </c>
      <c r="S330" s="102">
        <v>7.6999999999999999E-2</v>
      </c>
      <c r="T330" s="102">
        <v>0.64100000000000001</v>
      </c>
      <c r="U330" s="102">
        <v>3.1219999999999999</v>
      </c>
      <c r="V330" s="102">
        <v>0.54800000000000004</v>
      </c>
      <c r="W330" s="102">
        <v>0.38200000000000001</v>
      </c>
      <c r="X330" s="102">
        <v>2.48</v>
      </c>
      <c r="Y330" s="102">
        <v>4.3949999999999996</v>
      </c>
      <c r="Z330" s="102">
        <v>1.232</v>
      </c>
      <c r="AA330" s="102">
        <v>4.3999999999999997E-2</v>
      </c>
      <c r="AB330" s="102">
        <v>0.11700000000000001</v>
      </c>
      <c r="AC330" s="102">
        <v>0.375</v>
      </c>
      <c r="AD330" s="102">
        <v>7.0000000000000007E-2</v>
      </c>
      <c r="AE330" s="158"/>
      <c r="AF330" s="158"/>
      <c r="AG330" s="158"/>
      <c r="AH330" s="158"/>
      <c r="AI330" s="102">
        <v>0</v>
      </c>
      <c r="AJ330" s="158"/>
      <c r="AK330" s="158"/>
      <c r="AL330" s="158"/>
      <c r="AM330" s="158"/>
      <c r="AN330" s="158"/>
      <c r="AO330" s="158"/>
      <c r="AP330" s="158"/>
    </row>
    <row r="331" spans="1:42" ht="14.45" customHeight="1" x14ac:dyDescent="0.25">
      <c r="A331" s="135" t="s">
        <v>430</v>
      </c>
      <c r="B331" s="211"/>
      <c r="C331" s="109">
        <v>18.365000000000009</v>
      </c>
      <c r="D331" s="109">
        <v>44.36399999999999</v>
      </c>
      <c r="E331" s="109">
        <v>45.06700000000005</v>
      </c>
      <c r="F331" s="109">
        <v>10.174999999999709</v>
      </c>
      <c r="G331" s="109">
        <v>16.482999999999951</v>
      </c>
      <c r="H331" s="109">
        <v>47.513999999999868</v>
      </c>
      <c r="I331" s="109">
        <v>38.30800000000005</v>
      </c>
      <c r="J331" s="109">
        <v>18.454999999999469</v>
      </c>
      <c r="K331" s="109">
        <v>-3.579999999999901</v>
      </c>
      <c r="L331" s="109">
        <v>34.062999999999981</v>
      </c>
      <c r="M331" s="109">
        <v>55.289999999999893</v>
      </c>
      <c r="N331" s="109">
        <v>38.744999999999351</v>
      </c>
      <c r="O331" s="109">
        <v>20.739999999999991</v>
      </c>
      <c r="P331" s="109">
        <v>77.536000000000115</v>
      </c>
      <c r="Q331" s="109">
        <v>58.746000000000073</v>
      </c>
      <c r="R331" s="109">
        <v>38.390999999999742</v>
      </c>
      <c r="S331" s="109">
        <v>36.76299999999997</v>
      </c>
      <c r="T331" s="109">
        <v>81.687999999999946</v>
      </c>
      <c r="U331" s="109">
        <v>105.1969999999999</v>
      </c>
      <c r="V331" s="109">
        <v>83.977000000000032</v>
      </c>
      <c r="W331" s="109">
        <v>93.717999999999975</v>
      </c>
      <c r="X331" s="109">
        <v>120.7080000000001</v>
      </c>
      <c r="Y331" s="109">
        <v>137.20599999999999</v>
      </c>
      <c r="Z331" s="109">
        <v>90.786999999999793</v>
      </c>
      <c r="AA331" s="109">
        <v>117.3099999999999</v>
      </c>
      <c r="AB331" s="109">
        <v>160.0749999999999</v>
      </c>
      <c r="AC331" s="109">
        <v>193.91599999999991</v>
      </c>
      <c r="AD331" s="109">
        <v>173.25800000000021</v>
      </c>
      <c r="AE331" s="109">
        <v>209.1390000000001</v>
      </c>
      <c r="AF331" s="109">
        <v>234.99100000000001</v>
      </c>
      <c r="AG331" s="109">
        <v>215.58200000000019</v>
      </c>
      <c r="AH331" s="109">
        <v>175.8000000000001</v>
      </c>
      <c r="AI331" s="109">
        <v>216.60499999999999</v>
      </c>
      <c r="AJ331" s="109">
        <v>257.81099999999998</v>
      </c>
      <c r="AK331" s="109">
        <v>226.2600000000001</v>
      </c>
      <c r="AL331" s="109">
        <v>220.94900000000069</v>
      </c>
      <c r="AM331" s="109">
        <v>190.45400000000001</v>
      </c>
      <c r="AN331" s="109">
        <v>270.0750000000001</v>
      </c>
      <c r="AO331" s="109">
        <v>246.34000000000009</v>
      </c>
      <c r="AP331" s="109">
        <v>242.05899999999971</v>
      </c>
    </row>
    <row r="332" spans="1:42" ht="14.45" customHeight="1" x14ac:dyDescent="0.25">
      <c r="A332" s="111"/>
      <c r="B332" s="211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</row>
    <row r="333" spans="1:42" ht="14.45" customHeight="1" x14ac:dyDescent="0.25">
      <c r="A333" s="135" t="s">
        <v>431</v>
      </c>
      <c r="B333" s="211"/>
      <c r="C333" s="109">
        <v>-14.11099999999999</v>
      </c>
      <c r="D333" s="109">
        <v>27.961999999999989</v>
      </c>
      <c r="E333" s="109">
        <v>38.674000000000049</v>
      </c>
      <c r="F333" s="109">
        <v>40.186999999999713</v>
      </c>
      <c r="G333" s="109">
        <v>-8.1080000000000538</v>
      </c>
      <c r="H333" s="109">
        <v>11.323999999999881</v>
      </c>
      <c r="I333" s="109">
        <v>30.659000000000049</v>
      </c>
      <c r="J333" s="109">
        <v>29.130999999999482</v>
      </c>
      <c r="K333" s="109">
        <v>-26.532999999999902</v>
      </c>
      <c r="L333" s="109">
        <v>-2.8830000000000262</v>
      </c>
      <c r="M333" s="109">
        <v>43.442999999999877</v>
      </c>
      <c r="N333" s="109">
        <v>-27.31400000000065</v>
      </c>
      <c r="O333" s="109">
        <v>-8.5830000000000037</v>
      </c>
      <c r="P333" s="109">
        <v>24.03800000000011</v>
      </c>
      <c r="Q333" s="109">
        <v>22.170000000000059</v>
      </c>
      <c r="R333" s="109">
        <v>-3.400000000000269</v>
      </c>
      <c r="S333" s="109">
        <v>20.961999999999971</v>
      </c>
      <c r="T333" s="109">
        <v>57.79999999999994</v>
      </c>
      <c r="U333" s="109">
        <v>73.416999999999888</v>
      </c>
      <c r="V333" s="109">
        <v>88.861000000000033</v>
      </c>
      <c r="W333" s="109">
        <v>73.382999999999981</v>
      </c>
      <c r="X333" s="109">
        <v>65.455000000000055</v>
      </c>
      <c r="Y333" s="109">
        <v>93.951999999999998</v>
      </c>
      <c r="Z333" s="109">
        <v>22.358999999999799</v>
      </c>
      <c r="AA333" s="109">
        <v>126.5649999999999</v>
      </c>
      <c r="AB333" s="109">
        <v>133.94799999999989</v>
      </c>
      <c r="AC333" s="109">
        <v>159.10099999999991</v>
      </c>
      <c r="AD333" s="109">
        <v>155.47300000000021</v>
      </c>
      <c r="AE333" s="109">
        <v>159.20200000000011</v>
      </c>
      <c r="AF333" s="109">
        <v>164.75200000000001</v>
      </c>
      <c r="AG333" s="109">
        <v>120.98400000000019</v>
      </c>
      <c r="AH333" s="109">
        <v>112.54300000000011</v>
      </c>
      <c r="AI333" s="109">
        <v>222.83500000000001</v>
      </c>
      <c r="AJ333" s="109">
        <v>232.22500000000011</v>
      </c>
      <c r="AK333" s="109">
        <v>155.56299999999999</v>
      </c>
      <c r="AL333" s="109">
        <v>246.03100000000069</v>
      </c>
      <c r="AM333" s="109">
        <v>139.4730000000001</v>
      </c>
      <c r="AN333" s="109">
        <v>252.9920000000001</v>
      </c>
      <c r="AO333" s="109">
        <v>192.2300000000001</v>
      </c>
      <c r="AP333" s="109">
        <v>188.2229999999997</v>
      </c>
    </row>
    <row r="334" spans="1:42" ht="14.45" customHeight="1" x14ac:dyDescent="0.25">
      <c r="A334" s="125" t="s">
        <v>411</v>
      </c>
      <c r="B334" s="180"/>
      <c r="C334" s="98">
        <v>-1.206</v>
      </c>
      <c r="D334" s="98">
        <v>-13.502000000000001</v>
      </c>
      <c r="E334" s="98">
        <v>-2.512</v>
      </c>
      <c r="F334" s="98">
        <v>-5.1529999999999996</v>
      </c>
      <c r="G334" s="98">
        <v>-4.45</v>
      </c>
      <c r="H334" s="98">
        <v>-15.32</v>
      </c>
      <c r="I334" s="98">
        <v>-10.329000000000001</v>
      </c>
      <c r="J334" s="98">
        <v>0.41499999999999998</v>
      </c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</row>
    <row r="335" spans="1:42" ht="14.45" customHeight="1" x14ac:dyDescent="0.25">
      <c r="A335" s="125" t="s">
        <v>412</v>
      </c>
      <c r="B335" s="180"/>
      <c r="C335" s="63"/>
      <c r="D335" s="63"/>
      <c r="E335" s="63"/>
      <c r="F335" s="98">
        <v>-11.538</v>
      </c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</row>
    <row r="336" spans="1:42" ht="14.45" customHeight="1" x14ac:dyDescent="0.25">
      <c r="A336" s="125" t="s">
        <v>432</v>
      </c>
      <c r="B336" s="180"/>
      <c r="C336" s="63"/>
      <c r="D336" s="63"/>
      <c r="E336" s="63"/>
      <c r="F336" s="63"/>
      <c r="G336" s="63"/>
      <c r="H336" s="98">
        <v>9.4420000000000002</v>
      </c>
      <c r="I336" s="63"/>
      <c r="J336" s="98">
        <v>-2.4460000000000002</v>
      </c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</row>
    <row r="337" spans="1:42" ht="14.45" customHeight="1" x14ac:dyDescent="0.25">
      <c r="A337" s="125" t="s">
        <v>416</v>
      </c>
      <c r="B337" s="180"/>
      <c r="C337" s="63"/>
      <c r="D337" s="63"/>
      <c r="E337" s="63"/>
      <c r="F337" s="63"/>
      <c r="G337" s="63"/>
      <c r="H337" s="63"/>
      <c r="I337" s="63"/>
      <c r="J337" s="98">
        <v>17.170999999999999</v>
      </c>
      <c r="K337" s="98">
        <v>12.45</v>
      </c>
      <c r="L337" s="98">
        <v>9.8710000000000004</v>
      </c>
      <c r="M337" s="98">
        <v>10.417</v>
      </c>
      <c r="N337" s="98">
        <v>10.598000000000001</v>
      </c>
      <c r="O337" s="98">
        <v>4.7300000000000004</v>
      </c>
      <c r="P337" s="98">
        <v>2.1850000000000001</v>
      </c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</row>
    <row r="338" spans="1:42" ht="14.45" customHeight="1" x14ac:dyDescent="0.25">
      <c r="A338" s="125" t="s">
        <v>433</v>
      </c>
      <c r="B338" s="180"/>
      <c r="C338" s="63"/>
      <c r="D338" s="63"/>
      <c r="E338" s="63"/>
      <c r="F338" s="63"/>
      <c r="G338" s="63"/>
      <c r="H338" s="63"/>
      <c r="I338" s="63"/>
      <c r="J338" s="98">
        <v>-0.52900000000000003</v>
      </c>
      <c r="K338" s="63"/>
      <c r="L338" s="63"/>
      <c r="M338" s="98">
        <v>-10.17</v>
      </c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</row>
    <row r="339" spans="1:42" ht="14.45" customHeight="1" x14ac:dyDescent="0.25">
      <c r="A339" s="125" t="s">
        <v>434</v>
      </c>
      <c r="B339" s="180"/>
      <c r="C339" s="63"/>
      <c r="D339" s="63"/>
      <c r="E339" s="63"/>
      <c r="F339" s="63"/>
      <c r="G339" s="63"/>
      <c r="H339" s="63"/>
      <c r="I339" s="63"/>
      <c r="J339" s="98">
        <v>-12.364000000000001</v>
      </c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</row>
    <row r="340" spans="1:42" ht="14.45" customHeight="1" x14ac:dyDescent="0.25">
      <c r="A340" s="125" t="s">
        <v>435</v>
      </c>
      <c r="B340" s="180"/>
      <c r="C340" s="63"/>
      <c r="D340" s="63"/>
      <c r="E340" s="63"/>
      <c r="F340" s="63"/>
      <c r="G340" s="63"/>
      <c r="H340" s="63"/>
      <c r="I340" s="63"/>
      <c r="J340" s="98">
        <v>-6.0119999999999996</v>
      </c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</row>
    <row r="341" spans="1:42" ht="14.45" customHeight="1" x14ac:dyDescent="0.25">
      <c r="A341" s="125" t="s">
        <v>422</v>
      </c>
      <c r="B341" s="180"/>
      <c r="C341" s="63"/>
      <c r="D341" s="63"/>
      <c r="E341" s="63"/>
      <c r="F341" s="63"/>
      <c r="G341" s="63"/>
      <c r="H341" s="63"/>
      <c r="I341" s="63"/>
      <c r="J341" s="63"/>
      <c r="K341" s="63"/>
      <c r="L341" s="98">
        <v>4.8099999999999996</v>
      </c>
      <c r="M341" s="63"/>
      <c r="N341" s="98">
        <v>3.7450000000000001</v>
      </c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</row>
    <row r="342" spans="1:42" ht="14.45" customHeight="1" x14ac:dyDescent="0.25">
      <c r="A342" s="125" t="s">
        <v>426</v>
      </c>
      <c r="B342" s="180"/>
      <c r="C342" s="98">
        <v>6.423</v>
      </c>
      <c r="D342" s="98">
        <v>7.0049999999999999</v>
      </c>
      <c r="E342" s="98">
        <v>9.7799999999999994</v>
      </c>
      <c r="F342" s="98">
        <v>9.0660000000000007</v>
      </c>
      <c r="G342" s="98">
        <v>7.6520000000000001</v>
      </c>
      <c r="H342" s="98">
        <v>11.574</v>
      </c>
      <c r="I342" s="98">
        <v>13.148</v>
      </c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</row>
    <row r="343" spans="1:42" ht="14.45" customHeight="1" x14ac:dyDescent="0.25">
      <c r="A343" s="125" t="s">
        <v>413</v>
      </c>
      <c r="B343" s="180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</row>
    <row r="344" spans="1:42" ht="14.45" customHeight="1" x14ac:dyDescent="0.25">
      <c r="A344" s="125" t="s">
        <v>436</v>
      </c>
      <c r="B344" s="180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</row>
    <row r="345" spans="1:42" ht="14.45" customHeight="1" x14ac:dyDescent="0.25">
      <c r="A345" s="125" t="s">
        <v>437</v>
      </c>
      <c r="B345" s="180"/>
      <c r="C345" s="63"/>
      <c r="D345" s="98">
        <v>0.69199999999999995</v>
      </c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</row>
    <row r="346" spans="1:42" ht="14.45" customHeight="1" x14ac:dyDescent="0.25">
      <c r="A346" s="125" t="s">
        <v>401</v>
      </c>
      <c r="B346" s="180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</row>
    <row r="347" spans="1:42" ht="14.45" customHeight="1" x14ac:dyDescent="0.25">
      <c r="A347" s="125" t="s">
        <v>427</v>
      </c>
      <c r="B347" s="180"/>
      <c r="C347" s="98">
        <v>4</v>
      </c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</row>
    <row r="348" spans="1:42" ht="14.45" customHeight="1" x14ac:dyDescent="0.25">
      <c r="A348" s="125" t="s">
        <v>428</v>
      </c>
      <c r="B348" s="180"/>
      <c r="C348" s="98">
        <v>-2.2130000000000001</v>
      </c>
      <c r="D348" s="98">
        <v>-1.105</v>
      </c>
      <c r="E348" s="98">
        <v>-1.6140000000000001</v>
      </c>
      <c r="F348" s="98">
        <v>-2.5910000000000002</v>
      </c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</row>
    <row r="349" spans="1:42" ht="14.45" customHeight="1" x14ac:dyDescent="0.25">
      <c r="A349" s="125" t="s">
        <v>438</v>
      </c>
      <c r="B349" s="180"/>
      <c r="C349" s="98">
        <v>17.151</v>
      </c>
      <c r="D349" s="98">
        <v>16.274000000000001</v>
      </c>
      <c r="E349" s="98">
        <v>-7.3650000000000002</v>
      </c>
      <c r="F349" s="98">
        <v>-27.97</v>
      </c>
      <c r="G349" s="98">
        <v>12.246</v>
      </c>
      <c r="H349" s="98">
        <v>16.119</v>
      </c>
      <c r="I349" s="98">
        <v>-5.2249999999999996</v>
      </c>
      <c r="J349" s="98">
        <v>-19.914000000000001</v>
      </c>
      <c r="K349" s="98">
        <v>-5.1859999999999999</v>
      </c>
      <c r="L349" s="98">
        <v>9.1430000000000007</v>
      </c>
      <c r="M349" s="98">
        <v>-2.3730000000000002</v>
      </c>
      <c r="N349" s="98">
        <v>27.183</v>
      </c>
      <c r="O349" s="98">
        <v>14.045999999999999</v>
      </c>
      <c r="P349" s="98">
        <v>29.222000000000001</v>
      </c>
      <c r="Q349" s="98">
        <v>18.748999999999999</v>
      </c>
      <c r="R349" s="98">
        <v>30.771000000000001</v>
      </c>
      <c r="S349" s="98">
        <v>0.71199999999999997</v>
      </c>
      <c r="T349" s="98">
        <v>14.548</v>
      </c>
      <c r="U349" s="98">
        <v>19.808</v>
      </c>
      <c r="V349" s="98">
        <v>-3.8580000000000001</v>
      </c>
      <c r="W349" s="98">
        <v>10.997999999999999</v>
      </c>
      <c r="X349" s="98">
        <v>45.982999999999997</v>
      </c>
      <c r="Y349" s="98">
        <v>33.923999999999999</v>
      </c>
      <c r="Z349" s="98">
        <v>55.402999999999999</v>
      </c>
      <c r="AA349" s="98">
        <v>-5.4569999999999999</v>
      </c>
      <c r="AB349" s="98">
        <v>4.0209999999999999</v>
      </c>
      <c r="AC349" s="98">
        <v>22.568000000000001</v>
      </c>
      <c r="AD349" s="98">
        <v>11.169</v>
      </c>
      <c r="AE349" s="98">
        <v>41.654000000000003</v>
      </c>
      <c r="AF349" s="98">
        <v>25.52</v>
      </c>
      <c r="AG349" s="98">
        <v>18.864000000000001</v>
      </c>
      <c r="AH349" s="98">
        <v>73.316000000000003</v>
      </c>
      <c r="AI349" s="98">
        <v>-5.5410000000000004</v>
      </c>
      <c r="AJ349" s="98">
        <v>27.826000000000001</v>
      </c>
      <c r="AK349" s="98">
        <v>68.591999999999999</v>
      </c>
      <c r="AL349" s="98">
        <v>-31.710999999999999</v>
      </c>
      <c r="AM349" s="98">
        <v>42.728000000000002</v>
      </c>
      <c r="AN349" s="98">
        <v>12.39</v>
      </c>
      <c r="AO349" s="98">
        <v>49.35</v>
      </c>
      <c r="AP349" s="98">
        <v>27.433</v>
      </c>
    </row>
    <row r="350" spans="1:42" ht="14.45" customHeight="1" x14ac:dyDescent="0.25">
      <c r="A350" s="125" t="s">
        <v>429</v>
      </c>
      <c r="B350" s="180"/>
      <c r="C350" s="63"/>
      <c r="D350" s="63"/>
      <c r="E350" s="63"/>
      <c r="F350" s="63"/>
      <c r="G350" s="63"/>
      <c r="H350" s="98">
        <v>2.76</v>
      </c>
      <c r="I350" s="98">
        <v>2.76</v>
      </c>
      <c r="J350" s="98">
        <v>2.33</v>
      </c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</row>
    <row r="351" spans="1:42" ht="14.45" customHeight="1" x14ac:dyDescent="0.25">
      <c r="A351" s="125" t="s">
        <v>418</v>
      </c>
      <c r="B351" s="180"/>
      <c r="C351" s="98">
        <v>-1.04</v>
      </c>
      <c r="D351" s="98">
        <v>-2.77</v>
      </c>
      <c r="E351" s="98">
        <v>-0.38800000000000001</v>
      </c>
      <c r="F351" s="98">
        <v>-0.53</v>
      </c>
      <c r="G351" s="98">
        <v>-0.32700000000000001</v>
      </c>
      <c r="H351" s="98">
        <v>1.1870000000000001</v>
      </c>
      <c r="I351" s="98">
        <v>-3.4009999999999998</v>
      </c>
      <c r="J351" s="98">
        <v>-0.58899999999999997</v>
      </c>
      <c r="K351" s="98">
        <v>2.9670000000000001</v>
      </c>
      <c r="L351" s="98">
        <v>-0.29699999999999999</v>
      </c>
      <c r="M351" s="98">
        <v>0.46899999999999997</v>
      </c>
      <c r="N351" s="98">
        <v>11.586</v>
      </c>
      <c r="O351" s="98">
        <v>-6.62</v>
      </c>
      <c r="P351" s="98">
        <v>4.9400000000000004</v>
      </c>
      <c r="Q351" s="98">
        <v>-0.41299999999999998</v>
      </c>
      <c r="R351" s="98">
        <v>-8.0449999999999999</v>
      </c>
      <c r="S351" s="98">
        <v>3.8650000000000002</v>
      </c>
      <c r="T351" s="98">
        <v>-2.0710000000000002</v>
      </c>
      <c r="U351" s="98">
        <v>-1.7689999999999999</v>
      </c>
      <c r="V351" s="98">
        <v>-2.8119999999999998</v>
      </c>
      <c r="W351" s="98">
        <v>-0.84799999999999998</v>
      </c>
      <c r="X351" s="98">
        <v>-2.633</v>
      </c>
      <c r="Y351" s="98">
        <v>-4.22</v>
      </c>
      <c r="Z351" s="98">
        <v>2.46</v>
      </c>
      <c r="AA351" s="98">
        <v>-13.718999999999999</v>
      </c>
      <c r="AB351" s="98">
        <v>12.664999999999999</v>
      </c>
      <c r="AC351" s="98">
        <v>3.6110000000000002</v>
      </c>
      <c r="AD351" s="98">
        <v>0.34899999999999998</v>
      </c>
      <c r="AE351" s="98">
        <v>3.085</v>
      </c>
      <c r="AF351" s="98">
        <v>1.321</v>
      </c>
      <c r="AG351" s="98">
        <v>-0.67800000000000005</v>
      </c>
      <c r="AH351" s="98">
        <v>-2.6669999999999998</v>
      </c>
      <c r="AI351" s="98">
        <v>1.1990000000000001</v>
      </c>
      <c r="AJ351" s="98">
        <v>-1.329</v>
      </c>
      <c r="AK351" s="98">
        <v>-0.79500000000000004</v>
      </c>
      <c r="AL351" s="98">
        <v>2.2000000000000002</v>
      </c>
      <c r="AM351" s="98">
        <v>0.63400000000000001</v>
      </c>
      <c r="AN351" s="98">
        <v>-2.0089999999999999</v>
      </c>
      <c r="AO351" s="98">
        <v>-0.29399999999999998</v>
      </c>
      <c r="AP351" s="98">
        <v>-5.8999999999999997E-2</v>
      </c>
    </row>
    <row r="352" spans="1:42" ht="14.45" customHeight="1" x14ac:dyDescent="0.25">
      <c r="A352" s="125" t="s">
        <v>423</v>
      </c>
      <c r="B352" s="180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98">
        <v>2.476</v>
      </c>
      <c r="P352" s="98">
        <v>1.903</v>
      </c>
      <c r="Q352" s="98">
        <v>1.732</v>
      </c>
      <c r="R352" s="98">
        <v>1.194</v>
      </c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</row>
    <row r="353" spans="1:42" ht="14.45" customHeight="1" x14ac:dyDescent="0.25">
      <c r="A353" s="125" t="s">
        <v>419</v>
      </c>
      <c r="B353" s="180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98">
        <v>1.294</v>
      </c>
      <c r="Q353" s="98">
        <v>3.581</v>
      </c>
      <c r="R353" s="98">
        <v>5.702</v>
      </c>
      <c r="S353" s="98">
        <v>7.6999999999999999E-2</v>
      </c>
      <c r="T353" s="98">
        <v>0.64100000000000001</v>
      </c>
      <c r="U353" s="98">
        <v>3.1219999999999999</v>
      </c>
      <c r="V353" s="98">
        <v>0.54800000000000004</v>
      </c>
      <c r="W353" s="98">
        <v>0.38200000000000001</v>
      </c>
      <c r="X353" s="98">
        <v>2.48</v>
      </c>
      <c r="Y353" s="98">
        <v>4.3949999999999996</v>
      </c>
      <c r="Z353" s="98">
        <v>1.232</v>
      </c>
      <c r="AA353" s="98">
        <v>4.3999999999999997E-2</v>
      </c>
      <c r="AB353" s="98">
        <v>0.11700000000000001</v>
      </c>
      <c r="AC353" s="98">
        <v>0.375</v>
      </c>
      <c r="AD353" s="98">
        <v>7.0000000000000007E-2</v>
      </c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</row>
    <row r="354" spans="1:42" ht="14.45" customHeight="1" x14ac:dyDescent="0.25">
      <c r="A354" s="125" t="s">
        <v>439</v>
      </c>
      <c r="B354" s="180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98">
        <v>39.777000000000001</v>
      </c>
      <c r="AG354" s="98">
        <v>77.319000000000003</v>
      </c>
      <c r="AH354" s="98">
        <v>-4.3</v>
      </c>
      <c r="AI354" s="63"/>
      <c r="AJ354" s="63"/>
      <c r="AK354" s="63"/>
      <c r="AL354" s="63"/>
      <c r="AM354" s="63"/>
      <c r="AN354" s="63"/>
      <c r="AO354" s="63"/>
      <c r="AP354" s="63"/>
    </row>
    <row r="355" spans="1:42" ht="14.45" customHeight="1" x14ac:dyDescent="0.25">
      <c r="A355" s="125" t="s">
        <v>417</v>
      </c>
      <c r="B355" s="180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98">
        <v>-7.3540000000000001</v>
      </c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</row>
    <row r="356" spans="1:42" ht="14.45" customHeight="1" x14ac:dyDescent="0.25">
      <c r="A356" s="125" t="s">
        <v>440</v>
      </c>
      <c r="B356" s="180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</row>
    <row r="357" spans="1:42" ht="14.45" customHeight="1" x14ac:dyDescent="0.25">
      <c r="A357" s="110" t="s">
        <v>441</v>
      </c>
      <c r="B357" s="212"/>
      <c r="C357" s="106">
        <v>9.004000000000012</v>
      </c>
      <c r="D357" s="106">
        <v>34.55599999999999</v>
      </c>
      <c r="E357" s="106">
        <v>36.575000000000053</v>
      </c>
      <c r="F357" s="106">
        <v>1.4709999999997061</v>
      </c>
      <c r="G357" s="106">
        <v>7.0129999999999466</v>
      </c>
      <c r="H357" s="106">
        <v>37.085999999999871</v>
      </c>
      <c r="I357" s="106">
        <v>27.612000000000052</v>
      </c>
      <c r="J357" s="106">
        <v>7.1929999999994676</v>
      </c>
      <c r="K357" s="106">
        <v>-16.3019999999999</v>
      </c>
      <c r="L357" s="106">
        <v>20.64399999999997</v>
      </c>
      <c r="M357" s="106">
        <v>41.785999999999888</v>
      </c>
      <c r="N357" s="106">
        <v>25.797999999999352</v>
      </c>
      <c r="O357" s="106">
        <v>6.0489999999999959</v>
      </c>
      <c r="P357" s="106">
        <v>63.582000000000107</v>
      </c>
      <c r="Q357" s="106">
        <v>45.819000000000059</v>
      </c>
      <c r="R357" s="106">
        <v>26.221999999999731</v>
      </c>
      <c r="S357" s="106">
        <v>25.615999999999971</v>
      </c>
      <c r="T357" s="106">
        <v>70.91799999999995</v>
      </c>
      <c r="U357" s="106">
        <v>94.577999999999875</v>
      </c>
      <c r="V357" s="106">
        <v>75.385000000000034</v>
      </c>
      <c r="W357" s="106">
        <v>83.914999999999992</v>
      </c>
      <c r="X357" s="106">
        <v>111.2850000000001</v>
      </c>
      <c r="Y357" s="106">
        <v>128.05099999999999</v>
      </c>
      <c r="Z357" s="106">
        <v>81.453999999999795</v>
      </c>
      <c r="AA357" s="106">
        <v>107.43299999999989</v>
      </c>
      <c r="AB357" s="106">
        <v>150.75099999999989</v>
      </c>
      <c r="AC357" s="106">
        <v>185.65499999999989</v>
      </c>
      <c r="AD357" s="106">
        <v>167.06100000000009</v>
      </c>
      <c r="AE357" s="106">
        <v>203.94100000000009</v>
      </c>
      <c r="AF357" s="106">
        <v>231.37</v>
      </c>
      <c r="AG357" s="106">
        <v>216.48900000000009</v>
      </c>
      <c r="AH357" s="106">
        <v>178.89200000000011</v>
      </c>
      <c r="AI357" s="106">
        <v>218.49299999999999</v>
      </c>
      <c r="AJ357" s="106">
        <v>258.72199999999998</v>
      </c>
      <c r="AK357" s="106">
        <v>223.36</v>
      </c>
      <c r="AL357" s="106">
        <v>216.52000000000069</v>
      </c>
      <c r="AM357" s="106">
        <v>182.83500000000009</v>
      </c>
      <c r="AN357" s="106">
        <v>263.3730000000001</v>
      </c>
      <c r="AO357" s="106">
        <v>241.28600000000009</v>
      </c>
      <c r="AP357" s="106">
        <v>215.5969999999997</v>
      </c>
    </row>
    <row r="358" spans="1:42" ht="14.45" customHeight="1" x14ac:dyDescent="0.25">
      <c r="A358" s="111"/>
      <c r="B358" s="211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</row>
    <row r="359" spans="1:42" ht="14.45" customHeight="1" x14ac:dyDescent="0.25">
      <c r="A359" s="219" t="s">
        <v>442</v>
      </c>
      <c r="B359" s="211"/>
      <c r="C359" s="109">
        <v>-10.04099999999999</v>
      </c>
      <c r="D359" s="109">
        <v>15.65199999999999</v>
      </c>
      <c r="E359" s="109">
        <v>23.142000000000049</v>
      </c>
      <c r="F359" s="109">
        <v>21.392999999999699</v>
      </c>
      <c r="G359" s="109">
        <v>-5.0510000000000543</v>
      </c>
      <c r="H359" s="109">
        <v>6.3479999999998764</v>
      </c>
      <c r="I359" s="109">
        <v>17.316000000000049</v>
      </c>
      <c r="J359" s="109">
        <v>77.921999999999485</v>
      </c>
      <c r="K359" s="109">
        <v>-14.184999999999899</v>
      </c>
      <c r="L359" s="109">
        <v>-3.933000000000026</v>
      </c>
      <c r="M359" s="109">
        <v>25.163999999999881</v>
      </c>
      <c r="N359" s="109">
        <v>-26.976000000000369</v>
      </c>
      <c r="O359" s="109">
        <v>-6.831000000000004</v>
      </c>
      <c r="P359" s="109">
        <v>15.370000000000109</v>
      </c>
      <c r="Q359" s="109">
        <v>13.006000000000061</v>
      </c>
      <c r="R359" s="109">
        <v>-10.17000000000027</v>
      </c>
      <c r="S359" s="109">
        <v>14.661999999999971</v>
      </c>
      <c r="T359" s="109">
        <v>39.568999999999953</v>
      </c>
      <c r="U359" s="109">
        <v>51.883999999999887</v>
      </c>
      <c r="V359" s="109">
        <v>66.378000000000043</v>
      </c>
      <c r="W359" s="109">
        <v>53.362999999999992</v>
      </c>
      <c r="X359" s="109">
        <v>48.180000000000057</v>
      </c>
      <c r="Y359" s="109">
        <v>68.930000000000007</v>
      </c>
      <c r="Z359" s="109">
        <v>19.10699999999979</v>
      </c>
      <c r="AA359" s="109">
        <v>93.389999999999901</v>
      </c>
      <c r="AB359" s="109">
        <v>99.561999999999898</v>
      </c>
      <c r="AC359" s="109">
        <v>118.7609999999999</v>
      </c>
      <c r="AD359" s="109">
        <v>118.44500000000021</v>
      </c>
      <c r="AE359" s="109">
        <v>118.12700000000009</v>
      </c>
      <c r="AF359" s="109">
        <v>122.319</v>
      </c>
      <c r="AG359" s="109">
        <v>92.09300000000016</v>
      </c>
      <c r="AH359" s="109">
        <v>75.836000000000084</v>
      </c>
      <c r="AI359" s="109">
        <v>165.74100000000001</v>
      </c>
      <c r="AJ359" s="109">
        <v>172.8120000000001</v>
      </c>
      <c r="AK359" s="109">
        <v>115.62400000000009</v>
      </c>
      <c r="AL359" s="109">
        <v>178.94800000000069</v>
      </c>
      <c r="AM359" s="109">
        <v>103.6110000000001</v>
      </c>
      <c r="AN359" s="109">
        <v>187.38700000000011</v>
      </c>
      <c r="AO359" s="109">
        <v>142.33400000000009</v>
      </c>
      <c r="AP359" s="109">
        <v>137.24999999999969</v>
      </c>
    </row>
    <row r="360" spans="1:42" ht="14.45" customHeight="1" x14ac:dyDescent="0.25">
      <c r="A360" s="125" t="s">
        <v>443</v>
      </c>
      <c r="B360" s="180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99">
        <v>0</v>
      </c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</row>
    <row r="361" spans="1:42" ht="14.45" customHeight="1" x14ac:dyDescent="0.25">
      <c r="A361" s="125" t="s">
        <v>444</v>
      </c>
      <c r="B361" s="180"/>
      <c r="C361" s="63"/>
      <c r="D361" s="98">
        <v>-1.7010000000000001</v>
      </c>
      <c r="E361" s="98">
        <v>-0.23899999999999999</v>
      </c>
      <c r="F361" s="98">
        <v>-0.32700000000000001</v>
      </c>
      <c r="G361" s="98">
        <v>-0.20100000000000001</v>
      </c>
      <c r="H361" s="98">
        <v>0.72899999999999998</v>
      </c>
      <c r="I361" s="98">
        <v>-2.0880000000000001</v>
      </c>
      <c r="J361" s="98">
        <v>-0.254</v>
      </c>
      <c r="K361" s="98">
        <v>2.2309999999999999</v>
      </c>
      <c r="L361" s="98">
        <v>-0.223</v>
      </c>
      <c r="M361" s="98">
        <v>0.35299999999999998</v>
      </c>
      <c r="N361" s="99">
        <v>8.8590000000000018</v>
      </c>
      <c r="O361" s="98">
        <v>-4.9779999999999998</v>
      </c>
      <c r="P361" s="98">
        <v>3.7149999999999999</v>
      </c>
      <c r="Q361" s="98">
        <v>-0.311</v>
      </c>
      <c r="R361" s="98">
        <v>-6.03</v>
      </c>
      <c r="S361" s="98">
        <v>2.9060000000000001</v>
      </c>
      <c r="T361" s="98">
        <v>-1.5569999999999999</v>
      </c>
      <c r="U361" s="98">
        <v>-1.33</v>
      </c>
      <c r="V361" s="98">
        <v>-2.109</v>
      </c>
      <c r="W361" s="98">
        <v>-0.63600000000000001</v>
      </c>
      <c r="X361" s="98">
        <v>-1.9750000000000001</v>
      </c>
      <c r="Y361" s="98">
        <v>-3.169</v>
      </c>
      <c r="Z361" s="98">
        <v>1.849</v>
      </c>
      <c r="AA361" s="98">
        <v>-10.33</v>
      </c>
      <c r="AB361" s="98">
        <v>9.5359999999999996</v>
      </c>
      <c r="AC361" s="98">
        <v>2.7189999999999999</v>
      </c>
      <c r="AD361" s="98">
        <v>0.26200000000000001</v>
      </c>
      <c r="AE361" s="98">
        <v>2.323</v>
      </c>
      <c r="AF361" s="98">
        <v>0.99399999999999999</v>
      </c>
      <c r="AG361" s="98">
        <v>-0.51</v>
      </c>
      <c r="AH361" s="98">
        <v>-2.0089999999999999</v>
      </c>
      <c r="AI361" s="98">
        <v>0.90300000000000002</v>
      </c>
      <c r="AJ361" s="98">
        <v>-1.0009999999999999</v>
      </c>
      <c r="AK361" s="98">
        <v>-0.59899999999999998</v>
      </c>
      <c r="AL361" s="98">
        <v>1.6559999999999999</v>
      </c>
      <c r="AM361" s="98">
        <v>0.47699999999999998</v>
      </c>
      <c r="AN361" s="98">
        <v>-1.5109999999999999</v>
      </c>
      <c r="AO361" s="98">
        <v>-0.221</v>
      </c>
      <c r="AP361" s="98">
        <v>-4.3999999999999997E-2</v>
      </c>
    </row>
    <row r="362" spans="1:42" ht="14.45" customHeight="1" x14ac:dyDescent="0.25">
      <c r="A362" s="125" t="s">
        <v>445</v>
      </c>
      <c r="B362" s="180"/>
      <c r="C362" s="63"/>
      <c r="D362" s="98">
        <v>-9.8079999999999998</v>
      </c>
      <c r="E362" s="98">
        <v>-1.4950000000000001</v>
      </c>
      <c r="F362" s="98">
        <v>-2.8210000000000002</v>
      </c>
      <c r="G362" s="98">
        <v>-2.7320000000000002</v>
      </c>
      <c r="H362" s="98">
        <v>-9.4060000000000006</v>
      </c>
      <c r="I362" s="98">
        <v>-6.3419999999999996</v>
      </c>
      <c r="J362" s="98">
        <v>0.17899999999999999</v>
      </c>
      <c r="K362" s="63"/>
      <c r="L362" s="63"/>
      <c r="M362" s="63"/>
      <c r="N362" s="99">
        <v>0</v>
      </c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</row>
    <row r="363" spans="1:42" ht="14.45" customHeight="1" x14ac:dyDescent="0.25">
      <c r="A363" s="125" t="s">
        <v>429</v>
      </c>
      <c r="B363" s="180"/>
      <c r="C363" s="63"/>
      <c r="D363" s="63"/>
      <c r="E363" s="63"/>
      <c r="F363" s="63"/>
      <c r="G363" s="63"/>
      <c r="H363" s="98">
        <v>1.6950000000000001</v>
      </c>
      <c r="I363" s="98">
        <v>1.6950000000000001</v>
      </c>
      <c r="J363" s="98">
        <v>1.004</v>
      </c>
      <c r="K363" s="63"/>
      <c r="L363" s="63"/>
      <c r="M363" s="63"/>
      <c r="N363" s="99">
        <v>1.6779999999999999</v>
      </c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</row>
    <row r="364" spans="1:42" ht="14.45" customHeight="1" x14ac:dyDescent="0.25">
      <c r="A364" s="125" t="s">
        <v>446</v>
      </c>
      <c r="B364" s="180"/>
      <c r="C364" s="98">
        <v>3.9430000000000001</v>
      </c>
      <c r="D364" s="98">
        <v>4.3010000000000002</v>
      </c>
      <c r="E364" s="98">
        <v>6.0149999999999997</v>
      </c>
      <c r="F364" s="98">
        <v>5.5759999999999996</v>
      </c>
      <c r="G364" s="63"/>
      <c r="H364" s="63"/>
      <c r="I364" s="63"/>
      <c r="J364" s="63"/>
      <c r="K364" s="63"/>
      <c r="L364" s="63"/>
      <c r="M364" s="63"/>
      <c r="N364" s="99">
        <v>0</v>
      </c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</row>
    <row r="365" spans="1:42" ht="14.45" customHeight="1" x14ac:dyDescent="0.25">
      <c r="A365" s="125" t="s">
        <v>432</v>
      </c>
      <c r="B365" s="180"/>
      <c r="C365" s="63"/>
      <c r="D365" s="63"/>
      <c r="E365" s="63"/>
      <c r="F365" s="63"/>
      <c r="G365" s="63"/>
      <c r="H365" s="63"/>
      <c r="I365" s="63"/>
      <c r="J365" s="98">
        <v>-1.054</v>
      </c>
      <c r="K365" s="63"/>
      <c r="L365" s="63"/>
      <c r="M365" s="63"/>
      <c r="N365" s="99">
        <v>0</v>
      </c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</row>
    <row r="366" spans="1:42" ht="14.45" customHeight="1" x14ac:dyDescent="0.25">
      <c r="A366" s="125" t="s">
        <v>447</v>
      </c>
      <c r="B366" s="180"/>
      <c r="C366" s="63"/>
      <c r="D366" s="63"/>
      <c r="E366" s="63"/>
      <c r="F366" s="63"/>
      <c r="G366" s="63"/>
      <c r="H366" s="63"/>
      <c r="I366" s="63"/>
      <c r="J366" s="98">
        <v>7.4009999999999998</v>
      </c>
      <c r="K366" s="98">
        <v>9.3620000000000001</v>
      </c>
      <c r="L366" s="98">
        <v>7.423</v>
      </c>
      <c r="M366" s="98">
        <v>7.8339999999999996</v>
      </c>
      <c r="N366" s="99">
        <v>8.4029999999999987</v>
      </c>
      <c r="O366" s="98">
        <v>3.5569999999999999</v>
      </c>
      <c r="P366" s="98">
        <v>1.643</v>
      </c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</row>
    <row r="367" spans="1:42" ht="14.45" customHeight="1" x14ac:dyDescent="0.25">
      <c r="A367" s="125" t="s">
        <v>422</v>
      </c>
      <c r="B367" s="180"/>
      <c r="C367" s="63"/>
      <c r="D367" s="63"/>
      <c r="E367" s="63"/>
      <c r="F367" s="63"/>
      <c r="G367" s="63"/>
      <c r="H367" s="63"/>
      <c r="I367" s="63"/>
      <c r="J367" s="63"/>
      <c r="K367" s="63"/>
      <c r="L367" s="98">
        <v>3.617</v>
      </c>
      <c r="M367" s="63"/>
      <c r="N367" s="99">
        <v>2.9020000000000001</v>
      </c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</row>
    <row r="368" spans="1:42" ht="14.45" customHeight="1" x14ac:dyDescent="0.25">
      <c r="A368" s="125" t="s">
        <v>434</v>
      </c>
      <c r="B368" s="180"/>
      <c r="C368" s="63"/>
      <c r="D368" s="63"/>
      <c r="E368" s="63"/>
      <c r="F368" s="63"/>
      <c r="G368" s="63"/>
      <c r="H368" s="63"/>
      <c r="I368" s="63"/>
      <c r="J368" s="98">
        <v>-5.3289999999999997</v>
      </c>
      <c r="K368" s="63"/>
      <c r="L368" s="63"/>
      <c r="M368" s="63"/>
      <c r="N368" s="99">
        <v>0</v>
      </c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</row>
    <row r="369" spans="1:42" ht="14.45" customHeight="1" x14ac:dyDescent="0.25">
      <c r="A369" s="125" t="s">
        <v>435</v>
      </c>
      <c r="B369" s="180"/>
      <c r="C369" s="63"/>
      <c r="D369" s="63"/>
      <c r="E369" s="63"/>
      <c r="F369" s="63"/>
      <c r="G369" s="63"/>
      <c r="H369" s="63"/>
      <c r="I369" s="63"/>
      <c r="J369" s="98">
        <v>-2.5910000000000002</v>
      </c>
      <c r="K369" s="63"/>
      <c r="L369" s="63"/>
      <c r="M369" s="63"/>
      <c r="N369" s="99">
        <v>0</v>
      </c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</row>
    <row r="370" spans="1:42" ht="14.45" customHeight="1" x14ac:dyDescent="0.25">
      <c r="A370" s="125" t="s">
        <v>448</v>
      </c>
      <c r="B370" s="180"/>
      <c r="C370" s="63"/>
      <c r="D370" s="63"/>
      <c r="E370" s="63"/>
      <c r="F370" s="63"/>
      <c r="G370" s="63"/>
      <c r="H370" s="63"/>
      <c r="I370" s="63"/>
      <c r="J370" s="98">
        <v>-66.594999999999999</v>
      </c>
      <c r="K370" s="63"/>
      <c r="L370" s="63"/>
      <c r="M370" s="63"/>
      <c r="N370" s="99">
        <v>-1.9890000000000001</v>
      </c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</row>
    <row r="371" spans="1:42" ht="14.45" customHeight="1" x14ac:dyDescent="0.25">
      <c r="A371" s="125" t="s">
        <v>449</v>
      </c>
      <c r="B371" s="180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99">
        <v>0</v>
      </c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</row>
    <row r="372" spans="1:42" ht="14.45" customHeight="1" x14ac:dyDescent="0.25">
      <c r="A372" s="125" t="s">
        <v>450</v>
      </c>
      <c r="B372" s="180"/>
      <c r="C372" s="63"/>
      <c r="D372" s="98">
        <v>0.42499999999999999</v>
      </c>
      <c r="E372" s="63"/>
      <c r="F372" s="63"/>
      <c r="G372" s="63"/>
      <c r="H372" s="63"/>
      <c r="I372" s="63"/>
      <c r="J372" s="98">
        <v>-0.22800000000000001</v>
      </c>
      <c r="K372" s="63"/>
      <c r="L372" s="63"/>
      <c r="M372" s="98">
        <v>-7.6479999999999997</v>
      </c>
      <c r="N372" s="99">
        <v>0</v>
      </c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</row>
    <row r="373" spans="1:42" ht="14.45" customHeight="1" x14ac:dyDescent="0.25">
      <c r="A373" s="125" t="s">
        <v>451</v>
      </c>
      <c r="B373" s="180"/>
      <c r="C373" s="98">
        <v>2.456</v>
      </c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99">
        <v>0</v>
      </c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</row>
    <row r="374" spans="1:42" ht="14.45" customHeight="1" x14ac:dyDescent="0.25">
      <c r="A374" s="125" t="s">
        <v>452</v>
      </c>
      <c r="B374" s="180"/>
      <c r="C374" s="98">
        <v>-0.78900000000000003</v>
      </c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99">
        <v>0</v>
      </c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</row>
    <row r="375" spans="1:42" ht="14.45" customHeight="1" x14ac:dyDescent="0.25">
      <c r="A375" s="125" t="s">
        <v>453</v>
      </c>
      <c r="B375" s="180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99">
        <v>0</v>
      </c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</row>
    <row r="376" spans="1:42" ht="14.45" customHeight="1" x14ac:dyDescent="0.25">
      <c r="A376" s="125" t="s">
        <v>454</v>
      </c>
      <c r="B376" s="180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99">
        <v>0</v>
      </c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</row>
    <row r="377" spans="1:42" ht="14.45" customHeight="1" x14ac:dyDescent="0.25">
      <c r="A377" s="125" t="s">
        <v>455</v>
      </c>
      <c r="B377" s="180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99">
        <v>0</v>
      </c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</row>
    <row r="378" spans="1:42" ht="14.45" customHeight="1" x14ac:dyDescent="0.25">
      <c r="A378" s="125" t="s">
        <v>456</v>
      </c>
      <c r="B378" s="180"/>
      <c r="C378" s="98">
        <v>-0.63900000000000001</v>
      </c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99">
        <v>0</v>
      </c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</row>
    <row r="379" spans="1:42" ht="14.45" customHeight="1" x14ac:dyDescent="0.25">
      <c r="A379" s="125" t="s">
        <v>457</v>
      </c>
      <c r="B379" s="180"/>
      <c r="C379" s="63"/>
      <c r="D379" s="63"/>
      <c r="E379" s="63"/>
      <c r="F379" s="63"/>
      <c r="G379" s="98">
        <v>4.6980000000000004</v>
      </c>
      <c r="H379" s="98">
        <v>5.7969999999999997</v>
      </c>
      <c r="I379" s="63"/>
      <c r="J379" s="63"/>
      <c r="K379" s="63"/>
      <c r="L379" s="63"/>
      <c r="M379" s="63"/>
      <c r="N379" s="99">
        <v>0</v>
      </c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</row>
    <row r="380" spans="1:42" ht="14.45" customHeight="1" x14ac:dyDescent="0.25">
      <c r="A380" s="125" t="s">
        <v>426</v>
      </c>
      <c r="B380" s="180"/>
      <c r="C380" s="63"/>
      <c r="D380" s="63"/>
      <c r="E380" s="63"/>
      <c r="F380" s="63"/>
      <c r="G380" s="63"/>
      <c r="H380" s="98">
        <v>7.1059999999999999</v>
      </c>
      <c r="I380" s="98">
        <v>8.0730000000000004</v>
      </c>
      <c r="J380" s="63"/>
      <c r="K380" s="63"/>
      <c r="L380" s="63"/>
      <c r="M380" s="63"/>
      <c r="N380" s="99">
        <v>0</v>
      </c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</row>
    <row r="381" spans="1:42" ht="14.45" customHeight="1" x14ac:dyDescent="0.25">
      <c r="A381" s="125" t="s">
        <v>458</v>
      </c>
      <c r="B381" s="180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99">
        <v>0</v>
      </c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</row>
    <row r="382" spans="1:42" ht="14.45" customHeight="1" x14ac:dyDescent="0.25">
      <c r="A382" s="125" t="s">
        <v>459</v>
      </c>
      <c r="B382" s="180"/>
      <c r="C382" s="98">
        <v>10.531000000000001</v>
      </c>
      <c r="D382" s="98">
        <v>9.9920000000000009</v>
      </c>
      <c r="E382" s="98">
        <v>-4.53</v>
      </c>
      <c r="F382" s="98">
        <v>-17.202000000000002</v>
      </c>
      <c r="G382" s="98">
        <v>7.5190000000000001</v>
      </c>
      <c r="H382" s="98">
        <v>9.8970000000000002</v>
      </c>
      <c r="I382" s="98">
        <v>-3.2080000000000002</v>
      </c>
      <c r="J382" s="98">
        <v>-8.5830000000000002</v>
      </c>
      <c r="K382" s="98">
        <v>-3.9</v>
      </c>
      <c r="L382" s="98">
        <v>6.8760000000000003</v>
      </c>
      <c r="M382" s="98">
        <v>-1.7849999999999999</v>
      </c>
      <c r="N382" s="99">
        <v>20.728999999999999</v>
      </c>
      <c r="O382" s="98">
        <v>10.563000000000001</v>
      </c>
      <c r="P382" s="98">
        <v>21.975000000000001</v>
      </c>
      <c r="Q382" s="98">
        <v>14.099</v>
      </c>
      <c r="R382" s="98">
        <v>22.954000000000001</v>
      </c>
      <c r="S382" s="98">
        <v>0.53500000000000003</v>
      </c>
      <c r="T382" s="98">
        <v>10.941000000000001</v>
      </c>
      <c r="U382" s="98">
        <v>14.895</v>
      </c>
      <c r="V382" s="98">
        <v>-2.9630000000000001</v>
      </c>
      <c r="W382" s="98">
        <v>8.2490000000000006</v>
      </c>
      <c r="X382" s="98">
        <v>34.487000000000002</v>
      </c>
      <c r="Y382" s="98">
        <v>25.488</v>
      </c>
      <c r="Z382" s="98">
        <v>41.506999999999998</v>
      </c>
      <c r="AA382" s="98">
        <v>-4.109</v>
      </c>
      <c r="AB382" s="98">
        <v>3.028</v>
      </c>
      <c r="AC382" s="98">
        <v>16.992999999999999</v>
      </c>
      <c r="AD382" s="98">
        <v>8.3940000000000001</v>
      </c>
      <c r="AE382" s="98">
        <v>31.361000000000001</v>
      </c>
      <c r="AF382" s="98">
        <v>19.213999999999999</v>
      </c>
      <c r="AG382" s="98">
        <v>14.212</v>
      </c>
      <c r="AH382" s="98">
        <v>55.046999999999997</v>
      </c>
      <c r="AI382" s="98">
        <v>-4.1719999999999997</v>
      </c>
      <c r="AJ382" s="98">
        <v>20.95</v>
      </c>
      <c r="AK382" s="98">
        <v>51.652000000000001</v>
      </c>
      <c r="AL382" s="98">
        <v>-23.937000000000001</v>
      </c>
      <c r="AM382" s="98">
        <v>32.173999999999999</v>
      </c>
      <c r="AN382" s="98">
        <v>9.2750000000000004</v>
      </c>
      <c r="AO382" s="98">
        <v>37.110999999999997</v>
      </c>
      <c r="AP382" s="98">
        <v>20.63</v>
      </c>
    </row>
    <row r="383" spans="1:42" ht="14.45" customHeight="1" x14ac:dyDescent="0.25">
      <c r="A383" s="125" t="s">
        <v>460</v>
      </c>
      <c r="B383" s="180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99">
        <v>0</v>
      </c>
      <c r="O383" s="63"/>
      <c r="P383" s="98">
        <v>0.97299999999999998</v>
      </c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</row>
    <row r="384" spans="1:42" ht="14.45" customHeight="1" x14ac:dyDescent="0.25">
      <c r="A384" s="125" t="s">
        <v>461</v>
      </c>
      <c r="B384" s="180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99">
        <v>0</v>
      </c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</row>
    <row r="385" spans="1:42" ht="14.45" customHeight="1" x14ac:dyDescent="0.25">
      <c r="A385" s="125" t="s">
        <v>423</v>
      </c>
      <c r="B385" s="180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99">
        <v>0</v>
      </c>
      <c r="O385" s="98">
        <v>1.8620000000000001</v>
      </c>
      <c r="P385" s="98">
        <v>1.431</v>
      </c>
      <c r="Q385" s="98">
        <v>1.302</v>
      </c>
      <c r="R385" s="98">
        <v>0.88400000000000001</v>
      </c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</row>
    <row r="386" spans="1:42" ht="14.45" customHeight="1" x14ac:dyDescent="0.25">
      <c r="A386" s="125" t="s">
        <v>462</v>
      </c>
      <c r="B386" s="180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99">
        <v>0</v>
      </c>
      <c r="O386" s="63"/>
      <c r="P386" s="63"/>
      <c r="Q386" s="98">
        <v>2.6930000000000001</v>
      </c>
      <c r="R386" s="98">
        <v>4.2670000000000003</v>
      </c>
      <c r="S386" s="98">
        <v>5.8000000000000003E-2</v>
      </c>
      <c r="T386" s="98">
        <v>0.48199999999999998</v>
      </c>
      <c r="U386" s="98">
        <v>2.3479999999999999</v>
      </c>
      <c r="V386" s="98">
        <v>0.40300000000000002</v>
      </c>
      <c r="W386" s="98">
        <v>0.28699999999999998</v>
      </c>
      <c r="X386" s="98">
        <v>1.86</v>
      </c>
      <c r="Y386" s="98">
        <v>3.2989999999999999</v>
      </c>
      <c r="Z386" s="98">
        <v>0.92100000000000004</v>
      </c>
      <c r="AA386" s="98">
        <v>3.3000000000000002E-2</v>
      </c>
      <c r="AB386" s="98">
        <v>8.7999999999999995E-2</v>
      </c>
      <c r="AC386" s="98">
        <v>0.28299999999999997</v>
      </c>
      <c r="AD386" s="98">
        <v>5.1999999999999998E-2</v>
      </c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</row>
    <row r="387" spans="1:42" ht="14.45" customHeight="1" x14ac:dyDescent="0.25">
      <c r="A387" s="125" t="s">
        <v>439</v>
      </c>
      <c r="B387" s="180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98">
        <v>29.948</v>
      </c>
      <c r="AG387" s="98">
        <v>58.225000000000001</v>
      </c>
      <c r="AH387" s="98">
        <v>-3.35</v>
      </c>
      <c r="AI387" s="63"/>
      <c r="AJ387" s="63"/>
      <c r="AK387" s="63"/>
      <c r="AL387" s="63"/>
      <c r="AM387" s="63"/>
      <c r="AN387" s="63"/>
      <c r="AO387" s="63"/>
      <c r="AP387" s="63"/>
    </row>
    <row r="388" spans="1:42" ht="14.45" customHeight="1" x14ac:dyDescent="0.25">
      <c r="A388" s="125" t="s">
        <v>463</v>
      </c>
      <c r="B388" s="180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99">
        <v>0</v>
      </c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</row>
    <row r="389" spans="1:42" ht="14.45" customHeight="1" x14ac:dyDescent="0.25">
      <c r="A389" s="125" t="s">
        <v>464</v>
      </c>
      <c r="B389" s="180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99">
        <v>0</v>
      </c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</row>
    <row r="390" spans="1:42" ht="14.45" customHeight="1" x14ac:dyDescent="0.25">
      <c r="A390" s="125" t="s">
        <v>417</v>
      </c>
      <c r="B390" s="180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98">
        <v>-5.516</v>
      </c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</row>
    <row r="391" spans="1:42" ht="14.45" customHeight="1" x14ac:dyDescent="0.25">
      <c r="A391" s="125" t="s">
        <v>465</v>
      </c>
      <c r="B391" s="180"/>
      <c r="C391" s="98">
        <v>0.75800000000000001</v>
      </c>
      <c r="D391" s="63"/>
      <c r="E391" s="63"/>
      <c r="F391" s="63"/>
      <c r="G391" s="63"/>
      <c r="H391" s="63"/>
      <c r="I391" s="63"/>
      <c r="J391" s="63"/>
      <c r="K391" s="98">
        <v>-2.343</v>
      </c>
      <c r="L391" s="98">
        <v>-3.4550000000000001</v>
      </c>
      <c r="M391" s="98">
        <v>3.9180000000000001</v>
      </c>
      <c r="N391" s="99">
        <v>4.2679999999999998</v>
      </c>
      <c r="O391" s="98">
        <v>-0.84499999999999997</v>
      </c>
      <c r="P391" s="98">
        <v>-2.8149999999999999</v>
      </c>
      <c r="Q391" s="98">
        <v>1.482</v>
      </c>
      <c r="R391" s="98">
        <v>2.1779999999999999</v>
      </c>
      <c r="S391" s="98">
        <v>-0.17100000000000001</v>
      </c>
      <c r="T391" s="98">
        <v>-0.51100000000000001</v>
      </c>
      <c r="U391" s="98">
        <v>-0.42099999999999999</v>
      </c>
      <c r="V391" s="98">
        <v>1.103</v>
      </c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</row>
    <row r="392" spans="1:42" ht="14.45" customHeight="1" x14ac:dyDescent="0.25">
      <c r="A392" s="125" t="s">
        <v>466</v>
      </c>
      <c r="B392" s="180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99">
        <v>0</v>
      </c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</row>
    <row r="393" spans="1:42" ht="14.45" customHeight="1" x14ac:dyDescent="0.25">
      <c r="A393" s="110" t="s">
        <v>467</v>
      </c>
      <c r="B393" s="212"/>
      <c r="C393" s="106">
        <v>6.2190000000000101</v>
      </c>
      <c r="D393" s="106">
        <v>18.86099999999999</v>
      </c>
      <c r="E393" s="106">
        <v>22.89300000000004</v>
      </c>
      <c r="F393" s="106">
        <v>6.6189999999996978</v>
      </c>
      <c r="G393" s="106">
        <v>4.2329999999999464</v>
      </c>
      <c r="H393" s="106">
        <v>22.16599999999988</v>
      </c>
      <c r="I393" s="106">
        <v>15.446000000000049</v>
      </c>
      <c r="J393" s="106">
        <v>1.871999999999495</v>
      </c>
      <c r="K393" s="106">
        <v>-8.8349999999999014</v>
      </c>
      <c r="L393" s="106">
        <v>10.30499999999997</v>
      </c>
      <c r="M393" s="106">
        <v>27.835999999999881</v>
      </c>
      <c r="N393" s="106">
        <v>17.87399999999964</v>
      </c>
      <c r="O393" s="106">
        <v>3.3279999999999972</v>
      </c>
      <c r="P393" s="106">
        <v>42.292000000000122</v>
      </c>
      <c r="Q393" s="106">
        <v>32.271000000000058</v>
      </c>
      <c r="R393" s="106">
        <v>14.08299999999973</v>
      </c>
      <c r="S393" s="106">
        <v>17.98999999999997</v>
      </c>
      <c r="T393" s="106">
        <v>48.923999999999943</v>
      </c>
      <c r="U393" s="106">
        <v>67.375999999999877</v>
      </c>
      <c r="V393" s="106">
        <v>57.296000000000049</v>
      </c>
      <c r="W393" s="106">
        <v>61.262999999999977</v>
      </c>
      <c r="X393" s="106">
        <v>82.552000000000064</v>
      </c>
      <c r="Y393" s="106">
        <v>94.548000000000016</v>
      </c>
      <c r="Z393" s="106">
        <v>63.383999999999787</v>
      </c>
      <c r="AA393" s="106">
        <v>78.983999999999909</v>
      </c>
      <c r="AB393" s="106">
        <v>112.2139999999999</v>
      </c>
      <c r="AC393" s="106">
        <v>138.75599999999989</v>
      </c>
      <c r="AD393" s="106">
        <v>127.1530000000002</v>
      </c>
      <c r="AE393" s="106">
        <v>151.81100000000009</v>
      </c>
      <c r="AF393" s="106">
        <v>172.47499999999999</v>
      </c>
      <c r="AG393" s="106">
        <v>164.02000000000021</v>
      </c>
      <c r="AH393" s="106">
        <v>125.5240000000001</v>
      </c>
      <c r="AI393" s="106">
        <v>162.47200000000001</v>
      </c>
      <c r="AJ393" s="106">
        <v>192.76100000000011</v>
      </c>
      <c r="AK393" s="106">
        <v>166.67699999999999</v>
      </c>
      <c r="AL393" s="106">
        <v>156.66700000000071</v>
      </c>
      <c r="AM393" s="106">
        <v>136.26200000000011</v>
      </c>
      <c r="AN393" s="106">
        <v>195.1510000000001</v>
      </c>
      <c r="AO393" s="106">
        <v>179.22399999999999</v>
      </c>
      <c r="AP393" s="106">
        <v>157.8359999999997</v>
      </c>
    </row>
    <row r="394" spans="1:42" ht="14.45" customHeight="1" x14ac:dyDescent="0.25">
      <c r="A394" s="111"/>
      <c r="B394" s="211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</row>
    <row r="395" spans="1:42" ht="14.45" customHeight="1" x14ac:dyDescent="0.25">
      <c r="A395" s="135" t="s">
        <v>468</v>
      </c>
      <c r="B395" s="211"/>
      <c r="C395" s="109">
        <v>-10.04099999999999</v>
      </c>
      <c r="D395" s="109">
        <v>15.65199999999999</v>
      </c>
      <c r="E395" s="109">
        <v>23.142000000000049</v>
      </c>
      <c r="F395" s="109">
        <v>21.392999999999699</v>
      </c>
      <c r="G395" s="109">
        <v>-5.0510000000000543</v>
      </c>
      <c r="H395" s="109">
        <v>6.3479999999998764</v>
      </c>
      <c r="I395" s="109">
        <v>17.316000000000049</v>
      </c>
      <c r="J395" s="109">
        <v>77.921999999999485</v>
      </c>
      <c r="K395" s="109">
        <v>-14.184999999999899</v>
      </c>
      <c r="L395" s="109">
        <v>-3.933000000000026</v>
      </c>
      <c r="M395" s="109">
        <v>25.163999999999881</v>
      </c>
      <c r="N395" s="109">
        <v>-26.97600000000066</v>
      </c>
      <c r="O395" s="109">
        <v>-6.831000000000004</v>
      </c>
      <c r="P395" s="109">
        <v>15.370000000000109</v>
      </c>
      <c r="Q395" s="109">
        <v>13.006000000000061</v>
      </c>
      <c r="R395" s="109">
        <v>-10.17000000000027</v>
      </c>
      <c r="S395" s="109">
        <v>14.661999999999971</v>
      </c>
      <c r="T395" s="109">
        <v>39.568999999999953</v>
      </c>
      <c r="U395" s="109">
        <v>51.883999999999887</v>
      </c>
      <c r="V395" s="109">
        <v>66.378000000000043</v>
      </c>
      <c r="W395" s="109">
        <v>53.362999999999992</v>
      </c>
      <c r="X395" s="109">
        <v>48.180000000000057</v>
      </c>
      <c r="Y395" s="109">
        <v>68.930000000000007</v>
      </c>
      <c r="Z395" s="109">
        <v>19.10699999999979</v>
      </c>
      <c r="AA395" s="109">
        <v>93.389999999999901</v>
      </c>
      <c r="AB395" s="109">
        <v>99.561999999999898</v>
      </c>
      <c r="AC395" s="109">
        <v>118.7609999999999</v>
      </c>
      <c r="AD395" s="109">
        <v>118.44500000000021</v>
      </c>
      <c r="AE395" s="109">
        <v>118.12700000000009</v>
      </c>
      <c r="AF395" s="109">
        <v>122.319</v>
      </c>
      <c r="AG395" s="109">
        <v>92.09300000000016</v>
      </c>
      <c r="AH395" s="109">
        <v>75.836000000000084</v>
      </c>
      <c r="AI395" s="109">
        <v>165.74100000000001</v>
      </c>
      <c r="AJ395" s="109">
        <v>172.8120000000001</v>
      </c>
      <c r="AK395" s="109">
        <v>115.62400000000009</v>
      </c>
      <c r="AL395" s="109">
        <v>178.94800000000069</v>
      </c>
      <c r="AM395" s="109">
        <v>103.6110000000001</v>
      </c>
      <c r="AN395" s="109">
        <v>187.38700000000011</v>
      </c>
      <c r="AO395" s="109">
        <v>142.33400000000009</v>
      </c>
      <c r="AP395" s="109">
        <v>137.24999999999969</v>
      </c>
    </row>
    <row r="396" spans="1:42" ht="14.45" customHeight="1" x14ac:dyDescent="0.25">
      <c r="A396" s="125" t="s">
        <v>469</v>
      </c>
      <c r="B396" s="180"/>
      <c r="C396" s="98">
        <v>0.53800000000000003</v>
      </c>
      <c r="D396" s="98">
        <v>0.54300000000000004</v>
      </c>
      <c r="E396" s="98">
        <v>0.54300000000000004</v>
      </c>
      <c r="F396" s="99">
        <v>0.54199999999999982</v>
      </c>
      <c r="G396" s="98">
        <v>0.54300000000000004</v>
      </c>
      <c r="H396" s="98">
        <v>0.54800000000000004</v>
      </c>
      <c r="I396" s="98">
        <v>0.54800000000000004</v>
      </c>
      <c r="J396" s="99">
        <v>0.5479999999999996</v>
      </c>
      <c r="K396" s="98">
        <v>0.54800000000000004</v>
      </c>
      <c r="L396" s="98">
        <v>0.55300000000000005</v>
      </c>
      <c r="M396" s="98">
        <v>0.55600000000000005</v>
      </c>
      <c r="N396" s="99">
        <v>0.55500000000000016</v>
      </c>
      <c r="O396" s="98">
        <v>0.55400000000000005</v>
      </c>
      <c r="P396" s="98">
        <v>0.55800000000000005</v>
      </c>
      <c r="Q396" s="98">
        <v>0.55800000000000005</v>
      </c>
      <c r="R396" s="99">
        <v>0.55800000000000005</v>
      </c>
      <c r="S396" s="98">
        <v>0.55800000000000005</v>
      </c>
      <c r="T396" s="98">
        <v>0.55700000000000005</v>
      </c>
      <c r="U396" s="98">
        <v>0.55900000000000005</v>
      </c>
      <c r="V396" s="99">
        <v>0.55899999999999972</v>
      </c>
      <c r="W396" s="98">
        <v>0.55800000000000005</v>
      </c>
      <c r="X396" s="98">
        <v>0.55800000000000005</v>
      </c>
      <c r="Y396" s="98">
        <v>0.55800000000000005</v>
      </c>
      <c r="Z396" s="99">
        <v>0.55899999999999994</v>
      </c>
      <c r="AA396" s="98">
        <v>0.55800000000000005</v>
      </c>
      <c r="AB396" s="98">
        <v>0.251</v>
      </c>
      <c r="AC396" s="98">
        <v>0.251</v>
      </c>
      <c r="AD396" s="99">
        <v>0.252</v>
      </c>
      <c r="AE396" s="98">
        <v>3.5169999999999999</v>
      </c>
      <c r="AF396" s="98">
        <v>0.502</v>
      </c>
      <c r="AG396" s="98">
        <v>0.503</v>
      </c>
      <c r="AH396" s="99">
        <v>0.50199999999999978</v>
      </c>
      <c r="AI396" s="98">
        <v>16.577999999999999</v>
      </c>
      <c r="AJ396" s="98">
        <v>0.502</v>
      </c>
      <c r="AK396" s="98">
        <v>0.502</v>
      </c>
      <c r="AL396" s="99">
        <v>2.512000000000004</v>
      </c>
      <c r="AM396" s="98">
        <v>2.512</v>
      </c>
      <c r="AN396" s="98">
        <v>2.512</v>
      </c>
      <c r="AO396" s="98">
        <v>2.512</v>
      </c>
      <c r="AP396" s="99">
        <v>2.512</v>
      </c>
    </row>
    <row r="397" spans="1:42" ht="14.45" customHeight="1" x14ac:dyDescent="0.25">
      <c r="A397" s="125" t="s">
        <v>470</v>
      </c>
      <c r="B397" s="180"/>
      <c r="C397" s="98">
        <v>-2.8679999999999999</v>
      </c>
      <c r="D397" s="98">
        <v>3.1070000000000002</v>
      </c>
      <c r="E397" s="98">
        <v>4.8540000000000001</v>
      </c>
      <c r="F397" s="99">
        <v>4.4179999999999993</v>
      </c>
      <c r="G397" s="98">
        <v>-1.7250000000000001</v>
      </c>
      <c r="H397" s="98">
        <v>0.94299999999999995</v>
      </c>
      <c r="I397" s="98">
        <v>3.52</v>
      </c>
      <c r="J397" s="99">
        <v>17.715</v>
      </c>
      <c r="K397" s="98">
        <v>-3.8889999999999998</v>
      </c>
      <c r="L397" s="98">
        <v>-1.484</v>
      </c>
      <c r="M397" s="98">
        <v>5.399</v>
      </c>
      <c r="N397" s="99">
        <v>-6.9440000000000008</v>
      </c>
      <c r="O397" s="102">
        <v>-2.1739999999999999</v>
      </c>
      <c r="P397" s="98">
        <v>3.1019999999999999</v>
      </c>
      <c r="Q397" s="98">
        <v>2.5390000000000001</v>
      </c>
      <c r="R397" s="99">
        <v>-2.99</v>
      </c>
      <c r="S397" s="102">
        <v>2.9329999999999998</v>
      </c>
      <c r="T397" s="98">
        <v>8.8650000000000002</v>
      </c>
      <c r="U397" s="98">
        <v>11.797000000000001</v>
      </c>
      <c r="V397" s="99">
        <v>15.249000000000001</v>
      </c>
      <c r="W397" s="102">
        <v>12.148999999999999</v>
      </c>
      <c r="X397" s="98">
        <v>10.914999999999999</v>
      </c>
      <c r="Y397" s="98">
        <v>15.856</v>
      </c>
      <c r="Z397" s="99">
        <v>3.992999999999995</v>
      </c>
      <c r="AA397" s="102">
        <v>19.582999999999998</v>
      </c>
      <c r="AB397" s="98">
        <v>10.423</v>
      </c>
      <c r="AC397" s="98">
        <v>12.481</v>
      </c>
      <c r="AD397" s="99">
        <v>13.938000000000001</v>
      </c>
      <c r="AE397" s="102">
        <v>9.1470000000000002</v>
      </c>
      <c r="AF397" s="98">
        <v>12.611000000000001</v>
      </c>
      <c r="AG397" s="98">
        <v>9.3710000000000004</v>
      </c>
      <c r="AH397" s="99">
        <v>7.6289999999999978</v>
      </c>
      <c r="AI397" s="102">
        <v>1.1870000000000001</v>
      </c>
      <c r="AJ397" s="102">
        <v>18.155000000000001</v>
      </c>
      <c r="AK397" s="98">
        <v>12.760999999999999</v>
      </c>
      <c r="AL397" s="99">
        <v>17.646000000000001</v>
      </c>
      <c r="AM397" s="102">
        <v>9.4320000000000004</v>
      </c>
      <c r="AN397" s="102">
        <v>19.12</v>
      </c>
      <c r="AO397" s="102">
        <v>13.993</v>
      </c>
      <c r="AP397" s="99">
        <v>15.538</v>
      </c>
    </row>
    <row r="398" spans="1:42" ht="14.45" customHeight="1" x14ac:dyDescent="0.25">
      <c r="A398" s="110" t="s">
        <v>471</v>
      </c>
      <c r="B398" s="212"/>
      <c r="C398" s="106">
        <v>-7.7109999999999896</v>
      </c>
      <c r="D398" s="106">
        <v>12.00199999999999</v>
      </c>
      <c r="E398" s="106">
        <v>17.745000000000051</v>
      </c>
      <c r="F398" s="106">
        <v>16.432999999999701</v>
      </c>
      <c r="G398" s="106">
        <v>-3.869000000000054</v>
      </c>
      <c r="H398" s="106">
        <v>4.8569999999998767</v>
      </c>
      <c r="I398" s="106">
        <v>13.248000000000051</v>
      </c>
      <c r="J398" s="106">
        <v>59.65899999999948</v>
      </c>
      <c r="K398" s="106">
        <v>-10.8439999999999</v>
      </c>
      <c r="L398" s="106">
        <v>-3.002000000000026</v>
      </c>
      <c r="M398" s="106">
        <v>19.208999999999879</v>
      </c>
      <c r="N398" s="106">
        <v>-20.587000000000661</v>
      </c>
      <c r="O398" s="106">
        <v>-5.2110000000000039</v>
      </c>
      <c r="P398" s="106">
        <v>11.710000000000109</v>
      </c>
      <c r="Q398" s="106">
        <v>9.9090000000000611</v>
      </c>
      <c r="R398" s="106">
        <v>-7.7380000000002678</v>
      </c>
      <c r="S398" s="106">
        <v>11.170999999999969</v>
      </c>
      <c r="T398" s="106">
        <v>30.146999999999942</v>
      </c>
      <c r="U398" s="106">
        <v>39.527999999999892</v>
      </c>
      <c r="V398" s="106">
        <v>50.570000000000043</v>
      </c>
      <c r="W398" s="106">
        <v>40.655999999999977</v>
      </c>
      <c r="X398" s="106">
        <v>36.707000000000058</v>
      </c>
      <c r="Y398" s="106">
        <v>52.515999999999998</v>
      </c>
      <c r="Z398" s="106">
        <v>14.554999999999801</v>
      </c>
      <c r="AA398" s="106">
        <v>73.248999999999896</v>
      </c>
      <c r="AB398" s="106">
        <v>88.887999999999892</v>
      </c>
      <c r="AC398" s="106">
        <v>106.0289999999999</v>
      </c>
      <c r="AD398" s="106">
        <v>104.25500000000019</v>
      </c>
      <c r="AE398" s="106">
        <v>105.46300000000009</v>
      </c>
      <c r="AF398" s="106">
        <v>109.206</v>
      </c>
      <c r="AG398" s="106">
        <v>82.219000000000165</v>
      </c>
      <c r="AH398" s="106">
        <v>67.705000000000098</v>
      </c>
      <c r="AI398" s="106">
        <v>147.97599999999991</v>
      </c>
      <c r="AJ398" s="109">
        <v>154.15500000000009</v>
      </c>
      <c r="AK398" s="106">
        <v>102.3610000000001</v>
      </c>
      <c r="AL398" s="106">
        <v>158.7900000000007</v>
      </c>
      <c r="AM398" s="106">
        <v>91.667000000000073</v>
      </c>
      <c r="AN398" s="109">
        <v>165.75500000000011</v>
      </c>
      <c r="AO398" s="109">
        <v>125.82900000000009</v>
      </c>
      <c r="AP398" s="106">
        <v>119.1999999999997</v>
      </c>
    </row>
    <row r="399" spans="1:42" ht="14.45" customHeight="1" x14ac:dyDescent="0.25">
      <c r="A399" s="111"/>
      <c r="B399" s="211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</row>
    <row r="400" spans="1:42" ht="14.45" customHeight="1" x14ac:dyDescent="0.25">
      <c r="A400" s="95" t="s">
        <v>472</v>
      </c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</row>
    <row r="401" spans="1:42" ht="14.45" customHeight="1" x14ac:dyDescent="0.25">
      <c r="A401" s="135" t="s">
        <v>473</v>
      </c>
      <c r="B401" s="211"/>
      <c r="C401" s="109">
        <v>625.45600000000002</v>
      </c>
      <c r="D401" s="109">
        <v>840.38400000000001</v>
      </c>
      <c r="E401" s="109">
        <v>849.02800000000002</v>
      </c>
      <c r="F401" s="109">
        <v>841.55999999999972</v>
      </c>
      <c r="G401" s="109">
        <v>865.702</v>
      </c>
      <c r="H401" s="109">
        <v>1169.2909999999999</v>
      </c>
      <c r="I401" s="109">
        <v>1162.5260000000001</v>
      </c>
      <c r="J401" s="109">
        <v>1126.148999999999</v>
      </c>
      <c r="K401" s="109">
        <v>1064.7570000000001</v>
      </c>
      <c r="L401" s="109">
        <v>1220.0029999999999</v>
      </c>
      <c r="M401" s="109">
        <v>1204.0329999999999</v>
      </c>
      <c r="N401" s="109">
        <v>1136.570999999999</v>
      </c>
      <c r="O401" s="109">
        <v>1102.912</v>
      </c>
      <c r="P401" s="109">
        <v>1273.6590000000001</v>
      </c>
      <c r="Q401" s="109">
        <v>1271.029</v>
      </c>
      <c r="R401" s="109">
        <v>1178.9490000000001</v>
      </c>
      <c r="S401" s="109">
        <v>1173.021</v>
      </c>
      <c r="T401" s="109">
        <v>1227.2149999999999</v>
      </c>
      <c r="U401" s="109">
        <v>1328.4839999999999</v>
      </c>
      <c r="V401" s="109">
        <v>1278.6369999999999</v>
      </c>
      <c r="W401" s="109">
        <v>1269.857</v>
      </c>
      <c r="X401" s="109">
        <v>1433.086</v>
      </c>
      <c r="Y401" s="109">
        <v>1457.432</v>
      </c>
      <c r="Z401" s="109">
        <v>1402.3389999999999</v>
      </c>
      <c r="AA401" s="109">
        <v>1404.3579999999999</v>
      </c>
      <c r="AB401" s="109">
        <v>1595.2149999999999</v>
      </c>
      <c r="AC401" s="109">
        <v>1628.5889999999999</v>
      </c>
      <c r="AD401" s="109">
        <v>1572.7950000000001</v>
      </c>
      <c r="AE401" s="109">
        <v>1571.6420000000001</v>
      </c>
      <c r="AF401" s="109">
        <v>1738.8320000000001</v>
      </c>
      <c r="AG401" s="109">
        <v>1712.4280000000001</v>
      </c>
      <c r="AH401" s="109">
        <v>1630.9559999999999</v>
      </c>
      <c r="AI401" s="109">
        <v>1591.626</v>
      </c>
      <c r="AJ401" s="109">
        <v>1795.943</v>
      </c>
      <c r="AK401" s="109">
        <v>1765.652</v>
      </c>
      <c r="AL401" s="109">
        <v>1746.495000000001</v>
      </c>
      <c r="AM401" s="109">
        <v>1579.9770000000001</v>
      </c>
      <c r="AN401" s="109">
        <v>1855.519</v>
      </c>
      <c r="AO401" s="109">
        <v>1888.317</v>
      </c>
      <c r="AP401" s="109">
        <v>1904.242</v>
      </c>
    </row>
    <row r="402" spans="1:42" ht="14.45" customHeight="1" x14ac:dyDescent="0.25">
      <c r="A402" s="220" t="s">
        <v>474</v>
      </c>
      <c r="B402" s="221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</row>
    <row r="403" spans="1:42" ht="14.45" customHeight="1" x14ac:dyDescent="0.25">
      <c r="A403" s="111"/>
      <c r="B403" s="211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</row>
    <row r="404" spans="1:42" ht="14.45" customHeight="1" x14ac:dyDescent="0.25">
      <c r="A404" s="130" t="s">
        <v>62</v>
      </c>
      <c r="B404" s="190"/>
      <c r="C404" s="103">
        <v>381.55799999999999</v>
      </c>
      <c r="D404" s="103">
        <v>520.67700000000002</v>
      </c>
      <c r="E404" s="103">
        <v>521.83799999999997</v>
      </c>
      <c r="F404" s="103">
        <v>516.63300000000004</v>
      </c>
      <c r="G404" s="103">
        <v>533.68100000000004</v>
      </c>
      <c r="H404" s="103">
        <v>754.11300000000006</v>
      </c>
      <c r="I404" s="103">
        <v>752.202</v>
      </c>
      <c r="J404" s="103">
        <v>742.72499999999991</v>
      </c>
      <c r="K404" s="103">
        <v>707.11599999999999</v>
      </c>
      <c r="L404" s="103">
        <v>815.29499999999996</v>
      </c>
      <c r="M404" s="103">
        <v>791.31700000000001</v>
      </c>
      <c r="N404" s="103">
        <v>755.92399999999998</v>
      </c>
      <c r="O404" s="103">
        <v>713.60400000000004</v>
      </c>
      <c r="P404" s="103">
        <v>837.88</v>
      </c>
      <c r="Q404" s="103">
        <v>838.80499999999995</v>
      </c>
      <c r="R404" s="103">
        <v>765.75800000000027</v>
      </c>
      <c r="S404" s="103">
        <v>767.726</v>
      </c>
      <c r="T404" s="103">
        <v>797.91399999999999</v>
      </c>
      <c r="U404" s="103">
        <v>856.04600000000005</v>
      </c>
      <c r="V404" s="103">
        <v>816.76200000000017</v>
      </c>
      <c r="W404" s="103">
        <v>821.154</v>
      </c>
      <c r="X404" s="103">
        <v>938.14599999999996</v>
      </c>
      <c r="Y404" s="103">
        <v>939.72</v>
      </c>
      <c r="Z404" s="103">
        <v>909.50700000000006</v>
      </c>
      <c r="AA404" s="103">
        <v>896.78200000000004</v>
      </c>
      <c r="AB404" s="103">
        <v>1044.556</v>
      </c>
      <c r="AC404" s="103">
        <v>1007.482</v>
      </c>
      <c r="AD404" s="103">
        <v>974.18299999999999</v>
      </c>
      <c r="AE404" s="103">
        <v>947.53599999999994</v>
      </c>
      <c r="AF404" s="103">
        <v>1067.2550000000001</v>
      </c>
      <c r="AG404" s="103">
        <v>1050.8779999999999</v>
      </c>
      <c r="AH404" s="103">
        <v>989.47800000000007</v>
      </c>
      <c r="AI404" s="103">
        <v>951.06700000000001</v>
      </c>
      <c r="AJ404" s="103">
        <v>1079.2329999999999</v>
      </c>
      <c r="AK404" s="103">
        <v>1067.616</v>
      </c>
      <c r="AL404" s="103">
        <v>1048.6210000000001</v>
      </c>
      <c r="AM404" s="103">
        <v>952.87300000000005</v>
      </c>
      <c r="AN404" s="103">
        <v>1113.0229999999999</v>
      </c>
      <c r="AO404" s="103">
        <v>1139.8009999999999</v>
      </c>
      <c r="AP404" s="103">
        <v>1149.996000000001</v>
      </c>
    </row>
    <row r="405" spans="1:42" ht="14.45" customHeight="1" x14ac:dyDescent="0.25">
      <c r="A405" s="110" t="s">
        <v>63</v>
      </c>
      <c r="B405" s="212"/>
      <c r="C405" s="106">
        <v>243.898</v>
      </c>
      <c r="D405" s="106">
        <v>319.70699999999999</v>
      </c>
      <c r="E405" s="106">
        <v>327.19000000000011</v>
      </c>
      <c r="F405" s="106">
        <v>324.92699999999968</v>
      </c>
      <c r="G405" s="106">
        <v>332.02100000000002</v>
      </c>
      <c r="H405" s="106">
        <v>415.17799999999988</v>
      </c>
      <c r="I405" s="106">
        <v>410.32400000000013</v>
      </c>
      <c r="J405" s="106">
        <v>383.42399999999952</v>
      </c>
      <c r="K405" s="106">
        <v>357.64100000000008</v>
      </c>
      <c r="L405" s="106">
        <v>404.70800000000003</v>
      </c>
      <c r="M405" s="106">
        <v>412.71599999999989</v>
      </c>
      <c r="N405" s="106">
        <v>380.64699999999948</v>
      </c>
      <c r="O405" s="106">
        <v>389.30799999999999</v>
      </c>
      <c r="P405" s="106">
        <v>435.77900000000011</v>
      </c>
      <c r="Q405" s="106">
        <v>432.22399999999999</v>
      </c>
      <c r="R405" s="106">
        <v>413.1909999999998</v>
      </c>
      <c r="S405" s="106">
        <v>405.29500000000002</v>
      </c>
      <c r="T405" s="106">
        <v>429.30099999999987</v>
      </c>
      <c r="U405" s="106">
        <v>472.43799999999987</v>
      </c>
      <c r="V405" s="106">
        <v>461.875</v>
      </c>
      <c r="W405" s="106">
        <v>448.70299999999997</v>
      </c>
      <c r="X405" s="106">
        <v>494.94000000000011</v>
      </c>
      <c r="Y405" s="106">
        <v>517.71199999999999</v>
      </c>
      <c r="Z405" s="106">
        <v>492.83199999999988</v>
      </c>
      <c r="AA405" s="106">
        <v>507.57599999999991</v>
      </c>
      <c r="AB405" s="106">
        <v>550.65899999999988</v>
      </c>
      <c r="AC405" s="106">
        <v>621.10699999999997</v>
      </c>
      <c r="AD405" s="106">
        <v>598.61200000000008</v>
      </c>
      <c r="AE405" s="106">
        <v>624.10600000000011</v>
      </c>
      <c r="AF405" s="106">
        <v>671.577</v>
      </c>
      <c r="AG405" s="106">
        <v>661.55000000000018</v>
      </c>
      <c r="AH405" s="106">
        <v>641.47800000000007</v>
      </c>
      <c r="AI405" s="106">
        <v>640.55899999999997</v>
      </c>
      <c r="AJ405" s="106">
        <v>716.71</v>
      </c>
      <c r="AK405" s="106">
        <v>698.03600000000006</v>
      </c>
      <c r="AL405" s="106">
        <v>697.87400000000071</v>
      </c>
      <c r="AM405" s="106">
        <v>627.10400000000004</v>
      </c>
      <c r="AN405" s="106">
        <v>742.49600000000009</v>
      </c>
      <c r="AO405" s="106">
        <v>748.51600000000008</v>
      </c>
      <c r="AP405" s="106">
        <v>754.24599999999964</v>
      </c>
    </row>
    <row r="406" spans="1:42" ht="14.45" customHeight="1" x14ac:dyDescent="0.25">
      <c r="A406" s="111"/>
      <c r="B406" s="211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</row>
    <row r="407" spans="1:42" ht="14.45" customHeight="1" x14ac:dyDescent="0.25">
      <c r="A407" s="130" t="s">
        <v>64</v>
      </c>
      <c r="B407" s="190"/>
      <c r="C407" s="103">
        <v>231.49700000000001</v>
      </c>
      <c r="D407" s="103">
        <v>264.971</v>
      </c>
      <c r="E407" s="103">
        <v>287.38900000000001</v>
      </c>
      <c r="F407" s="103">
        <v>304.00599999999997</v>
      </c>
      <c r="G407" s="103">
        <v>318.41300000000001</v>
      </c>
      <c r="H407" s="103">
        <v>367.86500000000001</v>
      </c>
      <c r="I407" s="103">
        <v>374.19400000000002</v>
      </c>
      <c r="J407" s="103">
        <v>384.29599999999999</v>
      </c>
      <c r="K407" s="103">
        <v>376.63799999999998</v>
      </c>
      <c r="L407" s="103">
        <v>385.029</v>
      </c>
      <c r="M407" s="103">
        <v>368.31200000000001</v>
      </c>
      <c r="N407" s="103">
        <v>367.83100000000007</v>
      </c>
      <c r="O407" s="103">
        <v>369.154</v>
      </c>
      <c r="P407" s="103">
        <v>368.565</v>
      </c>
      <c r="Q407" s="103">
        <v>378.37799999999999</v>
      </c>
      <c r="R407" s="103">
        <v>373.65100000000012</v>
      </c>
      <c r="S407" s="103">
        <v>372.47399999999999</v>
      </c>
      <c r="T407" s="103">
        <v>346.18299999999999</v>
      </c>
      <c r="U407" s="103">
        <v>368.59399999999999</v>
      </c>
      <c r="V407" s="103">
        <v>368.28</v>
      </c>
      <c r="W407" s="103">
        <v>354.51900000000001</v>
      </c>
      <c r="X407" s="103">
        <v>374.07900000000001</v>
      </c>
      <c r="Y407" s="103">
        <v>380.68099999999998</v>
      </c>
      <c r="Z407" s="103">
        <v>405.73700000000008</v>
      </c>
      <c r="AA407" s="103">
        <v>376.59100000000001</v>
      </c>
      <c r="AB407" s="103">
        <v>403.36599999999999</v>
      </c>
      <c r="AC407" s="103">
        <v>431.17700000000002</v>
      </c>
      <c r="AD407" s="103">
        <v>425.77299999999991</v>
      </c>
      <c r="AE407" s="103">
        <v>418.05200000000002</v>
      </c>
      <c r="AF407" s="103">
        <v>437.90699999999998</v>
      </c>
      <c r="AG407" s="103">
        <v>445.29</v>
      </c>
      <c r="AH407" s="103">
        <v>463.01100000000002</v>
      </c>
      <c r="AI407" s="103">
        <v>425.15300000000002</v>
      </c>
      <c r="AJ407" s="103">
        <v>457.57</v>
      </c>
      <c r="AK407" s="103">
        <v>470.98099999999999</v>
      </c>
      <c r="AL407" s="103">
        <v>479.125</v>
      </c>
      <c r="AM407" s="103">
        <v>437.28399999999999</v>
      </c>
      <c r="AN407" s="103">
        <v>470.41199999999998</v>
      </c>
      <c r="AO407" s="103">
        <v>501.88200000000001</v>
      </c>
      <c r="AP407" s="103">
        <v>512.12799999999993</v>
      </c>
    </row>
    <row r="408" spans="1:42" ht="14.45" customHeight="1" x14ac:dyDescent="0.25">
      <c r="A408" s="110" t="s">
        <v>66</v>
      </c>
      <c r="B408" s="212"/>
      <c r="C408" s="106">
        <v>12.40100000000001</v>
      </c>
      <c r="D408" s="106">
        <v>54.73599999999999</v>
      </c>
      <c r="E408" s="106">
        <v>39.801000000000037</v>
      </c>
      <c r="F408" s="106">
        <v>20.920999999999712</v>
      </c>
      <c r="G408" s="106">
        <v>13.607999999999951</v>
      </c>
      <c r="H408" s="106">
        <v>47.312999999999867</v>
      </c>
      <c r="I408" s="106">
        <v>36.130000000000052</v>
      </c>
      <c r="J408" s="106">
        <v>-0.87200000000052569</v>
      </c>
      <c r="K408" s="106">
        <v>-18.9969999999999</v>
      </c>
      <c r="L408" s="106">
        <v>19.67899999999997</v>
      </c>
      <c r="M408" s="106">
        <v>44.403999999999883</v>
      </c>
      <c r="N408" s="106">
        <v>12.815999999999351</v>
      </c>
      <c r="O408" s="106">
        <v>20.154</v>
      </c>
      <c r="P408" s="106">
        <v>67.214000000000112</v>
      </c>
      <c r="Q408" s="106">
        <v>53.84600000000006</v>
      </c>
      <c r="R408" s="106">
        <v>39.539999999999743</v>
      </c>
      <c r="S408" s="106">
        <v>32.82099999999997</v>
      </c>
      <c r="T408" s="106">
        <v>83.117999999999938</v>
      </c>
      <c r="U408" s="106">
        <v>103.84399999999989</v>
      </c>
      <c r="V408" s="106">
        <v>93.595000000000027</v>
      </c>
      <c r="W408" s="106">
        <v>94.183999999999969</v>
      </c>
      <c r="X408" s="106">
        <v>120.861</v>
      </c>
      <c r="Y408" s="106">
        <v>137.03100000000001</v>
      </c>
      <c r="Z408" s="106">
        <v>87.0949999999998</v>
      </c>
      <c r="AA408" s="106">
        <v>130.9849999999999</v>
      </c>
      <c r="AB408" s="106">
        <v>147.29299999999989</v>
      </c>
      <c r="AC408" s="106">
        <v>189.92999999999989</v>
      </c>
      <c r="AD408" s="106">
        <v>172.8390000000002</v>
      </c>
      <c r="AE408" s="106">
        <v>206.05400000000009</v>
      </c>
      <c r="AF408" s="106">
        <v>233.67</v>
      </c>
      <c r="AG408" s="106">
        <v>216.26000000000019</v>
      </c>
      <c r="AH408" s="106">
        <v>178.4670000000001</v>
      </c>
      <c r="AI408" s="106">
        <v>215.40599999999989</v>
      </c>
      <c r="AJ408" s="106">
        <v>259.14</v>
      </c>
      <c r="AK408" s="106">
        <v>227.05500000000009</v>
      </c>
      <c r="AL408" s="106">
        <v>218.74900000000071</v>
      </c>
      <c r="AM408" s="106">
        <v>189.82000000000011</v>
      </c>
      <c r="AN408" s="106">
        <v>272.08400000000012</v>
      </c>
      <c r="AO408" s="106">
        <v>246.6340000000001</v>
      </c>
      <c r="AP408" s="106">
        <v>242.11799999999971</v>
      </c>
    </row>
    <row r="409" spans="1:42" ht="14.45" customHeight="1" x14ac:dyDescent="0.25">
      <c r="A409" s="135" t="s">
        <v>475</v>
      </c>
      <c r="B409" s="211"/>
      <c r="C409" s="109">
        <v>18.365000000000009</v>
      </c>
      <c r="D409" s="109">
        <v>44.36399999999999</v>
      </c>
      <c r="E409" s="109">
        <v>45.06700000000005</v>
      </c>
      <c r="F409" s="109">
        <v>10.174999999999709</v>
      </c>
      <c r="G409" s="109">
        <v>16.482999999999951</v>
      </c>
      <c r="H409" s="109">
        <v>47.513999999999868</v>
      </c>
      <c r="I409" s="109">
        <v>38.30800000000005</v>
      </c>
      <c r="J409" s="109">
        <v>18.454999999999469</v>
      </c>
      <c r="K409" s="109">
        <v>-3.579999999999901</v>
      </c>
      <c r="L409" s="109">
        <v>34.062999999999981</v>
      </c>
      <c r="M409" s="109">
        <v>55.289999999999893</v>
      </c>
      <c r="N409" s="109">
        <v>38.744999999999351</v>
      </c>
      <c r="O409" s="109">
        <v>20.739999999999991</v>
      </c>
      <c r="P409" s="109">
        <v>77.536000000000115</v>
      </c>
      <c r="Q409" s="109">
        <v>58.746000000000073</v>
      </c>
      <c r="R409" s="109">
        <v>38.390999999999742</v>
      </c>
      <c r="S409" s="109">
        <v>36.76299999999997</v>
      </c>
      <c r="T409" s="109">
        <v>81.687999999999946</v>
      </c>
      <c r="U409" s="109">
        <v>105.1969999999999</v>
      </c>
      <c r="V409" s="109">
        <v>83.977000000000032</v>
      </c>
      <c r="W409" s="109">
        <v>93.717999999999975</v>
      </c>
      <c r="X409" s="109">
        <v>120.7080000000001</v>
      </c>
      <c r="Y409" s="109">
        <v>137.20599999999999</v>
      </c>
      <c r="Z409" s="109">
        <v>90.786999999999793</v>
      </c>
      <c r="AA409" s="109">
        <v>117.3099999999999</v>
      </c>
      <c r="AB409" s="109">
        <v>160.0749999999999</v>
      </c>
      <c r="AC409" s="109">
        <v>193.91599999999991</v>
      </c>
      <c r="AD409" s="109">
        <v>173.25800000000021</v>
      </c>
      <c r="AE409" s="109">
        <v>209.1390000000001</v>
      </c>
      <c r="AF409" s="109">
        <v>234.99100000000001</v>
      </c>
      <c r="AG409" s="109">
        <v>215.58200000000019</v>
      </c>
      <c r="AH409" s="109">
        <v>175.8000000000001</v>
      </c>
      <c r="AI409" s="109">
        <v>216.60499999999999</v>
      </c>
      <c r="AJ409" s="109">
        <v>257.81099999999998</v>
      </c>
      <c r="AK409" s="109">
        <v>226.2600000000001</v>
      </c>
      <c r="AL409" s="109">
        <v>220.94900000000069</v>
      </c>
      <c r="AM409" s="109">
        <v>190.45400000000001</v>
      </c>
      <c r="AN409" s="109">
        <v>270.0750000000001</v>
      </c>
      <c r="AO409" s="109">
        <v>246.34000000000009</v>
      </c>
      <c r="AP409" s="109">
        <v>242.05899999999971</v>
      </c>
    </row>
    <row r="410" spans="1:42" ht="14.45" customHeight="1" x14ac:dyDescent="0.25">
      <c r="A410" s="223" t="s">
        <v>476</v>
      </c>
      <c r="B410" s="221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  <c r="AE410" s="222"/>
      <c r="AF410" s="222"/>
      <c r="AG410" s="222"/>
      <c r="AH410" s="222"/>
      <c r="AI410" s="222"/>
      <c r="AJ410" s="222"/>
      <c r="AK410" s="222"/>
      <c r="AL410" s="222"/>
      <c r="AM410" s="222"/>
      <c r="AN410" s="222"/>
      <c r="AO410" s="222"/>
      <c r="AP410" s="222"/>
    </row>
    <row r="411" spans="1:42" ht="14.45" customHeight="1" x14ac:dyDescent="0.25">
      <c r="A411" s="189"/>
      <c r="B411" s="180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</row>
    <row r="412" spans="1:42" ht="14.45" customHeight="1" x14ac:dyDescent="0.25">
      <c r="A412" s="189" t="s">
        <v>477</v>
      </c>
      <c r="B412" s="180"/>
      <c r="C412" s="63">
        <v>23.363</v>
      </c>
      <c r="D412" s="63">
        <v>26.539000000000001</v>
      </c>
      <c r="E412" s="63">
        <v>29.997</v>
      </c>
      <c r="F412" s="63">
        <v>31.713999999999999</v>
      </c>
      <c r="G412" s="63">
        <v>32.987000000000002</v>
      </c>
      <c r="H412" s="63">
        <v>37.343000000000004</v>
      </c>
      <c r="I412" s="63">
        <v>38.366999999999997</v>
      </c>
      <c r="J412" s="63">
        <v>41.724999999999987</v>
      </c>
      <c r="K412" s="63">
        <v>41.572000000000003</v>
      </c>
      <c r="L412" s="63">
        <v>41.085999999999999</v>
      </c>
      <c r="M412" s="63">
        <v>40.884</v>
      </c>
      <c r="N412" s="63">
        <v>40.960000000000008</v>
      </c>
      <c r="O412" s="63">
        <v>39.978999999999999</v>
      </c>
      <c r="P412" s="63">
        <v>39.337000000000003</v>
      </c>
      <c r="Q412" s="63">
        <v>39.828999999999994</v>
      </c>
      <c r="R412" s="63">
        <v>37.741</v>
      </c>
      <c r="S412" s="63">
        <v>37.798999999999999</v>
      </c>
      <c r="T412" s="63">
        <v>37.079000000000001</v>
      </c>
      <c r="U412" s="63">
        <v>42.325000000000003</v>
      </c>
      <c r="V412" s="63">
        <v>38.732999999999997</v>
      </c>
      <c r="W412" s="63">
        <v>37.716000000000001</v>
      </c>
      <c r="X412" s="63">
        <v>38.547999999999988</v>
      </c>
      <c r="Y412" s="63">
        <v>41.646000000000001</v>
      </c>
      <c r="Z412" s="63">
        <v>39.409999999999997</v>
      </c>
      <c r="AA412" s="63">
        <v>37.360999999999997</v>
      </c>
      <c r="AB412" s="63">
        <v>36.676000000000009</v>
      </c>
      <c r="AC412" s="63">
        <v>36.624000000000002</v>
      </c>
      <c r="AD412" s="63">
        <v>37.300999999999988</v>
      </c>
      <c r="AE412" s="63">
        <v>37.600999999999999</v>
      </c>
      <c r="AF412" s="63">
        <v>37.814000000000007</v>
      </c>
      <c r="AG412" s="63">
        <v>38.249000000000002</v>
      </c>
      <c r="AH412" s="63">
        <v>39.808000000000007</v>
      </c>
      <c r="AI412" s="63">
        <v>40.887999999999998</v>
      </c>
      <c r="AJ412" s="63">
        <v>41.795999999999999</v>
      </c>
      <c r="AK412" s="63">
        <v>42.909000000000013</v>
      </c>
      <c r="AL412" s="63">
        <v>44.749999999999993</v>
      </c>
      <c r="AM412" s="63">
        <v>47.511000000000003</v>
      </c>
      <c r="AN412" s="63">
        <v>48.901999999999987</v>
      </c>
      <c r="AO412" s="63">
        <v>49.223999999999997</v>
      </c>
      <c r="AP412" s="63">
        <v>49.443999999999988</v>
      </c>
    </row>
    <row r="413" spans="1:42" ht="14.45" customHeight="1" x14ac:dyDescent="0.25">
      <c r="A413" s="189" t="s">
        <v>478</v>
      </c>
      <c r="B413" s="180"/>
      <c r="C413" s="63">
        <v>1.026</v>
      </c>
      <c r="D413" s="63">
        <v>1.401</v>
      </c>
      <c r="E413" s="63">
        <v>1.06</v>
      </c>
      <c r="F413" s="63">
        <v>1.5229999999999999</v>
      </c>
      <c r="G413" s="63">
        <v>1.994</v>
      </c>
      <c r="H413" s="63">
        <v>4.7229999999999999</v>
      </c>
      <c r="I413" s="63">
        <v>4.8789999999999996</v>
      </c>
      <c r="J413" s="63">
        <v>6.8230000000000004</v>
      </c>
      <c r="K413" s="63">
        <v>5.6479999999999997</v>
      </c>
      <c r="L413" s="63">
        <v>5.6010000000000009</v>
      </c>
      <c r="M413" s="63">
        <v>5.7050000000000001</v>
      </c>
      <c r="N413" s="63">
        <v>5.8000000000000007</v>
      </c>
      <c r="O413" s="63">
        <v>5.7930000000000001</v>
      </c>
      <c r="P413" s="63">
        <v>5.7190000000000003</v>
      </c>
      <c r="Q413" s="63">
        <v>5.7590000000000003</v>
      </c>
      <c r="R413" s="63">
        <v>5.7590000000000003</v>
      </c>
      <c r="S413" s="63">
        <v>5.76</v>
      </c>
      <c r="T413" s="63">
        <v>5.7580000000000009</v>
      </c>
      <c r="U413" s="63">
        <v>5.7680000000000007</v>
      </c>
      <c r="V413" s="63">
        <v>5.7949999999999982</v>
      </c>
      <c r="W413" s="63">
        <v>5.81</v>
      </c>
      <c r="X413" s="63">
        <v>5.8090000000000002</v>
      </c>
      <c r="Y413" s="63">
        <v>5.8120000000000012</v>
      </c>
      <c r="Z413" s="63">
        <v>5.8140000000000001</v>
      </c>
      <c r="AA413" s="63">
        <v>5.9080000000000004</v>
      </c>
      <c r="AB413" s="63">
        <v>5.9069999999999991</v>
      </c>
      <c r="AC413" s="63">
        <v>5.9070000000000018</v>
      </c>
      <c r="AD413" s="63">
        <v>5.9059999999999988</v>
      </c>
      <c r="AE413" s="63">
        <v>5.9080000000000004</v>
      </c>
      <c r="AF413" s="63">
        <v>5.8619999999999992</v>
      </c>
      <c r="AG413" s="63">
        <v>5.8620000000000019</v>
      </c>
      <c r="AH413" s="63">
        <v>5.8619999999999983</v>
      </c>
      <c r="AI413" s="63">
        <v>5.8630000000000004</v>
      </c>
      <c r="AJ413" s="63">
        <v>5.8619999999999992</v>
      </c>
      <c r="AK413" s="63">
        <v>5.8609999999999989</v>
      </c>
      <c r="AL413" s="63">
        <v>5.8620000000000019</v>
      </c>
      <c r="AM413" s="63">
        <v>5.8620000000000001</v>
      </c>
      <c r="AN413" s="63">
        <v>5.8630000000000004</v>
      </c>
      <c r="AO413" s="63">
        <v>5.8620000000000001</v>
      </c>
      <c r="AP413" s="63">
        <v>5.8620000000000019</v>
      </c>
    </row>
    <row r="414" spans="1:42" ht="14.45" customHeight="1" x14ac:dyDescent="0.25">
      <c r="A414" s="130" t="s">
        <v>479</v>
      </c>
      <c r="B414" s="190"/>
      <c r="C414" s="103">
        <v>1.627</v>
      </c>
      <c r="D414" s="103">
        <v>1.2689999999999999</v>
      </c>
      <c r="E414" s="103">
        <v>1.5489999999999999</v>
      </c>
      <c r="F414" s="103">
        <v>2.7090000000000001</v>
      </c>
      <c r="G414" s="103">
        <v>2.06</v>
      </c>
      <c r="H414" s="103">
        <v>2.5169999999999999</v>
      </c>
      <c r="I414" s="103">
        <v>1.8959999999999999</v>
      </c>
      <c r="J414" s="103">
        <v>1.4490000000000001</v>
      </c>
      <c r="K414" s="103">
        <v>0.752</v>
      </c>
      <c r="L414" s="103">
        <v>0.97599999999999998</v>
      </c>
      <c r="M414" s="103">
        <v>2.766</v>
      </c>
      <c r="N414" s="103">
        <v>1.1120000000000001</v>
      </c>
      <c r="O414" s="103">
        <v>2.0449999999999999</v>
      </c>
      <c r="P414" s="103">
        <v>0</v>
      </c>
      <c r="Q414" s="103">
        <v>0</v>
      </c>
      <c r="R414" s="103">
        <v>0</v>
      </c>
      <c r="S414" s="103">
        <v>0</v>
      </c>
      <c r="T414" s="103">
        <v>0</v>
      </c>
      <c r="U414" s="103">
        <v>0</v>
      </c>
      <c r="V414" s="103">
        <v>0</v>
      </c>
      <c r="W414" s="103">
        <v>0</v>
      </c>
      <c r="X414" s="103">
        <v>0</v>
      </c>
      <c r="Y414" s="103">
        <v>0</v>
      </c>
      <c r="Z414" s="103">
        <v>0</v>
      </c>
      <c r="AA414" s="103">
        <v>0</v>
      </c>
      <c r="AB414" s="103">
        <v>0</v>
      </c>
      <c r="AC414" s="103">
        <v>0</v>
      </c>
      <c r="AD414" s="103">
        <v>0</v>
      </c>
      <c r="AE414" s="103">
        <v>0</v>
      </c>
      <c r="AF414" s="103">
        <v>0</v>
      </c>
      <c r="AG414" s="103">
        <v>0</v>
      </c>
      <c r="AH414" s="103">
        <v>0</v>
      </c>
      <c r="AI414" s="103">
        <v>0</v>
      </c>
      <c r="AJ414" s="103">
        <v>0</v>
      </c>
      <c r="AK414" s="103">
        <v>0</v>
      </c>
      <c r="AL414" s="103">
        <v>0</v>
      </c>
      <c r="AM414" s="103">
        <v>0</v>
      </c>
      <c r="AN414" s="103">
        <v>0</v>
      </c>
      <c r="AO414" s="103">
        <v>0</v>
      </c>
      <c r="AP414" s="103">
        <v>0</v>
      </c>
    </row>
    <row r="415" spans="1:42" ht="14.45" customHeight="1" x14ac:dyDescent="0.25">
      <c r="A415" s="110" t="s">
        <v>22</v>
      </c>
      <c r="B415" s="212"/>
      <c r="C415" s="106">
        <v>38.417000000000009</v>
      </c>
      <c r="D415" s="106">
        <v>83.944999999999993</v>
      </c>
      <c r="E415" s="106">
        <v>72.407000000000039</v>
      </c>
      <c r="F415" s="106">
        <v>56.866999999999713</v>
      </c>
      <c r="G415" s="106">
        <v>50.648999999999951</v>
      </c>
      <c r="H415" s="106">
        <v>91.895999999999873</v>
      </c>
      <c r="I415" s="106">
        <v>81.272000000000048</v>
      </c>
      <c r="J415" s="106">
        <v>49.124999999999467</v>
      </c>
      <c r="K415" s="106">
        <v>28.975000000000101</v>
      </c>
      <c r="L415" s="106">
        <v>67.34199999999997</v>
      </c>
      <c r="M415" s="106">
        <v>93.758999999999872</v>
      </c>
      <c r="N415" s="106">
        <v>60.687999999999363</v>
      </c>
      <c r="O415" s="106">
        <v>67.971000000000004</v>
      </c>
      <c r="P415" s="106">
        <v>112.2700000000001</v>
      </c>
      <c r="Q415" s="106">
        <v>99.434000000000054</v>
      </c>
      <c r="R415" s="106">
        <v>83.039999999999736</v>
      </c>
      <c r="S415" s="106">
        <v>76.379999999999967</v>
      </c>
      <c r="T415" s="106">
        <v>125.9549999999999</v>
      </c>
      <c r="U415" s="106">
        <v>151.9369999999999</v>
      </c>
      <c r="V415" s="106">
        <v>138.12299999999999</v>
      </c>
      <c r="W415" s="106">
        <v>137.71</v>
      </c>
      <c r="X415" s="106">
        <v>165.21799999999999</v>
      </c>
      <c r="Y415" s="106">
        <v>184.489</v>
      </c>
      <c r="Z415" s="106">
        <v>132.31899999999979</v>
      </c>
      <c r="AA415" s="106">
        <v>174.25399999999991</v>
      </c>
      <c r="AB415" s="106">
        <v>189.87599999999989</v>
      </c>
      <c r="AC415" s="106">
        <v>232.46100000000001</v>
      </c>
      <c r="AD415" s="106">
        <v>216.04600000000019</v>
      </c>
      <c r="AE415" s="106">
        <v>249.5630000000001</v>
      </c>
      <c r="AF415" s="106">
        <v>277.346</v>
      </c>
      <c r="AG415" s="106">
        <v>260.37100000000021</v>
      </c>
      <c r="AH415" s="106">
        <v>224.13700000000011</v>
      </c>
      <c r="AI415" s="106">
        <v>262.15699999999993</v>
      </c>
      <c r="AJ415" s="106">
        <v>306.79800000000012</v>
      </c>
      <c r="AK415" s="106">
        <v>275.82499999999999</v>
      </c>
      <c r="AL415" s="106">
        <v>269.36100000000067</v>
      </c>
      <c r="AM415" s="106">
        <v>243.19300000000001</v>
      </c>
      <c r="AN415" s="106">
        <v>326.8490000000001</v>
      </c>
      <c r="AO415" s="106">
        <v>301.72000000000008</v>
      </c>
      <c r="AP415" s="106">
        <v>297.42399999999969</v>
      </c>
    </row>
    <row r="416" spans="1:42" ht="14.45" customHeight="1" x14ac:dyDescent="0.25">
      <c r="A416" s="135" t="s">
        <v>480</v>
      </c>
      <c r="B416" s="211"/>
      <c r="C416" s="109">
        <v>38.417000000000009</v>
      </c>
      <c r="D416" s="109">
        <v>83.944999999999993</v>
      </c>
      <c r="E416" s="109">
        <v>72.407000000000039</v>
      </c>
      <c r="F416" s="109">
        <v>56.866999999999713</v>
      </c>
      <c r="G416" s="109">
        <v>50.648999999999951</v>
      </c>
      <c r="H416" s="109">
        <v>91.895999999999873</v>
      </c>
      <c r="I416" s="109">
        <v>81.272000000000048</v>
      </c>
      <c r="J416" s="109">
        <v>49.124999999999467</v>
      </c>
      <c r="K416" s="109">
        <v>28.975000000000101</v>
      </c>
      <c r="L416" s="109">
        <v>67.34199999999997</v>
      </c>
      <c r="M416" s="109">
        <v>93.758999999999872</v>
      </c>
      <c r="N416" s="109">
        <v>60.687999999999363</v>
      </c>
      <c r="O416" s="109">
        <v>67.971000000000004</v>
      </c>
      <c r="P416" s="109">
        <v>112.2700000000001</v>
      </c>
      <c r="Q416" s="109">
        <v>99.434000000000054</v>
      </c>
      <c r="R416" s="109">
        <v>83.039999999999736</v>
      </c>
      <c r="S416" s="109">
        <v>76.379999999999967</v>
      </c>
      <c r="T416" s="109">
        <v>125.9549999999999</v>
      </c>
      <c r="U416" s="109">
        <v>151.9369999999999</v>
      </c>
      <c r="V416" s="109">
        <v>138.12299999999999</v>
      </c>
      <c r="W416" s="109">
        <v>137.71</v>
      </c>
      <c r="X416" s="109">
        <v>165.21799999999999</v>
      </c>
      <c r="Y416" s="109">
        <v>184.489</v>
      </c>
      <c r="Z416" s="109">
        <v>132.31899999999979</v>
      </c>
      <c r="AA416" s="109">
        <v>174.25399999999991</v>
      </c>
      <c r="AB416" s="109">
        <v>189.87599999999989</v>
      </c>
      <c r="AC416" s="109">
        <v>232.46100000000001</v>
      </c>
      <c r="AD416" s="109">
        <v>216.04600000000019</v>
      </c>
      <c r="AE416" s="109">
        <v>249.5630000000001</v>
      </c>
      <c r="AF416" s="109">
        <v>277.346</v>
      </c>
      <c r="AG416" s="109">
        <v>260.37100000000021</v>
      </c>
      <c r="AH416" s="109">
        <v>224.13700000000011</v>
      </c>
      <c r="AI416" s="109">
        <v>262.15699999999993</v>
      </c>
      <c r="AJ416" s="109">
        <v>306.79800000000012</v>
      </c>
      <c r="AK416" s="109">
        <v>275.82499999999999</v>
      </c>
      <c r="AL416" s="109">
        <v>269.36100000000067</v>
      </c>
      <c r="AM416" s="109">
        <v>243.19300000000001</v>
      </c>
      <c r="AN416" s="109">
        <v>326.8490000000001</v>
      </c>
      <c r="AO416" s="109">
        <v>301.72000000000008</v>
      </c>
      <c r="AP416" s="109">
        <v>297.42399999999969</v>
      </c>
    </row>
    <row r="417" spans="1:42" ht="14.45" customHeight="1" x14ac:dyDescent="0.25">
      <c r="A417" s="220" t="s">
        <v>481</v>
      </c>
      <c r="B417" s="221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  <c r="AE417" s="222"/>
      <c r="AF417" s="222"/>
      <c r="AG417" s="222"/>
      <c r="AH417" s="222"/>
      <c r="AI417" s="222"/>
      <c r="AJ417" s="222"/>
      <c r="AK417" s="222"/>
      <c r="AL417" s="222"/>
      <c r="AM417" s="222"/>
      <c r="AN417" s="222"/>
      <c r="AO417" s="222"/>
      <c r="AP417" s="222"/>
    </row>
    <row r="418" spans="1:42" ht="14.45" customHeight="1" x14ac:dyDescent="0.25">
      <c r="A418" s="220"/>
      <c r="B418" s="221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  <c r="AE418" s="222"/>
      <c r="AF418" s="222"/>
      <c r="AG418" s="222"/>
      <c r="AH418" s="222"/>
      <c r="AI418" s="222"/>
      <c r="AJ418" s="222"/>
      <c r="AK418" s="222"/>
      <c r="AL418" s="222"/>
      <c r="AM418" s="222"/>
      <c r="AN418" s="222"/>
      <c r="AO418" s="222"/>
      <c r="AP418" s="222"/>
    </row>
    <row r="419" spans="1:42" ht="14.45" customHeight="1" x14ac:dyDescent="0.25">
      <c r="A419" s="189" t="s">
        <v>397</v>
      </c>
      <c r="B419" s="180"/>
      <c r="C419" s="63">
        <v>9.3610000000000007</v>
      </c>
      <c r="D419" s="63">
        <v>9.8079999999999998</v>
      </c>
      <c r="E419" s="63">
        <v>8.452</v>
      </c>
      <c r="F419" s="63">
        <v>8.7040000000000024</v>
      </c>
      <c r="G419" s="63">
        <v>9.4700000000000006</v>
      </c>
      <c r="H419" s="63">
        <v>10.44</v>
      </c>
      <c r="I419" s="63">
        <v>10.696999999999999</v>
      </c>
      <c r="J419" s="63">
        <v>11.262</v>
      </c>
      <c r="K419" s="63">
        <v>12.045999999999999</v>
      </c>
      <c r="L419" s="63">
        <v>12.744</v>
      </c>
      <c r="M419" s="63">
        <v>12.827</v>
      </c>
      <c r="N419" s="63">
        <v>12.888999999999999</v>
      </c>
      <c r="O419" s="63">
        <v>12.885999999999999</v>
      </c>
      <c r="P419" s="63">
        <v>11.994999999999999</v>
      </c>
      <c r="Q419" s="63">
        <v>10.965</v>
      </c>
      <c r="R419" s="63">
        <v>10.144</v>
      </c>
      <c r="S419" s="63">
        <v>9.5609999999999999</v>
      </c>
      <c r="T419" s="63">
        <v>9.1839999999999993</v>
      </c>
      <c r="U419" s="63">
        <v>9.0329999999999995</v>
      </c>
      <c r="V419" s="63">
        <v>8.9570000000000007</v>
      </c>
      <c r="W419" s="63">
        <v>8.7460000000000004</v>
      </c>
      <c r="X419" s="63">
        <v>8.3650000000000002</v>
      </c>
      <c r="Y419" s="63">
        <v>8.0969999999999995</v>
      </c>
      <c r="Z419" s="63">
        <v>8.2409999999999997</v>
      </c>
      <c r="AA419" s="63">
        <v>7.6989999999999998</v>
      </c>
      <c r="AB419" s="63">
        <v>7.1459999999999999</v>
      </c>
      <c r="AC419" s="63">
        <v>6.0830000000000002</v>
      </c>
      <c r="AD419" s="63">
        <v>3.8640000000000039</v>
      </c>
      <c r="AE419" s="63">
        <v>2.9289999999999998</v>
      </c>
      <c r="AF419" s="63">
        <v>1.353</v>
      </c>
      <c r="AG419" s="63">
        <v>-1.516</v>
      </c>
      <c r="AH419" s="63">
        <v>-3.6840000000000002</v>
      </c>
      <c r="AI419" s="63">
        <v>-2.7160000000000002</v>
      </c>
      <c r="AJ419" s="63">
        <v>-1.62</v>
      </c>
      <c r="AK419" s="63">
        <v>2.1869999999999998</v>
      </c>
      <c r="AL419" s="63">
        <v>3.9970000000000012</v>
      </c>
      <c r="AM419" s="63">
        <v>6.8739999999999997</v>
      </c>
      <c r="AN419" s="63">
        <v>5.9480000000000004</v>
      </c>
      <c r="AO419" s="63">
        <v>4.6870000000000003</v>
      </c>
      <c r="AP419" s="63">
        <v>25.169</v>
      </c>
    </row>
    <row r="420" spans="1:42" ht="14.45" customHeight="1" x14ac:dyDescent="0.25">
      <c r="A420" s="125" t="s">
        <v>482</v>
      </c>
      <c r="B420" s="180"/>
      <c r="C420" s="99">
        <v>17.151</v>
      </c>
      <c r="D420" s="99">
        <v>16.274000000000001</v>
      </c>
      <c r="E420" s="99">
        <v>-7.3250000000000002</v>
      </c>
      <c r="F420" s="99">
        <v>-27.97</v>
      </c>
      <c r="G420" s="99">
        <v>12.246</v>
      </c>
      <c r="H420" s="99">
        <v>25.548999999999999</v>
      </c>
      <c r="I420" s="99">
        <v>-5.226</v>
      </c>
      <c r="J420" s="99">
        <v>-28.372</v>
      </c>
      <c r="K420" s="99">
        <v>-4.51</v>
      </c>
      <c r="L420" s="99">
        <v>9.8179999999999996</v>
      </c>
      <c r="M420" s="99">
        <v>-1.696</v>
      </c>
      <c r="N420" s="99">
        <v>27.241</v>
      </c>
      <c r="O420" s="99">
        <v>15.851000000000001</v>
      </c>
      <c r="P420" s="99">
        <v>31.181000000000001</v>
      </c>
      <c r="Q420" s="99">
        <v>20.710999999999999</v>
      </c>
      <c r="R420" s="99">
        <v>32.796000000000006</v>
      </c>
      <c r="S420" s="99">
        <v>2.298</v>
      </c>
      <c r="T420" s="99">
        <v>16.134</v>
      </c>
      <c r="U420" s="99">
        <v>21.393999999999998</v>
      </c>
      <c r="V420" s="99">
        <v>-4.222999999999999</v>
      </c>
      <c r="W420" s="99">
        <v>12.055</v>
      </c>
      <c r="X420" s="99">
        <v>47.040999999999997</v>
      </c>
      <c r="Y420" s="99">
        <v>34.981999999999999</v>
      </c>
      <c r="Z420" s="99">
        <v>56.494999999999997</v>
      </c>
      <c r="AA420" s="99">
        <v>-3.2789999999999999</v>
      </c>
      <c r="AB420" s="99">
        <v>6.1989999999999998</v>
      </c>
      <c r="AC420" s="99">
        <v>24.745999999999999</v>
      </c>
      <c r="AD420" s="99">
        <v>13.502000000000001</v>
      </c>
      <c r="AE420" s="99">
        <v>43.923000000000002</v>
      </c>
      <c r="AF420" s="99">
        <v>27.788</v>
      </c>
      <c r="AG420" s="99">
        <v>19.472999999999999</v>
      </c>
      <c r="AH420" s="99">
        <v>73.908000000000015</v>
      </c>
      <c r="AI420" s="99">
        <v>-4.7130000000000001</v>
      </c>
      <c r="AJ420" s="99">
        <v>28.535</v>
      </c>
      <c r="AK420" s="99">
        <v>69.304999999999993</v>
      </c>
      <c r="AL420" s="99">
        <v>-31.279</v>
      </c>
      <c r="AM420" s="99">
        <v>43.472999999999999</v>
      </c>
      <c r="AN420" s="99">
        <v>13.144</v>
      </c>
      <c r="AO420" s="99">
        <v>49.716999999999999</v>
      </c>
      <c r="AP420" s="99">
        <v>28.725999999999999</v>
      </c>
    </row>
    <row r="421" spans="1:42" ht="14.45" customHeight="1" x14ac:dyDescent="0.25">
      <c r="A421" s="130" t="s">
        <v>483</v>
      </c>
      <c r="B421" s="190"/>
      <c r="C421" s="103">
        <v>0</v>
      </c>
      <c r="D421" s="103">
        <v>0.69199999999999995</v>
      </c>
      <c r="E421" s="103">
        <v>0</v>
      </c>
      <c r="F421" s="103">
        <v>0</v>
      </c>
      <c r="G421" s="103">
        <v>0</v>
      </c>
      <c r="H421" s="103">
        <v>0</v>
      </c>
      <c r="I421" s="103">
        <v>0</v>
      </c>
      <c r="J421" s="103">
        <v>-12.893000000000001</v>
      </c>
      <c r="K421" s="103">
        <v>0</v>
      </c>
      <c r="L421" s="103">
        <v>0</v>
      </c>
      <c r="M421" s="103">
        <v>-10.17</v>
      </c>
      <c r="N421" s="103">
        <v>0</v>
      </c>
      <c r="O421" s="103">
        <v>0</v>
      </c>
      <c r="P421" s="103">
        <v>0</v>
      </c>
      <c r="Q421" s="103">
        <v>0</v>
      </c>
      <c r="R421" s="103">
        <v>0</v>
      </c>
      <c r="S421" s="103">
        <v>0</v>
      </c>
      <c r="T421" s="103">
        <v>0</v>
      </c>
      <c r="U421" s="103">
        <v>0</v>
      </c>
      <c r="V421" s="103">
        <v>0</v>
      </c>
      <c r="W421" s="103">
        <v>0</v>
      </c>
      <c r="X421" s="103">
        <v>0</v>
      </c>
      <c r="Y421" s="103">
        <v>0</v>
      </c>
      <c r="Z421" s="103">
        <v>0</v>
      </c>
      <c r="AA421" s="103">
        <v>0</v>
      </c>
      <c r="AB421" s="103">
        <v>0</v>
      </c>
      <c r="AC421" s="103">
        <v>0</v>
      </c>
      <c r="AD421" s="103">
        <v>0</v>
      </c>
      <c r="AE421" s="103">
        <v>0</v>
      </c>
      <c r="AF421" s="103">
        <v>39.777000000000001</v>
      </c>
      <c r="AG421" s="103">
        <v>77.319000000000003</v>
      </c>
      <c r="AH421" s="103">
        <v>-4.2999999999999972</v>
      </c>
      <c r="AI421" s="103">
        <v>0</v>
      </c>
      <c r="AJ421" s="103">
        <v>0</v>
      </c>
      <c r="AK421" s="103">
        <v>0</v>
      </c>
      <c r="AL421" s="103">
        <v>0</v>
      </c>
      <c r="AM421" s="103">
        <v>0</v>
      </c>
      <c r="AN421" s="103">
        <v>0</v>
      </c>
      <c r="AO421" s="103">
        <v>0</v>
      </c>
      <c r="AP421" s="103">
        <v>0</v>
      </c>
    </row>
    <row r="422" spans="1:42" ht="14.45" customHeight="1" x14ac:dyDescent="0.25">
      <c r="A422" s="110" t="s">
        <v>68</v>
      </c>
      <c r="B422" s="212"/>
      <c r="C422" s="106">
        <v>-14.11099999999999</v>
      </c>
      <c r="D422" s="106">
        <v>27.961999999999989</v>
      </c>
      <c r="E422" s="106">
        <v>38.674000000000042</v>
      </c>
      <c r="F422" s="106">
        <v>40.186999999999713</v>
      </c>
      <c r="G422" s="106">
        <v>-8.1080000000000538</v>
      </c>
      <c r="H422" s="106">
        <v>11.323999999999881</v>
      </c>
      <c r="I422" s="106">
        <v>30.659000000000049</v>
      </c>
      <c r="J422" s="106">
        <v>29.130999999999482</v>
      </c>
      <c r="K422" s="106">
        <v>-26.532999999999902</v>
      </c>
      <c r="L422" s="106">
        <v>-2.883000000000024</v>
      </c>
      <c r="M422" s="106">
        <v>43.442999999999877</v>
      </c>
      <c r="N422" s="106">
        <v>-27.31400000000065</v>
      </c>
      <c r="O422" s="106">
        <v>-8.5830000000000055</v>
      </c>
      <c r="P422" s="106">
        <v>24.03800000000011</v>
      </c>
      <c r="Q422" s="106">
        <v>22.170000000000059</v>
      </c>
      <c r="R422" s="106">
        <v>-3.400000000000269</v>
      </c>
      <c r="S422" s="106">
        <v>20.961999999999971</v>
      </c>
      <c r="T422" s="106">
        <v>57.79999999999994</v>
      </c>
      <c r="U422" s="106">
        <v>73.416999999999888</v>
      </c>
      <c r="V422" s="106">
        <v>88.861000000000018</v>
      </c>
      <c r="W422" s="106">
        <v>73.382999999999967</v>
      </c>
      <c r="X422" s="106">
        <v>65.455000000000041</v>
      </c>
      <c r="Y422" s="106">
        <v>93.951999999999998</v>
      </c>
      <c r="Z422" s="106">
        <v>22.358999999999799</v>
      </c>
      <c r="AA422" s="106">
        <v>126.5649999999999</v>
      </c>
      <c r="AB422" s="106">
        <v>133.94799999999989</v>
      </c>
      <c r="AC422" s="106">
        <v>159.10099999999991</v>
      </c>
      <c r="AD422" s="106">
        <v>155.47300000000021</v>
      </c>
      <c r="AE422" s="106">
        <v>159.20200000000011</v>
      </c>
      <c r="AF422" s="106">
        <v>164.75200000000001</v>
      </c>
      <c r="AG422" s="106">
        <v>120.98400000000019</v>
      </c>
      <c r="AH422" s="106">
        <v>112.54300000000011</v>
      </c>
      <c r="AI422" s="106">
        <v>222.83500000000001</v>
      </c>
      <c r="AJ422" s="106">
        <v>232.22500000000011</v>
      </c>
      <c r="AK422" s="106">
        <v>155.5630000000001</v>
      </c>
      <c r="AL422" s="106">
        <v>246.03100000000069</v>
      </c>
      <c r="AM422" s="106">
        <v>139.47300000000001</v>
      </c>
      <c r="AN422" s="106">
        <v>252.9920000000001</v>
      </c>
      <c r="AO422" s="106">
        <v>192.2300000000001</v>
      </c>
      <c r="AP422" s="106">
        <v>188.2229999999997</v>
      </c>
    </row>
    <row r="423" spans="1:42" ht="14.45" customHeight="1" x14ac:dyDescent="0.25">
      <c r="A423" s="220"/>
      <c r="B423" s="221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</row>
    <row r="424" spans="1:42" ht="14.45" customHeight="1" x14ac:dyDescent="0.25">
      <c r="A424" s="125" t="s">
        <v>484</v>
      </c>
      <c r="B424" s="180"/>
      <c r="C424" s="99">
        <v>0</v>
      </c>
      <c r="D424" s="99">
        <v>7.0359999999999996</v>
      </c>
      <c r="E424" s="99">
        <v>6.1360000000000001</v>
      </c>
      <c r="F424" s="99">
        <v>-20.065000000000001</v>
      </c>
      <c r="G424" s="99">
        <v>11.804</v>
      </c>
      <c r="H424" s="99">
        <v>13.166</v>
      </c>
      <c r="I424" s="99">
        <v>11.571</v>
      </c>
      <c r="J424" s="99">
        <v>-18.271000000000001</v>
      </c>
      <c r="K424" s="99">
        <v>2.423</v>
      </c>
      <c r="L424" s="99">
        <v>0.75700000000000123</v>
      </c>
      <c r="M424" s="99">
        <v>-9.6960000000000015</v>
      </c>
      <c r="N424" s="99">
        <v>-0.98099999999999787</v>
      </c>
      <c r="O424" s="99">
        <v>0.43999999999999989</v>
      </c>
      <c r="P424" s="99">
        <v>-0.27999999999999942</v>
      </c>
      <c r="Q424" s="99">
        <v>5.3869999999999996</v>
      </c>
      <c r="R424" s="99">
        <v>6.1309999999999976</v>
      </c>
      <c r="S424" s="99">
        <v>-0.54900000000000038</v>
      </c>
      <c r="T424" s="99">
        <v>-0.57300000000000217</v>
      </c>
      <c r="U424" s="99">
        <v>34.731000000000002</v>
      </c>
      <c r="V424" s="99">
        <v>16.596999999999991</v>
      </c>
      <c r="W424" s="99">
        <v>3.9999999999999147E-2</v>
      </c>
      <c r="X424" s="99">
        <v>34.962000000000003</v>
      </c>
      <c r="Y424" s="99">
        <v>16.408000000000001</v>
      </c>
      <c r="Z424" s="99">
        <v>23.341999999999999</v>
      </c>
      <c r="AA424" s="99">
        <v>4.49999999999946E-2</v>
      </c>
      <c r="AB424" s="99">
        <v>56.327000000000012</v>
      </c>
      <c r="AC424" s="99">
        <v>40.78</v>
      </c>
      <c r="AD424" s="99">
        <v>38.79999999999999</v>
      </c>
      <c r="AE424" s="99">
        <v>0.33200000000000068</v>
      </c>
      <c r="AF424" s="99">
        <v>91.024000000000001</v>
      </c>
      <c r="AG424" s="99">
        <v>55.923999999999999</v>
      </c>
      <c r="AH424" s="99">
        <v>50.846999999999987</v>
      </c>
      <c r="AI424" s="99">
        <v>0.47800000000000148</v>
      </c>
      <c r="AJ424" s="99">
        <v>113.765</v>
      </c>
      <c r="AK424" s="99">
        <v>60.232999999999997</v>
      </c>
      <c r="AL424" s="99">
        <v>46.524000000000001</v>
      </c>
      <c r="AM424" s="99">
        <v>0.58400000000000318</v>
      </c>
      <c r="AN424" s="99">
        <v>116.86799999999999</v>
      </c>
      <c r="AO424" s="99">
        <v>33.388000000000012</v>
      </c>
      <c r="AP424" s="99">
        <v>37.792000000000023</v>
      </c>
    </row>
    <row r="425" spans="1:42" ht="14.45" customHeight="1" x14ac:dyDescent="0.25">
      <c r="A425" s="130" t="s">
        <v>485</v>
      </c>
      <c r="B425" s="190"/>
      <c r="C425" s="103">
        <v>-5.0780000000000003</v>
      </c>
      <c r="D425" s="103">
        <v>3.6019999999999999</v>
      </c>
      <c r="E425" s="103">
        <v>6.9850000000000003</v>
      </c>
      <c r="F425" s="103">
        <v>37.433</v>
      </c>
      <c r="G425" s="103">
        <v>-15.494999999999999</v>
      </c>
      <c r="H425" s="103">
        <v>-9.423</v>
      </c>
      <c r="I425" s="103">
        <v>0.1769999999999996</v>
      </c>
      <c r="J425" s="103">
        <v>-33.369999999999997</v>
      </c>
      <c r="K425" s="103">
        <v>-15.394</v>
      </c>
      <c r="L425" s="103">
        <v>-0.89200000000000124</v>
      </c>
      <c r="M425" s="103">
        <v>26.189</v>
      </c>
      <c r="N425" s="103">
        <v>-0.53700000000000081</v>
      </c>
      <c r="O425" s="103">
        <v>-3.4449999999999998</v>
      </c>
      <c r="P425" s="103">
        <v>7.4619999999999997</v>
      </c>
      <c r="Q425" s="103">
        <v>1.236999999999999</v>
      </c>
      <c r="R425" s="103">
        <v>-1.266999999999999</v>
      </c>
      <c r="S425" s="103">
        <v>5.91</v>
      </c>
      <c r="T425" s="103">
        <v>15.76</v>
      </c>
      <c r="U425" s="103">
        <v>-16.367999999999999</v>
      </c>
      <c r="V425" s="103">
        <v>3.4350000000000001</v>
      </c>
      <c r="W425" s="103">
        <v>19.98</v>
      </c>
      <c r="X425" s="103">
        <v>-17.687000000000001</v>
      </c>
      <c r="Y425" s="103">
        <v>8.6140000000000008</v>
      </c>
      <c r="Z425" s="103">
        <v>-20.09</v>
      </c>
      <c r="AA425" s="103">
        <v>33.130000000000003</v>
      </c>
      <c r="AB425" s="103">
        <v>-21.940999999999999</v>
      </c>
      <c r="AC425" s="103">
        <v>-0.4399999999999995</v>
      </c>
      <c r="AD425" s="103">
        <v>-1.772</v>
      </c>
      <c r="AE425" s="103">
        <v>40.743000000000002</v>
      </c>
      <c r="AF425" s="103">
        <v>-48.591000000000001</v>
      </c>
      <c r="AG425" s="103">
        <v>-27.033000000000001</v>
      </c>
      <c r="AH425" s="103">
        <v>-14.14</v>
      </c>
      <c r="AI425" s="103">
        <v>56.616</v>
      </c>
      <c r="AJ425" s="103">
        <v>-54.351999999999997</v>
      </c>
      <c r="AK425" s="103">
        <v>-20.294</v>
      </c>
      <c r="AL425" s="103">
        <v>20.559000000000001</v>
      </c>
      <c r="AM425" s="103">
        <v>35.277999999999999</v>
      </c>
      <c r="AN425" s="103">
        <v>-51.262999999999998</v>
      </c>
      <c r="AO425" s="103">
        <v>16.507999999999999</v>
      </c>
      <c r="AP425" s="103">
        <v>13.180999999999999</v>
      </c>
    </row>
    <row r="426" spans="1:42" ht="14.45" customHeight="1" x14ac:dyDescent="0.25">
      <c r="A426" s="110" t="s">
        <v>486</v>
      </c>
      <c r="B426" s="212"/>
      <c r="C426" s="106">
        <v>-9.0329999999999906</v>
      </c>
      <c r="D426" s="106">
        <v>17.323999999999991</v>
      </c>
      <c r="E426" s="106">
        <v>25.55300000000004</v>
      </c>
      <c r="F426" s="106">
        <v>22.818999999999701</v>
      </c>
      <c r="G426" s="106">
        <v>-4.4170000000000531</v>
      </c>
      <c r="H426" s="106">
        <v>7.5809999999998769</v>
      </c>
      <c r="I426" s="106">
        <v>18.911000000000051</v>
      </c>
      <c r="J426" s="106">
        <v>80.77199999999948</v>
      </c>
      <c r="K426" s="106">
        <v>-13.5619999999999</v>
      </c>
      <c r="L426" s="106">
        <v>-2.7480000000000242</v>
      </c>
      <c r="M426" s="106">
        <v>26.949999999999889</v>
      </c>
      <c r="N426" s="106">
        <v>-25.79600000000066</v>
      </c>
      <c r="O426" s="106">
        <v>-5.5780000000000056</v>
      </c>
      <c r="P426" s="106">
        <v>16.856000000000108</v>
      </c>
      <c r="Q426" s="106">
        <v>15.54600000000006</v>
      </c>
      <c r="R426" s="106">
        <v>-8.2640000000002676</v>
      </c>
      <c r="S426" s="106">
        <v>15.600999999999971</v>
      </c>
      <c r="T426" s="106">
        <v>42.612999999999943</v>
      </c>
      <c r="U426" s="106">
        <v>55.053999999999888</v>
      </c>
      <c r="V426" s="106">
        <v>68.829000000000022</v>
      </c>
      <c r="W426" s="106">
        <v>53.362999999999971</v>
      </c>
      <c r="X426" s="106">
        <v>48.180000000000042</v>
      </c>
      <c r="Y426" s="106">
        <v>68.930000000000007</v>
      </c>
      <c r="Z426" s="106">
        <v>19.10699999999979</v>
      </c>
      <c r="AA426" s="106">
        <v>93.389999999999901</v>
      </c>
      <c r="AB426" s="106">
        <v>99.561999999999898</v>
      </c>
      <c r="AC426" s="106">
        <v>118.7609999999999</v>
      </c>
      <c r="AD426" s="106">
        <v>118.44500000000021</v>
      </c>
      <c r="AE426" s="106">
        <v>118.12700000000009</v>
      </c>
      <c r="AF426" s="106">
        <v>122.319</v>
      </c>
      <c r="AG426" s="106">
        <v>92.09300000000016</v>
      </c>
      <c r="AH426" s="106">
        <v>75.836000000000084</v>
      </c>
      <c r="AI426" s="106">
        <v>165.74100000000001</v>
      </c>
      <c r="AJ426" s="106">
        <v>172.8120000000001</v>
      </c>
      <c r="AK426" s="106">
        <v>115.62400000000009</v>
      </c>
      <c r="AL426" s="106">
        <v>178.94800000000069</v>
      </c>
      <c r="AM426" s="106">
        <v>103.611</v>
      </c>
      <c r="AN426" s="106">
        <v>187.38700000000011</v>
      </c>
      <c r="AO426" s="106">
        <v>142.33400000000009</v>
      </c>
      <c r="AP426" s="106">
        <v>137.24999999999969</v>
      </c>
    </row>
    <row r="427" spans="1:42" ht="14.45" customHeight="1" x14ac:dyDescent="0.25">
      <c r="A427" s="125" t="s">
        <v>487</v>
      </c>
      <c r="B427" s="180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</row>
    <row r="428" spans="1:42" ht="14.45" customHeight="1" x14ac:dyDescent="0.25">
      <c r="A428" s="125" t="s">
        <v>488</v>
      </c>
      <c r="B428" s="180"/>
      <c r="C428" s="99">
        <v>1.008</v>
      </c>
      <c r="D428" s="99">
        <v>1.6719999999999999</v>
      </c>
      <c r="E428" s="99">
        <v>2.411</v>
      </c>
      <c r="F428" s="99">
        <v>1.426000000000001</v>
      </c>
      <c r="G428" s="99">
        <v>0.63400000000000001</v>
      </c>
      <c r="H428" s="99">
        <v>1.2330000000000001</v>
      </c>
      <c r="I428" s="99">
        <v>1.595</v>
      </c>
      <c r="J428" s="99">
        <v>2.850000000000001</v>
      </c>
      <c r="K428" s="99">
        <v>0.623</v>
      </c>
      <c r="L428" s="99">
        <v>1.1850000000000001</v>
      </c>
      <c r="M428" s="99">
        <v>1.786</v>
      </c>
      <c r="N428" s="99">
        <v>1.18</v>
      </c>
      <c r="O428" s="99">
        <v>1.2529999999999999</v>
      </c>
      <c r="P428" s="99">
        <v>1.486</v>
      </c>
      <c r="Q428" s="99">
        <v>2.54</v>
      </c>
      <c r="R428" s="99">
        <v>1.9059999999999999</v>
      </c>
      <c r="S428" s="99">
        <v>0.93900000000000006</v>
      </c>
      <c r="T428" s="99">
        <v>3.044</v>
      </c>
      <c r="U428" s="99">
        <v>3.17</v>
      </c>
      <c r="V428" s="99">
        <v>2.451000000000001</v>
      </c>
      <c r="W428" s="99">
        <v>0</v>
      </c>
      <c r="X428" s="99">
        <v>0</v>
      </c>
      <c r="Y428" s="99">
        <v>0</v>
      </c>
      <c r="Z428" s="99">
        <v>0</v>
      </c>
      <c r="AA428" s="99">
        <v>0</v>
      </c>
      <c r="AB428" s="99">
        <v>0</v>
      </c>
      <c r="AC428" s="99">
        <v>0</v>
      </c>
      <c r="AD428" s="99">
        <v>0</v>
      </c>
      <c r="AE428" s="99">
        <v>0</v>
      </c>
      <c r="AF428" s="99">
        <v>0</v>
      </c>
      <c r="AG428" s="99">
        <v>0</v>
      </c>
      <c r="AH428" s="99">
        <v>0</v>
      </c>
      <c r="AI428" s="99">
        <v>0</v>
      </c>
      <c r="AJ428" s="99">
        <v>0</v>
      </c>
      <c r="AK428" s="99">
        <v>0</v>
      </c>
      <c r="AL428" s="99">
        <v>0</v>
      </c>
      <c r="AM428" s="99">
        <v>0</v>
      </c>
      <c r="AN428" s="99">
        <v>0</v>
      </c>
      <c r="AO428" s="99">
        <v>0</v>
      </c>
      <c r="AP428" s="99">
        <v>0</v>
      </c>
    </row>
    <row r="429" spans="1:42" ht="14.45" customHeight="1" x14ac:dyDescent="0.25">
      <c r="A429" s="194" t="s">
        <v>489</v>
      </c>
      <c r="B429" s="190"/>
      <c r="C429" s="158">
        <v>-2.33</v>
      </c>
      <c r="D429" s="158">
        <v>3.65</v>
      </c>
      <c r="E429" s="158">
        <v>5.3970000000000002</v>
      </c>
      <c r="F429" s="158">
        <v>4.9599999999999991</v>
      </c>
      <c r="G429" s="158">
        <v>-1.1819999999999999</v>
      </c>
      <c r="H429" s="158">
        <v>1.4910000000000001</v>
      </c>
      <c r="I429" s="158">
        <v>4.0679999999999996</v>
      </c>
      <c r="J429" s="158">
        <v>18.263000000000002</v>
      </c>
      <c r="K429" s="158">
        <v>-3.3410000000000002</v>
      </c>
      <c r="L429" s="158">
        <v>-0.93099999999999994</v>
      </c>
      <c r="M429" s="158">
        <v>5.9550000000000001</v>
      </c>
      <c r="N429" s="158">
        <v>-6.3890000000000011</v>
      </c>
      <c r="O429" s="158">
        <v>-1.62</v>
      </c>
      <c r="P429" s="158">
        <v>3.66</v>
      </c>
      <c r="Q429" s="158">
        <v>3.097</v>
      </c>
      <c r="R429" s="158">
        <v>-2.4319999999999999</v>
      </c>
      <c r="S429" s="158">
        <v>3.4910000000000001</v>
      </c>
      <c r="T429" s="158">
        <v>9.4220000000000006</v>
      </c>
      <c r="U429" s="158">
        <v>12.356</v>
      </c>
      <c r="V429" s="158">
        <v>15.808</v>
      </c>
      <c r="W429" s="158">
        <v>12.707000000000001</v>
      </c>
      <c r="X429" s="158">
        <v>11.473000000000001</v>
      </c>
      <c r="Y429" s="158">
        <v>16.414000000000001</v>
      </c>
      <c r="Z429" s="158">
        <v>4.5519999999999952</v>
      </c>
      <c r="AA429" s="158">
        <v>20.140999999999998</v>
      </c>
      <c r="AB429" s="158">
        <v>10.673999999999999</v>
      </c>
      <c r="AC429" s="158">
        <v>12.731999999999999</v>
      </c>
      <c r="AD429" s="158">
        <v>14.19</v>
      </c>
      <c r="AE429" s="158">
        <v>12.664</v>
      </c>
      <c r="AF429" s="158">
        <v>13.113</v>
      </c>
      <c r="AG429" s="158">
        <v>9.8740000000000006</v>
      </c>
      <c r="AH429" s="158">
        <v>8.1309999999999967</v>
      </c>
      <c r="AI429" s="158">
        <v>17.765000000000001</v>
      </c>
      <c r="AJ429" s="158">
        <v>18.657</v>
      </c>
      <c r="AK429" s="158">
        <v>13.263</v>
      </c>
      <c r="AL429" s="158">
        <v>20.158000000000001</v>
      </c>
      <c r="AM429" s="158">
        <v>11.944000000000001</v>
      </c>
      <c r="AN429" s="158">
        <v>21.632000000000001</v>
      </c>
      <c r="AO429" s="158">
        <v>16.504999999999999</v>
      </c>
      <c r="AP429" s="158">
        <v>18.05</v>
      </c>
    </row>
    <row r="430" spans="1:42" ht="14.45" customHeight="1" x14ac:dyDescent="0.25">
      <c r="A430" s="110" t="s">
        <v>490</v>
      </c>
      <c r="B430" s="212"/>
      <c r="C430" s="106">
        <v>-7.7109999999999914</v>
      </c>
      <c r="D430" s="106">
        <v>12.00199999999999</v>
      </c>
      <c r="E430" s="106">
        <v>17.74500000000004</v>
      </c>
      <c r="F430" s="106">
        <v>16.432999999999701</v>
      </c>
      <c r="G430" s="106">
        <v>-3.8690000000000531</v>
      </c>
      <c r="H430" s="106">
        <v>4.8569999999998767</v>
      </c>
      <c r="I430" s="106">
        <v>13.248000000000051</v>
      </c>
      <c r="J430" s="106">
        <v>59.65899999999948</v>
      </c>
      <c r="K430" s="106">
        <v>-10.8439999999999</v>
      </c>
      <c r="L430" s="106">
        <v>-3.0020000000000242</v>
      </c>
      <c r="M430" s="106">
        <v>19.208999999999889</v>
      </c>
      <c r="N430" s="106">
        <v>-20.587000000000661</v>
      </c>
      <c r="O430" s="106">
        <v>-5.2110000000000056</v>
      </c>
      <c r="P430" s="106">
        <v>11.710000000000109</v>
      </c>
      <c r="Q430" s="106">
        <v>9.9090000000000629</v>
      </c>
      <c r="R430" s="106">
        <v>-7.7380000000002669</v>
      </c>
      <c r="S430" s="106">
        <v>11.170999999999969</v>
      </c>
      <c r="T430" s="106">
        <v>30.146999999999942</v>
      </c>
      <c r="U430" s="106">
        <v>39.527999999999892</v>
      </c>
      <c r="V430" s="106">
        <v>50.570000000000022</v>
      </c>
      <c r="W430" s="106">
        <v>40.65599999999997</v>
      </c>
      <c r="X430" s="106">
        <v>36.707000000000043</v>
      </c>
      <c r="Y430" s="106">
        <v>52.516000000000012</v>
      </c>
      <c r="Z430" s="106">
        <v>14.554999999999801</v>
      </c>
      <c r="AA430" s="106">
        <v>73.24899999999991</v>
      </c>
      <c r="AB430" s="106">
        <v>88.887999999999892</v>
      </c>
      <c r="AC430" s="106">
        <v>106.0289999999999</v>
      </c>
      <c r="AD430" s="106">
        <v>104.25500000000019</v>
      </c>
      <c r="AE430" s="106">
        <v>105.46300000000009</v>
      </c>
      <c r="AF430" s="106">
        <v>109.206</v>
      </c>
      <c r="AG430" s="106">
        <v>82.219000000000165</v>
      </c>
      <c r="AH430" s="106">
        <v>67.705000000000084</v>
      </c>
      <c r="AI430" s="106">
        <v>147.97599999999991</v>
      </c>
      <c r="AJ430" s="106">
        <v>154.15500000000009</v>
      </c>
      <c r="AK430" s="106">
        <v>102.3610000000001</v>
      </c>
      <c r="AL430" s="106">
        <v>158.7900000000007</v>
      </c>
      <c r="AM430" s="106">
        <v>91.667000000000044</v>
      </c>
      <c r="AN430" s="106">
        <v>165.75500000000011</v>
      </c>
      <c r="AO430" s="106">
        <v>125.82900000000009</v>
      </c>
      <c r="AP430" s="106">
        <v>119.1999999999997</v>
      </c>
    </row>
    <row r="431" spans="1:42" ht="14.45" customHeight="1" x14ac:dyDescent="0.25">
      <c r="A431" s="224" t="s">
        <v>491</v>
      </c>
      <c r="B431" s="225"/>
      <c r="C431" s="226">
        <v>2.33</v>
      </c>
      <c r="D431" s="226">
        <v>-3.65</v>
      </c>
      <c r="E431" s="226">
        <v>-5.3970000000000002</v>
      </c>
      <c r="F431" s="226">
        <v>-4.9599999999999991</v>
      </c>
      <c r="G431" s="226">
        <v>1.1819999999999999</v>
      </c>
      <c r="H431" s="226">
        <v>-1.4910000000000001</v>
      </c>
      <c r="I431" s="226">
        <v>-4.0679999999999996</v>
      </c>
      <c r="J431" s="226">
        <v>-18.263000000000002</v>
      </c>
      <c r="K431" s="226">
        <v>3.3410000000000002</v>
      </c>
      <c r="L431" s="226">
        <v>0.93099999999999994</v>
      </c>
      <c r="M431" s="226">
        <v>-5.9550000000000001</v>
      </c>
      <c r="N431" s="226">
        <v>6.3890000000000011</v>
      </c>
      <c r="O431" s="226">
        <v>1.62</v>
      </c>
      <c r="P431" s="226">
        <v>-3.66</v>
      </c>
      <c r="Q431" s="226">
        <v>-3.097</v>
      </c>
      <c r="R431" s="226">
        <v>2.4319999999999999</v>
      </c>
      <c r="S431" s="226">
        <v>-3.4910000000000001</v>
      </c>
      <c r="T431" s="226">
        <v>-9.4220000000000006</v>
      </c>
      <c r="U431" s="226">
        <v>-12.356</v>
      </c>
      <c r="V431" s="226">
        <v>-15.808</v>
      </c>
      <c r="W431" s="226">
        <v>-12.707000000000001</v>
      </c>
      <c r="X431" s="226">
        <v>-11.473000000000001</v>
      </c>
      <c r="Y431" s="226">
        <v>-16.414000000000001</v>
      </c>
      <c r="Z431" s="226">
        <v>-4.5519999999999952</v>
      </c>
      <c r="AA431" s="226">
        <v>-20.140999999999998</v>
      </c>
      <c r="AB431" s="226">
        <v>-10.673999999999999</v>
      </c>
      <c r="AC431" s="226">
        <v>-12.731999999999999</v>
      </c>
      <c r="AD431" s="226">
        <v>-14.19</v>
      </c>
      <c r="AE431" s="226">
        <v>-12.664</v>
      </c>
      <c r="AF431" s="226">
        <v>-13.113</v>
      </c>
      <c r="AG431" s="226">
        <v>-9.8740000000000006</v>
      </c>
      <c r="AH431" s="226">
        <v>-8.1309999999999967</v>
      </c>
      <c r="AI431" s="226">
        <v>-17.765000000000001</v>
      </c>
      <c r="AJ431" s="226">
        <v>-18.657</v>
      </c>
      <c r="AK431" s="226">
        <v>-13.263</v>
      </c>
      <c r="AL431" s="226">
        <v>-20.158000000000001</v>
      </c>
      <c r="AM431" s="226">
        <v>-11.944000000000001</v>
      </c>
      <c r="AN431" s="226">
        <v>-21.632000000000001</v>
      </c>
      <c r="AO431" s="226">
        <v>-16.504999999999999</v>
      </c>
      <c r="AP431" s="226">
        <v>-18.05</v>
      </c>
    </row>
    <row r="432" spans="1:42" ht="14.45" customHeight="1" x14ac:dyDescent="0.25">
      <c r="A432" s="110" t="s">
        <v>492</v>
      </c>
      <c r="B432" s="212"/>
      <c r="C432" s="106">
        <v>-10.04099999999999</v>
      </c>
      <c r="D432" s="106">
        <v>15.65199999999999</v>
      </c>
      <c r="E432" s="106">
        <v>23.142000000000039</v>
      </c>
      <c r="F432" s="106">
        <v>21.392999999999699</v>
      </c>
      <c r="G432" s="106">
        <v>-5.0510000000000526</v>
      </c>
      <c r="H432" s="106">
        <v>6.3479999999998764</v>
      </c>
      <c r="I432" s="106">
        <v>17.316000000000049</v>
      </c>
      <c r="J432" s="106">
        <v>77.921999999999485</v>
      </c>
      <c r="K432" s="106">
        <v>-14.184999999999899</v>
      </c>
      <c r="L432" s="106">
        <v>-3.9330000000000238</v>
      </c>
      <c r="M432" s="106">
        <v>25.163999999999891</v>
      </c>
      <c r="N432" s="106">
        <v>-26.97600000000066</v>
      </c>
      <c r="O432" s="106">
        <v>-6.8310000000000057</v>
      </c>
      <c r="P432" s="106">
        <v>15.370000000000109</v>
      </c>
      <c r="Q432" s="106">
        <v>13.006000000000061</v>
      </c>
      <c r="R432" s="106">
        <v>-10.17000000000027</v>
      </c>
      <c r="S432" s="106">
        <v>14.661999999999971</v>
      </c>
      <c r="T432" s="106">
        <v>39.568999999999953</v>
      </c>
      <c r="U432" s="106">
        <v>51.883999999999887</v>
      </c>
      <c r="V432" s="106">
        <v>66.378000000000029</v>
      </c>
      <c r="W432" s="106">
        <v>53.362999999999971</v>
      </c>
      <c r="X432" s="106">
        <v>48.180000000000042</v>
      </c>
      <c r="Y432" s="106">
        <v>68.930000000000007</v>
      </c>
      <c r="Z432" s="106">
        <v>19.10699999999979</v>
      </c>
      <c r="AA432" s="106">
        <v>93.389999999999901</v>
      </c>
      <c r="AB432" s="106">
        <v>99.561999999999898</v>
      </c>
      <c r="AC432" s="106">
        <v>118.7609999999999</v>
      </c>
      <c r="AD432" s="106">
        <v>118.44500000000021</v>
      </c>
      <c r="AE432" s="106">
        <v>118.12700000000009</v>
      </c>
      <c r="AF432" s="106">
        <v>122.319</v>
      </c>
      <c r="AG432" s="106">
        <v>92.09300000000016</v>
      </c>
      <c r="AH432" s="106">
        <v>75.836000000000084</v>
      </c>
      <c r="AI432" s="106">
        <v>165.7409999999999</v>
      </c>
      <c r="AJ432" s="106">
        <v>172.8120000000001</v>
      </c>
      <c r="AK432" s="106">
        <v>115.62400000000009</v>
      </c>
      <c r="AL432" s="106">
        <v>178.94800000000069</v>
      </c>
      <c r="AM432" s="106">
        <v>103.611</v>
      </c>
      <c r="AN432" s="106">
        <v>187.38700000000011</v>
      </c>
      <c r="AO432" s="106">
        <v>142.33400000000009</v>
      </c>
      <c r="AP432" s="106">
        <v>137.24999999999969</v>
      </c>
    </row>
    <row r="433" spans="1:42" ht="14.45" customHeight="1" x14ac:dyDescent="0.25">
      <c r="A433" s="227" t="s">
        <v>493</v>
      </c>
      <c r="B433" s="228"/>
      <c r="C433" s="229">
        <v>-16.260000000000002</v>
      </c>
      <c r="D433" s="229">
        <v>-3.209000000000001</v>
      </c>
      <c r="E433" s="229">
        <v>0.24900000000000061</v>
      </c>
      <c r="F433" s="229">
        <v>14.773999999999999</v>
      </c>
      <c r="G433" s="229">
        <v>-9.2840000000000007</v>
      </c>
      <c r="H433" s="229">
        <v>-15.818</v>
      </c>
      <c r="I433" s="229">
        <v>1.869999999999999</v>
      </c>
      <c r="J433" s="229">
        <v>76.05</v>
      </c>
      <c r="K433" s="229">
        <v>-5.35</v>
      </c>
      <c r="L433" s="229">
        <v>-14.238</v>
      </c>
      <c r="M433" s="229">
        <v>-2.6720000000000002</v>
      </c>
      <c r="N433" s="229">
        <v>-44.850000000000009</v>
      </c>
      <c r="O433" s="229">
        <v>-10.159000000000001</v>
      </c>
      <c r="P433" s="229">
        <v>-26.922000000000001</v>
      </c>
      <c r="Q433" s="229">
        <v>-19.265000000000001</v>
      </c>
      <c r="R433" s="229">
        <v>-24.253</v>
      </c>
      <c r="S433" s="229">
        <v>-3.3279999999999998</v>
      </c>
      <c r="T433" s="229">
        <v>-9.3550000000000004</v>
      </c>
      <c r="U433" s="229">
        <v>-15.492000000000001</v>
      </c>
      <c r="V433" s="229">
        <v>9.0820000000000007</v>
      </c>
      <c r="W433" s="229">
        <v>-7.9</v>
      </c>
      <c r="X433" s="229">
        <v>-34.372</v>
      </c>
      <c r="Y433" s="229">
        <v>-25.617999999999999</v>
      </c>
      <c r="Z433" s="229">
        <v>-44.276999999999987</v>
      </c>
      <c r="AA433" s="229">
        <v>14.406000000000001</v>
      </c>
      <c r="AB433" s="229">
        <v>-12.651999999999999</v>
      </c>
      <c r="AC433" s="229">
        <v>-19.995000000000001</v>
      </c>
      <c r="AD433" s="229">
        <v>-8.7080000000000002</v>
      </c>
      <c r="AE433" s="229">
        <v>-33.683999999999997</v>
      </c>
      <c r="AF433" s="229">
        <v>-50.155999999999999</v>
      </c>
      <c r="AG433" s="229">
        <v>-71.927000000000007</v>
      </c>
      <c r="AH433" s="229">
        <v>-49.688000000000002</v>
      </c>
      <c r="AI433" s="229">
        <v>3.2690000000000001</v>
      </c>
      <c r="AJ433" s="229">
        <v>-19.949000000000002</v>
      </c>
      <c r="AK433" s="229">
        <v>-51.052999999999997</v>
      </c>
      <c r="AL433" s="229">
        <v>22.280999999999999</v>
      </c>
      <c r="AM433" s="229">
        <v>-32.651000000000003</v>
      </c>
      <c r="AN433" s="229">
        <v>-7.7640000000000002</v>
      </c>
      <c r="AO433" s="229">
        <v>-36.89</v>
      </c>
      <c r="AP433" s="229">
        <v>-20.585999999999999</v>
      </c>
    </row>
    <row r="434" spans="1:42" ht="14.45" customHeight="1" x14ac:dyDescent="0.25">
      <c r="A434" s="130" t="s">
        <v>494</v>
      </c>
      <c r="B434" s="190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</row>
    <row r="435" spans="1:42" ht="14.45" customHeight="1" x14ac:dyDescent="0.25">
      <c r="A435" s="110" t="s">
        <v>495</v>
      </c>
      <c r="B435" s="212"/>
      <c r="C435" s="106">
        <v>6.2190000000000119</v>
      </c>
      <c r="D435" s="106">
        <v>18.86099999999999</v>
      </c>
      <c r="E435" s="106">
        <v>22.89300000000004</v>
      </c>
      <c r="F435" s="106">
        <v>6.6189999999996996</v>
      </c>
      <c r="G435" s="106">
        <v>4.2329999999999472</v>
      </c>
      <c r="H435" s="106">
        <v>22.16599999999988</v>
      </c>
      <c r="I435" s="106">
        <v>15.446000000000049</v>
      </c>
      <c r="J435" s="106">
        <v>1.8719999999994881</v>
      </c>
      <c r="K435" s="106">
        <v>-8.8349999999999014</v>
      </c>
      <c r="L435" s="106">
        <v>10.30499999999998</v>
      </c>
      <c r="M435" s="106">
        <v>27.835999999999888</v>
      </c>
      <c r="N435" s="106">
        <v>17.873999999999349</v>
      </c>
      <c r="O435" s="106">
        <v>3.327999999999995</v>
      </c>
      <c r="P435" s="106">
        <v>42.292000000000108</v>
      </c>
      <c r="Q435" s="106">
        <v>32.271000000000058</v>
      </c>
      <c r="R435" s="106">
        <v>14.08299999999973</v>
      </c>
      <c r="S435" s="106">
        <v>17.98999999999997</v>
      </c>
      <c r="T435" s="106">
        <v>48.92399999999995</v>
      </c>
      <c r="U435" s="106">
        <v>67.375999999999891</v>
      </c>
      <c r="V435" s="106">
        <v>57.296000000000028</v>
      </c>
      <c r="W435" s="106">
        <v>61.26299999999997</v>
      </c>
      <c r="X435" s="106">
        <v>82.552000000000035</v>
      </c>
      <c r="Y435" s="106">
        <v>94.548000000000002</v>
      </c>
      <c r="Z435" s="106">
        <v>63.383999999999787</v>
      </c>
      <c r="AA435" s="106">
        <v>78.983999999999895</v>
      </c>
      <c r="AB435" s="106">
        <v>112.2139999999999</v>
      </c>
      <c r="AC435" s="106">
        <v>138.75599999999989</v>
      </c>
      <c r="AD435" s="106">
        <v>127.1530000000002</v>
      </c>
      <c r="AE435" s="106">
        <v>151.81100000000009</v>
      </c>
      <c r="AF435" s="106">
        <v>172.47499999999999</v>
      </c>
      <c r="AG435" s="106">
        <v>164.02000000000021</v>
      </c>
      <c r="AH435" s="106">
        <v>125.5240000000001</v>
      </c>
      <c r="AI435" s="106">
        <v>162.47199999999989</v>
      </c>
      <c r="AJ435" s="106">
        <v>192.76100000000011</v>
      </c>
      <c r="AK435" s="106">
        <v>166.67700000000011</v>
      </c>
      <c r="AL435" s="106">
        <v>156.66700000000071</v>
      </c>
      <c r="AM435" s="106">
        <v>136.26200000000011</v>
      </c>
      <c r="AN435" s="106">
        <v>195.15100000000021</v>
      </c>
      <c r="AO435" s="106">
        <v>179.22399999999999</v>
      </c>
      <c r="AP435" s="106">
        <v>157.8359999999997</v>
      </c>
    </row>
    <row r="436" spans="1:42" ht="14.45" customHeight="1" x14ac:dyDescent="0.25">
      <c r="A436" s="230"/>
      <c r="B436" s="231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  <c r="AE436" s="232"/>
      <c r="AF436" s="232"/>
      <c r="AG436" s="232"/>
      <c r="AH436" s="232"/>
      <c r="AI436" s="232"/>
      <c r="AJ436" s="232"/>
      <c r="AK436" s="232"/>
      <c r="AL436" s="232"/>
      <c r="AM436" s="232"/>
      <c r="AN436" s="232"/>
      <c r="AO436" s="232"/>
      <c r="AP436" s="232"/>
    </row>
    <row r="437" spans="1:42" ht="14.45" customHeight="1" x14ac:dyDescent="0.25">
      <c r="A437" s="233" t="s">
        <v>496</v>
      </c>
      <c r="B437" s="234"/>
      <c r="C437" s="235">
        <v>0.25794309753127448</v>
      </c>
      <c r="D437" s="235">
        <v>0.21069037173862859</v>
      </c>
      <c r="E437" s="235">
        <v>0.21120807732947169</v>
      </c>
      <c r="F437" s="235">
        <v>0.2173627240457541</v>
      </c>
      <c r="G437" s="235">
        <v>0.26760244509847991</v>
      </c>
      <c r="H437" s="235">
        <v>0.19667590027701151</v>
      </c>
      <c r="I437" s="235">
        <v>0.21511289725556501</v>
      </c>
      <c r="J437" s="235">
        <v>0.22610558114198129</v>
      </c>
      <c r="K437" s="235">
        <v>0.24635009585607021</v>
      </c>
      <c r="L437" s="235">
        <v>0.3387918486171731</v>
      </c>
      <c r="M437" s="235">
        <v>0.22096474953617909</v>
      </c>
      <c r="N437" s="235">
        <v>0.24767405799348111</v>
      </c>
      <c r="O437" s="235">
        <v>0.29042667622803842</v>
      </c>
      <c r="P437" s="235">
        <v>0.21713336497389521</v>
      </c>
      <c r="Q437" s="235">
        <v>0.19921523221407361</v>
      </c>
      <c r="R437" s="235">
        <v>0.29428848015487918</v>
      </c>
      <c r="S437" s="235">
        <v>0.223767707198257</v>
      </c>
      <c r="T437" s="235">
        <v>0.22110623518644579</v>
      </c>
      <c r="U437" s="235">
        <v>0.2244341918843322</v>
      </c>
      <c r="V437" s="235">
        <v>0.22967063301805921</v>
      </c>
      <c r="W437" s="235">
        <v>0.238123793639788</v>
      </c>
      <c r="X437" s="235">
        <v>0.23812785388127841</v>
      </c>
      <c r="Y437" s="235">
        <v>0.23812563470187151</v>
      </c>
      <c r="Z437" s="235">
        <v>0.2382372952321162</v>
      </c>
      <c r="AA437" s="235">
        <v>0.21566548881036529</v>
      </c>
      <c r="AB437" s="235">
        <v>0.1072095779514274</v>
      </c>
      <c r="AC437" s="235">
        <v>0.10720691135978989</v>
      </c>
      <c r="AD437" s="235">
        <v>0.1198024399510319</v>
      </c>
      <c r="AE437" s="235">
        <v>0.10720665046941</v>
      </c>
      <c r="AF437" s="235">
        <v>0.10720329629902139</v>
      </c>
      <c r="AG437" s="235">
        <v>0.1072177038428543</v>
      </c>
      <c r="AH437" s="235">
        <v>0.10721820771137699</v>
      </c>
      <c r="AI437" s="235">
        <v>0.10718530719616751</v>
      </c>
      <c r="AJ437" s="235">
        <v>0.1079612526907853</v>
      </c>
      <c r="AK437" s="235">
        <v>0.1147080190963813</v>
      </c>
      <c r="AL437" s="235">
        <v>0.1126472494802955</v>
      </c>
      <c r="AM437" s="235">
        <v>0.115277335418054</v>
      </c>
      <c r="AN437" s="235">
        <v>0.1154402386504933</v>
      </c>
      <c r="AO437" s="235">
        <v>0.115959644217123</v>
      </c>
      <c r="AP437" s="235">
        <v>0.13151183970856131</v>
      </c>
    </row>
    <row r="438" spans="1:42" ht="14.45" customHeight="1" x14ac:dyDescent="0.25">
      <c r="A438" s="236" t="s">
        <v>497</v>
      </c>
      <c r="B438" s="234"/>
      <c r="C438" s="236">
        <v>0</v>
      </c>
      <c r="D438" s="236">
        <v>0.25162720835419511</v>
      </c>
      <c r="E438" s="236">
        <v>0.15865956456534089</v>
      </c>
      <c r="F438" s="236">
        <v>-0.49929081543783183</v>
      </c>
      <c r="G438" s="236">
        <v>-1.455846077947696</v>
      </c>
      <c r="H438" s="236">
        <v>1.1626633698339941</v>
      </c>
      <c r="I438" s="236">
        <v>0.37740956978374962</v>
      </c>
      <c r="J438" s="236">
        <v>-0.62720126325908232</v>
      </c>
      <c r="K438" s="236">
        <v>-9.1320242716617386E-2</v>
      </c>
      <c r="L438" s="236">
        <v>-0.26257370794311308</v>
      </c>
      <c r="M438" s="236">
        <v>-0.22318900628409699</v>
      </c>
      <c r="N438" s="236">
        <v>3.5915647653217191E-2</v>
      </c>
      <c r="O438" s="236">
        <v>-5.1264126762204321E-2</v>
      </c>
      <c r="P438" s="236">
        <v>-1.1648223645893919E-2</v>
      </c>
      <c r="Q438" s="236">
        <v>0.24298601714027901</v>
      </c>
      <c r="R438" s="236">
        <v>-1.8032352941175041</v>
      </c>
      <c r="S438" s="236">
        <v>-2.6190249022039942E-2</v>
      </c>
      <c r="T438" s="236">
        <v>-9.9134948096886288E-3</v>
      </c>
      <c r="U438" s="236">
        <v>0.47306482149910861</v>
      </c>
      <c r="V438" s="236">
        <v>0.1867748506093786</v>
      </c>
      <c r="W438" s="236">
        <v>5.4508537399669088E-4</v>
      </c>
      <c r="X438" s="236">
        <v>0.53413795737529568</v>
      </c>
      <c r="Y438" s="236">
        <v>0.17464237057220711</v>
      </c>
      <c r="Z438" s="236">
        <v>1.0439643991234051</v>
      </c>
      <c r="AA438" s="236">
        <v>3.5554853237462682E-4</v>
      </c>
      <c r="AB438" s="236">
        <v>0.4205139307791087</v>
      </c>
      <c r="AC438" s="236">
        <v>0.25631517086630518</v>
      </c>
      <c r="AD438" s="236">
        <v>0.2495610170254639</v>
      </c>
      <c r="AE438" s="236">
        <v>2.0854009371741602E-3</v>
      </c>
      <c r="AF438" s="236">
        <v>0.55249101680100998</v>
      </c>
      <c r="AG438" s="236">
        <v>0.46224294121536669</v>
      </c>
      <c r="AH438" s="236">
        <v>0.45180064508676648</v>
      </c>
      <c r="AI438" s="236">
        <v>2.145084928310192E-3</v>
      </c>
      <c r="AJ438" s="236">
        <v>0.48989126924319071</v>
      </c>
      <c r="AK438" s="236">
        <v>0.38719361287709791</v>
      </c>
      <c r="AL438" s="236">
        <v>0.18909812178140101</v>
      </c>
      <c r="AM438" s="236">
        <v>4.18719035225458E-3</v>
      </c>
      <c r="AN438" s="236">
        <v>0.46194346066278752</v>
      </c>
      <c r="AO438" s="236">
        <v>0.17368776985902301</v>
      </c>
      <c r="AP438" s="236">
        <v>0.20078311364711049</v>
      </c>
    </row>
    <row r="439" spans="1:42" ht="14.45" customHeight="1" x14ac:dyDescent="0.25">
      <c r="A439" s="236" t="s">
        <v>498</v>
      </c>
      <c r="B439" s="234"/>
      <c r="C439" s="236">
        <v>0.35986110126851423</v>
      </c>
      <c r="D439" s="236">
        <v>0.1288176811386883</v>
      </c>
      <c r="E439" s="236">
        <v>0.1806122976676835</v>
      </c>
      <c r="F439" s="236">
        <v>0.93147037599224314</v>
      </c>
      <c r="G439" s="236">
        <v>1.911075481006401</v>
      </c>
      <c r="H439" s="236">
        <v>-0.83212645708231214</v>
      </c>
      <c r="I439" s="236">
        <v>5.7731824260412699E-3</v>
      </c>
      <c r="J439" s="236">
        <v>-1.14551508702072</v>
      </c>
      <c r="K439" s="236">
        <v>0.58018316813025506</v>
      </c>
      <c r="L439" s="236">
        <v>0.30939993062781612</v>
      </c>
      <c r="M439" s="236">
        <v>0.60283589991483255</v>
      </c>
      <c r="N439" s="236">
        <v>1.9660247492128139E-2</v>
      </c>
      <c r="O439" s="236">
        <v>0.40137481067225877</v>
      </c>
      <c r="P439" s="236">
        <v>0.3104251601630737</v>
      </c>
      <c r="Q439" s="236">
        <v>5.5796120884077392E-2</v>
      </c>
      <c r="R439" s="236">
        <v>0.3726470588234998</v>
      </c>
      <c r="S439" s="236">
        <v>0.28193874630283422</v>
      </c>
      <c r="T439" s="236">
        <v>0.27266435986159199</v>
      </c>
      <c r="U439" s="236">
        <v>-0.22294563929335201</v>
      </c>
      <c r="V439" s="236">
        <v>3.8655878281810913E-2</v>
      </c>
      <c r="W439" s="236">
        <v>0.27227014431135288</v>
      </c>
      <c r="X439" s="236">
        <v>-0.27021617905431189</v>
      </c>
      <c r="Y439" s="236">
        <v>9.1685115803814721E-2</v>
      </c>
      <c r="Z439" s="236">
        <v>-0.89851961178944417</v>
      </c>
      <c r="AA439" s="236">
        <v>0.26176273061272892</v>
      </c>
      <c r="AB439" s="236">
        <v>-0.16380237106937029</v>
      </c>
      <c r="AC439" s="236">
        <v>-2.765538871534432E-3</v>
      </c>
      <c r="AD439" s="236">
        <v>-1.139747737549284E-2</v>
      </c>
      <c r="AE439" s="236">
        <v>0.25592015175688743</v>
      </c>
      <c r="AF439" s="236">
        <v>-0.29493420413712729</v>
      </c>
      <c r="AG439" s="236">
        <v>-0.2234427692918069</v>
      </c>
      <c r="AH439" s="236">
        <v>-0.12564086615782399</v>
      </c>
      <c r="AI439" s="236">
        <v>0.25407139811968499</v>
      </c>
      <c r="AJ439" s="236">
        <v>-0.2340488750134567</v>
      </c>
      <c r="AK439" s="236">
        <v>-0.13045518535898629</v>
      </c>
      <c r="AL439" s="236">
        <v>8.3562640480264447E-2</v>
      </c>
      <c r="AM439" s="236">
        <v>0.25293784460074697</v>
      </c>
      <c r="AN439" s="236">
        <v>-0.20262696053630139</v>
      </c>
      <c r="AO439" s="236">
        <v>8.5876294022785168E-2</v>
      </c>
      <c r="AP439" s="236">
        <v>7.0028636245304879E-2</v>
      </c>
    </row>
    <row r="440" spans="1:42" ht="14.45" customHeight="1" x14ac:dyDescent="0.25">
      <c r="A440" s="63"/>
      <c r="B440" s="180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</row>
    <row r="441" spans="1:42" ht="14.45" customHeight="1" x14ac:dyDescent="0.25">
      <c r="A441" s="165" t="s">
        <v>499</v>
      </c>
      <c r="B441" s="166"/>
      <c r="C441" s="167">
        <v>-0.1079820753395882</v>
      </c>
      <c r="D441" s="167">
        <v>0.1680716986416467</v>
      </c>
      <c r="E441" s="167">
        <v>0.24849460859823611</v>
      </c>
      <c r="F441" s="167">
        <v>0.23012183167623171</v>
      </c>
      <c r="G441" s="167">
        <v>-5.4180086822574608E-2</v>
      </c>
      <c r="H441" s="167">
        <v>6.8015684077858518E-2</v>
      </c>
      <c r="I441" s="167">
        <v>0.18552023526116859</v>
      </c>
      <c r="J441" s="167">
        <v>0.83544321523595411</v>
      </c>
      <c r="K441" s="167">
        <v>-0.15185548242542921</v>
      </c>
      <c r="L441" s="167">
        <v>-4.2038930121832019E-2</v>
      </c>
      <c r="M441" s="167">
        <v>0.26899593894412388</v>
      </c>
      <c r="N441" s="167">
        <v>-0.28829295616861311</v>
      </c>
      <c r="O441" s="167">
        <v>-7.297297297297306E-2</v>
      </c>
      <c r="P441" s="167">
        <v>0.16398263548522771</v>
      </c>
      <c r="Q441" s="167">
        <v>0.13876207814031741</v>
      </c>
      <c r="R441" s="167">
        <v>-0.10836017364515151</v>
      </c>
      <c r="S441" s="167">
        <v>0.15643467301498351</v>
      </c>
      <c r="T441" s="167">
        <v>0.42216776361854003</v>
      </c>
      <c r="U441" s="167">
        <v>0.55353591933902668</v>
      </c>
      <c r="V441" s="167">
        <v>0.70816412267189499</v>
      </c>
      <c r="W441" s="167">
        <v>0.56933202632684454</v>
      </c>
      <c r="X441" s="167">
        <v>0.51403164822853997</v>
      </c>
      <c r="Y441" s="167">
        <v>0.73541520795406812</v>
      </c>
      <c r="Z441" s="167">
        <v>0.20382299397843159</v>
      </c>
      <c r="AA441" s="167">
        <v>0.99563680848171676</v>
      </c>
      <c r="AB441" s="167">
        <v>1.0621101684789089</v>
      </c>
      <c r="AC441" s="167">
        <v>1.2669255586091519</v>
      </c>
      <c r="AD441" s="167">
        <v>1.24572828294898</v>
      </c>
      <c r="AE441" s="167">
        <v>1.2601625044808229</v>
      </c>
      <c r="AF441" s="167">
        <v>1.3048870832835471</v>
      </c>
      <c r="AG441" s="167">
        <v>0.98242322858167241</v>
      </c>
      <c r="AH441" s="167">
        <v>0.80899749073963534</v>
      </c>
      <c r="AI441" s="167">
        <v>1.768144342215318</v>
      </c>
      <c r="AJ441" s="167">
        <v>1.85684172488557</v>
      </c>
      <c r="AK441" s="167">
        <v>1.31976534296029</v>
      </c>
      <c r="AL441" s="167">
        <v>2.0534074744601152</v>
      </c>
      <c r="AM441" s="167">
        <v>1.1884740049267479</v>
      </c>
      <c r="AN441" s="167">
        <v>2.153529342982242</v>
      </c>
      <c r="AO441" s="167">
        <v>1.6436632964965909</v>
      </c>
      <c r="AP441" s="167">
        <v>1.8444588865162579</v>
      </c>
    </row>
    <row r="442" spans="1:42" ht="14.45" customHeight="1" x14ac:dyDescent="0.25">
      <c r="A442" s="165" t="s">
        <v>500</v>
      </c>
      <c r="B442" s="166"/>
      <c r="C442" s="167">
        <v>-0.10799096579909651</v>
      </c>
      <c r="D442" s="167">
        <v>0.16734737517374099</v>
      </c>
      <c r="E442" s="167">
        <v>0.24742863252432409</v>
      </c>
      <c r="F442" s="167">
        <v>0.2287287501336438</v>
      </c>
      <c r="G442" s="167">
        <v>-5.4201094538041131E-2</v>
      </c>
      <c r="H442" s="167">
        <v>6.7719223383826285E-2</v>
      </c>
      <c r="I442" s="167">
        <v>0.1847237038617458</v>
      </c>
      <c r="J442" s="167">
        <v>0.83125666737784809</v>
      </c>
      <c r="K442" s="167">
        <v>-0.1518736616702345</v>
      </c>
      <c r="L442" s="167">
        <v>-4.2046183450930349E-2</v>
      </c>
      <c r="M442" s="167">
        <v>0.267559808612439</v>
      </c>
      <c r="N442" s="167">
        <v>-0.28838999358563888</v>
      </c>
      <c r="O442" s="167">
        <v>-7.2980769230769293E-2</v>
      </c>
      <c r="P442" s="167">
        <v>0.16314616282772651</v>
      </c>
      <c r="Q442" s="167">
        <v>0.1381706151067679</v>
      </c>
      <c r="R442" s="167">
        <v>-0.10850314733810169</v>
      </c>
      <c r="S442" s="167">
        <v>0.15525201185938131</v>
      </c>
      <c r="T442" s="167">
        <v>0.41916313559321983</v>
      </c>
      <c r="U442" s="167">
        <v>0.55020148462354079</v>
      </c>
      <c r="V442" s="167">
        <v>0.7057735247208935</v>
      </c>
      <c r="W442" s="167">
        <v>0.56714847486449116</v>
      </c>
      <c r="X442" s="167">
        <v>0.51217178696715249</v>
      </c>
      <c r="Y442" s="167">
        <v>0.7325964502072484</v>
      </c>
      <c r="Z442" s="167">
        <v>0.20350410054318671</v>
      </c>
      <c r="AA442" s="167">
        <v>0.99393358876117388</v>
      </c>
      <c r="AB442" s="167">
        <v>1.0592829024364281</v>
      </c>
      <c r="AC442" s="167">
        <v>1.2626089729959591</v>
      </c>
      <c r="AD442" s="167">
        <v>1.261260781599405</v>
      </c>
      <c r="AE442" s="167">
        <v>1.257339010111763</v>
      </c>
      <c r="AF442" s="167">
        <v>1.3018199233716481</v>
      </c>
      <c r="AG442" s="167">
        <v>0.98023416711016675</v>
      </c>
      <c r="AH442" s="167">
        <v>0.80814151747655671</v>
      </c>
      <c r="AI442" s="167">
        <v>1.7656439757110891</v>
      </c>
      <c r="AJ442" s="167">
        <v>1.8540070807853239</v>
      </c>
      <c r="AK442" s="167">
        <v>1.318103055175559</v>
      </c>
      <c r="AL442" s="167">
        <v>2.0462893081761089</v>
      </c>
      <c r="AM442" s="167">
        <v>1.187382534953014</v>
      </c>
      <c r="AN442" s="167">
        <v>2.1499936895487468</v>
      </c>
      <c r="AO442" s="167">
        <v>1.6411539525873999</v>
      </c>
      <c r="AP442" s="167">
        <v>1.836562650537918</v>
      </c>
    </row>
    <row r="443" spans="1:42" ht="14.45" customHeight="1" x14ac:dyDescent="0.25">
      <c r="A443" s="165" t="s">
        <v>501</v>
      </c>
      <c r="B443" s="166"/>
      <c r="C443" s="167">
        <v>6.6885351688535294E-2</v>
      </c>
      <c r="D443" s="167">
        <v>0.20165722228162081</v>
      </c>
      <c r="E443" s="167">
        <v>0.2447663851170751</v>
      </c>
      <c r="F443" s="167">
        <v>7.0768737303535764E-2</v>
      </c>
      <c r="G443" s="167">
        <v>4.5423328683334548E-2</v>
      </c>
      <c r="H443" s="167">
        <v>0.2364625560059726</v>
      </c>
      <c r="I443" s="167">
        <v>0.16477490932366171</v>
      </c>
      <c r="J443" s="167">
        <v>1.997013014721024E-2</v>
      </c>
      <c r="K443" s="167">
        <v>-9.4593147751604933E-2</v>
      </c>
      <c r="L443" s="167">
        <v>0.1101667735728028</v>
      </c>
      <c r="M443" s="167">
        <v>0.29597022860180638</v>
      </c>
      <c r="N443" s="167">
        <v>0.1910840282232131</v>
      </c>
      <c r="O443" s="167">
        <v>3.5555555555555507E-2</v>
      </c>
      <c r="P443" s="167">
        <v>0.44891200509500168</v>
      </c>
      <c r="Q443" s="167">
        <v>0.34283437798788979</v>
      </c>
      <c r="R443" s="167">
        <v>0.15025072015362989</v>
      </c>
      <c r="S443" s="167">
        <v>0.19049131723845791</v>
      </c>
      <c r="T443" s="167">
        <v>0.51826271186440631</v>
      </c>
      <c r="U443" s="167">
        <v>0.71448568398727352</v>
      </c>
      <c r="V443" s="167">
        <v>0.60920786815523686</v>
      </c>
      <c r="W443" s="167">
        <v>0.65111063875013253</v>
      </c>
      <c r="X443" s="167">
        <v>0.87755926437759157</v>
      </c>
      <c r="Y443" s="167">
        <v>1.004867679880965</v>
      </c>
      <c r="Z443" s="167">
        <v>0.67508786878261584</v>
      </c>
      <c r="AA443" s="167">
        <v>0.84061302681992223</v>
      </c>
      <c r="AB443" s="167">
        <v>1.1938929673369501</v>
      </c>
      <c r="AC443" s="167">
        <v>1.475186051456516</v>
      </c>
      <c r="AD443" s="167">
        <v>1.35398786071771</v>
      </c>
      <c r="AE443" s="167">
        <v>1.6158701436934551</v>
      </c>
      <c r="AF443" s="167">
        <v>1.835621541081311</v>
      </c>
      <c r="AG443" s="167">
        <v>1.745822245875468</v>
      </c>
      <c r="AH443" s="167">
        <v>1.3376385336743399</v>
      </c>
      <c r="AI443" s="167">
        <v>1.730819218067539</v>
      </c>
      <c r="AJ443" s="167">
        <v>2.0680291814183041</v>
      </c>
      <c r="AK443" s="167">
        <v>1.900102599179208</v>
      </c>
      <c r="AL443" s="167">
        <v>1.791503716409385</v>
      </c>
      <c r="AM443" s="167">
        <v>1.561563144625258</v>
      </c>
      <c r="AN443" s="167">
        <v>2.2390743141686862</v>
      </c>
      <c r="AO443" s="167">
        <v>2.0665067798173609</v>
      </c>
      <c r="AP443" s="167">
        <v>2.1120269763956498</v>
      </c>
    </row>
    <row r="444" spans="1:42" ht="14.45" customHeight="1" x14ac:dyDescent="0.25">
      <c r="A444" s="237" t="s">
        <v>502</v>
      </c>
      <c r="B444" s="238"/>
      <c r="C444" s="239"/>
      <c r="D444" s="239"/>
      <c r="E444" s="239"/>
      <c r="F444" s="240"/>
      <c r="G444" s="239"/>
      <c r="H444" s="239"/>
      <c r="I444" s="239"/>
      <c r="J444" s="240"/>
      <c r="K444" s="239"/>
      <c r="L444" s="239"/>
      <c r="M444" s="239"/>
      <c r="N444" s="240"/>
      <c r="O444" s="239"/>
      <c r="P444" s="239"/>
      <c r="Q444" s="239"/>
      <c r="R444" s="240"/>
      <c r="S444" s="239"/>
      <c r="T444" s="239"/>
      <c r="U444" s="239"/>
      <c r="V444" s="240"/>
      <c r="W444" s="239"/>
      <c r="X444" s="239"/>
      <c r="Y444" s="239"/>
      <c r="Z444" s="240"/>
      <c r="AA444" s="239"/>
      <c r="AB444" s="239"/>
      <c r="AC444" s="239"/>
      <c r="AD444" s="240"/>
      <c r="AE444" s="239"/>
      <c r="AF444" s="239"/>
      <c r="AG444" s="239"/>
      <c r="AH444" s="240"/>
      <c r="AI444" s="239"/>
      <c r="AJ444" s="239"/>
      <c r="AK444" s="239"/>
      <c r="AL444" s="240"/>
      <c r="AM444" s="239"/>
      <c r="AN444" s="239"/>
      <c r="AO444" s="239"/>
      <c r="AP444" s="240"/>
    </row>
    <row r="445" spans="1:42" ht="14.45" customHeight="1" x14ac:dyDescent="0.25">
      <c r="A445" s="63"/>
      <c r="B445" s="180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</row>
    <row r="446" spans="1:42" ht="14.45" customHeight="1" x14ac:dyDescent="0.25">
      <c r="A446" s="99" t="s">
        <v>503</v>
      </c>
      <c r="B446" s="180"/>
      <c r="C446" s="98">
        <v>71.41</v>
      </c>
      <c r="D446" s="98">
        <v>71.41</v>
      </c>
      <c r="E446" s="98">
        <v>71.41</v>
      </c>
      <c r="F446" s="98">
        <v>71.41</v>
      </c>
      <c r="G446" s="98">
        <v>71.41</v>
      </c>
      <c r="H446" s="98">
        <v>71.41</v>
      </c>
      <c r="I446" s="98">
        <v>71.41</v>
      </c>
      <c r="J446" s="98">
        <v>71.41</v>
      </c>
      <c r="K446" s="98">
        <v>71.41</v>
      </c>
      <c r="L446" s="98">
        <v>71.41</v>
      </c>
      <c r="M446" s="98">
        <v>71.41</v>
      </c>
      <c r="N446" s="98">
        <v>71.41</v>
      </c>
      <c r="O446" s="98">
        <v>71.41</v>
      </c>
      <c r="P446" s="98">
        <v>71.41</v>
      </c>
      <c r="Q446" s="98">
        <v>71.41</v>
      </c>
      <c r="R446" s="98">
        <v>71.41</v>
      </c>
      <c r="S446" s="98">
        <v>71.41</v>
      </c>
      <c r="T446" s="98">
        <v>71.41</v>
      </c>
      <c r="U446" s="98">
        <v>71.41</v>
      </c>
      <c r="V446" s="98">
        <v>71.41</v>
      </c>
      <c r="W446" s="98">
        <v>71.41</v>
      </c>
      <c r="X446" s="98">
        <v>71.41</v>
      </c>
      <c r="Y446" s="98">
        <v>71.41</v>
      </c>
      <c r="Z446" s="98">
        <v>71.41</v>
      </c>
      <c r="AA446" s="98">
        <v>73.570000000000007</v>
      </c>
      <c r="AB446" s="98">
        <v>83.69</v>
      </c>
      <c r="AC446" s="98">
        <v>83.69</v>
      </c>
      <c r="AD446" s="98">
        <v>83.69</v>
      </c>
      <c r="AE446" s="98">
        <v>83.69</v>
      </c>
      <c r="AF446" s="98">
        <v>83.69</v>
      </c>
      <c r="AG446" s="98">
        <v>83.69</v>
      </c>
      <c r="AH446" s="98">
        <v>83.69</v>
      </c>
      <c r="AI446" s="98">
        <v>83.69</v>
      </c>
      <c r="AJ446" s="98">
        <v>83.02</v>
      </c>
      <c r="AK446" s="98">
        <v>77.56</v>
      </c>
      <c r="AL446" s="98">
        <v>77.33</v>
      </c>
      <c r="AM446" s="98">
        <v>77.13</v>
      </c>
      <c r="AN446" s="98">
        <v>76.968999999999994</v>
      </c>
      <c r="AO446" s="98">
        <v>76.554000000000002</v>
      </c>
      <c r="AP446" s="98">
        <v>64.626000000000005</v>
      </c>
    </row>
    <row r="447" spans="1:42" ht="14.45" customHeight="1" x14ac:dyDescent="0.25">
      <c r="A447" s="99" t="s">
        <v>504</v>
      </c>
      <c r="B447" s="180"/>
      <c r="C447" s="98">
        <v>92.98</v>
      </c>
      <c r="D447" s="98">
        <v>93.53</v>
      </c>
      <c r="E447" s="98">
        <v>93.53</v>
      </c>
      <c r="F447" s="98">
        <v>93.53</v>
      </c>
      <c r="G447" s="98">
        <v>93.190000000000012</v>
      </c>
      <c r="H447" s="98">
        <v>93.740000000000009</v>
      </c>
      <c r="I447" s="98">
        <v>93.740000000000009</v>
      </c>
      <c r="J447" s="98">
        <v>93.740000000000009</v>
      </c>
      <c r="K447" s="98">
        <v>93.4</v>
      </c>
      <c r="L447" s="98">
        <v>93.539999999999992</v>
      </c>
      <c r="M447" s="98">
        <v>94.05</v>
      </c>
      <c r="N447" s="98">
        <v>93.539999999999992</v>
      </c>
      <c r="O447" s="98">
        <v>93.6</v>
      </c>
      <c r="P447" s="98">
        <v>94.21</v>
      </c>
      <c r="Q447" s="98">
        <v>94.13</v>
      </c>
      <c r="R447" s="98">
        <v>93.72999999999999</v>
      </c>
      <c r="S447" s="98">
        <v>94.440000000000012</v>
      </c>
      <c r="T447" s="98">
        <v>94.399999999999991</v>
      </c>
      <c r="U447" s="98">
        <v>94.3</v>
      </c>
      <c r="V447" s="98">
        <v>94.05</v>
      </c>
      <c r="W447" s="98">
        <v>94.09</v>
      </c>
      <c r="X447" s="98">
        <v>94.07</v>
      </c>
      <c r="Y447" s="98">
        <v>94.09</v>
      </c>
      <c r="Z447" s="98">
        <v>93.889999999999986</v>
      </c>
      <c r="AA447" s="98">
        <v>93.960000000000008</v>
      </c>
      <c r="AB447" s="98">
        <v>93.99</v>
      </c>
      <c r="AC447" s="98">
        <v>94.06</v>
      </c>
      <c r="AD447" s="98">
        <v>93.91</v>
      </c>
      <c r="AE447" s="98">
        <v>93.949999999999989</v>
      </c>
      <c r="AF447" s="98">
        <v>93.960000000000008</v>
      </c>
      <c r="AG447" s="98">
        <v>93.949999999999989</v>
      </c>
      <c r="AH447" s="98">
        <v>93.84</v>
      </c>
      <c r="AI447" s="98">
        <v>93.87</v>
      </c>
      <c r="AJ447" s="98">
        <v>93.21</v>
      </c>
      <c r="AK447" s="98">
        <v>87.72</v>
      </c>
      <c r="AL447" s="98">
        <v>87.449999999999989</v>
      </c>
      <c r="AM447" s="98">
        <v>87.26</v>
      </c>
      <c r="AN447" s="98">
        <v>87.156999999999996</v>
      </c>
      <c r="AO447" s="98">
        <v>86.727999999999994</v>
      </c>
      <c r="AP447" s="98">
        <v>74.731999999999999</v>
      </c>
    </row>
    <row r="448" spans="1:42" ht="14.45" customHeight="1" x14ac:dyDescent="0.25">
      <c r="A448" s="99" t="s">
        <v>505</v>
      </c>
      <c r="B448" s="180"/>
      <c r="C448" s="99">
        <v>92.98</v>
      </c>
      <c r="D448" s="99">
        <v>93.53</v>
      </c>
      <c r="E448" s="99">
        <v>93.53</v>
      </c>
      <c r="F448" s="99">
        <v>93.53</v>
      </c>
      <c r="G448" s="99">
        <v>93.190000000000012</v>
      </c>
      <c r="H448" s="99">
        <v>93.740000000000009</v>
      </c>
      <c r="I448" s="99">
        <v>93.740000000000009</v>
      </c>
      <c r="J448" s="99">
        <v>93.740000000000009</v>
      </c>
      <c r="K448" s="99">
        <v>93.4</v>
      </c>
      <c r="L448" s="99">
        <v>93.539999999999992</v>
      </c>
      <c r="M448" s="99">
        <v>94.05</v>
      </c>
      <c r="N448" s="99">
        <v>93.539999999999992</v>
      </c>
      <c r="O448" s="99">
        <v>93.6</v>
      </c>
      <c r="P448" s="99">
        <v>94.21</v>
      </c>
      <c r="Q448" s="99">
        <v>94.13</v>
      </c>
      <c r="R448" s="99">
        <v>93.72999999999999</v>
      </c>
      <c r="S448" s="99">
        <v>94.440000000000012</v>
      </c>
      <c r="T448" s="99">
        <v>94.399999999999991</v>
      </c>
      <c r="U448" s="99">
        <v>94.3</v>
      </c>
      <c r="V448" s="99">
        <v>94.05</v>
      </c>
      <c r="W448" s="99">
        <v>94.09</v>
      </c>
      <c r="X448" s="99">
        <v>94.07</v>
      </c>
      <c r="Y448" s="99">
        <v>94.09</v>
      </c>
      <c r="Z448" s="99">
        <v>93.889999999999986</v>
      </c>
      <c r="AA448" s="99">
        <v>93.960000000000008</v>
      </c>
      <c r="AB448" s="99">
        <v>93.99</v>
      </c>
      <c r="AC448" s="99">
        <v>94.06</v>
      </c>
      <c r="AD448" s="99">
        <v>93.91</v>
      </c>
      <c r="AE448" s="99">
        <v>93.949999999999989</v>
      </c>
      <c r="AF448" s="99">
        <v>93.960000000000008</v>
      </c>
      <c r="AG448" s="99">
        <v>93.949999999999989</v>
      </c>
      <c r="AH448" s="99">
        <v>93.84</v>
      </c>
      <c r="AI448" s="99">
        <v>93.87</v>
      </c>
      <c r="AJ448" s="99">
        <v>93.21</v>
      </c>
      <c r="AK448" s="99">
        <v>87.72</v>
      </c>
      <c r="AL448" s="99">
        <v>87.449999999999989</v>
      </c>
      <c r="AM448" s="99">
        <v>87.26</v>
      </c>
      <c r="AN448" s="99">
        <v>87.156999999999996</v>
      </c>
      <c r="AO448" s="99">
        <v>86.727999999999994</v>
      </c>
      <c r="AP448" s="99">
        <v>74.731999999999999</v>
      </c>
    </row>
    <row r="449" spans="1:42" ht="14.45" customHeight="1" x14ac:dyDescent="0.25">
      <c r="A449" s="162"/>
      <c r="B449" s="180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</row>
    <row r="450" spans="1:42" ht="14.45" customHeight="1" x14ac:dyDescent="0.25">
      <c r="A450" s="241" t="s">
        <v>506</v>
      </c>
      <c r="B450" s="242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</row>
    <row r="451" spans="1:42" ht="15" customHeight="1" x14ac:dyDescent="0.25">
      <c r="A451" s="244" t="s">
        <v>507</v>
      </c>
      <c r="B451" s="221"/>
      <c r="C451" s="245">
        <v>1</v>
      </c>
      <c r="D451" s="245">
        <v>1</v>
      </c>
      <c r="E451" s="245">
        <v>1</v>
      </c>
      <c r="F451" s="246">
        <v>1</v>
      </c>
      <c r="G451" s="245">
        <v>1</v>
      </c>
      <c r="H451" s="245">
        <v>1</v>
      </c>
      <c r="I451" s="245">
        <v>1</v>
      </c>
      <c r="J451" s="246">
        <v>1</v>
      </c>
      <c r="K451" s="245">
        <v>1</v>
      </c>
      <c r="L451" s="245">
        <v>1</v>
      </c>
      <c r="M451" s="245">
        <v>1</v>
      </c>
      <c r="N451" s="246">
        <v>1</v>
      </c>
      <c r="O451" s="245">
        <v>1</v>
      </c>
      <c r="P451" s="245">
        <v>1</v>
      </c>
      <c r="Q451" s="245">
        <v>1</v>
      </c>
      <c r="R451" s="246">
        <v>1</v>
      </c>
      <c r="S451" s="245">
        <v>1</v>
      </c>
      <c r="T451" s="245">
        <v>1</v>
      </c>
      <c r="U451" s="245">
        <v>1</v>
      </c>
      <c r="V451" s="246">
        <v>1</v>
      </c>
      <c r="W451" s="245">
        <v>1</v>
      </c>
      <c r="X451" s="245">
        <v>1</v>
      </c>
      <c r="Y451" s="245">
        <v>1</v>
      </c>
      <c r="Z451" s="246">
        <v>1</v>
      </c>
      <c r="AA451" s="245">
        <v>1</v>
      </c>
      <c r="AB451" s="245">
        <v>1</v>
      </c>
      <c r="AC451" s="245">
        <v>1</v>
      </c>
      <c r="AD451" s="246">
        <v>1</v>
      </c>
      <c r="AE451" s="245">
        <v>1</v>
      </c>
      <c r="AF451" s="245">
        <v>1</v>
      </c>
      <c r="AG451" s="245">
        <v>1</v>
      </c>
      <c r="AH451" s="246">
        <v>1</v>
      </c>
      <c r="AI451" s="245">
        <v>1</v>
      </c>
      <c r="AJ451" s="245">
        <v>1</v>
      </c>
      <c r="AK451" s="245">
        <v>1</v>
      </c>
      <c r="AL451" s="246">
        <v>1</v>
      </c>
      <c r="AM451" s="245">
        <v>1</v>
      </c>
      <c r="AN451" s="245">
        <v>1</v>
      </c>
      <c r="AO451" s="245">
        <v>1</v>
      </c>
      <c r="AP451" s="246">
        <v>1</v>
      </c>
    </row>
    <row r="452" spans="1:42" ht="15" customHeight="1" x14ac:dyDescent="0.25">
      <c r="A452" s="247"/>
      <c r="B452" s="180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</row>
    <row r="453" spans="1:42" ht="15" customHeight="1" x14ac:dyDescent="0.25">
      <c r="A453" s="191" t="s">
        <v>508</v>
      </c>
      <c r="B453" s="180"/>
      <c r="C453" s="98">
        <v>102.03821000000001</v>
      </c>
      <c r="D453" s="98">
        <v>102.03821000000001</v>
      </c>
      <c r="E453" s="98">
        <v>102.03821000000001</v>
      </c>
      <c r="F453" s="63">
        <v>102.03821000000001</v>
      </c>
      <c r="G453" s="98">
        <v>102.03821000000001</v>
      </c>
      <c r="H453" s="98">
        <v>102.03821000000001</v>
      </c>
      <c r="I453" s="98">
        <v>102.03821000000001</v>
      </c>
      <c r="J453" s="63">
        <v>102.03821000000001</v>
      </c>
      <c r="K453" s="98">
        <v>102.03821000000001</v>
      </c>
      <c r="L453" s="98">
        <v>102.03821000000001</v>
      </c>
      <c r="M453" s="98">
        <v>102.03821000000001</v>
      </c>
      <c r="N453" s="63">
        <v>102.03821000000001</v>
      </c>
      <c r="O453" s="98">
        <v>102.03821000000001</v>
      </c>
      <c r="P453" s="98">
        <v>102.03821000000001</v>
      </c>
      <c r="Q453" s="98">
        <v>102.03821000000001</v>
      </c>
      <c r="R453" s="63">
        <v>102.03821000000001</v>
      </c>
      <c r="S453" s="98">
        <v>102.03821000000001</v>
      </c>
      <c r="T453" s="98">
        <v>102.03821000000001</v>
      </c>
      <c r="U453" s="98">
        <v>102.03821000000001</v>
      </c>
      <c r="V453" s="63">
        <v>102.03821000000001</v>
      </c>
      <c r="W453" s="98">
        <v>102.03821000000001</v>
      </c>
      <c r="X453" s="98">
        <v>102.03821000000001</v>
      </c>
      <c r="Y453" s="98">
        <v>102.03821000000001</v>
      </c>
      <c r="Z453" s="63">
        <v>102.03821000000001</v>
      </c>
      <c r="AA453" s="98">
        <v>114.31367</v>
      </c>
      <c r="AB453" s="98">
        <v>114.31367</v>
      </c>
      <c r="AC453" s="98">
        <v>114.31367</v>
      </c>
      <c r="AD453" s="63">
        <v>114.31367</v>
      </c>
      <c r="AE453" s="98">
        <v>114.31367</v>
      </c>
      <c r="AF453" s="98">
        <v>114.31367</v>
      </c>
      <c r="AG453" s="98">
        <v>114.31367</v>
      </c>
      <c r="AH453" s="63">
        <v>114.31367</v>
      </c>
      <c r="AI453" s="98">
        <v>114.31367</v>
      </c>
      <c r="AJ453" s="98">
        <v>114.31367</v>
      </c>
      <c r="AK453" s="98">
        <v>108.32747999999999</v>
      </c>
      <c r="AL453" s="63">
        <v>108.32747999999999</v>
      </c>
      <c r="AM453" s="98">
        <v>108.32747999999999</v>
      </c>
      <c r="AN453" s="98">
        <v>108.32747999999999</v>
      </c>
      <c r="AO453" s="98">
        <v>75.877566000000002</v>
      </c>
      <c r="AP453" s="63">
        <v>56.517333999999998</v>
      </c>
    </row>
    <row r="454" spans="1:42" ht="15" customHeight="1" x14ac:dyDescent="0.25">
      <c r="A454" s="248" t="s">
        <v>509</v>
      </c>
      <c r="B454" s="190"/>
      <c r="C454" s="102">
        <v>30.623740000000002</v>
      </c>
      <c r="D454" s="102">
        <v>30.623740000000002</v>
      </c>
      <c r="E454" s="102">
        <v>30.623740000000002</v>
      </c>
      <c r="F454" s="158">
        <v>30.623740000000002</v>
      </c>
      <c r="G454" s="102">
        <v>30.623740000000002</v>
      </c>
      <c r="H454" s="102">
        <v>30.623740000000002</v>
      </c>
      <c r="I454" s="102">
        <v>30.623740000000002</v>
      </c>
      <c r="J454" s="158">
        <v>30.623740000000002</v>
      </c>
      <c r="K454" s="102">
        <v>30.623740000000002</v>
      </c>
      <c r="L454" s="102">
        <v>30.623740000000002</v>
      </c>
      <c r="M454" s="102">
        <v>30.623740000000002</v>
      </c>
      <c r="N454" s="158">
        <v>30.623740000000002</v>
      </c>
      <c r="O454" s="102">
        <v>30.623740000000002</v>
      </c>
      <c r="P454" s="102">
        <v>30.623740000000002</v>
      </c>
      <c r="Q454" s="102">
        <v>30.623740000000002</v>
      </c>
      <c r="R454" s="158">
        <v>30.623740000000002</v>
      </c>
      <c r="S454" s="102">
        <v>30.623740000000002</v>
      </c>
      <c r="T454" s="102">
        <v>30.623740000000002</v>
      </c>
      <c r="U454" s="102">
        <v>30.623740000000002</v>
      </c>
      <c r="V454" s="158">
        <v>30.623740000000002</v>
      </c>
      <c r="W454" s="102">
        <v>30.623740000000002</v>
      </c>
      <c r="X454" s="102">
        <v>30.623740000000002</v>
      </c>
      <c r="Y454" s="102">
        <v>30.623740000000002</v>
      </c>
      <c r="Z454" s="158">
        <v>30.623740000000002</v>
      </c>
      <c r="AA454" s="102">
        <v>30.623740000000002</v>
      </c>
      <c r="AB454" s="102">
        <v>30.623740000000002</v>
      </c>
      <c r="AC454" s="102">
        <v>30.623740000000002</v>
      </c>
      <c r="AD454" s="158">
        <v>30.623740000000002</v>
      </c>
      <c r="AE454" s="102">
        <v>30.623740000000002</v>
      </c>
      <c r="AF454" s="102">
        <v>30.623740000000002</v>
      </c>
      <c r="AG454" s="102">
        <v>30.623740000000002</v>
      </c>
      <c r="AH454" s="158">
        <v>30.623740000000002</v>
      </c>
      <c r="AI454" s="102">
        <v>30.623740000000002</v>
      </c>
      <c r="AJ454" s="102">
        <v>36.753839999999997</v>
      </c>
      <c r="AK454" s="102">
        <v>30.76765</v>
      </c>
      <c r="AL454" s="158">
        <v>31.1966</v>
      </c>
      <c r="AM454" s="102">
        <v>31.1966</v>
      </c>
      <c r="AN454" s="102">
        <v>31.488534999999999</v>
      </c>
      <c r="AO454" s="102">
        <v>0</v>
      </c>
      <c r="AP454" s="158">
        <v>0</v>
      </c>
    </row>
    <row r="455" spans="1:42" ht="15" customHeight="1" x14ac:dyDescent="0.25">
      <c r="A455" s="189" t="s">
        <v>510</v>
      </c>
      <c r="B455" s="180"/>
      <c r="C455" s="63">
        <v>71.414469999999994</v>
      </c>
      <c r="D455" s="63">
        <v>71.414469999999994</v>
      </c>
      <c r="E455" s="63">
        <v>71.414469999999994</v>
      </c>
      <c r="F455" s="63">
        <v>71.414469999999994</v>
      </c>
      <c r="G455" s="63">
        <v>71.414469999999994</v>
      </c>
      <c r="H455" s="63">
        <v>71.414469999999994</v>
      </c>
      <c r="I455" s="63">
        <v>71.414469999999994</v>
      </c>
      <c r="J455" s="63">
        <v>71.414469999999994</v>
      </c>
      <c r="K455" s="63">
        <v>71.414469999999994</v>
      </c>
      <c r="L455" s="63">
        <v>71.414469999999994</v>
      </c>
      <c r="M455" s="63">
        <v>71.414469999999994</v>
      </c>
      <c r="N455" s="63">
        <v>71.414469999999994</v>
      </c>
      <c r="O455" s="63">
        <v>71.414469999999994</v>
      </c>
      <c r="P455" s="63">
        <v>71.414469999999994</v>
      </c>
      <c r="Q455" s="63">
        <v>71.414469999999994</v>
      </c>
      <c r="R455" s="63">
        <v>71.414469999999994</v>
      </c>
      <c r="S455" s="63">
        <v>71.414469999999994</v>
      </c>
      <c r="T455" s="63">
        <v>71.414469999999994</v>
      </c>
      <c r="U455" s="63">
        <v>71.414469999999994</v>
      </c>
      <c r="V455" s="63">
        <v>71.414469999999994</v>
      </c>
      <c r="W455" s="63">
        <v>71.414469999999994</v>
      </c>
      <c r="X455" s="63">
        <v>71.414469999999994</v>
      </c>
      <c r="Y455" s="63">
        <v>71.414469999999994</v>
      </c>
      <c r="Z455" s="63">
        <v>71.414469999999994</v>
      </c>
      <c r="AA455" s="63">
        <v>83.689930000000004</v>
      </c>
      <c r="AB455" s="63">
        <v>83.689930000000004</v>
      </c>
      <c r="AC455" s="63">
        <v>83.689930000000004</v>
      </c>
      <c r="AD455" s="63">
        <v>83.689930000000004</v>
      </c>
      <c r="AE455" s="63">
        <v>83.689930000000004</v>
      </c>
      <c r="AF455" s="63">
        <v>83.689930000000004</v>
      </c>
      <c r="AG455" s="63">
        <v>83.689930000000004</v>
      </c>
      <c r="AH455" s="63">
        <v>83.689930000000004</v>
      </c>
      <c r="AI455" s="63">
        <v>83.689930000000004</v>
      </c>
      <c r="AJ455" s="63">
        <v>77.559830000000005</v>
      </c>
      <c r="AK455" s="63">
        <v>77.559830000000005</v>
      </c>
      <c r="AL455" s="63">
        <v>77.130880000000005</v>
      </c>
      <c r="AM455" s="63">
        <v>77.130880000000005</v>
      </c>
      <c r="AN455" s="63">
        <v>76.838944999999995</v>
      </c>
      <c r="AO455" s="63">
        <v>75.877566000000002</v>
      </c>
      <c r="AP455" s="63">
        <v>56.517333999999998</v>
      </c>
    </row>
    <row r="456" spans="1:42" ht="15" customHeight="1" x14ac:dyDescent="0.25">
      <c r="A456" s="191" t="s">
        <v>511</v>
      </c>
      <c r="B456" s="180"/>
      <c r="C456" s="98">
        <v>27.998159999999999</v>
      </c>
      <c r="D456" s="98">
        <v>27.998159999999999</v>
      </c>
      <c r="E456" s="98">
        <v>27.998159999999999</v>
      </c>
      <c r="F456" s="63">
        <v>27.998159999999999</v>
      </c>
      <c r="G456" s="98">
        <v>28.208359999999999</v>
      </c>
      <c r="H456" s="98">
        <v>28.208359999999999</v>
      </c>
      <c r="I456" s="98">
        <v>28.208359999999999</v>
      </c>
      <c r="J456" s="63">
        <v>28.208359999999999</v>
      </c>
      <c r="K456" s="98">
        <v>28.41132</v>
      </c>
      <c r="L456" s="98">
        <v>28.41132</v>
      </c>
      <c r="M456" s="98">
        <v>28.41132</v>
      </c>
      <c r="N456" s="63">
        <v>28.41132</v>
      </c>
      <c r="O456" s="98">
        <v>28.603560000000002</v>
      </c>
      <c r="P456" s="98">
        <v>28.603560000000002</v>
      </c>
      <c r="Q456" s="98">
        <v>28.603560000000002</v>
      </c>
      <c r="R456" s="63">
        <v>28.603560000000002</v>
      </c>
      <c r="S456" s="98">
        <v>28.603560000000002</v>
      </c>
      <c r="T456" s="98">
        <v>28.603560000000002</v>
      </c>
      <c r="U456" s="98">
        <v>28.603560000000002</v>
      </c>
      <c r="V456" s="63">
        <v>28.603560000000002</v>
      </c>
      <c r="W456" s="98">
        <v>28.603560000000002</v>
      </c>
      <c r="X456" s="98">
        <v>28.603560000000002</v>
      </c>
      <c r="Y456" s="98">
        <v>28.603560000000002</v>
      </c>
      <c r="Z456" s="63">
        <v>28.603560000000002</v>
      </c>
      <c r="AA456" s="98">
        <v>16.328099999999999</v>
      </c>
      <c r="AB456" s="98">
        <v>16.328099999999999</v>
      </c>
      <c r="AC456" s="98">
        <v>16.328099999999999</v>
      </c>
      <c r="AD456" s="63">
        <v>16.328099999999999</v>
      </c>
      <c r="AE456" s="98">
        <v>16.328099999999999</v>
      </c>
      <c r="AF456" s="98">
        <v>16.328099999999999</v>
      </c>
      <c r="AG456" s="98">
        <v>16.328099999999999</v>
      </c>
      <c r="AH456" s="63">
        <v>16.328099999999999</v>
      </c>
      <c r="AI456" s="98">
        <v>16.328099999999999</v>
      </c>
      <c r="AJ456" s="98">
        <v>16.328099999999999</v>
      </c>
      <c r="AK456" s="98">
        <v>16.328099999999999</v>
      </c>
      <c r="AL456" s="63">
        <v>16.328099999999999</v>
      </c>
      <c r="AM456" s="98">
        <v>16.328099999999999</v>
      </c>
      <c r="AN456" s="98">
        <v>16.328099999999999</v>
      </c>
      <c r="AO456" s="98">
        <v>10.04696</v>
      </c>
      <c r="AP456" s="63">
        <v>10.04696</v>
      </c>
    </row>
    <row r="457" spans="1:42" ht="15" customHeight="1" x14ac:dyDescent="0.25">
      <c r="A457" s="248" t="s">
        <v>512</v>
      </c>
      <c r="B457" s="190"/>
      <c r="C457" s="102">
        <v>6.2811399999999997</v>
      </c>
      <c r="D457" s="102">
        <v>6.2811399999999997</v>
      </c>
      <c r="E457" s="102">
        <v>6.2811399999999997</v>
      </c>
      <c r="F457" s="158">
        <v>6.2811399999999997</v>
      </c>
      <c r="G457" s="102">
        <v>6.2811399999999997</v>
      </c>
      <c r="H457" s="102">
        <v>6.2811399999999997</v>
      </c>
      <c r="I457" s="102">
        <v>6.2811399999999997</v>
      </c>
      <c r="J457" s="158">
        <v>6.2811399999999997</v>
      </c>
      <c r="K457" s="102">
        <v>6.2811399999999997</v>
      </c>
      <c r="L457" s="102">
        <v>6.2811399999999997</v>
      </c>
      <c r="M457" s="102">
        <v>6.2811399999999997</v>
      </c>
      <c r="N457" s="158">
        <v>6.2811399999999997</v>
      </c>
      <c r="O457" s="102">
        <v>6.2811399999999997</v>
      </c>
      <c r="P457" s="102">
        <v>6.2811399999999997</v>
      </c>
      <c r="Q457" s="102">
        <v>6.2811399999999997</v>
      </c>
      <c r="R457" s="158">
        <v>6.2811399999999997</v>
      </c>
      <c r="S457" s="102">
        <v>6.2811399999999997</v>
      </c>
      <c r="T457" s="102">
        <v>6.2811399999999997</v>
      </c>
      <c r="U457" s="102">
        <v>6.2811399999999997</v>
      </c>
      <c r="V457" s="158">
        <v>6.2811399999999997</v>
      </c>
      <c r="W457" s="102">
        <v>6.2811399999999997</v>
      </c>
      <c r="X457" s="102">
        <v>6.2811399999999997</v>
      </c>
      <c r="Y457" s="102">
        <v>6.2811399999999997</v>
      </c>
      <c r="Z457" s="158">
        <v>6.2811399999999997</v>
      </c>
      <c r="AA457" s="102">
        <v>6.2811399999999997</v>
      </c>
      <c r="AB457" s="102">
        <v>6.2811399999999997</v>
      </c>
      <c r="AC457" s="102">
        <v>6.2811399999999997</v>
      </c>
      <c r="AD457" s="158">
        <v>6.2811399999999997</v>
      </c>
      <c r="AE457" s="102">
        <v>6.2811399999999997</v>
      </c>
      <c r="AF457" s="102">
        <v>6.2811399999999997</v>
      </c>
      <c r="AG457" s="102">
        <v>6.2811399999999997</v>
      </c>
      <c r="AH457" s="158">
        <v>6.2811399999999997</v>
      </c>
      <c r="AI457" s="102">
        <v>6.2811399999999997</v>
      </c>
      <c r="AJ457" s="102">
        <v>6.2811399999999997</v>
      </c>
      <c r="AK457" s="102">
        <v>6.2811399999999997</v>
      </c>
      <c r="AL457" s="158">
        <v>6.2811399999999997</v>
      </c>
      <c r="AM457" s="102">
        <v>6.2811399999999997</v>
      </c>
      <c r="AN457" s="102">
        <v>6.2811399999999997</v>
      </c>
      <c r="AO457" s="102">
        <v>0</v>
      </c>
      <c r="AP457" s="158">
        <v>0</v>
      </c>
    </row>
    <row r="458" spans="1:42" ht="15" customHeight="1" x14ac:dyDescent="0.25">
      <c r="A458" s="249" t="s">
        <v>513</v>
      </c>
      <c r="B458" s="250"/>
      <c r="C458" s="251">
        <v>21.717020000000002</v>
      </c>
      <c r="D458" s="251">
        <v>21.717020000000002</v>
      </c>
      <c r="E458" s="251">
        <v>21.717020000000002</v>
      </c>
      <c r="F458" s="251">
        <v>21.717020000000002</v>
      </c>
      <c r="G458" s="251">
        <v>21.927219999999998</v>
      </c>
      <c r="H458" s="251">
        <v>21.927219999999998</v>
      </c>
      <c r="I458" s="251">
        <v>21.927219999999998</v>
      </c>
      <c r="J458" s="251">
        <v>21.927219999999998</v>
      </c>
      <c r="K458" s="251">
        <v>22.130179999999999</v>
      </c>
      <c r="L458" s="251">
        <v>22.130179999999999</v>
      </c>
      <c r="M458" s="251">
        <v>22.130179999999999</v>
      </c>
      <c r="N458" s="251">
        <v>22.130179999999999</v>
      </c>
      <c r="O458" s="251">
        <v>22.322420000000001</v>
      </c>
      <c r="P458" s="251">
        <v>22.322420000000001</v>
      </c>
      <c r="Q458" s="251">
        <v>22.322420000000001</v>
      </c>
      <c r="R458" s="251">
        <v>22.322420000000001</v>
      </c>
      <c r="S458" s="251">
        <v>22.322420000000001</v>
      </c>
      <c r="T458" s="251">
        <v>22.322420000000001</v>
      </c>
      <c r="U458" s="251">
        <v>22.322420000000001</v>
      </c>
      <c r="V458" s="251">
        <v>22.322420000000001</v>
      </c>
      <c r="W458" s="251">
        <v>22.322420000000001</v>
      </c>
      <c r="X458" s="251">
        <v>22.322420000000001</v>
      </c>
      <c r="Y458" s="251">
        <v>22.322420000000001</v>
      </c>
      <c r="Z458" s="251">
        <v>22.322420000000001</v>
      </c>
      <c r="AA458" s="251">
        <v>10.04696</v>
      </c>
      <c r="AB458" s="251">
        <v>10.04696</v>
      </c>
      <c r="AC458" s="251">
        <v>10.04696</v>
      </c>
      <c r="AD458" s="251">
        <v>10.04696</v>
      </c>
      <c r="AE458" s="251">
        <v>10.04696</v>
      </c>
      <c r="AF458" s="251">
        <v>10.04696</v>
      </c>
      <c r="AG458" s="251">
        <v>10.04696</v>
      </c>
      <c r="AH458" s="251">
        <v>10.04696</v>
      </c>
      <c r="AI458" s="251">
        <v>10.04696</v>
      </c>
      <c r="AJ458" s="251">
        <v>10.04696</v>
      </c>
      <c r="AK458" s="251">
        <v>10.04696</v>
      </c>
      <c r="AL458" s="251">
        <v>10.04696</v>
      </c>
      <c r="AM458" s="251">
        <v>10.04696</v>
      </c>
      <c r="AN458" s="251">
        <v>10.04696</v>
      </c>
      <c r="AO458" s="251">
        <v>10.04696</v>
      </c>
      <c r="AP458" s="251">
        <v>10.04696</v>
      </c>
    </row>
    <row r="459" spans="1:42" ht="15" customHeight="1" x14ac:dyDescent="0.25">
      <c r="A459" s="252" t="s">
        <v>514</v>
      </c>
      <c r="B459" s="253"/>
      <c r="C459" s="254">
        <v>93.131489999999985</v>
      </c>
      <c r="D459" s="254">
        <v>93.131489999999985</v>
      </c>
      <c r="E459" s="254">
        <v>93.131489999999985</v>
      </c>
      <c r="F459" s="254">
        <v>93.131489999999985</v>
      </c>
      <c r="G459" s="254">
        <v>93.34169</v>
      </c>
      <c r="H459" s="254">
        <v>93.34169</v>
      </c>
      <c r="I459" s="254">
        <v>93.34169</v>
      </c>
      <c r="J459" s="254">
        <v>93.34169</v>
      </c>
      <c r="K459" s="254">
        <v>93.54464999999999</v>
      </c>
      <c r="L459" s="254">
        <v>93.54464999999999</v>
      </c>
      <c r="M459" s="254">
        <v>93.54464999999999</v>
      </c>
      <c r="N459" s="254">
        <v>93.54464999999999</v>
      </c>
      <c r="O459" s="254">
        <v>93.736889999999988</v>
      </c>
      <c r="P459" s="254">
        <v>93.736889999999988</v>
      </c>
      <c r="Q459" s="254">
        <v>93.736889999999988</v>
      </c>
      <c r="R459" s="254">
        <v>93.736889999999988</v>
      </c>
      <c r="S459" s="254">
        <v>93.736889999999988</v>
      </c>
      <c r="T459" s="254">
        <v>93.736889999999988</v>
      </c>
      <c r="U459" s="254">
        <v>93.736889999999988</v>
      </c>
      <c r="V459" s="254">
        <v>93.736889999999988</v>
      </c>
      <c r="W459" s="254">
        <v>93.736889999999988</v>
      </c>
      <c r="X459" s="254">
        <v>93.736889999999988</v>
      </c>
      <c r="Y459" s="254">
        <v>93.736889999999988</v>
      </c>
      <c r="Z459" s="254">
        <v>93.736889999999988</v>
      </c>
      <c r="AA459" s="254">
        <v>93.736890000000002</v>
      </c>
      <c r="AB459" s="254">
        <v>93.736890000000002</v>
      </c>
      <c r="AC459" s="254">
        <v>93.736890000000002</v>
      </c>
      <c r="AD459" s="254">
        <v>93.736890000000002</v>
      </c>
      <c r="AE459" s="254">
        <v>93.736890000000002</v>
      </c>
      <c r="AF459" s="254">
        <v>93.736890000000002</v>
      </c>
      <c r="AG459" s="254">
        <v>93.736890000000002</v>
      </c>
      <c r="AH459" s="254">
        <v>93.736890000000002</v>
      </c>
      <c r="AI459" s="254">
        <v>93.736890000000002</v>
      </c>
      <c r="AJ459" s="254">
        <v>87.606790000000004</v>
      </c>
      <c r="AK459" s="254">
        <v>87.606790000000004</v>
      </c>
      <c r="AL459" s="254">
        <v>87.177840000000003</v>
      </c>
      <c r="AM459" s="254">
        <v>87.177840000000003</v>
      </c>
      <c r="AN459" s="254">
        <v>86.885904999999994</v>
      </c>
      <c r="AO459" s="254">
        <v>85.924526</v>
      </c>
      <c r="AP459" s="254">
        <v>66.564294000000004</v>
      </c>
    </row>
    <row r="460" spans="1:42" ht="15" customHeight="1" x14ac:dyDescent="0.25">
      <c r="A460" s="255" t="s">
        <v>515</v>
      </c>
      <c r="B460" s="221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</row>
    <row r="461" spans="1:42" ht="15" customHeight="1" x14ac:dyDescent="0.25">
      <c r="A461" s="255" t="s">
        <v>516</v>
      </c>
      <c r="B461" s="221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</row>
    <row r="462" spans="1:42" ht="15" customHeight="1" x14ac:dyDescent="0.25">
      <c r="A462" s="255" t="s">
        <v>517</v>
      </c>
      <c r="B462" s="221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</row>
    <row r="463" spans="1:42" ht="15" customHeight="1" x14ac:dyDescent="0.25">
      <c r="A463" s="256" t="s">
        <v>518</v>
      </c>
      <c r="B463" s="25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  <c r="Y463" s="258"/>
      <c r="Z463" s="258"/>
      <c r="AA463" s="258"/>
      <c r="AB463" s="258"/>
      <c r="AC463" s="258"/>
      <c r="AD463" s="258"/>
      <c r="AE463" s="258"/>
      <c r="AF463" s="258"/>
      <c r="AG463" s="258"/>
      <c r="AH463" s="258"/>
      <c r="AI463" s="258"/>
      <c r="AJ463" s="258"/>
      <c r="AK463" s="258"/>
      <c r="AL463" s="258"/>
      <c r="AM463" s="258"/>
      <c r="AN463" s="258"/>
      <c r="AO463" s="258"/>
      <c r="AP463" s="258"/>
    </row>
    <row r="464" spans="1:42" ht="15" customHeight="1" x14ac:dyDescent="0.25">
      <c r="A464" s="259" t="s">
        <v>519</v>
      </c>
      <c r="B464" s="221"/>
      <c r="C464" s="205">
        <v>2.2513435689111021E-3</v>
      </c>
      <c r="D464" s="205">
        <v>0</v>
      </c>
      <c r="E464" s="205">
        <v>0</v>
      </c>
      <c r="F464" s="205">
        <v>0</v>
      </c>
      <c r="G464" s="205">
        <v>2.2570239131791681E-3</v>
      </c>
      <c r="H464" s="205">
        <v>0</v>
      </c>
      <c r="I464" s="205">
        <v>0</v>
      </c>
      <c r="J464" s="205">
        <v>0</v>
      </c>
      <c r="K464" s="205">
        <v>2.174376744196405E-3</v>
      </c>
      <c r="L464" s="205">
        <v>0</v>
      </c>
      <c r="M464" s="205">
        <v>0</v>
      </c>
      <c r="N464" s="205">
        <v>0</v>
      </c>
      <c r="O464" s="205">
        <v>2.0550614065046879E-3</v>
      </c>
      <c r="P464" s="205">
        <v>0</v>
      </c>
      <c r="Q464" s="205">
        <v>0</v>
      </c>
      <c r="R464" s="205">
        <v>0</v>
      </c>
      <c r="S464" s="205">
        <v>0</v>
      </c>
      <c r="T464" s="205">
        <v>0</v>
      </c>
      <c r="U464" s="205">
        <v>0</v>
      </c>
      <c r="V464" s="205">
        <v>0</v>
      </c>
      <c r="W464" s="205">
        <v>0</v>
      </c>
      <c r="X464" s="205">
        <v>0</v>
      </c>
      <c r="Y464" s="205">
        <v>0</v>
      </c>
      <c r="Z464" s="205">
        <v>0</v>
      </c>
      <c r="AA464" s="205">
        <v>0</v>
      </c>
      <c r="AB464" s="205">
        <v>0</v>
      </c>
      <c r="AC464" s="205">
        <v>0</v>
      </c>
      <c r="AD464" s="205">
        <v>0</v>
      </c>
      <c r="AE464" s="205">
        <v>0</v>
      </c>
      <c r="AF464" s="205">
        <v>0</v>
      </c>
      <c r="AG464" s="205">
        <v>0</v>
      </c>
      <c r="AH464" s="205">
        <v>0</v>
      </c>
      <c r="AI464" s="205">
        <v>0</v>
      </c>
      <c r="AJ464" s="205">
        <v>-6.5396878432813388E-2</v>
      </c>
      <c r="AK464" s="205">
        <v>0</v>
      </c>
      <c r="AL464" s="205">
        <v>-4.8963099777996621E-3</v>
      </c>
      <c r="AM464" s="205">
        <v>0</v>
      </c>
      <c r="AN464" s="205">
        <v>-3.3487294477588798E-3</v>
      </c>
      <c r="AO464" s="205">
        <v>-1.106484417696973E-2</v>
      </c>
      <c r="AP464" s="205">
        <v>-0.22531671574190579</v>
      </c>
    </row>
    <row r="465" spans="1:42" ht="15" customHeight="1" x14ac:dyDescent="0.25">
      <c r="A465" s="259" t="s">
        <v>520</v>
      </c>
      <c r="B465" s="221"/>
      <c r="C465" s="205">
        <v>2.2513435689111021E-3</v>
      </c>
      <c r="D465" s="205">
        <v>2.2513435689111021E-3</v>
      </c>
      <c r="E465" s="205">
        <v>2.2513435689111021E-3</v>
      </c>
      <c r="F465" s="205">
        <v>2.2513435689111021E-3</v>
      </c>
      <c r="G465" s="205">
        <v>2.2570239131791681E-3</v>
      </c>
      <c r="H465" s="205">
        <v>2.2570239131791681E-3</v>
      </c>
      <c r="I465" s="205">
        <v>2.2570239131791681E-3</v>
      </c>
      <c r="J465" s="205">
        <v>2.2570239131791681E-3</v>
      </c>
      <c r="K465" s="205">
        <v>2.174376744196405E-3</v>
      </c>
      <c r="L465" s="205">
        <v>2.174376744196405E-3</v>
      </c>
      <c r="M465" s="205">
        <v>2.174376744196405E-3</v>
      </c>
      <c r="N465" s="205">
        <v>2.174376744196405E-3</v>
      </c>
      <c r="O465" s="205">
        <v>2.0550614065046879E-3</v>
      </c>
      <c r="P465" s="205">
        <v>2.0550614065046879E-3</v>
      </c>
      <c r="Q465" s="205">
        <v>2.0550614065046879E-3</v>
      </c>
      <c r="R465" s="205">
        <v>2.0550614065046879E-3</v>
      </c>
      <c r="S465" s="205">
        <v>0</v>
      </c>
      <c r="T465" s="205">
        <v>0</v>
      </c>
      <c r="U465" s="205">
        <v>0</v>
      </c>
      <c r="V465" s="205">
        <v>0</v>
      </c>
      <c r="W465" s="205">
        <v>0</v>
      </c>
      <c r="X465" s="205">
        <v>0</v>
      </c>
      <c r="Y465" s="205">
        <v>0</v>
      </c>
      <c r="Z465" s="205">
        <v>0</v>
      </c>
      <c r="AA465" s="205">
        <v>0</v>
      </c>
      <c r="AB465" s="205">
        <v>0</v>
      </c>
      <c r="AC465" s="205">
        <v>0</v>
      </c>
      <c r="AD465" s="205">
        <v>0</v>
      </c>
      <c r="AE465" s="205">
        <v>0</v>
      </c>
      <c r="AF465" s="205">
        <v>0</v>
      </c>
      <c r="AG465" s="205">
        <v>0</v>
      </c>
      <c r="AH465" s="205">
        <v>0</v>
      </c>
      <c r="AI465" s="205">
        <v>0</v>
      </c>
      <c r="AJ465" s="205">
        <v>-6.5396878432813388E-2</v>
      </c>
      <c r="AK465" s="205">
        <v>-6.5396878432813388E-2</v>
      </c>
      <c r="AL465" s="205">
        <v>-6.9972985022225487E-2</v>
      </c>
      <c r="AM465" s="205">
        <v>-6.9972985022225487E-2</v>
      </c>
      <c r="AN465" s="205">
        <v>-8.2286430081505157E-3</v>
      </c>
      <c r="AO465" s="205">
        <v>-1.9202438532447071E-2</v>
      </c>
      <c r="AP465" s="205">
        <v>-0.2364539658243425</v>
      </c>
    </row>
    <row r="466" spans="1:42" ht="15" customHeight="1" x14ac:dyDescent="0.25">
      <c r="A466" s="162"/>
      <c r="B466" s="180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</row>
    <row r="467" spans="1:42" ht="15" customHeight="1" x14ac:dyDescent="0.25">
      <c r="A467" s="189" t="s">
        <v>521</v>
      </c>
      <c r="B467" s="180"/>
      <c r="C467" s="98">
        <v>71.414470000000009</v>
      </c>
      <c r="D467" s="98">
        <v>71.414470000000009</v>
      </c>
      <c r="E467" s="98">
        <v>71.414470000000009</v>
      </c>
      <c r="F467" s="63">
        <v>71.414470000000009</v>
      </c>
      <c r="G467" s="98">
        <v>71.414470000000009</v>
      </c>
      <c r="H467" s="98">
        <v>71.414470000000009</v>
      </c>
      <c r="I467" s="98">
        <v>71.414470000000009</v>
      </c>
      <c r="J467" s="63">
        <v>71.414470000000009</v>
      </c>
      <c r="K467" s="98">
        <v>71.414470000000009</v>
      </c>
      <c r="L467" s="98">
        <v>71.414470000000009</v>
      </c>
      <c r="M467" s="98">
        <v>71.414470000000009</v>
      </c>
      <c r="N467" s="63">
        <v>71.414470000000009</v>
      </c>
      <c r="O467" s="98">
        <v>71.414470000000009</v>
      </c>
      <c r="P467" s="98">
        <v>71.414470000000009</v>
      </c>
      <c r="Q467" s="98">
        <v>71.414470000000009</v>
      </c>
      <c r="R467" s="63">
        <v>71.414470000000009</v>
      </c>
      <c r="S467" s="98">
        <v>71.414470000000009</v>
      </c>
      <c r="T467" s="98">
        <v>71.414470000000009</v>
      </c>
      <c r="U467" s="98">
        <v>71.414470000000009</v>
      </c>
      <c r="V467" s="63">
        <v>71.414470000000009</v>
      </c>
      <c r="W467" s="98">
        <v>71.414470000000009</v>
      </c>
      <c r="X467" s="98">
        <v>71.414470000000009</v>
      </c>
      <c r="Y467" s="98">
        <v>71.414470000000009</v>
      </c>
      <c r="Z467" s="63">
        <v>71.414470000000009</v>
      </c>
      <c r="AA467" s="98">
        <v>83.689930000000004</v>
      </c>
      <c r="AB467" s="98">
        <v>83.689930000000004</v>
      </c>
      <c r="AC467" s="98">
        <v>83.689930000000004</v>
      </c>
      <c r="AD467" s="63">
        <v>83.689930000000004</v>
      </c>
      <c r="AE467" s="98">
        <v>83.689930000000004</v>
      </c>
      <c r="AF467" s="98">
        <v>83.689930000000004</v>
      </c>
      <c r="AG467" s="98">
        <v>83.689930000000004</v>
      </c>
      <c r="AH467" s="63">
        <v>83.689930000000004</v>
      </c>
      <c r="AI467" s="98">
        <v>83.689930000000004</v>
      </c>
      <c r="AJ467" s="98">
        <v>77.559829999999991</v>
      </c>
      <c r="AK467" s="98">
        <v>77.559829999999991</v>
      </c>
      <c r="AL467" s="63">
        <v>77.130880000000005</v>
      </c>
      <c r="AM467" s="98">
        <v>77.130880000000005</v>
      </c>
      <c r="AN467" s="98">
        <v>76.838944999999995</v>
      </c>
      <c r="AO467" s="98">
        <v>75.402475999999993</v>
      </c>
      <c r="AP467" s="63">
        <v>56.517333999999998</v>
      </c>
    </row>
    <row r="468" spans="1:42" ht="15" customHeight="1" x14ac:dyDescent="0.25">
      <c r="A468" s="189" t="s">
        <v>522</v>
      </c>
      <c r="B468" s="180"/>
      <c r="C468" s="98">
        <v>21.717020000000002</v>
      </c>
      <c r="D468" s="98">
        <v>21.717020000000002</v>
      </c>
      <c r="E468" s="98">
        <v>21.717020000000002</v>
      </c>
      <c r="F468" s="63">
        <v>21.717020000000002</v>
      </c>
      <c r="G468" s="98">
        <v>21.927219999999998</v>
      </c>
      <c r="H468" s="98">
        <v>21.927219999999998</v>
      </c>
      <c r="I468" s="98">
        <v>21.927219999999998</v>
      </c>
      <c r="J468" s="63">
        <v>21.927219999999998</v>
      </c>
      <c r="K468" s="98">
        <v>22.130179999999999</v>
      </c>
      <c r="L468" s="98">
        <v>22.130179999999999</v>
      </c>
      <c r="M468" s="98">
        <v>22.130179999999999</v>
      </c>
      <c r="N468" s="63">
        <v>22.130179999999999</v>
      </c>
      <c r="O468" s="98">
        <v>22.322420000000001</v>
      </c>
      <c r="P468" s="98">
        <v>22.322420000000001</v>
      </c>
      <c r="Q468" s="98">
        <v>22.322420000000001</v>
      </c>
      <c r="R468" s="63">
        <v>22.322420000000001</v>
      </c>
      <c r="S468" s="98">
        <v>22.322420000000001</v>
      </c>
      <c r="T468" s="98">
        <v>22.322420000000001</v>
      </c>
      <c r="U468" s="98">
        <v>22.322420000000001</v>
      </c>
      <c r="V468" s="63">
        <v>22.322420000000001</v>
      </c>
      <c r="W468" s="98">
        <v>22.322420000000001</v>
      </c>
      <c r="X468" s="98">
        <v>22.322420000000001</v>
      </c>
      <c r="Y468" s="98">
        <v>22.322420000000001</v>
      </c>
      <c r="Z468" s="63">
        <v>22.322420000000001</v>
      </c>
      <c r="AA468" s="98">
        <v>10.04696</v>
      </c>
      <c r="AB468" s="98">
        <v>10.04696</v>
      </c>
      <c r="AC468" s="98">
        <v>10.04696</v>
      </c>
      <c r="AD468" s="63">
        <v>10.04696</v>
      </c>
      <c r="AE468" s="98">
        <v>10.04696</v>
      </c>
      <c r="AF468" s="98">
        <v>10.04696</v>
      </c>
      <c r="AG468" s="98">
        <v>10.04696</v>
      </c>
      <c r="AH468" s="63">
        <v>10.04696</v>
      </c>
      <c r="AI468" s="98">
        <v>10.04696</v>
      </c>
      <c r="AJ468" s="260">
        <v>10.04696</v>
      </c>
      <c r="AK468" s="98">
        <v>10.04696</v>
      </c>
      <c r="AL468" s="63">
        <v>10.04696</v>
      </c>
      <c r="AM468" s="98">
        <v>10.04696</v>
      </c>
      <c r="AN468" s="260">
        <v>10.04696</v>
      </c>
      <c r="AO468" s="260">
        <v>10.04696</v>
      </c>
      <c r="AP468" s="63">
        <v>10.04696</v>
      </c>
    </row>
    <row r="469" spans="1:42" ht="15" customHeight="1" x14ac:dyDescent="0.25">
      <c r="A469" s="252" t="s">
        <v>523</v>
      </c>
      <c r="B469" s="253"/>
      <c r="C469" s="254">
        <v>93.131490000000014</v>
      </c>
      <c r="D469" s="254">
        <v>93.131490000000014</v>
      </c>
      <c r="E469" s="254">
        <v>93.131490000000014</v>
      </c>
      <c r="F469" s="254">
        <v>93.131490000000014</v>
      </c>
      <c r="G469" s="254">
        <v>93.34169</v>
      </c>
      <c r="H469" s="254">
        <v>93.34169</v>
      </c>
      <c r="I469" s="254">
        <v>93.34169</v>
      </c>
      <c r="J469" s="254">
        <v>93.34169</v>
      </c>
      <c r="K469" s="254">
        <v>93.544650000000004</v>
      </c>
      <c r="L469" s="254">
        <v>93.544650000000004</v>
      </c>
      <c r="M469" s="254">
        <v>93.544650000000004</v>
      </c>
      <c r="N469" s="254">
        <v>93.544650000000004</v>
      </c>
      <c r="O469" s="254">
        <v>93.736890000000002</v>
      </c>
      <c r="P469" s="254">
        <v>93.736890000000002</v>
      </c>
      <c r="Q469" s="254">
        <v>93.736890000000002</v>
      </c>
      <c r="R469" s="254">
        <v>93.736890000000002</v>
      </c>
      <c r="S469" s="254">
        <v>93.736890000000002</v>
      </c>
      <c r="T469" s="254">
        <v>93.736890000000002</v>
      </c>
      <c r="U469" s="254">
        <v>93.736890000000002</v>
      </c>
      <c r="V469" s="254">
        <v>93.736890000000002</v>
      </c>
      <c r="W469" s="254">
        <v>93.736890000000002</v>
      </c>
      <c r="X469" s="254">
        <v>93.736890000000002</v>
      </c>
      <c r="Y469" s="254">
        <v>93.736890000000002</v>
      </c>
      <c r="Z469" s="254">
        <v>93.736890000000002</v>
      </c>
      <c r="AA469" s="254">
        <v>93.736890000000002</v>
      </c>
      <c r="AB469" s="254">
        <v>93.736890000000002</v>
      </c>
      <c r="AC469" s="254">
        <v>93.736890000000002</v>
      </c>
      <c r="AD469" s="254">
        <v>93.736890000000002</v>
      </c>
      <c r="AE469" s="254">
        <v>93.736890000000002</v>
      </c>
      <c r="AF469" s="254">
        <v>93.736890000000002</v>
      </c>
      <c r="AG469" s="254">
        <v>93.736890000000002</v>
      </c>
      <c r="AH469" s="254">
        <v>93.736890000000002</v>
      </c>
      <c r="AI469" s="254">
        <v>93.736890000000002</v>
      </c>
      <c r="AJ469" s="63">
        <v>87.60678999999999</v>
      </c>
      <c r="AK469" s="254">
        <v>87.60678999999999</v>
      </c>
      <c r="AL469" s="254">
        <v>87.177840000000003</v>
      </c>
      <c r="AM469" s="254">
        <v>87.177840000000003</v>
      </c>
      <c r="AN469" s="63">
        <v>86.885904999999994</v>
      </c>
      <c r="AO469" s="63">
        <v>85.449435999999992</v>
      </c>
      <c r="AP469" s="254">
        <v>66.564294000000004</v>
      </c>
    </row>
    <row r="470" spans="1:42" ht="15" customHeight="1" x14ac:dyDescent="0.25">
      <c r="A470" s="247" t="s">
        <v>524</v>
      </c>
      <c r="B470" s="180"/>
      <c r="C470" s="261">
        <v>42496</v>
      </c>
      <c r="D470" s="261">
        <v>42587</v>
      </c>
      <c r="E470" s="261">
        <v>42678</v>
      </c>
      <c r="F470" s="262">
        <v>42792</v>
      </c>
      <c r="G470" s="261">
        <v>42855</v>
      </c>
      <c r="H470" s="261">
        <v>42946</v>
      </c>
      <c r="I470" s="261">
        <v>43037</v>
      </c>
      <c r="J470" s="262">
        <v>43147</v>
      </c>
      <c r="K470" s="261">
        <v>43219</v>
      </c>
      <c r="L470" s="261">
        <v>43310</v>
      </c>
      <c r="M470" s="261">
        <v>43401</v>
      </c>
      <c r="N470" s="262">
        <v>43492</v>
      </c>
      <c r="O470" s="261">
        <v>43583</v>
      </c>
      <c r="P470" s="261">
        <v>43674</v>
      </c>
      <c r="Q470" s="261">
        <v>43765</v>
      </c>
      <c r="R470" s="262">
        <v>43856</v>
      </c>
      <c r="S470" s="261">
        <v>43947</v>
      </c>
      <c r="T470" s="261">
        <v>44038</v>
      </c>
      <c r="U470" s="261">
        <v>44129</v>
      </c>
      <c r="V470" s="262">
        <v>44225</v>
      </c>
      <c r="W470" s="261">
        <v>44316</v>
      </c>
      <c r="X470" s="261">
        <v>44407</v>
      </c>
      <c r="Y470" s="261">
        <v>44498</v>
      </c>
      <c r="Z470" s="262">
        <v>44589</v>
      </c>
      <c r="AA470" s="261">
        <v>44673</v>
      </c>
      <c r="AB470" s="261">
        <v>44764</v>
      </c>
      <c r="AC470" s="261">
        <v>44855</v>
      </c>
      <c r="AD470" s="262">
        <v>44953</v>
      </c>
      <c r="AE470" s="261">
        <v>45037</v>
      </c>
      <c r="AF470" s="261">
        <v>45128</v>
      </c>
      <c r="AG470" s="261">
        <v>45219</v>
      </c>
      <c r="AH470" s="262">
        <v>45317</v>
      </c>
      <c r="AI470" s="261">
        <v>45401</v>
      </c>
      <c r="AJ470" s="261">
        <v>45492</v>
      </c>
      <c r="AK470" s="261">
        <v>45583</v>
      </c>
      <c r="AL470" s="262">
        <v>45681</v>
      </c>
      <c r="AM470" s="261">
        <v>45765</v>
      </c>
      <c r="AN470" s="261">
        <v>45856</v>
      </c>
      <c r="AO470" s="261">
        <v>45947</v>
      </c>
      <c r="AP470" s="262">
        <v>46052</v>
      </c>
    </row>
    <row r="471" spans="1:42" ht="15" customHeight="1" x14ac:dyDescent="0.25">
      <c r="A471" s="247"/>
      <c r="B471" s="180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</row>
    <row r="472" spans="1:42" ht="15" customHeight="1" x14ac:dyDescent="0.25">
      <c r="A472" s="247" t="s">
        <v>525</v>
      </c>
      <c r="B472" s="180"/>
      <c r="C472" s="63">
        <v>0.40218000000001197</v>
      </c>
      <c r="D472" s="63">
        <v>0.40298000000000661</v>
      </c>
      <c r="E472" s="63">
        <v>0.40298000000000661</v>
      </c>
      <c r="F472" s="63">
        <v>0.40298000000000661</v>
      </c>
      <c r="G472" s="63">
        <v>0.40298000000000661</v>
      </c>
      <c r="H472" s="63">
        <v>0.40278000000001413</v>
      </c>
      <c r="I472" s="63">
        <v>0.40278000000001413</v>
      </c>
      <c r="J472" s="63">
        <v>0.40278000000001413</v>
      </c>
      <c r="K472" s="63">
        <v>0.40278000000001413</v>
      </c>
      <c r="L472" s="63">
        <v>0.40278000000001413</v>
      </c>
      <c r="M472" s="63">
        <v>0.50982000000000127</v>
      </c>
      <c r="N472" s="63">
        <v>0.50982000000000127</v>
      </c>
      <c r="O472" s="63">
        <v>0.50982000000000127</v>
      </c>
      <c r="P472" s="63">
        <v>0.47757999999999973</v>
      </c>
      <c r="Q472" s="63">
        <v>0.39758000000000138</v>
      </c>
      <c r="R472" s="63">
        <v>0.39758000000000138</v>
      </c>
      <c r="S472" s="63">
        <v>0.70758000000001786</v>
      </c>
      <c r="T472" s="63">
        <v>0.6675799999999974</v>
      </c>
      <c r="U472" s="63">
        <v>0.56758000000000308</v>
      </c>
      <c r="V472" s="63">
        <v>0.31758000000000308</v>
      </c>
      <c r="W472" s="63">
        <v>0.35758000000000928</v>
      </c>
      <c r="X472" s="63">
        <v>0.3375799999999991</v>
      </c>
      <c r="Y472" s="63">
        <v>0.35758000000000928</v>
      </c>
      <c r="Z472" s="63">
        <v>0.15757999999999231</v>
      </c>
      <c r="AA472" s="63">
        <v>4.2053100000000043</v>
      </c>
      <c r="AB472" s="63">
        <v>0.2530399999999986</v>
      </c>
      <c r="AC472" s="63">
        <v>0.32304000000000599</v>
      </c>
      <c r="AD472" s="63">
        <v>0.1730400000000003</v>
      </c>
      <c r="AE472" s="63">
        <v>0.21303999999999229</v>
      </c>
      <c r="AF472" s="63">
        <v>0.2230400000000117</v>
      </c>
      <c r="AG472" s="63">
        <v>0.21303999999999229</v>
      </c>
      <c r="AH472" s="63">
        <v>0.1030400000000071</v>
      </c>
      <c r="AI472" s="63">
        <v>0.13304000000000829</v>
      </c>
      <c r="AJ472" s="63">
        <v>0.1430399999999992</v>
      </c>
      <c r="AK472" s="63">
        <v>0.113039999999998</v>
      </c>
      <c r="AL472" s="63">
        <v>7.3039999999991778E-2</v>
      </c>
      <c r="AM472" s="63">
        <v>8.3040000000011105E-2</v>
      </c>
      <c r="AN472" s="63">
        <v>0.1410400000000038</v>
      </c>
      <c r="AO472" s="63">
        <v>0.1270399999999938</v>
      </c>
      <c r="AP472" s="63">
        <v>5.9039999999994208E-2</v>
      </c>
    </row>
    <row r="473" spans="1:42" ht="15" customHeight="1" x14ac:dyDescent="0.25">
      <c r="A473" s="263" t="s">
        <v>526</v>
      </c>
      <c r="B473" s="221"/>
      <c r="C473" s="264">
        <v>1.0043184104538649</v>
      </c>
      <c r="D473" s="264">
        <v>1.0043270004592431</v>
      </c>
      <c r="E473" s="264">
        <v>1.0043270004592431</v>
      </c>
      <c r="F473" s="264">
        <v>1.0043270004592431</v>
      </c>
      <c r="G473" s="264">
        <v>1.0043172563085161</v>
      </c>
      <c r="H473" s="264">
        <v>1.004315113643218</v>
      </c>
      <c r="I473" s="264">
        <v>1.004315113643218</v>
      </c>
      <c r="J473" s="264">
        <v>1.004315113643218</v>
      </c>
      <c r="K473" s="264">
        <v>1.0043057513176861</v>
      </c>
      <c r="L473" s="264">
        <v>1.0043057513176861</v>
      </c>
      <c r="M473" s="264">
        <v>1.005450017718811</v>
      </c>
      <c r="N473" s="264">
        <v>1.005450017718811</v>
      </c>
      <c r="O473" s="264">
        <v>1.005438840567465</v>
      </c>
      <c r="P473" s="264">
        <v>1.0050948991373621</v>
      </c>
      <c r="Q473" s="264">
        <v>1.004241446457206</v>
      </c>
      <c r="R473" s="264">
        <v>1.004241446457206</v>
      </c>
      <c r="S473" s="264">
        <v>1.0075485755928111</v>
      </c>
      <c r="T473" s="264">
        <v>1.007121849252733</v>
      </c>
      <c r="U473" s="264">
        <v>1.006055033402538</v>
      </c>
      <c r="V473" s="264">
        <v>1.00338799377705</v>
      </c>
      <c r="W473" s="264">
        <v>1.0038147201171279</v>
      </c>
      <c r="X473" s="264">
        <v>1.003601356947089</v>
      </c>
      <c r="Y473" s="264">
        <v>1.0038147201171279</v>
      </c>
      <c r="Z473" s="264">
        <v>1.001681088416738</v>
      </c>
      <c r="AA473" s="264">
        <v>1.044862913629842</v>
      </c>
      <c r="AB473" s="264">
        <v>1.002699470827334</v>
      </c>
      <c r="AC473" s="264">
        <v>1.003446241922471</v>
      </c>
      <c r="AD473" s="264">
        <v>1.001846018147178</v>
      </c>
      <c r="AE473" s="264">
        <v>1.0022727444872559</v>
      </c>
      <c r="AF473" s="264">
        <v>1.0023794260722749</v>
      </c>
      <c r="AG473" s="264">
        <v>1.0022727444872559</v>
      </c>
      <c r="AH473" s="264">
        <v>1.001099247052041</v>
      </c>
      <c r="AI473" s="264">
        <v>1.0014192918071001</v>
      </c>
      <c r="AJ473" s="264">
        <v>1.0016327501555531</v>
      </c>
      <c r="AK473" s="264">
        <v>1.0012903109450759</v>
      </c>
      <c r="AL473" s="264">
        <v>1.000837827594719</v>
      </c>
      <c r="AM473" s="264">
        <v>1.00095253564438</v>
      </c>
      <c r="AN473" s="264">
        <v>1.001623278252094</v>
      </c>
      <c r="AO473" s="264">
        <v>1.0014785068468111</v>
      </c>
      <c r="AP473" s="264">
        <v>1.0008869620099929</v>
      </c>
    </row>
    <row r="474" spans="1:42" ht="15" customHeight="1" x14ac:dyDescent="0.25">
      <c r="A474" s="247"/>
      <c r="B474" s="180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</row>
    <row r="475" spans="1:42" ht="15" customHeight="1" x14ac:dyDescent="0.25">
      <c r="A475" s="247" t="s">
        <v>527</v>
      </c>
      <c r="B475" s="180"/>
      <c r="C475" s="63">
        <v>93.533670000000001</v>
      </c>
      <c r="D475" s="63">
        <v>93.534469999999999</v>
      </c>
      <c r="E475" s="63">
        <v>93.534469999999999</v>
      </c>
      <c r="F475" s="63">
        <v>93.534469999999999</v>
      </c>
      <c r="G475" s="63">
        <v>93.744670000000013</v>
      </c>
      <c r="H475" s="63">
        <v>93.744470000000007</v>
      </c>
      <c r="I475" s="63">
        <v>93.744470000000007</v>
      </c>
      <c r="J475" s="63">
        <v>93.744470000000007</v>
      </c>
      <c r="K475" s="63">
        <v>93.947429999999997</v>
      </c>
      <c r="L475" s="63">
        <v>93.947429999999997</v>
      </c>
      <c r="M475" s="63">
        <v>94.054469999999995</v>
      </c>
      <c r="N475" s="63">
        <v>94.054469999999995</v>
      </c>
      <c r="O475" s="63">
        <v>94.246709999999993</v>
      </c>
      <c r="P475" s="63">
        <v>94.214469999999992</v>
      </c>
      <c r="Q475" s="63">
        <v>94.134469999999993</v>
      </c>
      <c r="R475" s="63">
        <v>94.134469999999993</v>
      </c>
      <c r="S475" s="63">
        <v>94.44447000000001</v>
      </c>
      <c r="T475" s="63">
        <v>94.404469999999989</v>
      </c>
      <c r="U475" s="63">
        <v>94.304469999999995</v>
      </c>
      <c r="V475" s="63">
        <v>94.054469999999995</v>
      </c>
      <c r="W475" s="63">
        <v>94.094470000000001</v>
      </c>
      <c r="X475" s="63">
        <v>94.074469999999991</v>
      </c>
      <c r="Y475" s="63">
        <v>94.094470000000001</v>
      </c>
      <c r="Z475" s="63">
        <v>93.894469999999984</v>
      </c>
      <c r="AA475" s="63">
        <v>97.942200000000014</v>
      </c>
      <c r="AB475" s="63">
        <v>93.989930000000001</v>
      </c>
      <c r="AC475" s="63">
        <v>94.059930000000008</v>
      </c>
      <c r="AD475" s="63">
        <v>93.909930000000003</v>
      </c>
      <c r="AE475" s="63">
        <v>93.949929999999995</v>
      </c>
      <c r="AF475" s="63">
        <v>93.959930000000014</v>
      </c>
      <c r="AG475" s="63">
        <v>93.949929999999995</v>
      </c>
      <c r="AH475" s="63">
        <v>93.83993000000001</v>
      </c>
      <c r="AI475" s="63">
        <v>93.869930000000011</v>
      </c>
      <c r="AJ475" s="63">
        <v>87.749830000000003</v>
      </c>
      <c r="AK475" s="63">
        <v>87.719830000000002</v>
      </c>
      <c r="AL475" s="63">
        <v>87.250879999999995</v>
      </c>
      <c r="AM475" s="63">
        <v>87.260880000000014</v>
      </c>
      <c r="AN475" s="63">
        <v>87.026944999999998</v>
      </c>
      <c r="AO475" s="63">
        <v>86.051565999999994</v>
      </c>
      <c r="AP475" s="63">
        <v>66.623334</v>
      </c>
    </row>
    <row r="476" spans="1:42" ht="15" customHeight="1" x14ac:dyDescent="0.25">
      <c r="A476" s="247"/>
      <c r="B476" s="180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</row>
    <row r="477" spans="1:42" ht="14.45" customHeight="1" x14ac:dyDescent="0.25">
      <c r="A477" s="95" t="s">
        <v>528</v>
      </c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</row>
    <row r="478" spans="1:42" ht="15" customHeight="1" x14ac:dyDescent="0.25">
      <c r="A478" s="99" t="s">
        <v>529</v>
      </c>
      <c r="B478" s="180"/>
      <c r="C478" s="99">
        <v>30.074999999999999</v>
      </c>
      <c r="D478" s="99">
        <v>69.011999999999986</v>
      </c>
      <c r="E478" s="99">
        <v>58.658000000000008</v>
      </c>
      <c r="F478" s="99">
        <v>69.573000000000008</v>
      </c>
      <c r="G478" s="99">
        <v>117.532</v>
      </c>
      <c r="H478" s="99">
        <v>60.324999999999989</v>
      </c>
      <c r="I478" s="99">
        <v>60.741000000000007</v>
      </c>
      <c r="J478" s="99">
        <v>87.974999999999994</v>
      </c>
      <c r="K478" s="99">
        <v>16.071000000000002</v>
      </c>
      <c r="L478" s="99">
        <v>55.960999999999999</v>
      </c>
      <c r="M478" s="99">
        <v>92.457000000000022</v>
      </c>
      <c r="N478" s="99">
        <v>51.552000000000007</v>
      </c>
      <c r="O478" s="99">
        <v>55.515999999999991</v>
      </c>
      <c r="P478" s="99">
        <v>102.613</v>
      </c>
      <c r="Q478" s="99">
        <v>85.524999999999991</v>
      </c>
      <c r="R478" s="99">
        <v>70.398999999999987</v>
      </c>
      <c r="S478" s="99">
        <v>66.492999999999995</v>
      </c>
      <c r="T478" s="99">
        <v>118.307</v>
      </c>
      <c r="U478" s="99">
        <v>116.717</v>
      </c>
      <c r="V478" s="99">
        <v>114.876</v>
      </c>
      <c r="W478" s="99">
        <v>129.70500000000001</v>
      </c>
      <c r="X478" s="99">
        <v>125.20099999999999</v>
      </c>
      <c r="Y478" s="99">
        <v>141.97300000000001</v>
      </c>
      <c r="Z478" s="99">
        <v>102.006</v>
      </c>
      <c r="AA478" s="99">
        <v>165.02</v>
      </c>
      <c r="AB478" s="99">
        <v>125.36799999999999</v>
      </c>
      <c r="AC478" s="99">
        <v>166.47300000000001</v>
      </c>
      <c r="AD478" s="99">
        <v>174.08</v>
      </c>
      <c r="AE478" s="99">
        <v>246.66800000000001</v>
      </c>
      <c r="AF478" s="99">
        <v>184.68799999999999</v>
      </c>
      <c r="AG478" s="99">
        <v>207.3369999999999</v>
      </c>
      <c r="AH478" s="99">
        <v>177.94900000000001</v>
      </c>
      <c r="AI478" s="99">
        <v>264.488</v>
      </c>
      <c r="AJ478" s="99">
        <v>195.96899999999991</v>
      </c>
      <c r="AK478" s="99">
        <v>215.32300000000001</v>
      </c>
      <c r="AL478" s="99">
        <v>218.309</v>
      </c>
      <c r="AM478" s="99">
        <v>237.19399999999999</v>
      </c>
      <c r="AN478" s="99">
        <v>200.88200000000001</v>
      </c>
      <c r="AO478" s="99">
        <v>265.37599999999998</v>
      </c>
      <c r="AP478" s="99">
        <v>235.255</v>
      </c>
    </row>
    <row r="479" spans="1:42" ht="15" customHeight="1" x14ac:dyDescent="0.25">
      <c r="A479" s="194" t="s">
        <v>530</v>
      </c>
      <c r="B479" s="190"/>
      <c r="C479" s="158">
        <v>-45.292000000000002</v>
      </c>
      <c r="D479" s="158">
        <v>7.402000000000001</v>
      </c>
      <c r="E479" s="158">
        <v>8.2699999999999889</v>
      </c>
      <c r="F479" s="158">
        <v>-35.703000000000003</v>
      </c>
      <c r="G479" s="158">
        <v>-1.01400000000001</v>
      </c>
      <c r="H479" s="158">
        <v>2.1280000000000072</v>
      </c>
      <c r="I479" s="158">
        <v>-37.286999999999999</v>
      </c>
      <c r="J479" s="158">
        <v>17.416</v>
      </c>
      <c r="K479" s="158">
        <v>-96.817000000000007</v>
      </c>
      <c r="L479" s="158">
        <v>82.027000000000001</v>
      </c>
      <c r="M479" s="158">
        <v>-123.669</v>
      </c>
      <c r="N479" s="158">
        <v>91.296999999999983</v>
      </c>
      <c r="O479" s="158">
        <v>-49.92</v>
      </c>
      <c r="P479" s="158">
        <v>-19.623000000000001</v>
      </c>
      <c r="Q479" s="158">
        <v>30.471999999999991</v>
      </c>
      <c r="R479" s="158">
        <v>15.387999999999989</v>
      </c>
      <c r="S479" s="158">
        <v>-34.204000000000001</v>
      </c>
      <c r="T479" s="158">
        <v>78.407000000000025</v>
      </c>
      <c r="U479" s="158">
        <v>30.68099999999998</v>
      </c>
      <c r="V479" s="158">
        <v>3.1839999999999828</v>
      </c>
      <c r="W479" s="158">
        <v>-47.795000000000002</v>
      </c>
      <c r="X479" s="158">
        <v>64.274000000000001</v>
      </c>
      <c r="Y479" s="158">
        <v>26.516999999999999</v>
      </c>
      <c r="Z479" s="158">
        <v>-20.126000000000019</v>
      </c>
      <c r="AA479" s="158">
        <v>-34.13900000000001</v>
      </c>
      <c r="AB479" s="158">
        <v>-12.714</v>
      </c>
      <c r="AC479" s="158">
        <v>-15.699000000000011</v>
      </c>
      <c r="AD479" s="158">
        <v>-13.88300000000001</v>
      </c>
      <c r="AE479" s="158">
        <v>-61.974000000000018</v>
      </c>
      <c r="AF479" s="158">
        <v>13.955999999999991</v>
      </c>
      <c r="AG479" s="158">
        <v>53.874000000000017</v>
      </c>
      <c r="AH479" s="158">
        <v>-11.807999999999989</v>
      </c>
      <c r="AI479" s="158">
        <v>-70.215000000000003</v>
      </c>
      <c r="AJ479" s="158">
        <v>46.88900000000001</v>
      </c>
      <c r="AK479" s="158">
        <v>55.438999999999957</v>
      </c>
      <c r="AL479" s="158">
        <v>-49.844999999999999</v>
      </c>
      <c r="AM479" s="158">
        <v>-39.023000000000003</v>
      </c>
      <c r="AN479" s="158">
        <v>7.1680000000000064</v>
      </c>
      <c r="AO479" s="158">
        <v>51.315999999999967</v>
      </c>
      <c r="AP479" s="158">
        <v>-26.26400000000001</v>
      </c>
    </row>
    <row r="480" spans="1:42" ht="15" customHeight="1" x14ac:dyDescent="0.25">
      <c r="A480" s="111" t="s">
        <v>531</v>
      </c>
      <c r="B480" s="211"/>
      <c r="C480" s="112">
        <v>-15.217000000000001</v>
      </c>
      <c r="D480" s="112">
        <v>76.413999999999987</v>
      </c>
      <c r="E480" s="112">
        <v>66.927999999999997</v>
      </c>
      <c r="F480" s="112">
        <v>33.869999999999997</v>
      </c>
      <c r="G480" s="112">
        <v>116.518</v>
      </c>
      <c r="H480" s="112">
        <v>62.453000000000003</v>
      </c>
      <c r="I480" s="112">
        <v>23.454000000000011</v>
      </c>
      <c r="J480" s="112">
        <v>105.39100000000001</v>
      </c>
      <c r="K480" s="112">
        <v>-80.746000000000009</v>
      </c>
      <c r="L480" s="112">
        <v>137.988</v>
      </c>
      <c r="M480" s="112">
        <v>-31.211999999999989</v>
      </c>
      <c r="N480" s="112">
        <v>142.84899999999999</v>
      </c>
      <c r="O480" s="112">
        <v>5.5959999999999877</v>
      </c>
      <c r="P480" s="112">
        <v>82.990000000000023</v>
      </c>
      <c r="Q480" s="112">
        <v>115.997</v>
      </c>
      <c r="R480" s="112">
        <v>85.786999999999978</v>
      </c>
      <c r="S480" s="112">
        <v>32.288999999999987</v>
      </c>
      <c r="T480" s="112">
        <v>196.714</v>
      </c>
      <c r="U480" s="112">
        <v>147.398</v>
      </c>
      <c r="V480" s="112">
        <v>118.06</v>
      </c>
      <c r="W480" s="112">
        <v>81.910000000000011</v>
      </c>
      <c r="X480" s="112">
        <v>189.47499999999999</v>
      </c>
      <c r="Y480" s="112">
        <v>168.49</v>
      </c>
      <c r="Z480" s="112">
        <v>81.879999999999967</v>
      </c>
      <c r="AA480" s="112">
        <v>130.881</v>
      </c>
      <c r="AB480" s="112">
        <v>112.654</v>
      </c>
      <c r="AC480" s="112">
        <v>150.774</v>
      </c>
      <c r="AD480" s="112">
        <v>160.197</v>
      </c>
      <c r="AE480" s="112">
        <v>184.69399999999999</v>
      </c>
      <c r="AF480" s="112">
        <v>198.64400000000001</v>
      </c>
      <c r="AG480" s="112">
        <v>261.21100000000001</v>
      </c>
      <c r="AH480" s="112">
        <v>166.14099999999999</v>
      </c>
      <c r="AI480" s="112">
        <v>194.273</v>
      </c>
      <c r="AJ480" s="112">
        <v>242.85799999999989</v>
      </c>
      <c r="AK480" s="112">
        <v>270.76199999999989</v>
      </c>
      <c r="AL480" s="112">
        <v>168.464</v>
      </c>
      <c r="AM480" s="112">
        <v>198.17099999999999</v>
      </c>
      <c r="AN480" s="112">
        <v>208.05</v>
      </c>
      <c r="AO480" s="112">
        <v>316.69200000000001</v>
      </c>
      <c r="AP480" s="112">
        <v>208.99100000000001</v>
      </c>
    </row>
    <row r="481" spans="1:42" ht="14.45" customHeight="1" x14ac:dyDescent="0.25">
      <c r="A481" s="265" t="s">
        <v>532</v>
      </c>
      <c r="B481" s="166"/>
      <c r="C481" s="168">
        <v>0.3234566573456657</v>
      </c>
      <c r="D481" s="168">
        <v>0.73785951031754504</v>
      </c>
      <c r="E481" s="168">
        <v>0.6271570619052711</v>
      </c>
      <c r="F481" s="168">
        <v>0.7438575858013472</v>
      </c>
      <c r="G481" s="168">
        <v>1.26120828415066</v>
      </c>
      <c r="H481" s="168">
        <v>0.64353531043311263</v>
      </c>
      <c r="I481" s="168">
        <v>0.64797311713249417</v>
      </c>
      <c r="J481" s="168">
        <v>0.93850010667804551</v>
      </c>
      <c r="K481" s="168">
        <v>0.17206638115631689</v>
      </c>
      <c r="L481" s="168">
        <v>0.59825742997648068</v>
      </c>
      <c r="M481" s="168">
        <v>0.98306220095693808</v>
      </c>
      <c r="N481" s="168">
        <v>0.55112251443232851</v>
      </c>
      <c r="O481" s="168">
        <v>0.59311965811965806</v>
      </c>
      <c r="P481" s="168">
        <v>1.089194353041079</v>
      </c>
      <c r="Q481" s="168">
        <v>0.90858387336662061</v>
      </c>
      <c r="R481" s="168">
        <v>0.75108289768483938</v>
      </c>
      <c r="S481" s="168">
        <v>0.70407666243117306</v>
      </c>
      <c r="T481" s="168">
        <v>1.2532521186440679</v>
      </c>
      <c r="U481" s="168">
        <v>1.2377200424178161</v>
      </c>
      <c r="V481" s="168">
        <v>1.2214354066985651</v>
      </c>
      <c r="W481" s="168">
        <v>1.378520565416091</v>
      </c>
      <c r="X481" s="168">
        <v>1.3309344105453389</v>
      </c>
      <c r="Y481" s="168">
        <v>1.508906366245085</v>
      </c>
      <c r="Z481" s="168">
        <v>1.086441580573011</v>
      </c>
      <c r="AA481" s="168">
        <v>1.7562792677735199</v>
      </c>
      <c r="AB481" s="168">
        <v>1.3338440259602089</v>
      </c>
      <c r="AC481" s="168">
        <v>1.769859664044227</v>
      </c>
      <c r="AD481" s="168">
        <v>1.8536897029070389</v>
      </c>
      <c r="AE481" s="168">
        <v>2.6255242150079829</v>
      </c>
      <c r="AF481" s="168">
        <v>1.965602383993188</v>
      </c>
      <c r="AG481" s="168">
        <v>2.20688664183076</v>
      </c>
      <c r="AH481" s="168">
        <v>1.8963022165387891</v>
      </c>
      <c r="AI481" s="168">
        <v>2.817598806860552</v>
      </c>
      <c r="AJ481" s="168">
        <v>2.1024460894753778</v>
      </c>
      <c r="AK481" s="168">
        <v>2.454662562699498</v>
      </c>
      <c r="AL481" s="168">
        <v>2.496386506575186</v>
      </c>
      <c r="AM481" s="168">
        <v>2.718244327297731</v>
      </c>
      <c r="AN481" s="168">
        <v>2.3048292162419539</v>
      </c>
      <c r="AO481" s="168">
        <v>3.0598653260769311</v>
      </c>
      <c r="AP481" s="168">
        <v>3.1479821227854199</v>
      </c>
    </row>
    <row r="482" spans="1:42" ht="14.45" customHeight="1" x14ac:dyDescent="0.25">
      <c r="A482" s="265" t="s">
        <v>533</v>
      </c>
      <c r="B482" s="166"/>
      <c r="C482" s="168">
        <v>-0.16365885136588509</v>
      </c>
      <c r="D482" s="168">
        <v>0.81699989308243326</v>
      </c>
      <c r="E482" s="168">
        <v>0.7155778894472361</v>
      </c>
      <c r="F482" s="168">
        <v>0.36212979792579919</v>
      </c>
      <c r="G482" s="168">
        <v>1.250327288335658</v>
      </c>
      <c r="H482" s="168">
        <v>0.66623639854917849</v>
      </c>
      <c r="I482" s="168">
        <v>0.25020268828675057</v>
      </c>
      <c r="J482" s="168">
        <v>1.124290590996373</v>
      </c>
      <c r="K482" s="168">
        <v>-0.86451820128479662</v>
      </c>
      <c r="L482" s="168">
        <v>1.47517639512508</v>
      </c>
      <c r="M482" s="168">
        <v>-0.33186602870813392</v>
      </c>
      <c r="N482" s="168">
        <v>1.5271434680350651</v>
      </c>
      <c r="O482" s="168">
        <v>5.978632478632466E-2</v>
      </c>
      <c r="P482" s="168">
        <v>0.88090436259420479</v>
      </c>
      <c r="Q482" s="168">
        <v>1.2323063847869971</v>
      </c>
      <c r="R482" s="168">
        <v>0.91525658807212196</v>
      </c>
      <c r="S482" s="168">
        <v>0.34189961880559072</v>
      </c>
      <c r="T482" s="168">
        <v>2.083834745762712</v>
      </c>
      <c r="U482" s="168">
        <v>1.563075291622481</v>
      </c>
      <c r="V482" s="168">
        <v>1.255289739500266</v>
      </c>
      <c r="W482" s="168">
        <v>0.87054947390796056</v>
      </c>
      <c r="X482" s="168">
        <v>2.014191559476985</v>
      </c>
      <c r="Y482" s="168">
        <v>1.7907322776065471</v>
      </c>
      <c r="Z482" s="168">
        <v>0.87208435403131301</v>
      </c>
      <c r="AA482" s="168">
        <v>1.39294380587484</v>
      </c>
      <c r="AB482" s="168">
        <v>1.19857431641664</v>
      </c>
      <c r="AC482" s="168">
        <v>1.602955560280672</v>
      </c>
      <c r="AD482" s="168">
        <v>1.7058566712810139</v>
      </c>
      <c r="AE482" s="168">
        <v>1.96587546567323</v>
      </c>
      <c r="AF482" s="168">
        <v>2.114133673903789</v>
      </c>
      <c r="AG482" s="168">
        <v>2.7803193187865891</v>
      </c>
      <c r="AH482" s="168">
        <v>1.770471014492754</v>
      </c>
      <c r="AI482" s="168">
        <v>2.0695962501331628</v>
      </c>
      <c r="AJ482" s="168">
        <v>2.6054929728569891</v>
      </c>
      <c r="AK482" s="168">
        <v>3.0866621067031459</v>
      </c>
      <c r="AL482" s="168">
        <v>1.926403659233848</v>
      </c>
      <c r="AM482" s="168">
        <v>2.271040568416228</v>
      </c>
      <c r="AN482" s="168">
        <v>2.387071606411419</v>
      </c>
      <c r="AO482" s="168">
        <v>3.651554284660087</v>
      </c>
      <c r="AP482" s="168">
        <v>2.7965396349622651</v>
      </c>
    </row>
    <row r="483" spans="1:42" ht="14.45" customHeight="1" x14ac:dyDescent="0.25">
      <c r="A483" s="237" t="s">
        <v>534</v>
      </c>
      <c r="B483" s="238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  <c r="AA483" s="239"/>
      <c r="AB483" s="239"/>
      <c r="AC483" s="239"/>
      <c r="AD483" s="239"/>
      <c r="AE483" s="239"/>
      <c r="AF483" s="239"/>
      <c r="AG483" s="239"/>
      <c r="AH483" s="239"/>
      <c r="AI483" s="239"/>
      <c r="AJ483" s="239"/>
      <c r="AK483" s="239"/>
      <c r="AL483" s="239"/>
      <c r="AM483" s="239"/>
      <c r="AN483" s="239"/>
      <c r="AO483" s="239"/>
      <c r="AP483" s="239"/>
    </row>
    <row r="484" spans="1:42" ht="14.45" customHeight="1" x14ac:dyDescent="0.25">
      <c r="A484" s="219" t="s">
        <v>89</v>
      </c>
      <c r="B484" s="211"/>
      <c r="C484" s="109">
        <v>-36.784999999999997</v>
      </c>
      <c r="D484" s="109">
        <v>-42.84</v>
      </c>
      <c r="E484" s="109">
        <v>-44.973999999999997</v>
      </c>
      <c r="F484" s="109">
        <v>-47.987000000000009</v>
      </c>
      <c r="G484" s="109">
        <v>-41.58</v>
      </c>
      <c r="H484" s="109">
        <v>-38.027000000000001</v>
      </c>
      <c r="I484" s="109">
        <v>-35.345999999999997</v>
      </c>
      <c r="J484" s="109">
        <v>-61.648000000000003</v>
      </c>
      <c r="K484" s="109">
        <v>-42.048000000000002</v>
      </c>
      <c r="L484" s="109">
        <v>-43.230999999999987</v>
      </c>
      <c r="M484" s="109">
        <v>-27.824999999999999</v>
      </c>
      <c r="N484" s="109">
        <v>-25.131000000000011</v>
      </c>
      <c r="O484" s="109">
        <v>-29.315000000000001</v>
      </c>
      <c r="P484" s="109">
        <v>-28.265999999999998</v>
      </c>
      <c r="Q484" s="109">
        <v>-39.165999999999997</v>
      </c>
      <c r="R484" s="109">
        <v>-74.626999999999995</v>
      </c>
      <c r="S484" s="109">
        <v>-33.093000000000004</v>
      </c>
      <c r="T484" s="109">
        <v>-39.792999999999992</v>
      </c>
      <c r="U484" s="109">
        <v>-37.831000000000003</v>
      </c>
      <c r="V484" s="109">
        <v>-91.316999999999993</v>
      </c>
      <c r="W484" s="109">
        <v>-37.204000000000001</v>
      </c>
      <c r="X484" s="109">
        <v>-43.104000000000013</v>
      </c>
      <c r="Y484" s="109">
        <v>-39.311999999999998</v>
      </c>
      <c r="Z484" s="109">
        <v>-36.073000000000008</v>
      </c>
      <c r="AA484" s="109">
        <v>-104.35299999999999</v>
      </c>
      <c r="AB484" s="109">
        <v>-40.828999999999994</v>
      </c>
      <c r="AC484" s="109">
        <v>-38.747000000000007</v>
      </c>
      <c r="AD484" s="109">
        <v>-114.682</v>
      </c>
      <c r="AE484" s="109">
        <v>-52.7</v>
      </c>
      <c r="AF484" s="109">
        <v>-40.192999999999998</v>
      </c>
      <c r="AG484" s="109">
        <v>-59.36699999999999</v>
      </c>
      <c r="AH484" s="109">
        <v>-130.04400000000001</v>
      </c>
      <c r="AI484" s="109">
        <v>-77.040000000000006</v>
      </c>
      <c r="AJ484" s="109">
        <v>-82.36</v>
      </c>
      <c r="AK484" s="109">
        <v>-127.93300000000001</v>
      </c>
      <c r="AL484" s="109">
        <v>-83.68199999999996</v>
      </c>
      <c r="AM484" s="109">
        <v>-97.866</v>
      </c>
      <c r="AN484" s="109">
        <v>-59.51700000000001</v>
      </c>
      <c r="AO484" s="109">
        <v>-52.61099999999999</v>
      </c>
      <c r="AP484" s="109">
        <v>-102.321</v>
      </c>
    </row>
    <row r="485" spans="1:42" ht="14.45" customHeight="1" x14ac:dyDescent="0.25">
      <c r="A485" s="220" t="s">
        <v>535</v>
      </c>
      <c r="B485" s="221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  <c r="AE485" s="222"/>
      <c r="AF485" s="222"/>
      <c r="AG485" s="222"/>
      <c r="AH485" s="222"/>
      <c r="AI485" s="222"/>
      <c r="AJ485" s="222"/>
      <c r="AK485" s="222"/>
      <c r="AL485" s="222"/>
      <c r="AM485" s="222"/>
      <c r="AN485" s="222"/>
      <c r="AO485" s="222"/>
      <c r="AP485" s="222"/>
    </row>
    <row r="486" spans="1:42" ht="14.45" customHeight="1" x14ac:dyDescent="0.25">
      <c r="A486" s="99" t="s">
        <v>90</v>
      </c>
      <c r="B486" s="180"/>
      <c r="C486" s="99">
        <v>-107.07</v>
      </c>
      <c r="D486" s="99">
        <v>-82.185000000000002</v>
      </c>
      <c r="E486" s="99">
        <v>-3.0020000000000051</v>
      </c>
      <c r="F486" s="99">
        <v>-101.80500000000001</v>
      </c>
      <c r="G486" s="99">
        <v>-140.09200000000001</v>
      </c>
      <c r="H486" s="99">
        <v>-95.22399999999999</v>
      </c>
      <c r="I486" s="99">
        <v>-62.577000000000019</v>
      </c>
      <c r="J486" s="99">
        <v>-6.9130000000000038</v>
      </c>
      <c r="K486" s="99">
        <v>-6.952</v>
      </c>
      <c r="L486" s="99">
        <v>-1.625</v>
      </c>
      <c r="M486" s="99">
        <v>-10.022</v>
      </c>
      <c r="N486" s="99">
        <v>-20.841999999999999</v>
      </c>
      <c r="O486" s="99">
        <v>-6.7229999999999999</v>
      </c>
      <c r="P486" s="99">
        <v>-6.5990000000000002</v>
      </c>
      <c r="Q486" s="99">
        <v>-7.1749999999999989</v>
      </c>
      <c r="R486" s="99">
        <v>-8.3979999999999997</v>
      </c>
      <c r="S486" s="99">
        <v>-11.345000000000001</v>
      </c>
      <c r="T486" s="99">
        <v>-10.768000000000001</v>
      </c>
      <c r="U486" s="99">
        <v>-11.656000000000001</v>
      </c>
      <c r="V486" s="99">
        <v>-11.401</v>
      </c>
      <c r="W486" s="99">
        <v>-10.56</v>
      </c>
      <c r="X486" s="99">
        <v>-11.084</v>
      </c>
      <c r="Y486" s="99">
        <v>-9.19</v>
      </c>
      <c r="Z486" s="99">
        <v>-10.794</v>
      </c>
      <c r="AA486" s="99">
        <v>-10.019</v>
      </c>
      <c r="AB486" s="99">
        <v>-10.228999999999999</v>
      </c>
      <c r="AC486" s="99">
        <v>-9.7109999999999985</v>
      </c>
      <c r="AD486" s="99">
        <v>-9.65</v>
      </c>
      <c r="AE486" s="99">
        <v>-6.4989999999999997</v>
      </c>
      <c r="AF486" s="99">
        <v>-12.91</v>
      </c>
      <c r="AG486" s="99">
        <v>-10.614000000000001</v>
      </c>
      <c r="AH486" s="99">
        <v>-11.926</v>
      </c>
      <c r="AI486" s="99">
        <v>-13.332000000000001</v>
      </c>
      <c r="AJ486" s="99">
        <v>-16.893000000000001</v>
      </c>
      <c r="AK486" s="99">
        <v>-23.812000000000001</v>
      </c>
      <c r="AL486" s="99">
        <v>-25.995000000000001</v>
      </c>
      <c r="AM486" s="99">
        <v>-24.402999999999999</v>
      </c>
      <c r="AN486" s="99">
        <v>-21.400000000000009</v>
      </c>
      <c r="AO486" s="99">
        <v>-20.545000000000002</v>
      </c>
      <c r="AP486" s="99">
        <v>-22.135999999999999</v>
      </c>
    </row>
    <row r="487" spans="1:42" ht="14.45" customHeight="1" x14ac:dyDescent="0.25">
      <c r="A487" s="99" t="s">
        <v>536</v>
      </c>
      <c r="B487" s="180"/>
      <c r="C487" s="99">
        <v>0.13100000000000001</v>
      </c>
      <c r="D487" s="99">
        <v>0.151</v>
      </c>
      <c r="E487" s="99">
        <v>5.1000000000000052E-2</v>
      </c>
      <c r="F487" s="99">
        <v>0.7390000000000001</v>
      </c>
      <c r="G487" s="99">
        <v>0.21099999999999999</v>
      </c>
      <c r="H487" s="99">
        <v>8.5730000000000004</v>
      </c>
      <c r="I487" s="99">
        <v>0.109</v>
      </c>
      <c r="J487" s="99">
        <v>0.115</v>
      </c>
      <c r="K487" s="99">
        <v>2.8940000000000001</v>
      </c>
      <c r="L487" s="99">
        <v>3.9420000000000002</v>
      </c>
      <c r="M487" s="99">
        <v>0.50800000000000001</v>
      </c>
      <c r="N487" s="99">
        <v>1.704</v>
      </c>
      <c r="O487" s="99">
        <v>0.68100000000000005</v>
      </c>
      <c r="P487" s="99">
        <v>0.1419999999999999</v>
      </c>
      <c r="Q487" s="99">
        <v>0.2050000000000001</v>
      </c>
      <c r="R487" s="99">
        <v>3.036</v>
      </c>
      <c r="S487" s="99">
        <v>1.6579999999999999</v>
      </c>
      <c r="T487" s="99">
        <v>0.10600000000000009</v>
      </c>
      <c r="U487" s="99">
        <v>0.63299999999999979</v>
      </c>
      <c r="V487" s="99">
        <v>0.98799999999999999</v>
      </c>
      <c r="W487" s="99">
        <v>7.3999999999999996E-2</v>
      </c>
      <c r="X487" s="99">
        <v>1.6040000000000001</v>
      </c>
      <c r="Y487" s="99">
        <v>2.5369999999999999</v>
      </c>
      <c r="Z487" s="99">
        <v>1.0589999999999999</v>
      </c>
      <c r="AA487" s="99">
        <v>2.1779999999999999</v>
      </c>
      <c r="AB487" s="99">
        <v>3.077</v>
      </c>
      <c r="AC487" s="99">
        <v>9.2999999999999972E-2</v>
      </c>
      <c r="AD487" s="99">
        <v>2.0209999999999999</v>
      </c>
      <c r="AE487" s="99">
        <v>0.158</v>
      </c>
      <c r="AF487" s="99">
        <v>0.109</v>
      </c>
      <c r="AG487" s="99">
        <v>0.17399999999999999</v>
      </c>
      <c r="AH487" s="99">
        <v>0.25399999999999989</v>
      </c>
      <c r="AI487" s="99">
        <v>0.1</v>
      </c>
      <c r="AJ487" s="99">
        <v>0.15</v>
      </c>
      <c r="AK487" s="99">
        <v>0.17499999999999999</v>
      </c>
      <c r="AL487" s="99">
        <v>0.14399999999999999</v>
      </c>
      <c r="AM487" s="99">
        <v>0.157</v>
      </c>
      <c r="AN487" s="99">
        <v>6.12</v>
      </c>
      <c r="AO487" s="99">
        <v>0.10799999999999969</v>
      </c>
      <c r="AP487" s="99">
        <v>0.20900000000000049</v>
      </c>
    </row>
    <row r="488" spans="1:42" ht="14.45" customHeight="1" x14ac:dyDescent="0.25">
      <c r="A488" s="99" t="s">
        <v>537</v>
      </c>
      <c r="B488" s="180"/>
      <c r="C488" s="99">
        <v>-2.323</v>
      </c>
      <c r="D488" s="99">
        <v>-2.3290000000000002</v>
      </c>
      <c r="E488" s="99">
        <v>-2.3279999999999998</v>
      </c>
      <c r="F488" s="99">
        <v>-2.327</v>
      </c>
      <c r="G488" s="99">
        <v>-2.3279999999999998</v>
      </c>
      <c r="H488" s="99">
        <v>-2.3340000000000001</v>
      </c>
      <c r="I488" s="99">
        <v>-2.3330000000000002</v>
      </c>
      <c r="J488" s="99">
        <v>-2.3329999999999989</v>
      </c>
      <c r="K488" s="99">
        <v>-2.3330000000000002</v>
      </c>
      <c r="L488" s="99">
        <v>-2.3380000000000001</v>
      </c>
      <c r="M488" s="99">
        <v>-2.343</v>
      </c>
      <c r="N488" s="99">
        <v>-2.339</v>
      </c>
      <c r="O488" s="99">
        <v>-2.339</v>
      </c>
      <c r="P488" s="99">
        <v>-2.343</v>
      </c>
      <c r="Q488" s="99">
        <v>-2.343999999999999</v>
      </c>
      <c r="R488" s="99">
        <v>-2.343</v>
      </c>
      <c r="S488" s="99">
        <v>-2.3439999999999999</v>
      </c>
      <c r="T488" s="99">
        <v>-2.3420000000000001</v>
      </c>
      <c r="U488" s="99">
        <v>-2.3439999999999999</v>
      </c>
      <c r="V488" s="99">
        <v>-2.3439999999999999</v>
      </c>
      <c r="W488" s="99">
        <v>-2.343</v>
      </c>
      <c r="X488" s="99">
        <v>-2.3439999999999999</v>
      </c>
      <c r="Y488" s="99">
        <v>-2.343</v>
      </c>
      <c r="Z488" s="99">
        <v>-2.3439999999999999</v>
      </c>
      <c r="AA488" s="99">
        <v>-2.3439999999999999</v>
      </c>
      <c r="AB488" s="99">
        <v>-2.343</v>
      </c>
      <c r="AC488" s="99">
        <v>-2.343</v>
      </c>
      <c r="AD488" s="99">
        <v>-2.3439999999999999</v>
      </c>
      <c r="AE488" s="99">
        <v>-32.808</v>
      </c>
      <c r="AF488" s="99">
        <v>-4.6869999999999976</v>
      </c>
      <c r="AG488" s="99">
        <v>-4.6870000000000047</v>
      </c>
      <c r="AH488" s="99">
        <v>-4.6859999999999999</v>
      </c>
      <c r="AI488" s="99">
        <v>-154.666</v>
      </c>
      <c r="AJ488" s="99">
        <v>-4.6870000000000118</v>
      </c>
      <c r="AK488" s="99">
        <v>-4.3799999999999946</v>
      </c>
      <c r="AL488" s="99">
        <v>-21.90199999999999</v>
      </c>
      <c r="AM488" s="99">
        <v>-21.794</v>
      </c>
      <c r="AN488" s="99">
        <v>-21.795000000000002</v>
      </c>
      <c r="AO488" s="99">
        <v>-21.721</v>
      </c>
      <c r="AP488" s="99">
        <v>-21.363</v>
      </c>
    </row>
    <row r="489" spans="1:42" ht="14.45" customHeight="1" x14ac:dyDescent="0.25">
      <c r="A489" s="266" t="s">
        <v>538</v>
      </c>
      <c r="B489" s="267"/>
      <c r="C489" s="268">
        <v>2.5000000000000001E-2</v>
      </c>
      <c r="D489" s="268">
        <v>2.5000000000000001E-2</v>
      </c>
      <c r="E489" s="268">
        <v>2.5000000000000001E-2</v>
      </c>
      <c r="F489" s="268">
        <v>2.5000000000000001E-2</v>
      </c>
      <c r="G489" s="268">
        <v>2.5000000000000001E-2</v>
      </c>
      <c r="H489" s="268">
        <v>2.5000000000000001E-2</v>
      </c>
      <c r="I489" s="268">
        <v>2.5000000000000001E-2</v>
      </c>
      <c r="J489" s="268">
        <v>2.5000000000000001E-2</v>
      </c>
      <c r="K489" s="268">
        <v>2.5000000000000001E-2</v>
      </c>
      <c r="L489" s="268">
        <v>2.5000000000000001E-2</v>
      </c>
      <c r="M489" s="268">
        <v>2.5000000000000001E-2</v>
      </c>
      <c r="N489" s="268">
        <v>2.5000000000000001E-2</v>
      </c>
      <c r="O489" s="268">
        <v>2.5000000000000001E-2</v>
      </c>
      <c r="P489" s="268">
        <v>2.5000000000000001E-2</v>
      </c>
      <c r="Q489" s="268">
        <v>2.5000000000000001E-2</v>
      </c>
      <c r="R489" s="268">
        <v>2.5000000000000001E-2</v>
      </c>
      <c r="S489" s="268">
        <v>2.5000000000000001E-2</v>
      </c>
      <c r="T489" s="268">
        <v>2.5000000000000001E-2</v>
      </c>
      <c r="U489" s="268">
        <v>2.5000000000000001E-2</v>
      </c>
      <c r="V489" s="268">
        <v>2.5000000000000001E-2</v>
      </c>
      <c r="W489" s="268">
        <v>2.5000000000000001E-2</v>
      </c>
      <c r="X489" s="268">
        <v>2.5000000000000001E-2</v>
      </c>
      <c r="Y489" s="268">
        <v>2.5000000000000001E-2</v>
      </c>
      <c r="Z489" s="268">
        <v>2.5000000000000001E-2</v>
      </c>
      <c r="AA489" s="268">
        <v>2.5000000000000001E-2</v>
      </c>
      <c r="AB489" s="268">
        <v>2.5000000000000001E-2</v>
      </c>
      <c r="AC489" s="268">
        <v>2.5000000000000001E-2</v>
      </c>
      <c r="AD489" s="268">
        <v>2.5000000000000001E-2</v>
      </c>
      <c r="AE489" s="268">
        <v>0.35</v>
      </c>
      <c r="AF489" s="268">
        <v>0.05</v>
      </c>
      <c r="AG489" s="268">
        <v>0.05</v>
      </c>
      <c r="AH489" s="268">
        <v>0.05</v>
      </c>
      <c r="AI489" s="268">
        <v>1.65</v>
      </c>
      <c r="AJ489" s="268">
        <v>0.05</v>
      </c>
      <c r="AK489" s="268">
        <v>0.05</v>
      </c>
      <c r="AL489" s="268">
        <v>0.25</v>
      </c>
      <c r="AM489" s="268">
        <v>0.25</v>
      </c>
      <c r="AN489" s="268">
        <v>0.25</v>
      </c>
      <c r="AO489" s="268">
        <v>0.25</v>
      </c>
      <c r="AP489" s="268">
        <v>0.25</v>
      </c>
    </row>
    <row r="490" spans="1:42" ht="14.45" customHeight="1" x14ac:dyDescent="0.25">
      <c r="A490" s="269"/>
      <c r="B490" s="267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  <c r="AA490" s="270"/>
      <c r="AB490" s="270"/>
      <c r="AC490" s="270"/>
      <c r="AD490" s="270"/>
      <c r="AE490" s="270"/>
      <c r="AF490" s="270"/>
      <c r="AG490" s="270"/>
      <c r="AH490" s="270"/>
      <c r="AI490" s="270"/>
      <c r="AJ490" s="270"/>
      <c r="AK490" s="270"/>
      <c r="AL490" s="270"/>
      <c r="AM490" s="270"/>
      <c r="AN490" s="270"/>
      <c r="AO490" s="270"/>
      <c r="AP490" s="270"/>
    </row>
    <row r="491" spans="1:42" ht="14.45" customHeight="1" x14ac:dyDescent="0.25">
      <c r="A491" s="266" t="s">
        <v>539</v>
      </c>
      <c r="B491" s="267"/>
      <c r="C491" s="99">
        <v>138.274</v>
      </c>
      <c r="D491" s="99">
        <v>68.480999999999995</v>
      </c>
      <c r="E491" s="99">
        <v>-11.791</v>
      </c>
      <c r="F491" s="99">
        <v>85.215999999999994</v>
      </c>
      <c r="G491" s="99">
        <v>93.171999999999997</v>
      </c>
      <c r="H491" s="99">
        <v>76.132999999999996</v>
      </c>
      <c r="I491" s="99">
        <v>45.100999999999999</v>
      </c>
      <c r="J491" s="99">
        <v>-41.890999999999998</v>
      </c>
      <c r="K491" s="99">
        <v>120.762</v>
      </c>
      <c r="L491" s="99">
        <v>-83.491</v>
      </c>
      <c r="M491" s="99">
        <v>60.507000000000012</v>
      </c>
      <c r="N491" s="99">
        <v>-92.03</v>
      </c>
      <c r="O491" s="99">
        <v>31.702999999999999</v>
      </c>
      <c r="P491" s="99">
        <v>-48.728999999999999</v>
      </c>
      <c r="Q491" s="99">
        <v>-67.220000000000013</v>
      </c>
      <c r="R491" s="99">
        <v>0.16999999999999901</v>
      </c>
      <c r="S491" s="99">
        <v>50.969000000000001</v>
      </c>
      <c r="T491" s="99">
        <v>-114.11499999999999</v>
      </c>
      <c r="U491" s="99">
        <v>-8.9269999999999996</v>
      </c>
      <c r="V491" s="99">
        <v>-24.015999999999998</v>
      </c>
      <c r="W491" s="99">
        <v>-32.844000000000001</v>
      </c>
      <c r="X491" s="99">
        <v>-132.17099999999999</v>
      </c>
      <c r="Y491" s="99">
        <v>12.492000000000001</v>
      </c>
      <c r="Z491" s="99">
        <v>-71.296999999999997</v>
      </c>
      <c r="AA491" s="99">
        <v>-1.423</v>
      </c>
      <c r="AB491" s="99">
        <v>-0.61199999999999988</v>
      </c>
      <c r="AC491" s="99">
        <v>-125.625</v>
      </c>
      <c r="AD491" s="99">
        <v>-0.63800000000000012</v>
      </c>
      <c r="AE491" s="99">
        <v>-0.71200000000000008</v>
      </c>
      <c r="AF491" s="99">
        <v>-0.57199999999999984</v>
      </c>
      <c r="AG491" s="99">
        <v>-0.67200000000000004</v>
      </c>
      <c r="AH491" s="99">
        <v>-0.68700000000000006</v>
      </c>
      <c r="AI491" s="99">
        <v>-0.65400000000000003</v>
      </c>
      <c r="AJ491" s="99">
        <v>1187.221</v>
      </c>
      <c r="AK491" s="99">
        <v>-3.78</v>
      </c>
      <c r="AL491" s="99">
        <v>-0.78700000000000014</v>
      </c>
      <c r="AM491" s="99">
        <v>-0.88200000000000001</v>
      </c>
      <c r="AN491" s="99">
        <v>-0.67100000000000004</v>
      </c>
      <c r="AO491" s="99">
        <v>-0.38900000000000001</v>
      </c>
      <c r="AP491" s="99">
        <v>996.73700000000008</v>
      </c>
    </row>
    <row r="492" spans="1:42" ht="14.45" customHeight="1" x14ac:dyDescent="0.25">
      <c r="A492" s="266" t="s">
        <v>540</v>
      </c>
      <c r="B492" s="267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Z492" s="99">
        <v>0</v>
      </c>
      <c r="AA492" s="99">
        <v>0</v>
      </c>
      <c r="AB492" s="99">
        <v>0</v>
      </c>
      <c r="AC492" s="99">
        <v>0</v>
      </c>
      <c r="AD492" s="99">
        <v>0</v>
      </c>
      <c r="AE492" s="99">
        <v>0</v>
      </c>
      <c r="AF492" s="99">
        <v>0</v>
      </c>
      <c r="AG492" s="99">
        <v>0</v>
      </c>
      <c r="AH492" s="99">
        <v>0</v>
      </c>
      <c r="AI492" s="99">
        <v>0</v>
      </c>
      <c r="AJ492" s="99">
        <v>-14.471</v>
      </c>
      <c r="AK492" s="99">
        <v>-559.53800000000001</v>
      </c>
      <c r="AL492" s="99">
        <v>-51.644999999999982</v>
      </c>
      <c r="AM492" s="99">
        <v>0</v>
      </c>
      <c r="AN492" s="99">
        <v>-34.409999999999997</v>
      </c>
      <c r="AO492" s="99">
        <v>-111.288</v>
      </c>
      <c r="AP492" s="99">
        <v>-2460.3330000000001</v>
      </c>
    </row>
    <row r="493" spans="1:42" ht="14.45" customHeight="1" x14ac:dyDescent="0.25">
      <c r="A493" s="271" t="s">
        <v>541</v>
      </c>
      <c r="B493" s="272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  <c r="AD493" s="168"/>
      <c r="AE493" s="168"/>
      <c r="AF493" s="168"/>
      <c r="AG493" s="168"/>
      <c r="AH493" s="168"/>
      <c r="AI493" s="168"/>
      <c r="AJ493" s="168"/>
      <c r="AK493" s="168"/>
      <c r="AL493" s="168"/>
      <c r="AM493" s="168"/>
      <c r="AN493" s="168"/>
      <c r="AO493" s="168"/>
      <c r="AP493" s="168"/>
    </row>
    <row r="494" spans="1:42" ht="14.45" customHeight="1" x14ac:dyDescent="0.25">
      <c r="A494" s="220"/>
      <c r="B494" s="221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  <c r="AE494" s="222"/>
      <c r="AF494" s="222"/>
      <c r="AG494" s="222"/>
      <c r="AH494" s="222"/>
      <c r="AI494" s="222"/>
      <c r="AJ494" s="222"/>
      <c r="AK494" s="222"/>
      <c r="AL494" s="222"/>
      <c r="AM494" s="222"/>
      <c r="AN494" s="222"/>
      <c r="AO494" s="222"/>
      <c r="AP494" s="222"/>
    </row>
    <row r="495" spans="1:42" ht="14.45" customHeight="1" x14ac:dyDescent="0.25">
      <c r="A495" s="63" t="s">
        <v>542</v>
      </c>
      <c r="B495" s="180"/>
      <c r="C495" s="63">
        <v>-6.7099999999999973</v>
      </c>
      <c r="D495" s="63">
        <v>26.171999999999979</v>
      </c>
      <c r="E495" s="63">
        <v>13.683999999999999</v>
      </c>
      <c r="F495" s="63">
        <v>21.585999999999999</v>
      </c>
      <c r="G495" s="63">
        <v>75.952000000000012</v>
      </c>
      <c r="H495" s="63">
        <v>22.297999999999991</v>
      </c>
      <c r="I495" s="63">
        <v>25.395</v>
      </c>
      <c r="J495" s="63">
        <v>26.327000000000002</v>
      </c>
      <c r="K495" s="63">
        <v>-25.977</v>
      </c>
      <c r="L495" s="63">
        <v>12.73</v>
      </c>
      <c r="M495" s="63">
        <v>64.632000000000019</v>
      </c>
      <c r="N495" s="63">
        <v>26.420999999999989</v>
      </c>
      <c r="O495" s="63">
        <v>26.20099999999999</v>
      </c>
      <c r="P495" s="63">
        <v>74.347000000000023</v>
      </c>
      <c r="Q495" s="63">
        <v>46.358999999999988</v>
      </c>
      <c r="R495" s="63">
        <v>-4.2280000000000086</v>
      </c>
      <c r="S495" s="63">
        <v>33.399999999999991</v>
      </c>
      <c r="T495" s="63">
        <v>78.51400000000001</v>
      </c>
      <c r="U495" s="63">
        <v>78.88600000000001</v>
      </c>
      <c r="V495" s="63">
        <v>23.55900000000004</v>
      </c>
      <c r="W495" s="63">
        <v>92.501000000000005</v>
      </c>
      <c r="X495" s="63">
        <v>82.097000000000008</v>
      </c>
      <c r="Y495" s="63">
        <v>102.661</v>
      </c>
      <c r="Z495" s="63">
        <v>65.932999999999979</v>
      </c>
      <c r="AA495" s="63">
        <v>60.666999999999987</v>
      </c>
      <c r="AB495" s="63">
        <v>84.539000000000016</v>
      </c>
      <c r="AC495" s="63">
        <v>127.726</v>
      </c>
      <c r="AD495" s="63">
        <v>59.398000000000017</v>
      </c>
      <c r="AE495" s="63">
        <v>193.96799999999999</v>
      </c>
      <c r="AF495" s="63">
        <v>144.495</v>
      </c>
      <c r="AG495" s="63">
        <v>147.96999999999991</v>
      </c>
      <c r="AH495" s="63">
        <v>47.90500000000003</v>
      </c>
      <c r="AI495" s="63">
        <v>187.44800000000001</v>
      </c>
      <c r="AJ495" s="63">
        <v>113.6089999999999</v>
      </c>
      <c r="AK495" s="63">
        <v>87.389999999999958</v>
      </c>
      <c r="AL495" s="63">
        <v>134.62700000000001</v>
      </c>
      <c r="AM495" s="63">
        <v>139.328</v>
      </c>
      <c r="AN495" s="63">
        <v>141.36500000000001</v>
      </c>
      <c r="AO495" s="63">
        <v>212.76499999999999</v>
      </c>
      <c r="AP495" s="63">
        <v>132.934</v>
      </c>
    </row>
    <row r="496" spans="1:42" ht="14.45" customHeight="1" x14ac:dyDescent="0.25">
      <c r="A496" s="63" t="s">
        <v>543</v>
      </c>
      <c r="B496" s="180"/>
      <c r="C496" s="63">
        <v>-9.0329999999999977</v>
      </c>
      <c r="D496" s="63">
        <v>23.842999999999979</v>
      </c>
      <c r="E496" s="63">
        <v>11.356000000000011</v>
      </c>
      <c r="F496" s="63">
        <v>19.259</v>
      </c>
      <c r="G496" s="63">
        <v>73.624000000000009</v>
      </c>
      <c r="H496" s="63">
        <v>19.963999999999992</v>
      </c>
      <c r="I496" s="63">
        <v>23.062000000000001</v>
      </c>
      <c r="J496" s="63">
        <v>23.994</v>
      </c>
      <c r="K496" s="63">
        <v>-28.31</v>
      </c>
      <c r="L496" s="63">
        <v>10.391999999999999</v>
      </c>
      <c r="M496" s="63">
        <v>62.289000000000023</v>
      </c>
      <c r="N496" s="63">
        <v>24.08199999999999</v>
      </c>
      <c r="O496" s="63">
        <v>23.861999999999991</v>
      </c>
      <c r="P496" s="63">
        <v>72.004000000000019</v>
      </c>
      <c r="Q496" s="63">
        <v>44.014999999999993</v>
      </c>
      <c r="R496" s="63">
        <v>-6.5710000000000086</v>
      </c>
      <c r="S496" s="63">
        <v>31.05599999999999</v>
      </c>
      <c r="T496" s="63">
        <v>76.172000000000011</v>
      </c>
      <c r="U496" s="63">
        <v>76.542000000000016</v>
      </c>
      <c r="V496" s="63">
        <v>21.215000000000039</v>
      </c>
      <c r="W496" s="63">
        <v>90.158000000000001</v>
      </c>
      <c r="X496" s="63">
        <v>79.753000000000014</v>
      </c>
      <c r="Y496" s="63">
        <v>100.318</v>
      </c>
      <c r="Z496" s="63">
        <v>63.588999999999977</v>
      </c>
      <c r="AA496" s="63">
        <v>58.322999999999993</v>
      </c>
      <c r="AB496" s="63">
        <v>82.196000000000012</v>
      </c>
      <c r="AC496" s="63">
        <v>125.383</v>
      </c>
      <c r="AD496" s="63">
        <v>57.054000000000023</v>
      </c>
      <c r="AE496" s="63">
        <v>161.16</v>
      </c>
      <c r="AF496" s="63">
        <v>139.80799999999999</v>
      </c>
      <c r="AG496" s="63">
        <v>143.2829999999999</v>
      </c>
      <c r="AH496" s="63">
        <v>43.21900000000003</v>
      </c>
      <c r="AI496" s="63">
        <v>32.781999999999982</v>
      </c>
      <c r="AJ496" s="63">
        <v>108.9219999999999</v>
      </c>
      <c r="AK496" s="63">
        <v>83.009999999999962</v>
      </c>
      <c r="AL496" s="63">
        <v>112.72499999999999</v>
      </c>
      <c r="AM496" s="63">
        <v>117.53400000000001</v>
      </c>
      <c r="AN496" s="63">
        <v>119.57</v>
      </c>
      <c r="AO496" s="63">
        <v>191.04400000000001</v>
      </c>
      <c r="AP496" s="63">
        <v>111.571</v>
      </c>
    </row>
    <row r="497" spans="1:42" ht="14.45" customHeight="1" x14ac:dyDescent="0.25">
      <c r="A497" s="63" t="s">
        <v>544</v>
      </c>
      <c r="B497" s="180"/>
      <c r="C497" s="63">
        <v>-115.97199999999999</v>
      </c>
      <c r="D497" s="63">
        <v>-58.191000000000017</v>
      </c>
      <c r="E497" s="63">
        <v>8.4049999999999994</v>
      </c>
      <c r="F497" s="63">
        <v>-81.807000000000002</v>
      </c>
      <c r="G497" s="63">
        <v>-66.256999999999977</v>
      </c>
      <c r="H497" s="63">
        <v>-66.687000000000012</v>
      </c>
      <c r="I497" s="63">
        <v>-39.406000000000013</v>
      </c>
      <c r="J497" s="63">
        <v>17.195999999999991</v>
      </c>
      <c r="K497" s="63">
        <v>-32.368000000000002</v>
      </c>
      <c r="L497" s="63">
        <v>12.709</v>
      </c>
      <c r="M497" s="63">
        <v>52.775000000000013</v>
      </c>
      <c r="N497" s="63">
        <v>4.9439999999999964</v>
      </c>
      <c r="O497" s="63">
        <v>17.81999999999999</v>
      </c>
      <c r="P497" s="63">
        <v>65.547000000000011</v>
      </c>
      <c r="Q497" s="63">
        <v>37.044999999999987</v>
      </c>
      <c r="R497" s="63">
        <v>-11.93300000000001</v>
      </c>
      <c r="S497" s="63">
        <v>21.368999999999989</v>
      </c>
      <c r="T497" s="63">
        <v>65.510000000000005</v>
      </c>
      <c r="U497" s="63">
        <v>65.519000000000005</v>
      </c>
      <c r="V497" s="63">
        <v>10.80200000000004</v>
      </c>
      <c r="W497" s="63">
        <v>79.671999999999997</v>
      </c>
      <c r="X497" s="63">
        <v>70.27300000000001</v>
      </c>
      <c r="Y497" s="63">
        <v>93.66500000000002</v>
      </c>
      <c r="Z497" s="63">
        <v>53.853999999999971</v>
      </c>
      <c r="AA497" s="63">
        <v>50.481999999999992</v>
      </c>
      <c r="AB497" s="63">
        <v>75.044000000000011</v>
      </c>
      <c r="AC497" s="63">
        <v>115.765</v>
      </c>
      <c r="AD497" s="63">
        <v>49.425000000000033</v>
      </c>
      <c r="AE497" s="63">
        <v>154.81899999999999</v>
      </c>
      <c r="AF497" s="63">
        <v>127.00700000000001</v>
      </c>
      <c r="AG497" s="63">
        <v>132.8429999999999</v>
      </c>
      <c r="AH497" s="63">
        <v>31.547000000000029</v>
      </c>
      <c r="AI497" s="63">
        <v>19.549999999999979</v>
      </c>
      <c r="AJ497" s="63">
        <v>92.178999999999931</v>
      </c>
      <c r="AK497" s="63">
        <v>59.372999999999948</v>
      </c>
      <c r="AL497" s="63">
        <v>86.874000000000024</v>
      </c>
      <c r="AM497" s="63">
        <v>93.288000000000025</v>
      </c>
      <c r="AN497" s="63">
        <v>104.29</v>
      </c>
      <c r="AO497" s="63">
        <v>170.607</v>
      </c>
      <c r="AP497" s="63">
        <v>89.644000000000005</v>
      </c>
    </row>
    <row r="498" spans="1:42" ht="14.45" customHeight="1" x14ac:dyDescent="0.25">
      <c r="A498" s="112" t="s">
        <v>545</v>
      </c>
      <c r="B498" s="211"/>
      <c r="C498" s="112">
        <v>22.30200000000001</v>
      </c>
      <c r="D498" s="112">
        <v>10.28999999999998</v>
      </c>
      <c r="E498" s="112">
        <v>-3.386000000000001</v>
      </c>
      <c r="F498" s="112">
        <v>3.4089999999999918</v>
      </c>
      <c r="G498" s="112">
        <v>26.91500000000002</v>
      </c>
      <c r="H498" s="112">
        <v>9.4459999999999837</v>
      </c>
      <c r="I498" s="112">
        <v>5.6949999999999861</v>
      </c>
      <c r="J498" s="112">
        <v>-24.695</v>
      </c>
      <c r="K498" s="112">
        <v>88.394000000000005</v>
      </c>
      <c r="L498" s="112">
        <v>-70.781999999999996</v>
      </c>
      <c r="M498" s="112">
        <v>113.282</v>
      </c>
      <c r="N498" s="112">
        <v>-87.086000000000013</v>
      </c>
      <c r="O498" s="112">
        <v>49.523000000000003</v>
      </c>
      <c r="P498" s="112">
        <v>16.818000000000008</v>
      </c>
      <c r="Q498" s="112">
        <v>-30.175000000000018</v>
      </c>
      <c r="R498" s="112">
        <v>-11.763000000000011</v>
      </c>
      <c r="S498" s="112">
        <v>72.337999999999994</v>
      </c>
      <c r="T498" s="112">
        <v>-48.604999999999997</v>
      </c>
      <c r="U498" s="112">
        <v>56.592000000000013</v>
      </c>
      <c r="V498" s="112">
        <v>-13.21399999999996</v>
      </c>
      <c r="W498" s="112">
        <v>46.828000000000003</v>
      </c>
      <c r="X498" s="112">
        <v>-61.897999999999982</v>
      </c>
      <c r="Y498" s="112">
        <v>106.157</v>
      </c>
      <c r="Z498" s="112">
        <v>-17.44300000000003</v>
      </c>
      <c r="AA498" s="112">
        <v>49.058999999999983</v>
      </c>
      <c r="AB498" s="112">
        <v>74.432000000000016</v>
      </c>
      <c r="AC498" s="112">
        <v>-9.859999999999971</v>
      </c>
      <c r="AD498" s="112">
        <v>48.787000000000027</v>
      </c>
      <c r="AE498" s="112">
        <v>154.107</v>
      </c>
      <c r="AF498" s="112">
        <v>126.435</v>
      </c>
      <c r="AG498" s="112">
        <v>132.17099999999991</v>
      </c>
      <c r="AH498" s="112">
        <v>30.860000000000031</v>
      </c>
      <c r="AI498" s="112">
        <v>18.895999999999979</v>
      </c>
      <c r="AJ498" s="112">
        <v>1264.9290000000001</v>
      </c>
      <c r="AK498" s="112">
        <v>-503.94500000000011</v>
      </c>
      <c r="AL498" s="112">
        <v>34.442000000000043</v>
      </c>
      <c r="AM498" s="112">
        <v>92.40600000000002</v>
      </c>
      <c r="AN498" s="112">
        <v>69.209000000000003</v>
      </c>
      <c r="AO498" s="112">
        <v>58.930000000000007</v>
      </c>
      <c r="AP498" s="112">
        <v>-1373.952</v>
      </c>
    </row>
    <row r="499" spans="1:42" ht="14.45" customHeight="1" x14ac:dyDescent="0.25">
      <c r="A499" s="63" t="s">
        <v>546</v>
      </c>
      <c r="B499" s="180"/>
      <c r="C499" s="63">
        <v>-52.002000000000002</v>
      </c>
      <c r="D499" s="63">
        <v>33.573999999999977</v>
      </c>
      <c r="E499" s="63">
        <v>21.95399999999999</v>
      </c>
      <c r="F499" s="63">
        <v>-14.117000000000001</v>
      </c>
      <c r="G499" s="63">
        <v>74.938000000000002</v>
      </c>
      <c r="H499" s="63">
        <v>24.425999999999991</v>
      </c>
      <c r="I499" s="63">
        <v>-11.891999999999999</v>
      </c>
      <c r="J499" s="63">
        <v>43.742999999999988</v>
      </c>
      <c r="K499" s="63">
        <v>-122.794</v>
      </c>
      <c r="L499" s="63">
        <v>94.757000000000005</v>
      </c>
      <c r="M499" s="63">
        <v>-59.036999999999992</v>
      </c>
      <c r="N499" s="63">
        <v>117.718</v>
      </c>
      <c r="O499" s="63">
        <v>-23.719000000000019</v>
      </c>
      <c r="P499" s="63">
        <v>54.724000000000018</v>
      </c>
      <c r="Q499" s="63">
        <v>76.830999999999989</v>
      </c>
      <c r="R499" s="63">
        <v>11.159999999999981</v>
      </c>
      <c r="S499" s="63">
        <v>-0.80400000000000915</v>
      </c>
      <c r="T499" s="63">
        <v>156.92099999999999</v>
      </c>
      <c r="U499" s="63">
        <v>109.56699999999999</v>
      </c>
      <c r="V499" s="63">
        <v>26.74300000000002</v>
      </c>
      <c r="W499" s="63">
        <v>44.70600000000001</v>
      </c>
      <c r="X499" s="63">
        <v>146.37100000000001</v>
      </c>
      <c r="Y499" s="63">
        <v>129.178</v>
      </c>
      <c r="Z499" s="63">
        <v>45.80699999999996</v>
      </c>
      <c r="AA499" s="63">
        <v>26.527999999999981</v>
      </c>
      <c r="AB499" s="63">
        <v>71.825000000000017</v>
      </c>
      <c r="AC499" s="63">
        <v>112.027</v>
      </c>
      <c r="AD499" s="63">
        <v>45.515000000000008</v>
      </c>
      <c r="AE499" s="63">
        <v>131.994</v>
      </c>
      <c r="AF499" s="63">
        <v>158.45099999999999</v>
      </c>
      <c r="AG499" s="63">
        <v>201.84399999999999</v>
      </c>
      <c r="AH499" s="63">
        <v>36.097000000000037</v>
      </c>
      <c r="AI499" s="63">
        <v>117.233</v>
      </c>
      <c r="AJ499" s="63">
        <v>160.49799999999991</v>
      </c>
      <c r="AK499" s="63">
        <v>142.82899999999989</v>
      </c>
      <c r="AL499" s="63">
        <v>84.782000000000011</v>
      </c>
      <c r="AM499" s="63">
        <v>100.30500000000001</v>
      </c>
      <c r="AN499" s="63">
        <v>148.53299999999999</v>
      </c>
      <c r="AO499" s="63">
        <v>264.08100000000002</v>
      </c>
      <c r="AP499" s="63">
        <v>106.67</v>
      </c>
    </row>
    <row r="500" spans="1:42" ht="14.45" customHeight="1" x14ac:dyDescent="0.25">
      <c r="A500" s="63" t="s">
        <v>547</v>
      </c>
      <c r="B500" s="180"/>
      <c r="C500" s="63">
        <v>-54.325000000000003</v>
      </c>
      <c r="D500" s="63">
        <v>31.24499999999998</v>
      </c>
      <c r="E500" s="63">
        <v>19.625999999999991</v>
      </c>
      <c r="F500" s="63">
        <v>-16.443999999999999</v>
      </c>
      <c r="G500" s="63">
        <v>72.61</v>
      </c>
      <c r="H500" s="63">
        <v>22.091999999999999</v>
      </c>
      <c r="I500" s="63">
        <v>-14.225</v>
      </c>
      <c r="J500" s="63">
        <v>41.41</v>
      </c>
      <c r="K500" s="63">
        <v>-125.127</v>
      </c>
      <c r="L500" s="63">
        <v>92.419000000000011</v>
      </c>
      <c r="M500" s="63">
        <v>-61.38</v>
      </c>
      <c r="N500" s="63">
        <v>115.379</v>
      </c>
      <c r="O500" s="63">
        <v>-26.05800000000001</v>
      </c>
      <c r="P500" s="63">
        <v>52.381000000000007</v>
      </c>
      <c r="Q500" s="63">
        <v>74.486999999999995</v>
      </c>
      <c r="R500" s="63">
        <v>8.8169999999999824</v>
      </c>
      <c r="S500" s="63">
        <v>-3.148000000000009</v>
      </c>
      <c r="T500" s="63">
        <v>154.57900000000001</v>
      </c>
      <c r="U500" s="63">
        <v>107.223</v>
      </c>
      <c r="V500" s="63">
        <v>24.399000000000019</v>
      </c>
      <c r="W500" s="63">
        <v>42.363000000000007</v>
      </c>
      <c r="X500" s="63">
        <v>144.02699999999999</v>
      </c>
      <c r="Y500" s="63">
        <v>126.83499999999999</v>
      </c>
      <c r="Z500" s="63">
        <v>43.462999999999958</v>
      </c>
      <c r="AA500" s="63">
        <v>24.18399999999998</v>
      </c>
      <c r="AB500" s="63">
        <v>69.482000000000014</v>
      </c>
      <c r="AC500" s="63">
        <v>109.684</v>
      </c>
      <c r="AD500" s="63">
        <v>43.171000000000006</v>
      </c>
      <c r="AE500" s="63">
        <v>99.185999999999979</v>
      </c>
      <c r="AF500" s="63">
        <v>153.76400000000001</v>
      </c>
      <c r="AG500" s="63">
        <v>197.15700000000001</v>
      </c>
      <c r="AH500" s="63">
        <v>31.41100000000004</v>
      </c>
      <c r="AI500" s="63">
        <v>-37.433000000000007</v>
      </c>
      <c r="AJ500" s="63">
        <v>155.81099999999989</v>
      </c>
      <c r="AK500" s="63">
        <v>138.4489999999999</v>
      </c>
      <c r="AL500" s="63">
        <v>62.880000000000017</v>
      </c>
      <c r="AM500" s="63">
        <v>78.511000000000024</v>
      </c>
      <c r="AN500" s="63">
        <v>126.738</v>
      </c>
      <c r="AO500" s="63">
        <v>242.36</v>
      </c>
      <c r="AP500" s="63">
        <v>85.306999999999988</v>
      </c>
    </row>
    <row r="501" spans="1:42" ht="14.45" customHeight="1" x14ac:dyDescent="0.25">
      <c r="A501" s="63" t="s">
        <v>548</v>
      </c>
      <c r="B501" s="180"/>
      <c r="C501" s="63">
        <v>-161.26400000000001</v>
      </c>
      <c r="D501" s="63">
        <v>-50.789000000000023</v>
      </c>
      <c r="E501" s="63">
        <v>16.67499999999999</v>
      </c>
      <c r="F501" s="63">
        <v>-117.51</v>
      </c>
      <c r="G501" s="63">
        <v>-67.270999999999987</v>
      </c>
      <c r="H501" s="63">
        <v>-64.558999999999997</v>
      </c>
      <c r="I501" s="63">
        <v>-76.693000000000026</v>
      </c>
      <c r="J501" s="63">
        <v>34.611999999999988</v>
      </c>
      <c r="K501" s="63">
        <v>-129.185</v>
      </c>
      <c r="L501" s="63">
        <v>94.736000000000018</v>
      </c>
      <c r="M501" s="63">
        <v>-70.894000000000005</v>
      </c>
      <c r="N501" s="63">
        <v>96.240999999999971</v>
      </c>
      <c r="O501" s="63">
        <v>-32.100000000000023</v>
      </c>
      <c r="P501" s="63">
        <v>45.924000000000007</v>
      </c>
      <c r="Q501" s="63">
        <v>67.516999999999996</v>
      </c>
      <c r="R501" s="63">
        <v>3.4549999999999832</v>
      </c>
      <c r="S501" s="63">
        <v>-12.83500000000001</v>
      </c>
      <c r="T501" s="63">
        <v>143.917</v>
      </c>
      <c r="U501" s="63">
        <v>96.199999999999989</v>
      </c>
      <c r="V501" s="63">
        <v>13.98600000000002</v>
      </c>
      <c r="W501" s="63">
        <v>31.87700000000002</v>
      </c>
      <c r="X501" s="63">
        <v>134.547</v>
      </c>
      <c r="Y501" s="63">
        <v>120.182</v>
      </c>
      <c r="Z501" s="63">
        <v>33.727999999999952</v>
      </c>
      <c r="AA501" s="63">
        <v>16.342999999999979</v>
      </c>
      <c r="AB501" s="63">
        <v>62.330000000000013</v>
      </c>
      <c r="AC501" s="63">
        <v>100.066</v>
      </c>
      <c r="AD501" s="63">
        <v>35.542000000000023</v>
      </c>
      <c r="AE501" s="63">
        <v>92.844999999999985</v>
      </c>
      <c r="AF501" s="63">
        <v>140.96299999999999</v>
      </c>
      <c r="AG501" s="63">
        <v>186.71700000000001</v>
      </c>
      <c r="AH501" s="63">
        <v>19.73900000000004</v>
      </c>
      <c r="AI501" s="63">
        <v>-50.665000000000013</v>
      </c>
      <c r="AJ501" s="63">
        <v>139.0679999999999</v>
      </c>
      <c r="AK501" s="63">
        <v>114.8119999999999</v>
      </c>
      <c r="AL501" s="63">
        <v>37.029000000000018</v>
      </c>
      <c r="AM501" s="63">
        <v>54.265000000000022</v>
      </c>
      <c r="AN501" s="63">
        <v>111.458</v>
      </c>
      <c r="AO501" s="63">
        <v>221.923</v>
      </c>
      <c r="AP501" s="63">
        <v>63.38</v>
      </c>
    </row>
    <row r="502" spans="1:42" ht="14.45" customHeight="1" x14ac:dyDescent="0.25">
      <c r="A502" s="112" t="s">
        <v>549</v>
      </c>
      <c r="B502" s="211"/>
      <c r="C502" s="112">
        <v>-22.989999999999981</v>
      </c>
      <c r="D502" s="112">
        <v>17.691999999999979</v>
      </c>
      <c r="E502" s="112">
        <v>4.8839999999999861</v>
      </c>
      <c r="F502" s="112">
        <v>-32.294000000000011</v>
      </c>
      <c r="G502" s="112">
        <v>25.90100000000001</v>
      </c>
      <c r="H502" s="112">
        <v>11.574</v>
      </c>
      <c r="I502" s="112">
        <v>-31.592000000000031</v>
      </c>
      <c r="J502" s="112">
        <v>-7.2790000000000026</v>
      </c>
      <c r="K502" s="112">
        <v>-8.4230000000000018</v>
      </c>
      <c r="L502" s="112">
        <v>11.245000000000021</v>
      </c>
      <c r="M502" s="112">
        <v>-10.387</v>
      </c>
      <c r="N502" s="112">
        <v>4.2109999999999701</v>
      </c>
      <c r="O502" s="112">
        <v>-0.39700000000001268</v>
      </c>
      <c r="P502" s="112">
        <v>-2.8049999999999859</v>
      </c>
      <c r="Q502" s="112">
        <v>0.29699999999998278</v>
      </c>
      <c r="R502" s="112">
        <v>3.6249999999999818</v>
      </c>
      <c r="S502" s="112">
        <v>38.133999999999993</v>
      </c>
      <c r="T502" s="112">
        <v>29.802000000000021</v>
      </c>
      <c r="U502" s="112">
        <v>87.272999999999996</v>
      </c>
      <c r="V502" s="112">
        <v>-10.02999999999998</v>
      </c>
      <c r="W502" s="112">
        <v>-0.96699999999998454</v>
      </c>
      <c r="X502" s="112">
        <v>2.3760000000000332</v>
      </c>
      <c r="Y502" s="112">
        <v>132.67400000000001</v>
      </c>
      <c r="Z502" s="112">
        <v>-37.569000000000052</v>
      </c>
      <c r="AA502" s="112">
        <v>14.91999999999998</v>
      </c>
      <c r="AB502" s="112">
        <v>61.718000000000011</v>
      </c>
      <c r="AC502" s="112">
        <v>-25.55899999999998</v>
      </c>
      <c r="AD502" s="112">
        <v>34.904000000000018</v>
      </c>
      <c r="AE502" s="112">
        <v>92.132999999999981</v>
      </c>
      <c r="AF502" s="112">
        <v>140.39099999999999</v>
      </c>
      <c r="AG502" s="112">
        <v>186.04499999999999</v>
      </c>
      <c r="AH502" s="112">
        <v>19.052000000000039</v>
      </c>
      <c r="AI502" s="112">
        <v>-51.31900000000001</v>
      </c>
      <c r="AJ502" s="112">
        <v>1311.818</v>
      </c>
      <c r="AK502" s="112">
        <v>-448.50600000000009</v>
      </c>
      <c r="AL502" s="112">
        <v>-15.40299999999996</v>
      </c>
      <c r="AM502" s="112">
        <v>53.383000000000017</v>
      </c>
      <c r="AN502" s="112">
        <v>76.37700000000001</v>
      </c>
      <c r="AO502" s="112">
        <v>110.246</v>
      </c>
      <c r="AP502" s="112">
        <v>-1400.2159999999999</v>
      </c>
    </row>
    <row r="503" spans="1:42" ht="14.45" customHeight="1" x14ac:dyDescent="0.25">
      <c r="A503" s="63"/>
      <c r="B503" s="180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</row>
    <row r="504" spans="1:42" ht="14.45" customHeight="1" x14ac:dyDescent="0.25">
      <c r="A504" s="95" t="s">
        <v>550</v>
      </c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</row>
    <row r="505" spans="1:42" ht="14.45" customHeight="1" x14ac:dyDescent="0.25">
      <c r="A505" s="99" t="s">
        <v>24</v>
      </c>
      <c r="B505" s="180"/>
      <c r="C505" s="99">
        <v>32.6</v>
      </c>
      <c r="D505" s="99">
        <v>49.323</v>
      </c>
      <c r="E505" s="99">
        <v>54.216999999999999</v>
      </c>
      <c r="F505" s="63">
        <v>21.85</v>
      </c>
      <c r="G505" s="99">
        <v>31.94</v>
      </c>
      <c r="H505" s="99">
        <v>43.514000000000003</v>
      </c>
      <c r="I505" s="99">
        <v>11.922000000000001</v>
      </c>
      <c r="J505" s="63">
        <v>16.902000000000001</v>
      </c>
      <c r="K505" s="99">
        <v>8.4789999999999992</v>
      </c>
      <c r="L505" s="99">
        <v>19.724</v>
      </c>
      <c r="M505" s="99">
        <v>9.3369999999999997</v>
      </c>
      <c r="N505" s="63">
        <v>13.548</v>
      </c>
      <c r="O505" s="99">
        <v>8.4969999999999999</v>
      </c>
      <c r="P505" s="99">
        <v>5.6920000000000002</v>
      </c>
      <c r="Q505" s="99">
        <v>5.9889999999999999</v>
      </c>
      <c r="R505" s="63">
        <v>9.6140000000000008</v>
      </c>
      <c r="S505" s="99">
        <v>47.747999999999998</v>
      </c>
      <c r="T505" s="99">
        <v>77.55</v>
      </c>
      <c r="U505" s="99">
        <v>164.82300000000001</v>
      </c>
      <c r="V505" s="63">
        <v>54.792999999999999</v>
      </c>
      <c r="W505" s="99">
        <v>51.828000000000003</v>
      </c>
      <c r="X505" s="99">
        <v>54.204000000000001</v>
      </c>
      <c r="Y505" s="99">
        <v>186.87799999999999</v>
      </c>
      <c r="Z505" s="63">
        <v>142.31399999999999</v>
      </c>
      <c r="AA505" s="99">
        <v>127.08499999999999</v>
      </c>
      <c r="AB505" s="99">
        <v>188.803</v>
      </c>
      <c r="AC505" s="99">
        <v>163.244</v>
      </c>
      <c r="AD505" s="63">
        <v>197.648</v>
      </c>
      <c r="AE505" s="99">
        <v>289.78100000000001</v>
      </c>
      <c r="AF505" s="99">
        <v>430.17200000000003</v>
      </c>
      <c r="AG505" s="99">
        <v>616.21699999999998</v>
      </c>
      <c r="AH505" s="63">
        <v>635.26900000000001</v>
      </c>
      <c r="AI505" s="99">
        <v>401.26</v>
      </c>
      <c r="AJ505" s="99">
        <v>1699.288</v>
      </c>
      <c r="AK505" s="99">
        <v>1236.0060000000001</v>
      </c>
      <c r="AL505" s="63">
        <v>1135.8240000000001</v>
      </c>
      <c r="AM505" s="99">
        <v>1151.8050000000001</v>
      </c>
      <c r="AN505" s="99">
        <v>1219.925</v>
      </c>
      <c r="AO505" s="99">
        <v>1532.473</v>
      </c>
      <c r="AP505" s="63">
        <v>281.91800000000001</v>
      </c>
    </row>
    <row r="506" spans="1:42" ht="14.45" customHeight="1" x14ac:dyDescent="0.25">
      <c r="A506" s="125" t="s">
        <v>551</v>
      </c>
      <c r="B506" s="180"/>
      <c r="C506" s="99">
        <v>7.165</v>
      </c>
      <c r="D506" s="99">
        <v>7.27</v>
      </c>
      <c r="E506" s="99">
        <v>7.3780000000000001</v>
      </c>
      <c r="F506" s="63">
        <v>7.5270000000000001</v>
      </c>
      <c r="G506" s="99">
        <v>7.6989999999999998</v>
      </c>
      <c r="H506" s="99">
        <v>7.875</v>
      </c>
      <c r="I506" s="99">
        <v>7.9630000000000001</v>
      </c>
      <c r="J506" s="63">
        <v>8.2210000000000001</v>
      </c>
      <c r="K506" s="99">
        <v>8.2650000000000006</v>
      </c>
      <c r="L506" s="99">
        <v>8.2629999999999999</v>
      </c>
      <c r="M506" s="99">
        <v>8.4380000000000006</v>
      </c>
      <c r="N506" s="63">
        <v>8.6170000000000009</v>
      </c>
      <c r="O506" s="99">
        <v>8.8330000000000002</v>
      </c>
      <c r="P506" s="99">
        <v>9.0190000000000001</v>
      </c>
      <c r="Q506" s="99">
        <v>9.2089999999999996</v>
      </c>
      <c r="R506" s="63">
        <v>9.4030000000000005</v>
      </c>
      <c r="S506" s="99">
        <v>5.0990000000000002</v>
      </c>
      <c r="T506" s="99">
        <v>4.07</v>
      </c>
      <c r="U506" s="99">
        <v>5.8140000000000001</v>
      </c>
      <c r="V506" s="63">
        <v>5.86</v>
      </c>
      <c r="W506" s="99">
        <v>5.9089999999999998</v>
      </c>
      <c r="X506" s="99">
        <v>5.9589999999999996</v>
      </c>
      <c r="Y506" s="99">
        <v>6.0090000000000003</v>
      </c>
      <c r="Z506" s="63">
        <v>6.06</v>
      </c>
      <c r="AA506" s="99">
        <v>127.17100000000001</v>
      </c>
      <c r="AB506" s="99">
        <v>127.214</v>
      </c>
      <c r="AC506" s="99">
        <v>2.2589999999999999</v>
      </c>
      <c r="AD506" s="63">
        <v>2.3029999999999999</v>
      </c>
      <c r="AE506" s="99">
        <v>2.347</v>
      </c>
      <c r="AF506" s="99">
        <v>2.3929999999999998</v>
      </c>
      <c r="AG506" s="99">
        <v>2.44</v>
      </c>
      <c r="AH506" s="63">
        <v>2.4870000000000001</v>
      </c>
      <c r="AI506" s="99">
        <v>2.536</v>
      </c>
      <c r="AJ506" s="99">
        <v>2.5840000000000001</v>
      </c>
      <c r="AK506" s="99">
        <v>2.6349999999999998</v>
      </c>
      <c r="AL506" s="63">
        <v>352.38400000000001</v>
      </c>
      <c r="AM506" s="99">
        <v>352.44099999999997</v>
      </c>
      <c r="AN506" s="99">
        <v>351.52300000000002</v>
      </c>
      <c r="AO506" s="99">
        <v>350.49299999999999</v>
      </c>
      <c r="AP506" s="63">
        <v>100.556</v>
      </c>
    </row>
    <row r="507" spans="1:42" ht="14.45" customHeight="1" x14ac:dyDescent="0.25">
      <c r="A507" s="273" t="s">
        <v>552</v>
      </c>
      <c r="B507" s="250"/>
      <c r="C507" s="274">
        <v>806.92899999999997</v>
      </c>
      <c r="D507" s="274">
        <v>874.84399999999994</v>
      </c>
      <c r="E507" s="274">
        <v>863.18999999999994</v>
      </c>
      <c r="F507" s="251">
        <v>948.44799999999998</v>
      </c>
      <c r="G507" s="274">
        <v>1041.5029999999999</v>
      </c>
      <c r="H507" s="274">
        <v>1117.729</v>
      </c>
      <c r="I507" s="274">
        <v>1163.011</v>
      </c>
      <c r="J507" s="251">
        <v>1123.2660000000001</v>
      </c>
      <c r="K507" s="274">
        <v>1244.26</v>
      </c>
      <c r="L507" s="274">
        <v>1162.325</v>
      </c>
      <c r="M507" s="274">
        <v>1222.9490000000001</v>
      </c>
      <c r="N507" s="251">
        <v>1131.0340000000001</v>
      </c>
      <c r="O507" s="274">
        <v>1163.0150000000001</v>
      </c>
      <c r="P507" s="274">
        <v>1114.3340000000001</v>
      </c>
      <c r="Q507" s="274">
        <v>1047.155</v>
      </c>
      <c r="R507" s="251">
        <v>1047.3230000000001</v>
      </c>
      <c r="S507" s="274">
        <v>1096.0250000000001</v>
      </c>
      <c r="T507" s="274">
        <v>983.12299999999993</v>
      </c>
      <c r="U507" s="274">
        <v>1034.05</v>
      </c>
      <c r="V507" s="251">
        <v>1010.449</v>
      </c>
      <c r="W507" s="274">
        <v>978.06</v>
      </c>
      <c r="X507" s="274">
        <v>845.75299999999993</v>
      </c>
      <c r="Y507" s="274">
        <v>859.44500000000005</v>
      </c>
      <c r="Z507" s="251">
        <v>788.44899999999996</v>
      </c>
      <c r="AA507" s="274">
        <v>607.83799999999997</v>
      </c>
      <c r="AB507" s="274">
        <v>607.32500000000005</v>
      </c>
      <c r="AC507" s="274">
        <v>606.88800000000003</v>
      </c>
      <c r="AD507" s="251">
        <v>606.33600000000001</v>
      </c>
      <c r="AE507" s="274">
        <v>605.77700000000004</v>
      </c>
      <c r="AF507" s="274">
        <v>605.29099999999994</v>
      </c>
      <c r="AG507" s="274">
        <v>604.79300000000001</v>
      </c>
      <c r="AH507" s="251">
        <v>604.19100000000003</v>
      </c>
      <c r="AI507" s="274">
        <v>603.67499999999995</v>
      </c>
      <c r="AJ507" s="274">
        <v>1788.816</v>
      </c>
      <c r="AK507" s="274">
        <v>1788.818</v>
      </c>
      <c r="AL507" s="251">
        <v>1438.9949999999999</v>
      </c>
      <c r="AM507" s="274">
        <v>1438.8889999999999</v>
      </c>
      <c r="AN507" s="274">
        <v>1439.2750000000001</v>
      </c>
      <c r="AO507" s="274">
        <v>1439.769</v>
      </c>
      <c r="AP507" s="251">
        <v>2687.1970000000001</v>
      </c>
    </row>
    <row r="508" spans="1:42" ht="14.45" customHeight="1" x14ac:dyDescent="0.25">
      <c r="A508" s="99" t="s">
        <v>83</v>
      </c>
      <c r="B508" s="180"/>
      <c r="C508" s="99">
        <v>814.09399999999994</v>
      </c>
      <c r="D508" s="99">
        <v>882.11400000000003</v>
      </c>
      <c r="E508" s="99">
        <v>870.56799999999998</v>
      </c>
      <c r="F508" s="63">
        <v>955.97500000000002</v>
      </c>
      <c r="G508" s="99">
        <v>1049.202</v>
      </c>
      <c r="H508" s="99">
        <v>1125.604</v>
      </c>
      <c r="I508" s="99">
        <v>1170.9739999999999</v>
      </c>
      <c r="J508" s="63">
        <v>1131.4870000000001</v>
      </c>
      <c r="K508" s="99">
        <v>1252.5250000000001</v>
      </c>
      <c r="L508" s="99">
        <v>1170.588</v>
      </c>
      <c r="M508" s="99">
        <v>1231.3869999999999</v>
      </c>
      <c r="N508" s="63">
        <v>1139.6510000000001</v>
      </c>
      <c r="O508" s="99">
        <v>1171.848</v>
      </c>
      <c r="P508" s="99">
        <v>1123.3530000000001</v>
      </c>
      <c r="Q508" s="99">
        <v>1056.364</v>
      </c>
      <c r="R508" s="63">
        <v>1056.7260000000001</v>
      </c>
      <c r="S508" s="99">
        <v>1101.124</v>
      </c>
      <c r="T508" s="99">
        <v>987.19299999999998</v>
      </c>
      <c r="U508" s="99">
        <v>1039.864</v>
      </c>
      <c r="V508" s="63">
        <v>1016.309</v>
      </c>
      <c r="W508" s="99">
        <v>983.96899999999994</v>
      </c>
      <c r="X508" s="99">
        <v>851.71199999999999</v>
      </c>
      <c r="Y508" s="99">
        <v>865.45400000000006</v>
      </c>
      <c r="Z508" s="63">
        <v>794.50900000000001</v>
      </c>
      <c r="AA508" s="99">
        <v>735.00900000000001</v>
      </c>
      <c r="AB508" s="99">
        <v>734.53899999999999</v>
      </c>
      <c r="AC508" s="99">
        <v>609.14700000000005</v>
      </c>
      <c r="AD508" s="63">
        <v>608.63900000000001</v>
      </c>
      <c r="AE508" s="99">
        <v>608.12400000000002</v>
      </c>
      <c r="AF508" s="99">
        <v>607.68399999999997</v>
      </c>
      <c r="AG508" s="99">
        <v>607.23300000000006</v>
      </c>
      <c r="AH508" s="63">
        <v>606.678</v>
      </c>
      <c r="AI508" s="99">
        <v>606.21100000000001</v>
      </c>
      <c r="AJ508" s="99">
        <v>1791.4</v>
      </c>
      <c r="AK508" s="99">
        <v>1791.453</v>
      </c>
      <c r="AL508" s="63">
        <v>1791.3789999999999</v>
      </c>
      <c r="AM508" s="99">
        <v>1791.33</v>
      </c>
      <c r="AN508" s="99">
        <v>1790.798</v>
      </c>
      <c r="AO508" s="99">
        <v>1790.2619999999999</v>
      </c>
      <c r="AP508" s="63">
        <v>2787.7530000000002</v>
      </c>
    </row>
    <row r="509" spans="1:42" ht="14.45" customHeight="1" x14ac:dyDescent="0.25">
      <c r="A509" s="99" t="s">
        <v>84</v>
      </c>
      <c r="B509" s="180"/>
      <c r="C509" s="99">
        <v>0</v>
      </c>
      <c r="D509" s="99">
        <v>0</v>
      </c>
      <c r="E509" s="99">
        <v>0</v>
      </c>
      <c r="F509" s="63">
        <v>0</v>
      </c>
      <c r="G509" s="99">
        <v>0</v>
      </c>
      <c r="H509" s="99">
        <v>0</v>
      </c>
      <c r="I509" s="99">
        <v>0</v>
      </c>
      <c r="J509" s="63">
        <v>0</v>
      </c>
      <c r="K509" s="99">
        <v>0</v>
      </c>
      <c r="L509" s="99">
        <v>0</v>
      </c>
      <c r="M509" s="99">
        <v>0</v>
      </c>
      <c r="N509" s="63">
        <v>0</v>
      </c>
      <c r="O509" s="99">
        <v>84.9</v>
      </c>
      <c r="P509" s="99">
        <v>102.575</v>
      </c>
      <c r="Q509" s="99">
        <v>116.813</v>
      </c>
      <c r="R509" s="63">
        <v>112.789</v>
      </c>
      <c r="S509" s="99">
        <v>142.535</v>
      </c>
      <c r="T509" s="99">
        <v>139.655</v>
      </c>
      <c r="U509" s="99">
        <v>140.1</v>
      </c>
      <c r="V509" s="63">
        <v>139.68899999999999</v>
      </c>
      <c r="W509" s="99">
        <v>134.875</v>
      </c>
      <c r="X509" s="99">
        <v>135.995</v>
      </c>
      <c r="Y509" s="99">
        <v>144.27699999999999</v>
      </c>
      <c r="Z509" s="63">
        <v>144.09399999999999</v>
      </c>
      <c r="AA509" s="99">
        <v>143.37</v>
      </c>
      <c r="AB509" s="99">
        <v>141.827</v>
      </c>
      <c r="AC509" s="99">
        <v>146.08199999999999</v>
      </c>
      <c r="AD509" s="63">
        <v>146.398</v>
      </c>
      <c r="AE509" s="99">
        <v>140.36099999999999</v>
      </c>
      <c r="AF509" s="99">
        <v>134.94</v>
      </c>
      <c r="AG509" s="99">
        <v>129.65199999999999</v>
      </c>
      <c r="AH509" s="63">
        <v>128.465</v>
      </c>
      <c r="AI509" s="99">
        <v>122.06399999999999</v>
      </c>
      <c r="AJ509" s="99">
        <v>116.17100000000001</v>
      </c>
      <c r="AK509" s="99">
        <v>108.18600000000001</v>
      </c>
      <c r="AL509" s="63">
        <v>115.619</v>
      </c>
      <c r="AM509" s="99">
        <v>110.71899999999999</v>
      </c>
      <c r="AN509" s="99">
        <v>111.751</v>
      </c>
      <c r="AO509" s="99">
        <v>126.158</v>
      </c>
      <c r="AP509" s="63">
        <v>119.488</v>
      </c>
    </row>
    <row r="510" spans="1:42" ht="14.45" customHeight="1" x14ac:dyDescent="0.25">
      <c r="A510" s="99" t="s">
        <v>25</v>
      </c>
      <c r="B510" s="180"/>
      <c r="C510" s="99">
        <v>781.49399999999991</v>
      </c>
      <c r="D510" s="99">
        <v>832.79100000000005</v>
      </c>
      <c r="E510" s="99">
        <v>816.351</v>
      </c>
      <c r="F510" s="63">
        <v>934.125</v>
      </c>
      <c r="G510" s="99">
        <v>1017.2619999999999</v>
      </c>
      <c r="H510" s="99">
        <v>1082.0899999999999</v>
      </c>
      <c r="I510" s="99">
        <v>1159.0519999999999</v>
      </c>
      <c r="J510" s="63">
        <v>1114.585</v>
      </c>
      <c r="K510" s="99">
        <v>1244.046</v>
      </c>
      <c r="L510" s="99">
        <v>1150.864</v>
      </c>
      <c r="M510" s="99">
        <v>1222.05</v>
      </c>
      <c r="N510" s="63">
        <v>1126.1030000000001</v>
      </c>
      <c r="O510" s="99">
        <v>1248.251</v>
      </c>
      <c r="P510" s="99">
        <v>1220.2360000000001</v>
      </c>
      <c r="Q510" s="99">
        <v>1167.1880000000001</v>
      </c>
      <c r="R510" s="63">
        <v>1159.9010000000001</v>
      </c>
      <c r="S510" s="99">
        <v>1195.9110000000001</v>
      </c>
      <c r="T510" s="99">
        <v>1049.298</v>
      </c>
      <c r="U510" s="99">
        <v>1015.141</v>
      </c>
      <c r="V510" s="63">
        <v>1101.2049999999999</v>
      </c>
      <c r="W510" s="99">
        <v>1067.0160000000001</v>
      </c>
      <c r="X510" s="99">
        <v>933.50300000000004</v>
      </c>
      <c r="Y510" s="99">
        <v>822.85300000000007</v>
      </c>
      <c r="Z510" s="63">
        <v>796.2890000000001</v>
      </c>
      <c r="AA510" s="99">
        <v>751.29399999999998</v>
      </c>
      <c r="AB510" s="99">
        <v>687.56299999999999</v>
      </c>
      <c r="AC510" s="99">
        <v>591.98500000000001</v>
      </c>
      <c r="AD510" s="63">
        <v>557.38900000000001</v>
      </c>
      <c r="AE510" s="99">
        <v>458.70400000000001</v>
      </c>
      <c r="AF510" s="99">
        <v>312.452</v>
      </c>
      <c r="AG510" s="99">
        <v>120.66800000000011</v>
      </c>
      <c r="AH510" s="63">
        <v>99.874000000000024</v>
      </c>
      <c r="AI510" s="99">
        <v>327.01499999999999</v>
      </c>
      <c r="AJ510" s="99">
        <v>208.2830000000001</v>
      </c>
      <c r="AK510" s="99">
        <v>663.63299999999981</v>
      </c>
      <c r="AL510" s="63">
        <v>771.17399999999975</v>
      </c>
      <c r="AM510" s="99">
        <v>750.24399999999991</v>
      </c>
      <c r="AN510" s="99">
        <v>682.62400000000002</v>
      </c>
      <c r="AO510" s="99">
        <v>383.94700000000012</v>
      </c>
      <c r="AP510" s="63">
        <v>2625.3229999999999</v>
      </c>
    </row>
    <row r="511" spans="1:42" ht="14.45" customHeight="1" x14ac:dyDescent="0.25">
      <c r="A511" s="63"/>
      <c r="B511" s="180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</row>
    <row r="512" spans="1:42" ht="14.45" customHeight="1" x14ac:dyDescent="0.25">
      <c r="A512" s="99" t="s">
        <v>553</v>
      </c>
      <c r="B512" s="180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</row>
    <row r="513" spans="1:42" ht="14.45" customHeight="1" x14ac:dyDescent="0.25">
      <c r="A513" s="109" t="s">
        <v>554</v>
      </c>
      <c r="B513" s="211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4.45" customHeight="1" x14ac:dyDescent="0.25">
      <c r="A514" s="63" t="s">
        <v>555</v>
      </c>
      <c r="B514" s="180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</row>
    <row r="515" spans="1:42" ht="14.45" customHeight="1" x14ac:dyDescent="0.25">
      <c r="A515" s="112" t="s">
        <v>556</v>
      </c>
      <c r="B515" s="211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4.45" customHeight="1" x14ac:dyDescent="0.25">
      <c r="A516" s="63" t="s">
        <v>557</v>
      </c>
      <c r="B516" s="180"/>
      <c r="C516" s="127">
        <v>9.3610000000000007</v>
      </c>
      <c r="D516" s="127">
        <v>9.8079999999999998</v>
      </c>
      <c r="E516" s="127">
        <v>8.452</v>
      </c>
      <c r="F516" s="127">
        <v>8.7040000000000024</v>
      </c>
      <c r="G516" s="127">
        <v>9.4700000000000006</v>
      </c>
      <c r="H516" s="127">
        <v>10.44</v>
      </c>
      <c r="I516" s="127">
        <v>10.696999999999999</v>
      </c>
      <c r="J516" s="127">
        <v>11.262</v>
      </c>
      <c r="K516" s="127">
        <v>12.045999999999999</v>
      </c>
      <c r="L516" s="127">
        <v>12.744</v>
      </c>
      <c r="M516" s="127">
        <v>12.827</v>
      </c>
      <c r="N516" s="127">
        <v>12.888999999999999</v>
      </c>
      <c r="O516" s="127">
        <v>12.885999999999999</v>
      </c>
      <c r="P516" s="127">
        <v>11.994999999999999</v>
      </c>
      <c r="Q516" s="127">
        <v>10.965</v>
      </c>
      <c r="R516" s="127">
        <v>10.144</v>
      </c>
      <c r="S516" s="127">
        <v>9.5609999999999999</v>
      </c>
      <c r="T516" s="127">
        <v>9.1839999999999993</v>
      </c>
      <c r="U516" s="127">
        <v>9.0329999999999995</v>
      </c>
      <c r="V516" s="127">
        <v>8.9570000000000007</v>
      </c>
      <c r="W516" s="127">
        <v>8.7460000000000004</v>
      </c>
      <c r="X516" s="127">
        <v>8.3650000000000002</v>
      </c>
      <c r="Y516" s="127">
        <v>8.0969999999999995</v>
      </c>
      <c r="Z516" s="127">
        <v>8.2409999999999997</v>
      </c>
      <c r="AA516" s="127">
        <v>7.6989999999999998</v>
      </c>
      <c r="AB516" s="127">
        <v>7.1459999999999999</v>
      </c>
      <c r="AC516" s="127">
        <v>6.0830000000000002</v>
      </c>
      <c r="AD516" s="127">
        <v>3.8640000000000039</v>
      </c>
      <c r="AE516" s="127">
        <v>2.9289999999999998</v>
      </c>
      <c r="AF516" s="127">
        <v>1.353</v>
      </c>
      <c r="AG516" s="127">
        <v>-1.516</v>
      </c>
      <c r="AH516" s="127">
        <v>-3.6840000000000002</v>
      </c>
      <c r="AI516" s="127">
        <v>-2.7160000000000002</v>
      </c>
      <c r="AJ516" s="127">
        <v>-1.62</v>
      </c>
      <c r="AK516" s="127">
        <v>2.1869999999999998</v>
      </c>
      <c r="AL516" s="127">
        <v>3.9970000000000012</v>
      </c>
      <c r="AM516" s="127">
        <v>6.8739999999999997</v>
      </c>
      <c r="AN516" s="127">
        <v>5.9480000000000004</v>
      </c>
      <c r="AO516" s="127">
        <v>4.6870000000000003</v>
      </c>
      <c r="AP516" s="127">
        <v>25.169</v>
      </c>
    </row>
    <row r="517" spans="1:42" ht="14.45" customHeight="1" x14ac:dyDescent="0.25">
      <c r="A517" s="112" t="s">
        <v>558</v>
      </c>
      <c r="B517" s="211"/>
      <c r="C517" s="90">
        <v>5.0277071727136392E-2</v>
      </c>
      <c r="D517" s="90">
        <v>4.6258477733862817E-2</v>
      </c>
      <c r="E517" s="90">
        <v>3.8578589841169131E-2</v>
      </c>
      <c r="F517" s="90">
        <v>3.8122288935984537E-2</v>
      </c>
      <c r="G517" s="90">
        <v>3.7782200773298323E-2</v>
      </c>
      <c r="H517" s="90">
        <v>3.8403425408979008E-2</v>
      </c>
      <c r="I517" s="90">
        <v>3.7262396487295443E-2</v>
      </c>
      <c r="J517" s="90">
        <v>3.9130304487242133E-2</v>
      </c>
      <c r="K517" s="90">
        <v>4.0422615322406097E-2</v>
      </c>
      <c r="L517" s="90">
        <v>4.2074802124374713E-2</v>
      </c>
      <c r="M517" s="90">
        <v>4.2721510423713811E-2</v>
      </c>
      <c r="N517" s="90">
        <v>4.348812629742755E-2</v>
      </c>
      <c r="O517" s="90">
        <v>4.4597899458316867E-2</v>
      </c>
      <c r="P517" s="90">
        <v>4.1808974464545803E-2</v>
      </c>
      <c r="Q517" s="90">
        <v>4.0243756414250112E-2</v>
      </c>
      <c r="R517" s="90">
        <v>3.8404421960257243E-2</v>
      </c>
      <c r="S517" s="90">
        <v>3.5835914207441408E-2</v>
      </c>
      <c r="T517" s="90">
        <v>3.5569017833683603E-2</v>
      </c>
      <c r="U517" s="90">
        <v>3.6041467945948182E-2</v>
      </c>
      <c r="V517" s="90">
        <v>3.3748706430523322E-2</v>
      </c>
      <c r="W517" s="90">
        <v>3.4693981884344173E-2</v>
      </c>
      <c r="X517" s="90">
        <v>3.6555287195240427E-2</v>
      </c>
      <c r="Y517" s="90">
        <v>3.7826253282417677E-2</v>
      </c>
      <c r="Z517" s="90">
        <v>3.9825659294285998E-2</v>
      </c>
      <c r="AA517" s="90">
        <v>4.0379524001161661E-2</v>
      </c>
      <c r="AB517" s="90">
        <v>3.8584623654170619E-2</v>
      </c>
      <c r="AC517" s="90">
        <v>3.671980573503697E-2</v>
      </c>
      <c r="AD517" s="90">
        <v>2.517683730967513E-2</v>
      </c>
      <c r="AE517" s="90">
        <v>1.9525120705054681E-2</v>
      </c>
      <c r="AF517" s="90">
        <v>8.9271795083897005E-3</v>
      </c>
      <c r="AG517" s="90" t="s">
        <v>559</v>
      </c>
      <c r="AH517" s="90" t="s">
        <v>559</v>
      </c>
      <c r="AI517" s="90" t="s">
        <v>559</v>
      </c>
      <c r="AJ517" s="90" t="s">
        <v>559</v>
      </c>
      <c r="AK517" s="90">
        <v>4.91009032972658E-3</v>
      </c>
      <c r="AL517" s="90">
        <v>8.5959757091890639E-3</v>
      </c>
      <c r="AM517" s="90">
        <v>1.609910009565323E-2</v>
      </c>
      <c r="AN517" s="90">
        <v>1.3320217835522711E-2</v>
      </c>
      <c r="AO517" s="90">
        <v>1.0499408272693279E-2</v>
      </c>
      <c r="AP517" s="90">
        <v>4.1806169449714187E-2</v>
      </c>
    </row>
    <row r="518" spans="1:42" ht="14.45" customHeight="1" x14ac:dyDescent="0.25">
      <c r="A518" s="112"/>
      <c r="B518" s="211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4.45" customHeight="1" x14ac:dyDescent="0.25">
      <c r="A519" s="112" t="s">
        <v>560</v>
      </c>
      <c r="B519" s="211"/>
      <c r="C519" s="275">
        <v>4.103941886550583</v>
      </c>
      <c r="D519" s="275">
        <v>8.5588295269168029</v>
      </c>
      <c r="E519" s="275">
        <v>8.5668480832939</v>
      </c>
      <c r="F519" s="275">
        <v>6.533432904411729</v>
      </c>
      <c r="G519" s="275">
        <v>5.3483632523759184</v>
      </c>
      <c r="H519" s="275">
        <v>8.8022988505747009</v>
      </c>
      <c r="I519" s="275">
        <v>7.5976441993082222</v>
      </c>
      <c r="J519" s="275">
        <v>4.3620138518912688</v>
      </c>
      <c r="K519" s="275">
        <v>2.4053627760252452</v>
      </c>
      <c r="L519" s="275">
        <v>5.2842121782799722</v>
      </c>
      <c r="M519" s="275">
        <v>7.3095033912840002</v>
      </c>
      <c r="N519" s="275">
        <v>4.7085111335246603</v>
      </c>
      <c r="O519" s="275">
        <v>5.2747943504578618</v>
      </c>
      <c r="P519" s="275">
        <v>9.3597332221759171</v>
      </c>
      <c r="Q519" s="275">
        <v>9.0683082535339761</v>
      </c>
      <c r="R519" s="275">
        <v>8.1861198738170096</v>
      </c>
      <c r="S519" s="275">
        <v>7.988704110448694</v>
      </c>
      <c r="T519" s="275">
        <v>13.714612369337971</v>
      </c>
      <c r="U519" s="275">
        <v>16.82021476807261</v>
      </c>
      <c r="V519" s="275">
        <v>15.42067656581445</v>
      </c>
      <c r="W519" s="275">
        <v>15.745483649668421</v>
      </c>
      <c r="X519" s="275">
        <v>19.751105797967728</v>
      </c>
      <c r="Y519" s="275">
        <v>22.78485858960109</v>
      </c>
      <c r="Z519" s="275">
        <v>16.056182502123509</v>
      </c>
      <c r="AA519" s="275">
        <v>22.633329003766711</v>
      </c>
      <c r="AB519" s="275">
        <v>26.57094878253567</v>
      </c>
      <c r="AC519" s="275">
        <v>38.214861088278802</v>
      </c>
      <c r="AD519" s="275">
        <v>55.912525879917162</v>
      </c>
      <c r="AE519" s="275">
        <v>85.204165244110655</v>
      </c>
      <c r="AF519" s="275">
        <v>204.98595713229861</v>
      </c>
      <c r="AG519" s="275" t="s">
        <v>559</v>
      </c>
      <c r="AH519" s="275" t="s">
        <v>559</v>
      </c>
      <c r="AI519" s="275" t="s">
        <v>559</v>
      </c>
      <c r="AJ519" s="275" t="s">
        <v>559</v>
      </c>
      <c r="AK519" s="275">
        <v>126.1202560585277</v>
      </c>
      <c r="AL519" s="275">
        <v>67.390793094821277</v>
      </c>
      <c r="AM519" s="275">
        <v>35.378673261565318</v>
      </c>
      <c r="AN519" s="275">
        <v>54.951075991930082</v>
      </c>
      <c r="AO519" s="275">
        <v>64.373799871986364</v>
      </c>
      <c r="AP519" s="275">
        <v>11.81707656243791</v>
      </c>
    </row>
    <row r="520" spans="1:42" ht="14.45" customHeight="1" x14ac:dyDescent="0.25">
      <c r="A520" s="276" t="s">
        <v>561</v>
      </c>
      <c r="B520" s="277"/>
      <c r="C520" s="275"/>
      <c r="D520" s="275"/>
      <c r="E520" s="275"/>
      <c r="F520" s="278"/>
      <c r="G520" s="278"/>
      <c r="H520" s="275"/>
      <c r="I520" s="275"/>
      <c r="J520" s="278"/>
      <c r="K520" s="278"/>
      <c r="L520" s="275"/>
      <c r="M520" s="275"/>
      <c r="N520" s="278"/>
      <c r="O520" s="278"/>
      <c r="P520" s="275"/>
      <c r="Q520" s="275"/>
      <c r="R520" s="278"/>
      <c r="S520" s="278"/>
      <c r="T520" s="275"/>
      <c r="U520" s="275"/>
      <c r="V520" s="278"/>
      <c r="W520" s="278"/>
      <c r="X520" s="275"/>
      <c r="Y520" s="275"/>
      <c r="Z520" s="278"/>
      <c r="AA520" s="278"/>
      <c r="AB520" s="275"/>
      <c r="AC520" s="275"/>
      <c r="AD520" s="278"/>
      <c r="AE520" s="278"/>
      <c r="AF520" s="275"/>
      <c r="AG520" s="275"/>
      <c r="AH520" s="278"/>
      <c r="AI520" s="278"/>
      <c r="AJ520" s="275"/>
      <c r="AK520" s="275"/>
      <c r="AL520" s="278"/>
      <c r="AM520" s="278"/>
      <c r="AN520" s="275"/>
      <c r="AO520" s="275"/>
      <c r="AP520" s="278"/>
    </row>
    <row r="521" spans="1:42" ht="14.45" customHeight="1" x14ac:dyDescent="0.25">
      <c r="A521" s="276" t="s">
        <v>562</v>
      </c>
      <c r="B521" s="277"/>
      <c r="C521" s="275"/>
      <c r="D521" s="275"/>
      <c r="E521" s="275"/>
      <c r="F521" s="278"/>
      <c r="G521" s="278"/>
      <c r="H521" s="275"/>
      <c r="I521" s="275"/>
      <c r="J521" s="278"/>
      <c r="K521" s="278"/>
      <c r="L521" s="275"/>
      <c r="M521" s="275"/>
      <c r="N521" s="278"/>
      <c r="O521" s="278"/>
      <c r="P521" s="275"/>
      <c r="Q521" s="275"/>
      <c r="R521" s="278"/>
      <c r="S521" s="278"/>
      <c r="T521" s="275"/>
      <c r="U521" s="275"/>
      <c r="V521" s="278"/>
      <c r="W521" s="278"/>
      <c r="X521" s="275"/>
      <c r="Y521" s="275"/>
      <c r="Z521" s="278"/>
      <c r="AA521" s="278"/>
      <c r="AB521" s="275"/>
      <c r="AC521" s="275"/>
      <c r="AD521" s="278"/>
      <c r="AE521" s="278"/>
      <c r="AF521" s="275"/>
      <c r="AG521" s="275"/>
      <c r="AH521" s="278"/>
      <c r="AI521" s="278"/>
      <c r="AJ521" s="275"/>
      <c r="AK521" s="275"/>
      <c r="AL521" s="278"/>
      <c r="AM521" s="278"/>
      <c r="AN521" s="275"/>
      <c r="AO521" s="275"/>
      <c r="AP521" s="278"/>
    </row>
    <row r="522" spans="1:42" ht="14.45" customHeight="1" x14ac:dyDescent="0.25">
      <c r="A522" s="279"/>
      <c r="B522" s="279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</row>
    <row r="523" spans="1:42" ht="14.45" customHeight="1" x14ac:dyDescent="0.25">
      <c r="A523" s="95" t="s">
        <v>37</v>
      </c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</row>
    <row r="524" spans="1:42" ht="14.45" customHeight="1" x14ac:dyDescent="0.25">
      <c r="A524" s="280" t="s">
        <v>563</v>
      </c>
      <c r="B524" s="281"/>
      <c r="C524" s="282">
        <v>15.875707999999999</v>
      </c>
      <c r="D524" s="282">
        <v>14.131907</v>
      </c>
      <c r="E524" s="282">
        <v>14.457833000000001</v>
      </c>
      <c r="F524" s="282">
        <v>17.452642000000001</v>
      </c>
      <c r="G524" s="282">
        <v>20.103960000000001</v>
      </c>
      <c r="H524" s="282">
        <v>22.333722000000002</v>
      </c>
      <c r="I524" s="282">
        <v>21.053439000000001</v>
      </c>
      <c r="J524" s="282">
        <v>21.005623</v>
      </c>
      <c r="K524" s="282">
        <v>16.849582000000002</v>
      </c>
      <c r="L524" s="282">
        <v>13.186332</v>
      </c>
      <c r="M524" s="282">
        <v>17.78735</v>
      </c>
      <c r="N524" s="282">
        <v>17.520949999999999</v>
      </c>
      <c r="O524" s="282">
        <v>28.08719</v>
      </c>
      <c r="P524" s="282">
        <v>29.201582999999999</v>
      </c>
      <c r="Q524" s="282">
        <v>29.387965000000001</v>
      </c>
      <c r="R524" s="282">
        <v>28.65512</v>
      </c>
      <c r="S524" s="282">
        <v>19.625806000000001</v>
      </c>
      <c r="T524" s="282">
        <v>21.592093999999999</v>
      </c>
      <c r="U524" s="282">
        <v>23.435428999999999</v>
      </c>
      <c r="V524" s="282">
        <v>26.005754</v>
      </c>
      <c r="W524" s="282">
        <v>28.217949999999998</v>
      </c>
      <c r="X524" s="282">
        <v>38.755892000000003</v>
      </c>
      <c r="Y524" s="282">
        <v>38.465096000000003</v>
      </c>
      <c r="Z524" s="282">
        <v>60.198684999999998</v>
      </c>
      <c r="AA524" s="282">
        <v>48.483898000000003</v>
      </c>
      <c r="AB524" s="282">
        <v>56.115830000000003</v>
      </c>
      <c r="AC524" s="282">
        <v>40.881239999999998</v>
      </c>
      <c r="AD524" s="282">
        <v>49.997402999999998</v>
      </c>
      <c r="AE524" s="282">
        <v>52.341859999999997</v>
      </c>
      <c r="AF524" s="282">
        <v>62.766447999999997</v>
      </c>
      <c r="AG524" s="282">
        <v>63.165014999999997</v>
      </c>
      <c r="AH524" s="282">
        <v>91.140294999999995</v>
      </c>
      <c r="AI524" s="282">
        <v>84.641000000000005</v>
      </c>
      <c r="AJ524" s="282">
        <v>107.08799999999999</v>
      </c>
      <c r="AK524" s="282">
        <v>128.64099999999999</v>
      </c>
      <c r="AL524" s="282">
        <v>124</v>
      </c>
      <c r="AM524" s="282">
        <v>131.5</v>
      </c>
      <c r="AN524" s="282">
        <v>110.88</v>
      </c>
      <c r="AO524" s="282">
        <v>113.93</v>
      </c>
      <c r="AP524" s="282">
        <v>154.66</v>
      </c>
    </row>
    <row r="525" spans="1:42" ht="14.45" customHeight="1" x14ac:dyDescent="0.25">
      <c r="A525" s="99" t="s">
        <v>564</v>
      </c>
      <c r="B525" s="180"/>
      <c r="C525" s="99">
        <v>1484.9132330883599</v>
      </c>
      <c r="D525" s="99">
        <v>1321.8204313342901</v>
      </c>
      <c r="E525" s="99">
        <v>1352.3057470035101</v>
      </c>
      <c r="F525" s="99">
        <v>1632.4236195697399</v>
      </c>
      <c r="G525" s="99">
        <v>1884.6390958932</v>
      </c>
      <c r="H525" s="99">
        <v>2093.6629320173402</v>
      </c>
      <c r="I525" s="99">
        <v>1973.6434807323301</v>
      </c>
      <c r="J525" s="99">
        <v>1969.1609951548101</v>
      </c>
      <c r="K525" s="99">
        <v>1582.9749254742601</v>
      </c>
      <c r="L525" s="99">
        <v>1238.8220025267599</v>
      </c>
      <c r="M525" s="99">
        <v>1672.9797769545</v>
      </c>
      <c r="N525" s="99">
        <v>1647.9236661465</v>
      </c>
      <c r="O525" s="99">
        <v>2647.1252506449</v>
      </c>
      <c r="P525" s="99">
        <v>2751.2116655060099</v>
      </c>
      <c r="Q525" s="99">
        <v>2766.4205096535502</v>
      </c>
      <c r="R525" s="99">
        <v>2697.4345339863999</v>
      </c>
      <c r="S525" s="99">
        <v>1853.5488459928199</v>
      </c>
      <c r="T525" s="99">
        <v>2038.3901902601799</v>
      </c>
      <c r="U525" s="99">
        <v>2210.0657110676302</v>
      </c>
      <c r="V525" s="99">
        <v>2445.9574094203799</v>
      </c>
      <c r="W525" s="99">
        <v>2655.1530497365002</v>
      </c>
      <c r="X525" s="99">
        <v>3645.9399992772401</v>
      </c>
      <c r="Y525" s="99">
        <v>3619.3528216191198</v>
      </c>
      <c r="Z525" s="99">
        <v>5652.323622771949</v>
      </c>
      <c r="AA525" s="99">
        <v>4748.6196346956012</v>
      </c>
      <c r="AB525" s="99">
        <v>5274.3229335919004</v>
      </c>
      <c r="AC525" s="99">
        <v>3845.2865727131998</v>
      </c>
      <c r="AD525" s="99">
        <v>4695.2526159117897</v>
      </c>
      <c r="AE525" s="99">
        <v>4917.5140830697992</v>
      </c>
      <c r="AF525" s="99">
        <v>5897.5310604286406</v>
      </c>
      <c r="AG525" s="99">
        <v>5934.3487376989497</v>
      </c>
      <c r="AH525" s="99">
        <v>8552.5989029793509</v>
      </c>
      <c r="AI525" s="99">
        <v>7945.2447451300013</v>
      </c>
      <c r="AJ525" s="99">
        <v>9396.953795039999</v>
      </c>
      <c r="AK525" s="99">
        <v>11284.366651030001</v>
      </c>
      <c r="AL525" s="99">
        <v>10819.109119999999</v>
      </c>
      <c r="AM525" s="99">
        <v>11474.80572</v>
      </c>
      <c r="AN525" s="99">
        <v>9649.5476615999996</v>
      </c>
      <c r="AO525" s="99">
        <v>9803.8549143799992</v>
      </c>
      <c r="AP525" s="99">
        <v>10303.96483644</v>
      </c>
    </row>
    <row r="526" spans="1:42" ht="14.45" customHeight="1" x14ac:dyDescent="0.25">
      <c r="A526" s="99" t="s">
        <v>565</v>
      </c>
      <c r="B526" s="180"/>
      <c r="C526" s="99">
        <v>2461.7912330883601</v>
      </c>
      <c r="D526" s="99">
        <v>2354.58643133429</v>
      </c>
      <c r="E526" s="99">
        <v>2359.9977470035101</v>
      </c>
      <c r="F526" s="99">
        <v>2779.12061956974</v>
      </c>
      <c r="G526" s="99">
        <v>3114.9010958931999</v>
      </c>
      <c r="H526" s="99">
        <v>3389.8269320173399</v>
      </c>
      <c r="I526" s="99">
        <v>3321.8854807323301</v>
      </c>
      <c r="J526" s="99">
        <v>3294.3429951548101</v>
      </c>
      <c r="K526" s="99">
        <v>3038.3379254742599</v>
      </c>
      <c r="L526" s="99">
        <v>2602.35700252676</v>
      </c>
      <c r="M526" s="99">
        <v>3089.5667769544989</v>
      </c>
      <c r="N526" s="99">
        <v>2956.6876661464989</v>
      </c>
      <c r="O526" s="99">
        <v>4078.9792506448989</v>
      </c>
      <c r="P526" s="99">
        <v>4158.4656655060098</v>
      </c>
      <c r="Q526" s="99">
        <v>4120.2275096535504</v>
      </c>
      <c r="R526" s="99">
        <v>4076.3305339864</v>
      </c>
      <c r="S526" s="99">
        <v>3271.19784599282</v>
      </c>
      <c r="T526" s="99">
        <v>3313.6741902601798</v>
      </c>
      <c r="U526" s="99">
        <v>3439.9547110676299</v>
      </c>
      <c r="V526" s="99">
        <v>3660.4874094203801</v>
      </c>
      <c r="W526" s="99">
        <v>3837.4750497364998</v>
      </c>
      <c r="X526" s="99">
        <v>4695.8909992772406</v>
      </c>
      <c r="Y526" s="99">
        <v>4552.7878216191202</v>
      </c>
      <c r="Z526" s="99">
        <v>6542.0036227719484</v>
      </c>
      <c r="AA526" s="99">
        <v>5596.3116346956012</v>
      </c>
      <c r="AB526" s="99">
        <v>6061.3769335919014</v>
      </c>
      <c r="AC526" s="99">
        <v>4513.6465727131999</v>
      </c>
      <c r="AD526" s="99">
        <v>5312.9646159117901</v>
      </c>
      <c r="AE526" s="99">
        <v>5439.0720830697992</v>
      </c>
      <c r="AF526" s="99">
        <v>6265.7670604286404</v>
      </c>
      <c r="AG526" s="99">
        <v>6108.3107376989501</v>
      </c>
      <c r="AH526" s="99">
        <v>8713.0869029793503</v>
      </c>
      <c r="AI526" s="99">
        <v>8333.0387451300012</v>
      </c>
      <c r="AJ526" s="99">
        <v>9667.1287950399983</v>
      </c>
      <c r="AK526" s="99">
        <v>12009.61465103</v>
      </c>
      <c r="AL526" s="99">
        <v>11648.78512</v>
      </c>
      <c r="AM526" s="99">
        <v>12283.96372</v>
      </c>
      <c r="AN526" s="99">
        <v>10391.2706616</v>
      </c>
      <c r="AO526" s="99">
        <v>10247.139914380001</v>
      </c>
      <c r="AP526" s="99">
        <v>12998.585836439999</v>
      </c>
    </row>
    <row r="527" spans="1:42" ht="14.45" customHeight="1" x14ac:dyDescent="0.25">
      <c r="A527" s="283"/>
      <c r="B527" s="284"/>
      <c r="C527" s="285"/>
      <c r="D527" s="285"/>
      <c r="E527" s="285"/>
      <c r="F527" s="286"/>
      <c r="G527" s="286"/>
      <c r="H527" s="285"/>
      <c r="I527" s="285"/>
      <c r="J527" s="286"/>
      <c r="K527" s="286"/>
      <c r="L527" s="285"/>
      <c r="M527" s="285"/>
      <c r="N527" s="286"/>
      <c r="O527" s="286"/>
      <c r="P527" s="285"/>
      <c r="Q527" s="285"/>
      <c r="R527" s="286"/>
      <c r="S527" s="286"/>
      <c r="T527" s="285"/>
      <c r="U527" s="285"/>
      <c r="V527" s="286"/>
      <c r="W527" s="286"/>
      <c r="X527" s="285"/>
      <c r="Y527" s="285"/>
      <c r="Z527" s="286"/>
      <c r="AA527" s="286"/>
      <c r="AB527" s="285"/>
      <c r="AC527" s="285"/>
      <c r="AD527" s="286"/>
      <c r="AE527" s="286"/>
      <c r="AF527" s="285"/>
      <c r="AG527" s="285"/>
      <c r="AH527" s="286"/>
      <c r="AI527" s="286"/>
      <c r="AJ527" s="285"/>
      <c r="AK527" s="285"/>
      <c r="AL527" s="286"/>
      <c r="AM527" s="286"/>
      <c r="AN527" s="285"/>
      <c r="AO527" s="285"/>
      <c r="AP527" s="286"/>
    </row>
    <row r="528" spans="1:42" ht="14.45" customHeight="1" x14ac:dyDescent="0.25">
      <c r="A528" s="287" t="s">
        <v>566</v>
      </c>
      <c r="B528" s="284"/>
      <c r="C528" s="285"/>
      <c r="D528" s="285"/>
      <c r="E528" s="285"/>
      <c r="F528" s="286"/>
      <c r="G528" s="286"/>
      <c r="H528" s="285"/>
      <c r="I528" s="285"/>
      <c r="J528" s="286"/>
      <c r="K528" s="286"/>
      <c r="L528" s="285"/>
      <c r="M528" s="285"/>
      <c r="N528" s="286"/>
      <c r="O528" s="286"/>
      <c r="P528" s="285"/>
      <c r="Q528" s="285"/>
      <c r="R528" s="286"/>
      <c r="S528" s="286"/>
      <c r="T528" s="285"/>
      <c r="U528" s="285"/>
      <c r="V528" s="286"/>
      <c r="W528" s="286"/>
      <c r="X528" s="285"/>
      <c r="Y528" s="285"/>
      <c r="Z528" s="286"/>
      <c r="AA528" s="286"/>
      <c r="AB528" s="285"/>
      <c r="AC528" s="285"/>
      <c r="AD528" s="286"/>
      <c r="AE528" s="286"/>
      <c r="AF528" s="285"/>
      <c r="AG528" s="285"/>
      <c r="AH528" s="286"/>
      <c r="AI528" s="286"/>
      <c r="AJ528" s="285"/>
      <c r="AK528" s="285"/>
      <c r="AL528" s="286"/>
      <c r="AM528" s="286"/>
      <c r="AN528" s="285"/>
      <c r="AO528" s="285"/>
      <c r="AP528" s="286"/>
    </row>
    <row r="529" spans="1:42" ht="14.45" customHeight="1" x14ac:dyDescent="0.25">
      <c r="A529" s="287" t="s">
        <v>567</v>
      </c>
      <c r="B529" s="284"/>
      <c r="C529" s="285"/>
      <c r="D529" s="285"/>
      <c r="E529" s="285"/>
      <c r="F529" s="286"/>
      <c r="G529" s="286"/>
      <c r="H529" s="285"/>
      <c r="I529" s="285"/>
      <c r="J529" s="286"/>
      <c r="K529" s="286"/>
      <c r="L529" s="285"/>
      <c r="M529" s="285"/>
      <c r="N529" s="286"/>
      <c r="O529" s="286"/>
      <c r="P529" s="285"/>
      <c r="Q529" s="285"/>
      <c r="R529" s="286"/>
      <c r="S529" s="286"/>
      <c r="T529" s="285"/>
      <c r="U529" s="285"/>
      <c r="V529" s="286"/>
      <c r="W529" s="286"/>
      <c r="X529" s="285"/>
      <c r="Y529" s="285"/>
      <c r="Z529" s="286"/>
      <c r="AA529" s="286"/>
      <c r="AB529" s="285"/>
      <c r="AC529" s="285"/>
      <c r="AD529" s="286"/>
      <c r="AE529" s="286"/>
      <c r="AF529" s="285"/>
      <c r="AG529" s="285"/>
      <c r="AH529" s="286"/>
      <c r="AI529" s="286"/>
      <c r="AJ529" s="285"/>
      <c r="AK529" s="285"/>
      <c r="AL529" s="286"/>
      <c r="AM529" s="286"/>
      <c r="AN529" s="285"/>
      <c r="AO529" s="285"/>
      <c r="AP529" s="286"/>
    </row>
    <row r="530" spans="1:42" ht="14.45" customHeight="1" x14ac:dyDescent="0.25">
      <c r="A530" s="287" t="s">
        <v>568</v>
      </c>
      <c r="B530" s="284"/>
      <c r="C530" s="285"/>
      <c r="D530" s="285"/>
      <c r="E530" s="285"/>
      <c r="F530" s="286"/>
      <c r="G530" s="286"/>
      <c r="H530" s="285"/>
      <c r="I530" s="285"/>
      <c r="J530" s="286"/>
      <c r="K530" s="286"/>
      <c r="L530" s="285"/>
      <c r="M530" s="285"/>
      <c r="N530" s="286"/>
      <c r="O530" s="286"/>
      <c r="P530" s="285"/>
      <c r="Q530" s="285"/>
      <c r="R530" s="286"/>
      <c r="S530" s="286"/>
      <c r="T530" s="285"/>
      <c r="U530" s="285"/>
      <c r="V530" s="286"/>
      <c r="W530" s="286"/>
      <c r="X530" s="285"/>
      <c r="Y530" s="285"/>
      <c r="Z530" s="286"/>
      <c r="AA530" s="286"/>
      <c r="AB530" s="285"/>
      <c r="AC530" s="285"/>
      <c r="AD530" s="286"/>
      <c r="AE530" s="286"/>
      <c r="AF530" s="285"/>
      <c r="AG530" s="285"/>
      <c r="AH530" s="286"/>
      <c r="AI530" s="286"/>
      <c r="AJ530" s="285"/>
      <c r="AK530" s="285"/>
      <c r="AL530" s="286"/>
      <c r="AM530" s="286"/>
      <c r="AN530" s="285"/>
      <c r="AO530" s="285"/>
      <c r="AP530" s="286"/>
    </row>
    <row r="531" spans="1:42" ht="14.45" customHeight="1" x14ac:dyDescent="0.25">
      <c r="A531" s="288" t="s">
        <v>569</v>
      </c>
      <c r="B531" s="80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23"/>
    </row>
    <row r="532" spans="1:42" ht="14.45" customHeight="1" x14ac:dyDescent="0.25">
      <c r="A532" s="288" t="s">
        <v>570</v>
      </c>
      <c r="B532" s="80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23"/>
    </row>
    <row r="533" spans="1:42" ht="14.45" customHeight="1" x14ac:dyDescent="0.25">
      <c r="A533" s="170"/>
      <c r="B533" s="80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</row>
    <row r="534" spans="1:42" ht="14.45" customHeight="1" x14ac:dyDescent="0.25">
      <c r="A534" s="289" t="s">
        <v>571</v>
      </c>
      <c r="B534" s="290"/>
      <c r="C534" s="291">
        <v>17.559982999999999</v>
      </c>
      <c r="D534" s="291">
        <v>16.295313</v>
      </c>
      <c r="E534" s="291">
        <v>15.418044999999999</v>
      </c>
      <c r="F534" s="291">
        <v>17.475086000000001</v>
      </c>
      <c r="G534" s="291">
        <v>20.103960000000001</v>
      </c>
      <c r="H534" s="291">
        <v>23.309546999999998</v>
      </c>
      <c r="I534" s="291">
        <v>23.814049000000001</v>
      </c>
      <c r="J534" s="291">
        <v>22.201985000000001</v>
      </c>
      <c r="K534" s="291">
        <v>20.617243999999999</v>
      </c>
      <c r="L534" s="291">
        <v>17.346277000000001</v>
      </c>
      <c r="M534" s="291">
        <v>18.224519999999998</v>
      </c>
      <c r="N534" s="291">
        <v>21.365703</v>
      </c>
      <c r="O534" s="291">
        <v>28.08719</v>
      </c>
      <c r="P534" s="291">
        <v>39.019365000000001</v>
      </c>
      <c r="Q534" s="291">
        <v>35.999184</v>
      </c>
      <c r="R534" s="291">
        <v>29.977364000000001</v>
      </c>
      <c r="S534" s="291">
        <v>28.201360999999999</v>
      </c>
      <c r="T534" s="291">
        <v>24.704978000000001</v>
      </c>
      <c r="U534" s="291">
        <v>27.597325000000001</v>
      </c>
      <c r="V534" s="291">
        <v>26.596128</v>
      </c>
      <c r="W534" s="291">
        <v>30.172529000000001</v>
      </c>
      <c r="X534" s="291">
        <v>44.005834</v>
      </c>
      <c r="Y534" s="291">
        <v>40.737794000000001</v>
      </c>
      <c r="Z534" s="291">
        <v>60.422148999999997</v>
      </c>
      <c r="AA534" s="291">
        <v>61.064242</v>
      </c>
      <c r="AB534" s="291">
        <v>62.040067999999998</v>
      </c>
      <c r="AC534" s="291">
        <v>56.961871000000002</v>
      </c>
      <c r="AD534" s="291">
        <v>52.833153000000003</v>
      </c>
      <c r="AE534" s="291">
        <v>56.875314000000003</v>
      </c>
      <c r="AF534" s="291">
        <v>67.955673000000004</v>
      </c>
      <c r="AG534" s="291">
        <v>72.802287000000007</v>
      </c>
      <c r="AH534" s="291">
        <v>93.162581000000003</v>
      </c>
      <c r="AI534" s="291">
        <v>91.784284999999997</v>
      </c>
      <c r="AJ534" s="291">
        <v>108.5</v>
      </c>
      <c r="AK534" s="291">
        <v>135.59899999999999</v>
      </c>
      <c r="AL534" s="291">
        <v>134.49600000000001</v>
      </c>
      <c r="AM534" s="291">
        <v>145.846</v>
      </c>
      <c r="AN534" s="291">
        <v>141.6</v>
      </c>
      <c r="AO534" s="291">
        <v>124.15</v>
      </c>
      <c r="AP534" s="291">
        <v>168.08</v>
      </c>
    </row>
    <row r="535" spans="1:42" ht="14.45" customHeight="1" x14ac:dyDescent="0.25">
      <c r="A535" s="289" t="s">
        <v>572</v>
      </c>
      <c r="B535" s="290"/>
      <c r="C535" s="291">
        <v>15.174089</v>
      </c>
      <c r="D535" s="291">
        <v>11.883604999999999</v>
      </c>
      <c r="E535" s="291">
        <v>13.81086</v>
      </c>
      <c r="F535" s="291">
        <v>13.690834000000001</v>
      </c>
      <c r="G535" s="291">
        <v>16.052332</v>
      </c>
      <c r="H535" s="291">
        <v>19.386728000000002</v>
      </c>
      <c r="I535" s="291">
        <v>19.774131000000001</v>
      </c>
      <c r="J535" s="291">
        <v>19.113496999999999</v>
      </c>
      <c r="K535" s="291">
        <v>16.549026999999999</v>
      </c>
      <c r="L535" s="291">
        <v>12.342243</v>
      </c>
      <c r="M535" s="291">
        <v>12.955061000000001</v>
      </c>
      <c r="N535" s="291">
        <v>15.721527</v>
      </c>
      <c r="O535" s="291">
        <v>17.309194999999999</v>
      </c>
      <c r="P535" s="291">
        <v>27.401184000000001</v>
      </c>
      <c r="Q535" s="291">
        <v>27.350441</v>
      </c>
      <c r="R535" s="291">
        <v>25.57639</v>
      </c>
      <c r="S535" s="291">
        <v>18.791474999999998</v>
      </c>
      <c r="T535" s="291">
        <v>18.939800000000002</v>
      </c>
      <c r="U535" s="291">
        <v>21.760912000000001</v>
      </c>
      <c r="V535" s="291">
        <v>22.089765</v>
      </c>
      <c r="W535" s="291">
        <v>24.825005000000001</v>
      </c>
      <c r="X535" s="291">
        <v>27.919347999999999</v>
      </c>
      <c r="Y535" s="291">
        <v>37.253120000000003</v>
      </c>
      <c r="Z535" s="291">
        <v>38.058176000000003</v>
      </c>
      <c r="AA535" s="291">
        <v>43.170527</v>
      </c>
      <c r="AB535" s="291">
        <v>43.082703000000002</v>
      </c>
      <c r="AC535" s="291">
        <v>39.984456000000002</v>
      </c>
      <c r="AD535" s="291">
        <v>41.862921</v>
      </c>
      <c r="AE535" s="291">
        <v>46.513705999999999</v>
      </c>
      <c r="AF535" s="291">
        <v>51.033264000000003</v>
      </c>
      <c r="AG535" s="291">
        <v>60.372101000000001</v>
      </c>
      <c r="AH535" s="291">
        <v>61.01511</v>
      </c>
      <c r="AI535" s="291">
        <v>81.022000000000006</v>
      </c>
      <c r="AJ535" s="291">
        <v>80.102000000000004</v>
      </c>
      <c r="AK535" s="291">
        <v>106.63200000000001</v>
      </c>
      <c r="AL535" s="291">
        <v>112.426</v>
      </c>
      <c r="AM535" s="291">
        <v>122.76</v>
      </c>
      <c r="AN535" s="291">
        <v>105.72</v>
      </c>
      <c r="AO535" s="291">
        <v>109.55</v>
      </c>
      <c r="AP535" s="291">
        <v>116.34</v>
      </c>
    </row>
    <row r="536" spans="1:42" ht="14.45" customHeight="1" x14ac:dyDescent="0.25">
      <c r="A536" s="289" t="s">
        <v>573</v>
      </c>
      <c r="B536" s="290"/>
      <c r="C536" s="291">
        <v>16.5839838709677</v>
      </c>
      <c r="D536" s="291">
        <v>14.240673546875</v>
      </c>
      <c r="E536" s="291">
        <v>14.438269904761899</v>
      </c>
      <c r="F536" s="291">
        <v>15.3046946984127</v>
      </c>
      <c r="G536" s="291">
        <v>17.3983733225806</v>
      </c>
      <c r="H536" s="291">
        <v>21.077245523809498</v>
      </c>
      <c r="I536" s="291">
        <v>21.5454946984127</v>
      </c>
      <c r="J536" s="291">
        <v>21.247031507936502</v>
      </c>
      <c r="K536" s="291">
        <v>18.6431011311475</v>
      </c>
      <c r="L536" s="291">
        <v>14.391766437499999</v>
      </c>
      <c r="M536" s="291">
        <v>15.6329128412698</v>
      </c>
      <c r="N536" s="291">
        <v>18.080554177419401</v>
      </c>
      <c r="O536" s="291">
        <v>22.2207935967742</v>
      </c>
      <c r="P536" s="291">
        <v>30.567645682539698</v>
      </c>
      <c r="Q536" s="291">
        <v>30.528117015873001</v>
      </c>
      <c r="R536" s="291">
        <v>27.3193543968254</v>
      </c>
      <c r="S536" s="291">
        <v>24.5656082096774</v>
      </c>
      <c r="T536" s="291">
        <v>22.7812695079365</v>
      </c>
      <c r="U536" s="291">
        <v>24.441489666666701</v>
      </c>
      <c r="V536" s="291">
        <v>24.750317567164199</v>
      </c>
      <c r="W536" s="291">
        <v>26.840966000000002</v>
      </c>
      <c r="X536" s="291">
        <v>34.62371228125</v>
      </c>
      <c r="Y536" s="291">
        <v>38.820807396825401</v>
      </c>
      <c r="Z536" s="291">
        <v>48.329221603174602</v>
      </c>
      <c r="AA536" s="291">
        <v>52.521074206349198</v>
      </c>
      <c r="AB536" s="291">
        <v>51.068749677419397</v>
      </c>
      <c r="AC536" s="291">
        <v>47.883640888888898</v>
      </c>
      <c r="AD536" s="291">
        <v>46.661427063491999</v>
      </c>
      <c r="AE536" s="291">
        <v>50.623219499999998</v>
      </c>
      <c r="AF536" s="291">
        <v>60.7168809516129</v>
      </c>
      <c r="AG536" s="291">
        <v>65.258637301587299</v>
      </c>
      <c r="AH536" s="291">
        <v>71.078933952380893</v>
      </c>
      <c r="AI536" s="291">
        <v>85.751637131147504</v>
      </c>
      <c r="AJ536" s="291">
        <v>92.554817460317494</v>
      </c>
      <c r="AK536" s="291">
        <v>122.383746031746</v>
      </c>
      <c r="AL536" s="291">
        <v>125.294461538462</v>
      </c>
      <c r="AM536" s="291">
        <v>134.40906779661</v>
      </c>
      <c r="AN536" s="291">
        <v>121.137</v>
      </c>
      <c r="AO536" s="291">
        <v>115.77412698412699</v>
      </c>
      <c r="AP536" s="291">
        <v>145.79303030303001</v>
      </c>
    </row>
    <row r="537" spans="1:42" ht="14.45" customHeight="1" x14ac:dyDescent="0.25">
      <c r="A537" s="289" t="s">
        <v>574</v>
      </c>
      <c r="B537" s="290"/>
      <c r="C537" s="292">
        <v>15.875707999999999</v>
      </c>
      <c r="D537" s="292">
        <v>14.131907</v>
      </c>
      <c r="E537" s="292">
        <v>14.457833000000001</v>
      </c>
      <c r="F537" s="292">
        <v>17.452642000000001</v>
      </c>
      <c r="G537" s="292">
        <v>20.103960000000001</v>
      </c>
      <c r="H537" s="292">
        <v>22.333722000000002</v>
      </c>
      <c r="I537" s="292">
        <v>21.053439000000001</v>
      </c>
      <c r="J537" s="292">
        <v>21.005623</v>
      </c>
      <c r="K537" s="292">
        <v>16.849582000000002</v>
      </c>
      <c r="L537" s="292">
        <v>13.186332</v>
      </c>
      <c r="M537" s="292">
        <v>17.78735</v>
      </c>
      <c r="N537" s="292">
        <v>17.520949999999999</v>
      </c>
      <c r="O537" s="292">
        <v>28.08719</v>
      </c>
      <c r="P537" s="292">
        <v>29.201582999999999</v>
      </c>
      <c r="Q537" s="292">
        <v>29.387965000000001</v>
      </c>
      <c r="R537" s="292">
        <v>28.65512</v>
      </c>
      <c r="S537" s="292">
        <v>19.625806000000001</v>
      </c>
      <c r="T537" s="292">
        <v>21.592093999999999</v>
      </c>
      <c r="U537" s="292">
        <v>23.435428999999999</v>
      </c>
      <c r="V537" s="292">
        <v>26.005754</v>
      </c>
      <c r="W537" s="292">
        <v>28.217949999999998</v>
      </c>
      <c r="X537" s="292">
        <v>38.755892000000003</v>
      </c>
      <c r="Y537" s="292">
        <v>38.465096000000003</v>
      </c>
      <c r="Z537" s="292">
        <v>60.198684999999998</v>
      </c>
      <c r="AA537" s="292">
        <v>48.483898000000003</v>
      </c>
      <c r="AB537" s="292">
        <v>56.115830000000003</v>
      </c>
      <c r="AC537" s="292">
        <v>40.881239999999998</v>
      </c>
      <c r="AD537" s="292">
        <v>49.997402999999998</v>
      </c>
      <c r="AE537" s="292">
        <v>52.341859999999997</v>
      </c>
      <c r="AF537" s="292">
        <v>62.766447999999997</v>
      </c>
      <c r="AG537" s="292">
        <v>63.165014999999997</v>
      </c>
      <c r="AH537" s="292">
        <v>91.140294999999995</v>
      </c>
      <c r="AI537" s="292">
        <v>84.641000000000005</v>
      </c>
      <c r="AJ537" s="292">
        <v>107.08799999999999</v>
      </c>
      <c r="AK537" s="292">
        <v>128.64099999999999</v>
      </c>
      <c r="AL537" s="292">
        <v>124</v>
      </c>
      <c r="AM537" s="292">
        <v>131.5</v>
      </c>
      <c r="AN537" s="292">
        <v>110.88</v>
      </c>
      <c r="AO537" s="292">
        <v>113.93</v>
      </c>
      <c r="AP537" s="292">
        <v>154.66</v>
      </c>
    </row>
    <row r="538" spans="1:42" ht="14.45" customHeight="1" x14ac:dyDescent="0.25">
      <c r="A538" s="293" t="s">
        <v>575</v>
      </c>
      <c r="B538" s="294"/>
      <c r="C538" s="295">
        <v>1</v>
      </c>
      <c r="D538" s="295">
        <v>1</v>
      </c>
      <c r="E538" s="295">
        <v>1</v>
      </c>
      <c r="F538" s="295">
        <v>1</v>
      </c>
      <c r="G538" s="295">
        <v>1</v>
      </c>
      <c r="H538" s="295">
        <v>1</v>
      </c>
      <c r="I538" s="295">
        <v>1</v>
      </c>
      <c r="J538" s="295">
        <v>1</v>
      </c>
      <c r="K538" s="295">
        <v>1</v>
      </c>
      <c r="L538" s="295">
        <v>1</v>
      </c>
      <c r="M538" s="295">
        <v>1</v>
      </c>
      <c r="N538" s="295">
        <v>1</v>
      </c>
      <c r="O538" s="295">
        <v>1</v>
      </c>
      <c r="P538" s="295">
        <v>1</v>
      </c>
      <c r="Q538" s="295">
        <v>1</v>
      </c>
      <c r="R538" s="295">
        <v>1</v>
      </c>
      <c r="S538" s="295">
        <v>1</v>
      </c>
      <c r="T538" s="295">
        <v>1</v>
      </c>
      <c r="U538" s="295">
        <v>1</v>
      </c>
      <c r="V538" s="295">
        <v>1</v>
      </c>
      <c r="W538" s="295">
        <v>1</v>
      </c>
      <c r="X538" s="295">
        <v>1</v>
      </c>
      <c r="Y538" s="295">
        <v>1</v>
      </c>
      <c r="Z538" s="295">
        <v>1</v>
      </c>
      <c r="AA538" s="295">
        <v>1</v>
      </c>
      <c r="AB538" s="295">
        <v>1</v>
      </c>
      <c r="AC538" s="295">
        <v>1</v>
      </c>
      <c r="AD538" s="295">
        <v>1</v>
      </c>
      <c r="AE538" s="295">
        <v>1</v>
      </c>
      <c r="AF538" s="295">
        <v>1</v>
      </c>
      <c r="AG538" s="295">
        <v>1</v>
      </c>
      <c r="AH538" s="295">
        <v>1</v>
      </c>
      <c r="AI538" s="295">
        <v>1</v>
      </c>
      <c r="AJ538" s="295">
        <v>1</v>
      </c>
      <c r="AK538" s="295">
        <v>1</v>
      </c>
      <c r="AL538" s="295">
        <v>1</v>
      </c>
      <c r="AM538" s="295">
        <v>1</v>
      </c>
      <c r="AN538" s="295">
        <v>1</v>
      </c>
      <c r="AO538" s="295">
        <v>1</v>
      </c>
      <c r="AP538" s="295">
        <v>1</v>
      </c>
    </row>
    <row r="539" spans="1:42" ht="14.45" customHeight="1" x14ac:dyDescent="0.25">
      <c r="A539" s="293" t="s">
        <v>576</v>
      </c>
      <c r="B539" s="294"/>
      <c r="C539" s="295">
        <v>1</v>
      </c>
      <c r="D539" s="295">
        <v>1</v>
      </c>
      <c r="E539" s="295">
        <v>1</v>
      </c>
      <c r="F539" s="295">
        <v>1</v>
      </c>
      <c r="G539" s="295">
        <v>1</v>
      </c>
      <c r="H539" s="295">
        <v>1</v>
      </c>
      <c r="I539" s="295">
        <v>1</v>
      </c>
      <c r="J539" s="295">
        <v>1</v>
      </c>
      <c r="K539" s="295">
        <v>1</v>
      </c>
      <c r="L539" s="295">
        <v>1</v>
      </c>
      <c r="M539" s="295">
        <v>1</v>
      </c>
      <c r="N539" s="295">
        <v>1</v>
      </c>
      <c r="O539" s="295">
        <v>1</v>
      </c>
      <c r="P539" s="295">
        <v>1</v>
      </c>
      <c r="Q539" s="295">
        <v>1</v>
      </c>
      <c r="R539" s="295">
        <v>1</v>
      </c>
      <c r="S539" s="295">
        <v>1</v>
      </c>
      <c r="T539" s="295">
        <v>1</v>
      </c>
      <c r="U539" s="295">
        <v>1</v>
      </c>
      <c r="V539" s="295">
        <v>1</v>
      </c>
      <c r="W539" s="295">
        <v>1</v>
      </c>
      <c r="X539" s="295">
        <v>1</v>
      </c>
      <c r="Y539" s="295">
        <v>1</v>
      </c>
      <c r="Z539" s="295">
        <v>1</v>
      </c>
      <c r="AA539" s="295">
        <v>1</v>
      </c>
      <c r="AB539" s="295">
        <v>1</v>
      </c>
      <c r="AC539" s="295">
        <v>1</v>
      </c>
      <c r="AD539" s="295">
        <v>1</v>
      </c>
      <c r="AE539" s="295">
        <v>1</v>
      </c>
      <c r="AF539" s="295">
        <v>1</v>
      </c>
      <c r="AG539" s="295">
        <v>1</v>
      </c>
      <c r="AH539" s="295">
        <v>1</v>
      </c>
      <c r="AI539" s="295">
        <v>1</v>
      </c>
      <c r="AJ539" s="295">
        <v>1</v>
      </c>
      <c r="AK539" s="295">
        <v>1</v>
      </c>
      <c r="AL539" s="295">
        <v>1</v>
      </c>
      <c r="AM539" s="295">
        <v>1</v>
      </c>
      <c r="AN539" s="295">
        <v>1</v>
      </c>
      <c r="AO539" s="295">
        <v>1</v>
      </c>
      <c r="AP539" s="295">
        <v>1</v>
      </c>
    </row>
    <row r="540" spans="1:42" ht="14.45" customHeight="1" x14ac:dyDescent="0.25">
      <c r="A540" s="289" t="s">
        <v>577</v>
      </c>
      <c r="B540" s="290"/>
      <c r="C540" s="291">
        <v>15.875707999999999</v>
      </c>
      <c r="D540" s="291">
        <v>14.131907</v>
      </c>
      <c r="E540" s="291">
        <v>14.457833000000001</v>
      </c>
      <c r="F540" s="291">
        <v>17.452642000000001</v>
      </c>
      <c r="G540" s="291">
        <v>20.103960000000001</v>
      </c>
      <c r="H540" s="291">
        <v>22.333722000000002</v>
      </c>
      <c r="I540" s="291">
        <v>21.053439000000001</v>
      </c>
      <c r="J540" s="291">
        <v>21.005623</v>
      </c>
      <c r="K540" s="291">
        <v>16.849582000000002</v>
      </c>
      <c r="L540" s="291">
        <v>13.186332</v>
      </c>
      <c r="M540" s="291">
        <v>17.78735</v>
      </c>
      <c r="N540" s="291">
        <v>17.520949999999999</v>
      </c>
      <c r="O540" s="291">
        <v>28.08719</v>
      </c>
      <c r="P540" s="291">
        <v>29.201582999999999</v>
      </c>
      <c r="Q540" s="291">
        <v>29.387965000000001</v>
      </c>
      <c r="R540" s="291">
        <v>28.65512</v>
      </c>
      <c r="S540" s="291">
        <v>19.625806000000001</v>
      </c>
      <c r="T540" s="291">
        <v>21.592093999999999</v>
      </c>
      <c r="U540" s="291">
        <v>23.435428999999999</v>
      </c>
      <c r="V540" s="291">
        <v>26.005754</v>
      </c>
      <c r="W540" s="291">
        <v>28.217949999999998</v>
      </c>
      <c r="X540" s="291">
        <v>38.755892000000003</v>
      </c>
      <c r="Y540" s="291">
        <v>38.465096000000003</v>
      </c>
      <c r="Z540" s="291">
        <v>60.198684999999998</v>
      </c>
      <c r="AA540" s="291">
        <v>48.483898000000003</v>
      </c>
      <c r="AB540" s="291">
        <v>56.115830000000003</v>
      </c>
      <c r="AC540" s="291">
        <v>40.881239999999998</v>
      </c>
      <c r="AD540" s="291">
        <v>49.997402999999998</v>
      </c>
      <c r="AE540" s="291">
        <v>52.341859999999997</v>
      </c>
      <c r="AF540" s="291">
        <v>62.766447999999997</v>
      </c>
      <c r="AG540" s="291">
        <v>63.165014999999997</v>
      </c>
      <c r="AH540" s="291">
        <v>91.140294999999995</v>
      </c>
      <c r="AI540" s="291">
        <v>84.641000000000005</v>
      </c>
      <c r="AJ540" s="291">
        <v>107.08799999999999</v>
      </c>
      <c r="AK540" s="291">
        <v>128.64099999999999</v>
      </c>
      <c r="AL540" s="291">
        <v>124</v>
      </c>
      <c r="AM540" s="291">
        <v>131.5</v>
      </c>
      <c r="AN540" s="291">
        <v>110.88</v>
      </c>
      <c r="AO540" s="291">
        <v>113.93</v>
      </c>
      <c r="AP540" s="291">
        <v>154.66</v>
      </c>
    </row>
    <row r="541" spans="1:42" ht="14.45" customHeight="1" x14ac:dyDescent="0.25">
      <c r="A541" s="189"/>
      <c r="B541" s="180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</row>
    <row r="542" spans="1:42" ht="14.45" customHeight="1" x14ac:dyDescent="0.25">
      <c r="A542" s="107" t="s">
        <v>578</v>
      </c>
      <c r="B542" s="211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</row>
    <row r="543" spans="1:42" ht="14.45" customHeight="1" x14ac:dyDescent="0.25">
      <c r="A543" s="96" t="s">
        <v>579</v>
      </c>
      <c r="B543" s="180"/>
      <c r="C543" s="99">
        <v>80.384</v>
      </c>
      <c r="D543" s="99">
        <v>82.055999999999997</v>
      </c>
      <c r="E543" s="99">
        <v>84.466999999999999</v>
      </c>
      <c r="F543" s="99">
        <v>85.893000000000001</v>
      </c>
      <c r="G543" s="99">
        <v>86.527000000000001</v>
      </c>
      <c r="H543" s="99">
        <v>87.76</v>
      </c>
      <c r="I543" s="99">
        <v>89.355000000000004</v>
      </c>
      <c r="J543" s="99">
        <v>92.204999999999998</v>
      </c>
      <c r="K543" s="99">
        <v>92.828000000000003</v>
      </c>
      <c r="L543" s="99">
        <v>94.013000000000005</v>
      </c>
      <c r="M543" s="99">
        <v>95.799000000000007</v>
      </c>
      <c r="N543" s="99">
        <v>96.978999999999999</v>
      </c>
      <c r="O543" s="99">
        <v>98.231999999999999</v>
      </c>
      <c r="P543" s="99">
        <v>99.718000000000004</v>
      </c>
      <c r="Q543" s="99">
        <v>102.258</v>
      </c>
      <c r="R543" s="99">
        <v>104.164</v>
      </c>
      <c r="S543" s="99">
        <v>105.10299999999999</v>
      </c>
      <c r="T543" s="99">
        <v>108.14700000000001</v>
      </c>
      <c r="U543" s="99">
        <v>111.31699999999999</v>
      </c>
      <c r="V543" s="99">
        <v>0</v>
      </c>
      <c r="W543" s="99">
        <v>0</v>
      </c>
      <c r="X543" s="99">
        <v>0</v>
      </c>
      <c r="Y543" s="99">
        <v>0</v>
      </c>
      <c r="Z543" s="99">
        <v>0</v>
      </c>
      <c r="AA543" s="99">
        <v>0</v>
      </c>
      <c r="AB543" s="99">
        <v>0</v>
      </c>
      <c r="AC543" s="99">
        <v>0</v>
      </c>
      <c r="AD543" s="99">
        <v>0</v>
      </c>
      <c r="AE543" s="99">
        <v>0</v>
      </c>
      <c r="AF543" s="99">
        <v>0</v>
      </c>
      <c r="AG543" s="99">
        <v>0</v>
      </c>
      <c r="AH543" s="99">
        <v>0</v>
      </c>
      <c r="AI543" s="99">
        <v>0</v>
      </c>
      <c r="AJ543" s="99">
        <v>0</v>
      </c>
      <c r="AK543" s="99">
        <v>0</v>
      </c>
      <c r="AL543" s="99">
        <v>0</v>
      </c>
      <c r="AM543" s="99">
        <v>0</v>
      </c>
      <c r="AN543" s="99">
        <v>0</v>
      </c>
      <c r="AO543" s="99">
        <v>0</v>
      </c>
      <c r="AP543" s="99">
        <v>0</v>
      </c>
    </row>
    <row r="544" spans="1:42" ht="14.45" customHeight="1" x14ac:dyDescent="0.25">
      <c r="A544" s="96" t="s">
        <v>580</v>
      </c>
      <c r="B544" s="180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</row>
    <row r="545" spans="1:42" ht="14.45" customHeight="1" x14ac:dyDescent="0.25">
      <c r="A545" s="96" t="s">
        <v>581</v>
      </c>
      <c r="B545" s="180"/>
      <c r="C545" s="99">
        <v>115</v>
      </c>
      <c r="D545" s="99">
        <v>117.919</v>
      </c>
      <c r="E545" s="99">
        <v>106.874</v>
      </c>
      <c r="F545" s="99">
        <v>126.679</v>
      </c>
      <c r="G545" s="99">
        <v>126.473</v>
      </c>
      <c r="H545" s="99">
        <v>126.31399999999999</v>
      </c>
      <c r="I545" s="99">
        <v>99.834999999999994</v>
      </c>
      <c r="J545" s="99">
        <v>118.392</v>
      </c>
      <c r="K545" s="99">
        <v>118.489</v>
      </c>
      <c r="L545" s="99">
        <v>118.658</v>
      </c>
      <c r="M545" s="99">
        <v>98.738</v>
      </c>
      <c r="N545" s="99">
        <v>85.682000000000002</v>
      </c>
      <c r="O545" s="99">
        <v>85.370999999999995</v>
      </c>
      <c r="P545" s="99">
        <v>87.3</v>
      </c>
      <c r="Q545" s="99">
        <v>84.361000000000004</v>
      </c>
      <c r="R545" s="99">
        <v>114.831</v>
      </c>
      <c r="S545" s="99">
        <v>116.63500000000001</v>
      </c>
      <c r="T545" s="99">
        <v>117.839</v>
      </c>
      <c r="U545" s="99">
        <v>103.431</v>
      </c>
      <c r="V545" s="99">
        <v>113.325</v>
      </c>
      <c r="W545" s="99">
        <v>115.306</v>
      </c>
      <c r="X545" s="99">
        <v>116.44799999999999</v>
      </c>
      <c r="Y545" s="99">
        <v>110.58199999999999</v>
      </c>
      <c r="Z545" s="99">
        <v>93.391000000000005</v>
      </c>
      <c r="AA545" s="99">
        <v>96.397999999999996</v>
      </c>
      <c r="AB545" s="99">
        <v>99.491</v>
      </c>
      <c r="AC545" s="99">
        <v>76.375</v>
      </c>
      <c r="AD545" s="99">
        <v>60.323</v>
      </c>
      <c r="AE545" s="99">
        <v>62.853999999999999</v>
      </c>
      <c r="AF545" s="99">
        <v>55.783999999999999</v>
      </c>
      <c r="AG545" s="99">
        <v>53.293999999999997</v>
      </c>
      <c r="AH545" s="99">
        <v>60.613999999999997</v>
      </c>
      <c r="AI545" s="99">
        <v>60.779000000000003</v>
      </c>
      <c r="AJ545" s="99">
        <v>61.892000000000003</v>
      </c>
      <c r="AK545" s="99">
        <v>61.615000000000002</v>
      </c>
      <c r="AL545" s="99">
        <v>58.502000000000002</v>
      </c>
      <c r="AM545" s="99">
        <v>58.914000000000001</v>
      </c>
      <c r="AN545" s="99">
        <v>59.098999999999997</v>
      </c>
      <c r="AO545" s="99">
        <v>59.338000000000001</v>
      </c>
      <c r="AP545" s="99">
        <v>69.298000000000002</v>
      </c>
    </row>
    <row r="546" spans="1:42" ht="14.45" customHeight="1" x14ac:dyDescent="0.25">
      <c r="A546" s="191"/>
      <c r="B546" s="180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</row>
    <row r="547" spans="1:42" ht="14.45" customHeight="1" x14ac:dyDescent="0.25">
      <c r="A547" s="95" t="s">
        <v>582</v>
      </c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</row>
    <row r="548" spans="1:42" ht="14.45" customHeight="1" x14ac:dyDescent="0.25">
      <c r="A548" s="135" t="s">
        <v>88</v>
      </c>
      <c r="B548" s="211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</row>
    <row r="549" spans="1:42" ht="14.45" customHeight="1" x14ac:dyDescent="0.25">
      <c r="A549" s="125" t="s">
        <v>583</v>
      </c>
      <c r="B549" s="180"/>
      <c r="C549" s="98">
        <v>-9.0329999999999995</v>
      </c>
      <c r="D549" s="98">
        <v>8.2910000000000004</v>
      </c>
      <c r="E549" s="98">
        <v>33.844000000000001</v>
      </c>
      <c r="F549" s="63">
        <v>56.662999999999997</v>
      </c>
      <c r="G549" s="98">
        <v>-4.4169999999999998</v>
      </c>
      <c r="H549" s="98">
        <v>3.1640000000000001</v>
      </c>
      <c r="I549" s="98">
        <v>22.074999999999999</v>
      </c>
      <c r="J549" s="63">
        <v>102.84699999999999</v>
      </c>
      <c r="K549" s="98">
        <v>-13.561999999999999</v>
      </c>
      <c r="L549" s="98">
        <v>-16.309999999999999</v>
      </c>
      <c r="M549" s="98">
        <v>10.64</v>
      </c>
      <c r="N549" s="63">
        <v>-15.156000000000001</v>
      </c>
      <c r="O549" s="98">
        <v>-5.5780000000000003</v>
      </c>
      <c r="P549" s="98">
        <v>11.278</v>
      </c>
      <c r="Q549" s="98">
        <v>26.824000000000002</v>
      </c>
      <c r="R549" s="63">
        <v>18.559999999999999</v>
      </c>
      <c r="S549" s="98">
        <v>15.601000000000001</v>
      </c>
      <c r="T549" s="98">
        <v>58.213999999999999</v>
      </c>
      <c r="U549" s="98">
        <v>113.268</v>
      </c>
      <c r="V549" s="63">
        <v>182.09700000000001</v>
      </c>
      <c r="W549" s="98">
        <v>53.363</v>
      </c>
      <c r="X549" s="98">
        <v>101.54300000000001</v>
      </c>
      <c r="Y549" s="98">
        <v>170.47300000000001</v>
      </c>
      <c r="Z549" s="63">
        <v>189.58</v>
      </c>
      <c r="AA549" s="98">
        <v>93.39</v>
      </c>
      <c r="AB549" s="98">
        <v>192.952</v>
      </c>
      <c r="AC549" s="98">
        <v>311.71300000000002</v>
      </c>
      <c r="AD549" s="63">
        <v>430.15800000000002</v>
      </c>
      <c r="AE549" s="98">
        <v>118.127</v>
      </c>
      <c r="AF549" s="98">
        <v>240.446</v>
      </c>
      <c r="AG549" s="98">
        <v>332.53899999999999</v>
      </c>
      <c r="AH549" s="63">
        <v>408.375</v>
      </c>
      <c r="AI549" s="98">
        <v>165.74100000000001</v>
      </c>
      <c r="AJ549" s="98">
        <v>338.553</v>
      </c>
      <c r="AK549" s="98">
        <v>454.17700000000002</v>
      </c>
      <c r="AL549" s="63">
        <v>633.125</v>
      </c>
      <c r="AM549" s="98">
        <v>103.611</v>
      </c>
      <c r="AN549" s="98">
        <v>290.99799999999999</v>
      </c>
      <c r="AO549" s="98">
        <v>433.33199999999999</v>
      </c>
      <c r="AP549" s="63">
        <v>570.58199999999999</v>
      </c>
    </row>
    <row r="550" spans="1:42" ht="14.45" customHeight="1" x14ac:dyDescent="0.25">
      <c r="A550" s="125" t="s">
        <v>584</v>
      </c>
      <c r="B550" s="180"/>
      <c r="C550" s="98">
        <v>23.363</v>
      </c>
      <c r="D550" s="98">
        <v>49.902000000000001</v>
      </c>
      <c r="E550" s="98">
        <v>79.899000000000001</v>
      </c>
      <c r="F550" s="63">
        <v>111.613</v>
      </c>
      <c r="G550" s="98">
        <v>32.987000000000002</v>
      </c>
      <c r="H550" s="98">
        <v>70.33</v>
      </c>
      <c r="I550" s="98">
        <v>108.697</v>
      </c>
      <c r="J550" s="63">
        <v>150.422</v>
      </c>
      <c r="K550" s="98">
        <v>41.572000000000003</v>
      </c>
      <c r="L550" s="98">
        <v>82.658000000000001</v>
      </c>
      <c r="M550" s="98">
        <v>123.542</v>
      </c>
      <c r="N550" s="63">
        <v>164.50200000000001</v>
      </c>
      <c r="O550" s="98">
        <v>39.978999999999999</v>
      </c>
      <c r="P550" s="98">
        <v>79.316000000000003</v>
      </c>
      <c r="Q550" s="98">
        <v>119.145</v>
      </c>
      <c r="R550" s="63">
        <v>156.886</v>
      </c>
      <c r="S550" s="98">
        <v>37.798999999999999</v>
      </c>
      <c r="T550" s="98">
        <v>74.878</v>
      </c>
      <c r="U550" s="98">
        <v>117.203</v>
      </c>
      <c r="V550" s="63">
        <v>155.93600000000001</v>
      </c>
      <c r="W550" s="98">
        <v>37.716000000000001</v>
      </c>
      <c r="X550" s="98">
        <v>76.263999999999996</v>
      </c>
      <c r="Y550" s="98">
        <v>117.91</v>
      </c>
      <c r="Z550" s="63">
        <v>157.32</v>
      </c>
      <c r="AA550" s="98">
        <v>37.360999999999997</v>
      </c>
      <c r="AB550" s="98">
        <v>74.037000000000006</v>
      </c>
      <c r="AC550" s="98">
        <v>110.661</v>
      </c>
      <c r="AD550" s="63">
        <v>147.96199999999999</v>
      </c>
      <c r="AE550" s="98">
        <v>37.600999999999999</v>
      </c>
      <c r="AF550" s="98">
        <v>75.415000000000006</v>
      </c>
      <c r="AG550" s="98">
        <v>113.664</v>
      </c>
      <c r="AH550" s="63">
        <v>153.47200000000001</v>
      </c>
      <c r="AI550" s="98">
        <v>40.887999999999998</v>
      </c>
      <c r="AJ550" s="98">
        <v>82.683999999999997</v>
      </c>
      <c r="AK550" s="98">
        <v>125.593</v>
      </c>
      <c r="AL550" s="63">
        <v>170.34299999999999</v>
      </c>
      <c r="AM550" s="98">
        <v>47.511000000000003</v>
      </c>
      <c r="AN550" s="98">
        <v>96.412999999999997</v>
      </c>
      <c r="AO550" s="98">
        <v>145.637</v>
      </c>
      <c r="AP550" s="63">
        <v>195.08099999999999</v>
      </c>
    </row>
    <row r="551" spans="1:42" ht="14.45" customHeight="1" x14ac:dyDescent="0.25">
      <c r="A551" s="125" t="s">
        <v>585</v>
      </c>
      <c r="B551" s="180"/>
      <c r="C551" s="98">
        <v>1.026</v>
      </c>
      <c r="D551" s="98">
        <v>2.427</v>
      </c>
      <c r="E551" s="98">
        <v>3.4870000000000001</v>
      </c>
      <c r="F551" s="63">
        <v>5.01</v>
      </c>
      <c r="G551" s="98">
        <v>1.994</v>
      </c>
      <c r="H551" s="98">
        <v>6.7169999999999996</v>
      </c>
      <c r="I551" s="98">
        <v>11.596</v>
      </c>
      <c r="J551" s="63">
        <v>18.419</v>
      </c>
      <c r="K551" s="98">
        <v>5.6479999999999997</v>
      </c>
      <c r="L551" s="98">
        <v>11.249000000000001</v>
      </c>
      <c r="M551" s="98">
        <v>16.954000000000001</v>
      </c>
      <c r="N551" s="63">
        <v>22.754000000000001</v>
      </c>
      <c r="O551" s="98">
        <v>5.7930000000000001</v>
      </c>
      <c r="P551" s="98">
        <v>11.512</v>
      </c>
      <c r="Q551" s="98">
        <v>17.271000000000001</v>
      </c>
      <c r="R551" s="63">
        <v>23.03</v>
      </c>
      <c r="S551" s="98">
        <v>5.76</v>
      </c>
      <c r="T551" s="98">
        <v>11.518000000000001</v>
      </c>
      <c r="U551" s="98">
        <v>17.286000000000001</v>
      </c>
      <c r="V551" s="63">
        <v>23.081</v>
      </c>
      <c r="W551" s="98">
        <v>5.81</v>
      </c>
      <c r="X551" s="98">
        <v>11.619</v>
      </c>
      <c r="Y551" s="98">
        <v>17.431000000000001</v>
      </c>
      <c r="Z551" s="63">
        <v>23.245000000000001</v>
      </c>
      <c r="AA551" s="98">
        <v>5.9080000000000004</v>
      </c>
      <c r="AB551" s="98">
        <v>11.815</v>
      </c>
      <c r="AC551" s="98">
        <v>17.722000000000001</v>
      </c>
      <c r="AD551" s="63">
        <v>23.628</v>
      </c>
      <c r="AE551" s="98">
        <v>5.9080000000000004</v>
      </c>
      <c r="AF551" s="98">
        <v>11.77</v>
      </c>
      <c r="AG551" s="98">
        <v>17.632000000000001</v>
      </c>
      <c r="AH551" s="63">
        <v>23.494</v>
      </c>
      <c r="AI551" s="98">
        <v>5.8630000000000004</v>
      </c>
      <c r="AJ551" s="98">
        <v>11.725</v>
      </c>
      <c r="AK551" s="98">
        <v>17.585999999999999</v>
      </c>
      <c r="AL551" s="63">
        <v>23.448</v>
      </c>
      <c r="AM551" s="98">
        <v>5.8620000000000001</v>
      </c>
      <c r="AN551" s="98">
        <v>11.725</v>
      </c>
      <c r="AO551" s="98">
        <v>17.587</v>
      </c>
      <c r="AP551" s="63">
        <v>23.449000000000002</v>
      </c>
    </row>
    <row r="552" spans="1:42" ht="14.45" customHeight="1" x14ac:dyDescent="0.25">
      <c r="A552" s="125" t="s">
        <v>399</v>
      </c>
      <c r="B552" s="180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98">
        <v>39.777000000000001</v>
      </c>
      <c r="AG552" s="98">
        <v>117.096</v>
      </c>
      <c r="AH552" s="63">
        <v>112.79600000000001</v>
      </c>
      <c r="AI552" s="63"/>
      <c r="AJ552" s="63"/>
      <c r="AK552" s="63"/>
      <c r="AL552" s="63">
        <v>0</v>
      </c>
      <c r="AM552" s="63"/>
      <c r="AN552" s="63"/>
      <c r="AO552" s="63"/>
      <c r="AP552" s="63">
        <v>0</v>
      </c>
    </row>
    <row r="553" spans="1:42" ht="14.45" customHeight="1" x14ac:dyDescent="0.25">
      <c r="A553" s="125" t="s">
        <v>586</v>
      </c>
      <c r="B553" s="180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98">
        <v>-18.739000000000001</v>
      </c>
      <c r="Z553" s="63">
        <v>-18.739000000000001</v>
      </c>
      <c r="AA553" s="63"/>
      <c r="AB553" s="63"/>
      <c r="AC553" s="98">
        <v>-18.739000000000001</v>
      </c>
      <c r="AD553" s="63">
        <v>-18.739000000000001</v>
      </c>
      <c r="AE553" s="63"/>
      <c r="AF553" s="63"/>
      <c r="AG553" s="63"/>
      <c r="AH553" s="63">
        <v>0</v>
      </c>
      <c r="AI553" s="63"/>
      <c r="AJ553" s="63"/>
      <c r="AK553" s="63"/>
      <c r="AL553" s="63">
        <v>0</v>
      </c>
      <c r="AM553" s="63"/>
      <c r="AN553" s="63"/>
      <c r="AO553" s="63"/>
      <c r="AP553" s="63">
        <v>0</v>
      </c>
    </row>
    <row r="554" spans="1:42" ht="14.45" customHeight="1" x14ac:dyDescent="0.25">
      <c r="A554" s="125" t="s">
        <v>587</v>
      </c>
      <c r="B554" s="180"/>
      <c r="C554" s="98">
        <v>-5.0780000000000003</v>
      </c>
      <c r="D554" s="98">
        <v>-1.476</v>
      </c>
      <c r="E554" s="98">
        <v>5.5090000000000003</v>
      </c>
      <c r="F554" s="63">
        <v>42.942</v>
      </c>
      <c r="G554" s="98">
        <v>-15.494999999999999</v>
      </c>
      <c r="H554" s="98">
        <v>-24.917999999999999</v>
      </c>
      <c r="I554" s="98">
        <v>-24.741</v>
      </c>
      <c r="J554" s="63">
        <v>-58.110999999999997</v>
      </c>
      <c r="K554" s="98">
        <v>-15.394</v>
      </c>
      <c r="L554" s="98">
        <v>-16.286000000000001</v>
      </c>
      <c r="M554" s="98">
        <v>9.9030000000000005</v>
      </c>
      <c r="N554" s="63">
        <v>9.3659999999999997</v>
      </c>
      <c r="O554" s="98">
        <v>-3.4449999999999998</v>
      </c>
      <c r="P554" s="98">
        <v>4.0170000000000003</v>
      </c>
      <c r="Q554" s="98">
        <v>5.2539999999999996</v>
      </c>
      <c r="R554" s="63">
        <v>3.9870000000000001</v>
      </c>
      <c r="S554" s="98">
        <v>5.91</v>
      </c>
      <c r="T554" s="98">
        <v>21.67</v>
      </c>
      <c r="U554" s="98">
        <v>5.3019999999999996</v>
      </c>
      <c r="V554" s="63">
        <v>8.7370000000000001</v>
      </c>
      <c r="W554" s="98">
        <v>19.98</v>
      </c>
      <c r="X554" s="98">
        <v>2.2930000000000001</v>
      </c>
      <c r="Y554" s="98">
        <v>10.907</v>
      </c>
      <c r="Z554" s="63">
        <v>-9.1829999999999998</v>
      </c>
      <c r="AA554" s="98">
        <v>33.130000000000003</v>
      </c>
      <c r="AB554" s="98">
        <v>11.189</v>
      </c>
      <c r="AC554" s="98">
        <v>10.749000000000001</v>
      </c>
      <c r="AD554" s="63">
        <v>8.9770000000000003</v>
      </c>
      <c r="AE554" s="98">
        <v>40.743000000000002</v>
      </c>
      <c r="AF554" s="98">
        <v>-7.8479999999999999</v>
      </c>
      <c r="AG554" s="98">
        <v>-34.881</v>
      </c>
      <c r="AH554" s="63">
        <v>-49.021000000000001</v>
      </c>
      <c r="AI554" s="98">
        <v>56.616</v>
      </c>
      <c r="AJ554" s="98">
        <v>2.2639999999999998</v>
      </c>
      <c r="AK554" s="98">
        <v>-18.03</v>
      </c>
      <c r="AL554" s="63">
        <v>2.5289999999999999</v>
      </c>
      <c r="AM554" s="98">
        <v>35.277999999999999</v>
      </c>
      <c r="AN554" s="98">
        <v>-15.984999999999999</v>
      </c>
      <c r="AO554" s="98">
        <v>0.52300000000000002</v>
      </c>
      <c r="AP554" s="63">
        <v>13.704000000000001</v>
      </c>
    </row>
    <row r="555" spans="1:42" ht="14.45" customHeight="1" x14ac:dyDescent="0.25">
      <c r="A555" s="125" t="s">
        <v>588</v>
      </c>
      <c r="B555" s="180"/>
      <c r="C555" s="98">
        <v>0.41699999999999998</v>
      </c>
      <c r="D555" s="98">
        <v>1.3560000000000001</v>
      </c>
      <c r="E555" s="98">
        <v>1.88</v>
      </c>
      <c r="F555" s="63">
        <v>2.8919999999999999</v>
      </c>
      <c r="G555" s="98">
        <v>0.81</v>
      </c>
      <c r="H555" s="98">
        <v>1.9750000000000001</v>
      </c>
      <c r="I555" s="98">
        <v>3.42</v>
      </c>
      <c r="J555" s="63">
        <v>4.492</v>
      </c>
      <c r="K555" s="98">
        <v>1.952</v>
      </c>
      <c r="L555" s="98">
        <v>4.2949999999999999</v>
      </c>
      <c r="M555" s="98">
        <v>6.1230000000000002</v>
      </c>
      <c r="N555" s="63">
        <v>7.1029999999999998</v>
      </c>
      <c r="O555" s="98">
        <v>1.8540000000000001</v>
      </c>
      <c r="P555" s="98">
        <v>4.3239999999999998</v>
      </c>
      <c r="Q555" s="98">
        <v>5.4740000000000002</v>
      </c>
      <c r="R555" s="63">
        <v>6.4980000000000002</v>
      </c>
      <c r="S555" s="98">
        <v>0.49099999999999999</v>
      </c>
      <c r="T555" s="98">
        <v>1.4159999999999999</v>
      </c>
      <c r="U555" s="98">
        <v>3.6560000000000001</v>
      </c>
      <c r="V555" s="63">
        <v>5.1870000000000003</v>
      </c>
      <c r="W555" s="98">
        <v>1.0980000000000001</v>
      </c>
      <c r="X555" s="98">
        <v>2.4569999999999999</v>
      </c>
      <c r="Y555" s="98">
        <v>4.0170000000000003</v>
      </c>
      <c r="Z555" s="63">
        <v>5.9210000000000003</v>
      </c>
      <c r="AA555" s="98">
        <v>0.439</v>
      </c>
      <c r="AB555" s="98">
        <v>1.327</v>
      </c>
      <c r="AC555" s="98">
        <v>2.855</v>
      </c>
      <c r="AD555" s="63">
        <v>5.6420000000000003</v>
      </c>
      <c r="AE555" s="98">
        <v>2.3889999999999998</v>
      </c>
      <c r="AF555" s="98">
        <v>4.1280000000000001</v>
      </c>
      <c r="AG555" s="98">
        <v>5.8630000000000004</v>
      </c>
      <c r="AH555" s="63">
        <v>7.181</v>
      </c>
      <c r="AI555" s="98">
        <v>0.67</v>
      </c>
      <c r="AJ555" s="98">
        <v>2.2570000000000001</v>
      </c>
      <c r="AK555" s="98">
        <v>4.0810000000000004</v>
      </c>
      <c r="AL555" s="63">
        <v>3.1680000000000001</v>
      </c>
      <c r="AM555" s="98">
        <v>1.369</v>
      </c>
      <c r="AN555" s="98">
        <v>-1.8560000000000001</v>
      </c>
      <c r="AO555" s="98">
        <v>-0.57999999999999996</v>
      </c>
      <c r="AP555" s="63">
        <v>0.64400000000000002</v>
      </c>
    </row>
    <row r="556" spans="1:42" ht="14.45" customHeight="1" x14ac:dyDescent="0.25">
      <c r="A556" s="125" t="s">
        <v>589</v>
      </c>
      <c r="B556" s="180"/>
      <c r="C556" s="63"/>
      <c r="D556" s="63"/>
      <c r="E556" s="63"/>
      <c r="F556" s="63"/>
      <c r="G556" s="98">
        <v>87.066000000000003</v>
      </c>
      <c r="H556" s="98">
        <v>87.066000000000003</v>
      </c>
      <c r="I556" s="98">
        <v>87.066000000000003</v>
      </c>
      <c r="J556" s="63">
        <v>91.45</v>
      </c>
      <c r="K556" s="63"/>
      <c r="L556" s="63"/>
      <c r="M556" s="63"/>
      <c r="N556" s="63">
        <v>0</v>
      </c>
      <c r="O556" s="63"/>
      <c r="P556" s="63"/>
      <c r="Q556" s="63"/>
      <c r="R556" s="63">
        <v>0</v>
      </c>
      <c r="S556" s="63"/>
      <c r="T556" s="63"/>
      <c r="U556" s="63"/>
      <c r="V556" s="63">
        <v>0</v>
      </c>
      <c r="W556" s="63"/>
      <c r="X556" s="63"/>
      <c r="Y556" s="63"/>
      <c r="Z556" s="63">
        <v>0</v>
      </c>
      <c r="AA556" s="63"/>
      <c r="AB556" s="63"/>
      <c r="AC556" s="63"/>
      <c r="AD556" s="63">
        <v>0</v>
      </c>
      <c r="AE556" s="63"/>
      <c r="AF556" s="63"/>
      <c r="AG556" s="63"/>
      <c r="AH556" s="63">
        <v>0</v>
      </c>
      <c r="AI556" s="63"/>
      <c r="AJ556" s="63"/>
      <c r="AK556" s="63"/>
      <c r="AL556" s="63">
        <v>0</v>
      </c>
      <c r="AM556" s="63"/>
      <c r="AN556" s="63"/>
      <c r="AO556" s="63"/>
      <c r="AP556" s="63">
        <v>0</v>
      </c>
    </row>
    <row r="557" spans="1:42" ht="14.45" customHeight="1" x14ac:dyDescent="0.25">
      <c r="A557" s="125" t="s">
        <v>590</v>
      </c>
      <c r="B557" s="180"/>
      <c r="C557" s="63"/>
      <c r="D557" s="63"/>
      <c r="E557" s="63"/>
      <c r="F557" s="63"/>
      <c r="G557" s="63"/>
      <c r="H557" s="63"/>
      <c r="I557" s="63"/>
      <c r="J557" s="63">
        <v>30.646999999999998</v>
      </c>
      <c r="K557" s="63"/>
      <c r="L557" s="63"/>
      <c r="M557" s="63"/>
      <c r="N557" s="63">
        <v>1.32</v>
      </c>
      <c r="O557" s="63"/>
      <c r="P557" s="63"/>
      <c r="Q557" s="63"/>
      <c r="R557" s="63">
        <v>0</v>
      </c>
      <c r="S557" s="63"/>
      <c r="T557" s="63"/>
      <c r="U557" s="63"/>
      <c r="V557" s="63">
        <v>0</v>
      </c>
      <c r="W557" s="63"/>
      <c r="X557" s="63"/>
      <c r="Y557" s="63"/>
      <c r="Z557" s="63">
        <v>0</v>
      </c>
      <c r="AA557" s="63"/>
      <c r="AB557" s="63"/>
      <c r="AC557" s="63"/>
      <c r="AD557" s="63">
        <v>0</v>
      </c>
      <c r="AE557" s="63"/>
      <c r="AF557" s="63"/>
      <c r="AG557" s="63"/>
      <c r="AH557" s="63">
        <v>0</v>
      </c>
      <c r="AI557" s="63"/>
      <c r="AJ557" s="63"/>
      <c r="AK557" s="63"/>
      <c r="AL557" s="63">
        <v>0</v>
      </c>
      <c r="AM557" s="63"/>
      <c r="AN557" s="63"/>
      <c r="AO557" s="63"/>
      <c r="AP557" s="63">
        <v>0</v>
      </c>
    </row>
    <row r="558" spans="1:42" ht="14.45" customHeight="1" x14ac:dyDescent="0.25">
      <c r="A558" s="125" t="s">
        <v>591</v>
      </c>
      <c r="B558" s="180"/>
      <c r="C558" s="98">
        <v>0</v>
      </c>
      <c r="D558" s="98">
        <v>0.38200000000000001</v>
      </c>
      <c r="E558" s="98">
        <v>0.38200000000000001</v>
      </c>
      <c r="F558" s="63">
        <v>0.38200000000000001</v>
      </c>
      <c r="G558" s="63"/>
      <c r="H558" s="63"/>
      <c r="I558" s="63"/>
      <c r="J558" s="63">
        <v>0</v>
      </c>
      <c r="K558" s="63"/>
      <c r="L558" s="63"/>
      <c r="M558" s="98">
        <v>0.29899999999999999</v>
      </c>
      <c r="N558" s="63">
        <v>0.45300000000000001</v>
      </c>
      <c r="O558" s="63"/>
      <c r="P558" s="98">
        <v>1.155</v>
      </c>
      <c r="Q558" s="98">
        <v>4.1440000000000001</v>
      </c>
      <c r="R558" s="63">
        <v>8.798</v>
      </c>
      <c r="S558" s="63"/>
      <c r="T558" s="98">
        <v>1.35</v>
      </c>
      <c r="U558" s="98">
        <v>7.9080000000000004</v>
      </c>
      <c r="V558" s="63">
        <v>8.0299999999999994</v>
      </c>
      <c r="W558" s="98">
        <v>0.5</v>
      </c>
      <c r="X558" s="98">
        <v>3.2</v>
      </c>
      <c r="Y558" s="98">
        <v>3.2</v>
      </c>
      <c r="Z558" s="63">
        <v>3.2</v>
      </c>
      <c r="AA558" s="63"/>
      <c r="AB558" s="98">
        <v>0</v>
      </c>
      <c r="AC558" s="63"/>
      <c r="AD558" s="63">
        <v>0</v>
      </c>
      <c r="AE558" s="63"/>
      <c r="AF558" s="63"/>
      <c r="AG558" s="63"/>
      <c r="AH558" s="63">
        <v>0</v>
      </c>
      <c r="AI558" s="63"/>
      <c r="AJ558" s="63"/>
      <c r="AK558" s="63"/>
      <c r="AL558" s="63">
        <v>0</v>
      </c>
      <c r="AM558" s="63"/>
      <c r="AN558" s="63"/>
      <c r="AO558" s="63"/>
      <c r="AP558" s="63">
        <v>0</v>
      </c>
    </row>
    <row r="559" spans="1:42" ht="14.45" customHeight="1" x14ac:dyDescent="0.25">
      <c r="A559" s="125" t="s">
        <v>400</v>
      </c>
      <c r="B559" s="180"/>
      <c r="C559" s="63"/>
      <c r="D559" s="98">
        <v>0.69199999999999995</v>
      </c>
      <c r="E559" s="98">
        <v>0.69199999999999995</v>
      </c>
      <c r="F559" s="63">
        <v>0.69199999999999995</v>
      </c>
      <c r="G559" s="63"/>
      <c r="H559" s="63"/>
      <c r="I559" s="63"/>
      <c r="J559" s="63">
        <v>-12.893000000000001</v>
      </c>
      <c r="K559" s="63"/>
      <c r="L559" s="63"/>
      <c r="M559" s="98">
        <v>-10.17</v>
      </c>
      <c r="N559" s="63">
        <v>-10.17</v>
      </c>
      <c r="O559" s="63"/>
      <c r="P559" s="63"/>
      <c r="Q559" s="63"/>
      <c r="R559" s="63">
        <v>0</v>
      </c>
      <c r="S559" s="63"/>
      <c r="T559" s="63"/>
      <c r="U559" s="63"/>
      <c r="V559" s="63">
        <v>0</v>
      </c>
      <c r="W559" s="63"/>
      <c r="X559" s="63"/>
      <c r="Y559" s="63"/>
      <c r="Z559" s="63">
        <v>0</v>
      </c>
      <c r="AA559" s="63"/>
      <c r="AB559" s="63"/>
      <c r="AC559" s="63"/>
      <c r="AD559" s="63">
        <v>0</v>
      </c>
      <c r="AE559" s="63"/>
      <c r="AF559" s="63"/>
      <c r="AG559" s="63"/>
      <c r="AH559" s="63">
        <v>0</v>
      </c>
      <c r="AI559" s="63"/>
      <c r="AJ559" s="63"/>
      <c r="AK559" s="63"/>
      <c r="AL559" s="63">
        <v>0</v>
      </c>
      <c r="AM559" s="63"/>
      <c r="AN559" s="63"/>
      <c r="AO559" s="63"/>
      <c r="AP559" s="63">
        <v>0</v>
      </c>
    </row>
    <row r="560" spans="1:42" ht="14.45" customHeight="1" x14ac:dyDescent="0.25">
      <c r="A560" s="125" t="s">
        <v>401</v>
      </c>
      <c r="B560" s="180"/>
      <c r="C560" s="63"/>
      <c r="D560" s="63"/>
      <c r="E560" s="63"/>
      <c r="F560" s="63">
        <v>0</v>
      </c>
      <c r="G560" s="63"/>
      <c r="H560" s="63"/>
      <c r="I560" s="63"/>
      <c r="J560" s="63">
        <v>0</v>
      </c>
      <c r="K560" s="63"/>
      <c r="L560" s="63"/>
      <c r="M560" s="63"/>
      <c r="N560" s="63">
        <v>0</v>
      </c>
      <c r="O560" s="63"/>
      <c r="P560" s="63"/>
      <c r="Q560" s="63"/>
      <c r="R560" s="63">
        <v>0</v>
      </c>
      <c r="S560" s="63"/>
      <c r="T560" s="63"/>
      <c r="U560" s="63"/>
      <c r="V560" s="63">
        <v>0</v>
      </c>
      <c r="W560" s="63"/>
      <c r="X560" s="63"/>
      <c r="Y560" s="63"/>
      <c r="Z560" s="63">
        <v>0</v>
      </c>
      <c r="AA560" s="63"/>
      <c r="AB560" s="63"/>
      <c r="AC560" s="63"/>
      <c r="AD560" s="63">
        <v>0</v>
      </c>
      <c r="AE560" s="63"/>
      <c r="AF560" s="63"/>
      <c r="AG560" s="63"/>
      <c r="AH560" s="63">
        <v>0</v>
      </c>
      <c r="AI560" s="63"/>
      <c r="AJ560" s="63"/>
      <c r="AK560" s="63"/>
      <c r="AL560" s="63">
        <v>0</v>
      </c>
      <c r="AM560" s="63"/>
      <c r="AN560" s="63"/>
      <c r="AO560" s="63"/>
      <c r="AP560" s="63">
        <v>0</v>
      </c>
    </row>
    <row r="561" spans="1:42" ht="14.45" customHeight="1" x14ac:dyDescent="0.25">
      <c r="A561" s="125" t="s">
        <v>436</v>
      </c>
      <c r="B561" s="180"/>
      <c r="C561" s="63"/>
      <c r="D561" s="63"/>
      <c r="E561" s="63"/>
      <c r="F561" s="63">
        <v>0</v>
      </c>
      <c r="G561" s="63"/>
      <c r="H561" s="63"/>
      <c r="I561" s="63"/>
      <c r="J561" s="63">
        <v>0</v>
      </c>
      <c r="K561" s="63"/>
      <c r="L561" s="63"/>
      <c r="M561" s="63"/>
      <c r="N561" s="63">
        <v>0</v>
      </c>
      <c r="O561" s="63"/>
      <c r="P561" s="63"/>
      <c r="Q561" s="63"/>
      <c r="R561" s="63">
        <v>0</v>
      </c>
      <c r="S561" s="63"/>
      <c r="T561" s="63"/>
      <c r="U561" s="63"/>
      <c r="V561" s="63">
        <v>0</v>
      </c>
      <c r="W561" s="63"/>
      <c r="X561" s="63"/>
      <c r="Y561" s="63"/>
      <c r="Z561" s="63">
        <v>0</v>
      </c>
      <c r="AA561" s="63"/>
      <c r="AB561" s="63"/>
      <c r="AC561" s="63"/>
      <c r="AD561" s="63">
        <v>0</v>
      </c>
      <c r="AE561" s="63"/>
      <c r="AF561" s="63"/>
      <c r="AG561" s="63"/>
      <c r="AH561" s="63">
        <v>0</v>
      </c>
      <c r="AI561" s="63"/>
      <c r="AJ561" s="63"/>
      <c r="AK561" s="63"/>
      <c r="AL561" s="63">
        <v>0</v>
      </c>
      <c r="AM561" s="63"/>
      <c r="AN561" s="63"/>
      <c r="AO561" s="63"/>
      <c r="AP561" s="63">
        <v>0</v>
      </c>
    </row>
    <row r="562" spans="1:42" ht="14.45" customHeight="1" x14ac:dyDescent="0.25">
      <c r="A562" s="125" t="s">
        <v>592</v>
      </c>
      <c r="B562" s="180"/>
      <c r="C562" s="98">
        <v>0.57499999999999996</v>
      </c>
      <c r="D562" s="98">
        <v>1.1659999999999999</v>
      </c>
      <c r="E562" s="98">
        <v>1.51</v>
      </c>
      <c r="F562" s="63">
        <v>1.855</v>
      </c>
      <c r="G562" s="98">
        <v>0.26800000000000002</v>
      </c>
      <c r="H562" s="98">
        <v>0.53700000000000003</v>
      </c>
      <c r="I562" s="98">
        <v>0.80600000000000005</v>
      </c>
      <c r="J562" s="63">
        <v>1.0820000000000001</v>
      </c>
      <c r="K562" s="98">
        <v>0.27600000000000002</v>
      </c>
      <c r="L562" s="98">
        <v>0.73</v>
      </c>
      <c r="M562" s="98">
        <v>1.103</v>
      </c>
      <c r="N562" s="63">
        <v>1.4770000000000001</v>
      </c>
      <c r="O562" s="98">
        <v>0.38500000000000001</v>
      </c>
      <c r="P562" s="98">
        <v>0.752</v>
      </c>
      <c r="Q562" s="98">
        <v>1.032</v>
      </c>
      <c r="R562" s="63">
        <v>1.3129999999999999</v>
      </c>
      <c r="S562" s="98">
        <v>0.22</v>
      </c>
      <c r="T562" s="98">
        <v>0.49399999999999999</v>
      </c>
      <c r="U562" s="98">
        <v>0.77800000000000002</v>
      </c>
      <c r="V562" s="63">
        <v>1.05</v>
      </c>
      <c r="W562" s="98">
        <v>0.27700000000000002</v>
      </c>
      <c r="X562" s="98">
        <v>0.54900000000000004</v>
      </c>
      <c r="Y562" s="98">
        <v>0.79</v>
      </c>
      <c r="Z562" s="63">
        <v>1.256</v>
      </c>
      <c r="AA562" s="98">
        <v>0.249</v>
      </c>
      <c r="AB562" s="98">
        <v>0.504</v>
      </c>
      <c r="AC562" s="98">
        <v>0.76800000000000002</v>
      </c>
      <c r="AD562" s="63">
        <v>1.012</v>
      </c>
      <c r="AE562" s="98">
        <v>0.246</v>
      </c>
      <c r="AF562" s="98">
        <v>0.49399999999999999</v>
      </c>
      <c r="AG562" s="98">
        <v>0.74199999999999999</v>
      </c>
      <c r="AH562" s="63">
        <v>0.99099999999999999</v>
      </c>
      <c r="AI562" s="98">
        <v>0.251</v>
      </c>
      <c r="AJ562" s="98">
        <v>0.68899999999999995</v>
      </c>
      <c r="AK562" s="98">
        <v>1.496</v>
      </c>
      <c r="AL562" s="63">
        <v>2.31</v>
      </c>
      <c r="AM562" s="98">
        <v>0.83499999999999996</v>
      </c>
      <c r="AN562" s="98">
        <v>1.663</v>
      </c>
      <c r="AO562" s="98">
        <v>2.4849999999999999</v>
      </c>
      <c r="AP562" s="63">
        <v>3.3460000000000001</v>
      </c>
    </row>
    <row r="563" spans="1:42" ht="14.45" customHeight="1" x14ac:dyDescent="0.25">
      <c r="A563" s="125" t="s">
        <v>593</v>
      </c>
      <c r="B563" s="180"/>
      <c r="C563" s="98">
        <v>1.627</v>
      </c>
      <c r="D563" s="98">
        <v>2.8959999999999999</v>
      </c>
      <c r="E563" s="98">
        <v>4.4450000000000003</v>
      </c>
      <c r="F563" s="63">
        <v>7.1539999999999999</v>
      </c>
      <c r="G563" s="98">
        <v>2.06</v>
      </c>
      <c r="H563" s="98">
        <v>4.577</v>
      </c>
      <c r="I563" s="98">
        <v>6.4729999999999999</v>
      </c>
      <c r="J563" s="63">
        <v>7.9219999999999997</v>
      </c>
      <c r="K563" s="98">
        <v>0.752</v>
      </c>
      <c r="L563" s="98">
        <v>1.728</v>
      </c>
      <c r="M563" s="98">
        <v>4.4939999999999998</v>
      </c>
      <c r="N563" s="63">
        <v>5.6059999999999999</v>
      </c>
      <c r="O563" s="98">
        <v>2.0449999999999999</v>
      </c>
      <c r="P563" s="98">
        <v>2.0449999999999999</v>
      </c>
      <c r="Q563" s="98">
        <v>2.0449999999999999</v>
      </c>
      <c r="R563" s="63">
        <v>2.0449999999999999</v>
      </c>
      <c r="S563" s="63"/>
      <c r="T563" s="63"/>
      <c r="U563" s="63"/>
      <c r="V563" s="63">
        <v>0</v>
      </c>
      <c r="W563" s="63"/>
      <c r="X563" s="63"/>
      <c r="Y563" s="63"/>
      <c r="Z563" s="63">
        <v>0</v>
      </c>
      <c r="AA563" s="63"/>
      <c r="AB563" s="63"/>
      <c r="AC563" s="63"/>
      <c r="AD563" s="63">
        <v>0</v>
      </c>
      <c r="AE563" s="63"/>
      <c r="AF563" s="63"/>
      <c r="AG563" s="63"/>
      <c r="AH563" s="63">
        <v>0</v>
      </c>
      <c r="AI563" s="63"/>
      <c r="AJ563" s="63"/>
      <c r="AK563" s="63"/>
      <c r="AL563" s="63">
        <v>0</v>
      </c>
      <c r="AM563" s="63"/>
      <c r="AN563" s="63"/>
      <c r="AO563" s="63"/>
      <c r="AP563" s="63">
        <v>0</v>
      </c>
    </row>
    <row r="564" spans="1:42" ht="14.45" customHeight="1" x14ac:dyDescent="0.25">
      <c r="A564" s="125" t="s">
        <v>594</v>
      </c>
      <c r="B564" s="180"/>
      <c r="C564" s="63"/>
      <c r="D564" s="63"/>
      <c r="E564" s="63"/>
      <c r="F564" s="63">
        <v>0</v>
      </c>
      <c r="G564" s="63"/>
      <c r="H564" s="63"/>
      <c r="I564" s="63"/>
      <c r="J564" s="63">
        <v>0</v>
      </c>
      <c r="K564" s="63"/>
      <c r="L564" s="63"/>
      <c r="M564" s="63"/>
      <c r="N564" s="63">
        <v>0</v>
      </c>
      <c r="O564" s="63"/>
      <c r="P564" s="63"/>
      <c r="Q564" s="63"/>
      <c r="R564" s="63">
        <v>0</v>
      </c>
      <c r="S564" s="63"/>
      <c r="T564" s="63"/>
      <c r="U564" s="63"/>
      <c r="V564" s="63">
        <v>0</v>
      </c>
      <c r="W564" s="63"/>
      <c r="X564" s="63"/>
      <c r="Y564" s="63"/>
      <c r="Z564" s="63">
        <v>0</v>
      </c>
      <c r="AA564" s="63"/>
      <c r="AB564" s="63"/>
      <c r="AC564" s="63"/>
      <c r="AD564" s="63">
        <v>0</v>
      </c>
      <c r="AE564" s="63"/>
      <c r="AF564" s="63"/>
      <c r="AG564" s="63"/>
      <c r="AH564" s="63">
        <v>0</v>
      </c>
      <c r="AI564" s="63"/>
      <c r="AJ564" s="63"/>
      <c r="AK564" s="63"/>
      <c r="AL564" s="63">
        <v>0</v>
      </c>
      <c r="AM564" s="63"/>
      <c r="AN564" s="63"/>
      <c r="AO564" s="63"/>
      <c r="AP564" s="63">
        <v>0</v>
      </c>
    </row>
    <row r="565" spans="1:42" ht="14.45" customHeight="1" x14ac:dyDescent="0.25">
      <c r="A565" s="125" t="s">
        <v>595</v>
      </c>
      <c r="B565" s="180"/>
      <c r="C565" s="63"/>
      <c r="D565" s="63"/>
      <c r="E565" s="63"/>
      <c r="F565" s="63">
        <v>0</v>
      </c>
      <c r="G565" s="63"/>
      <c r="H565" s="63"/>
      <c r="I565" s="63"/>
      <c r="J565" s="63">
        <v>0</v>
      </c>
      <c r="K565" s="63"/>
      <c r="L565" s="63"/>
      <c r="M565" s="63"/>
      <c r="N565" s="63">
        <v>0</v>
      </c>
      <c r="O565" s="63"/>
      <c r="P565" s="63"/>
      <c r="Q565" s="63"/>
      <c r="R565" s="63">
        <v>0</v>
      </c>
      <c r="S565" s="63"/>
      <c r="T565" s="63"/>
      <c r="U565" s="63"/>
      <c r="V565" s="63">
        <v>0</v>
      </c>
      <c r="W565" s="63"/>
      <c r="X565" s="63"/>
      <c r="Y565" s="63"/>
      <c r="Z565" s="63">
        <v>0</v>
      </c>
      <c r="AA565" s="63"/>
      <c r="AB565" s="63"/>
      <c r="AC565" s="63"/>
      <c r="AD565" s="63">
        <v>0</v>
      </c>
      <c r="AE565" s="63"/>
      <c r="AF565" s="63"/>
      <c r="AG565" s="63"/>
      <c r="AH565" s="63">
        <v>0</v>
      </c>
      <c r="AI565" s="63"/>
      <c r="AJ565" s="63"/>
      <c r="AK565" s="63"/>
      <c r="AL565" s="63">
        <v>0</v>
      </c>
      <c r="AM565" s="63"/>
      <c r="AN565" s="63"/>
      <c r="AO565" s="63"/>
      <c r="AP565" s="63">
        <v>0</v>
      </c>
    </row>
    <row r="566" spans="1:42" ht="14.45" customHeight="1" x14ac:dyDescent="0.25">
      <c r="A566" s="125" t="s">
        <v>596</v>
      </c>
      <c r="B566" s="180"/>
      <c r="C566" s="63"/>
      <c r="D566" s="63"/>
      <c r="E566" s="63"/>
      <c r="F566" s="63">
        <v>0</v>
      </c>
      <c r="G566" s="63"/>
      <c r="H566" s="63"/>
      <c r="I566" s="63"/>
      <c r="J566" s="63">
        <v>0</v>
      </c>
      <c r="K566" s="63"/>
      <c r="L566" s="63"/>
      <c r="M566" s="63"/>
      <c r="N566" s="63">
        <v>0</v>
      </c>
      <c r="O566" s="63"/>
      <c r="P566" s="63"/>
      <c r="Q566" s="63"/>
      <c r="R566" s="63">
        <v>0</v>
      </c>
      <c r="S566" s="63"/>
      <c r="T566" s="63"/>
      <c r="U566" s="63"/>
      <c r="V566" s="63">
        <v>0</v>
      </c>
      <c r="W566" s="63"/>
      <c r="X566" s="63"/>
      <c r="Y566" s="63"/>
      <c r="Z566" s="63">
        <v>0</v>
      </c>
      <c r="AA566" s="63"/>
      <c r="AB566" s="63"/>
      <c r="AC566" s="63"/>
      <c r="AD566" s="63">
        <v>0</v>
      </c>
      <c r="AE566" s="63"/>
      <c r="AF566" s="63"/>
      <c r="AG566" s="63"/>
      <c r="AH566" s="63">
        <v>0</v>
      </c>
      <c r="AI566" s="63"/>
      <c r="AJ566" s="63"/>
      <c r="AK566" s="63"/>
      <c r="AL566" s="63">
        <v>0</v>
      </c>
      <c r="AM566" s="63"/>
      <c r="AN566" s="63"/>
      <c r="AO566" s="63"/>
      <c r="AP566" s="63">
        <v>0</v>
      </c>
    </row>
    <row r="567" spans="1:42" ht="14.45" customHeight="1" x14ac:dyDescent="0.25">
      <c r="A567" s="125" t="s">
        <v>597</v>
      </c>
      <c r="B567" s="180"/>
      <c r="C567" s="63"/>
      <c r="D567" s="63"/>
      <c r="E567" s="63"/>
      <c r="F567" s="63"/>
      <c r="G567" s="63"/>
      <c r="H567" s="63"/>
      <c r="I567" s="63"/>
      <c r="J567" s="63">
        <v>-6.9960000000000004</v>
      </c>
      <c r="K567" s="63"/>
      <c r="L567" s="63"/>
      <c r="M567" s="63"/>
      <c r="N567" s="63">
        <v>0</v>
      </c>
      <c r="O567" s="63"/>
      <c r="P567" s="63"/>
      <c r="Q567" s="63"/>
      <c r="R567" s="63">
        <v>0</v>
      </c>
      <c r="S567" s="63"/>
      <c r="T567" s="63"/>
      <c r="U567" s="63"/>
      <c r="V567" s="63">
        <v>0</v>
      </c>
      <c r="W567" s="63"/>
      <c r="X567" s="63"/>
      <c r="Y567" s="63"/>
      <c r="Z567" s="63">
        <v>0</v>
      </c>
      <c r="AA567" s="63"/>
      <c r="AB567" s="63"/>
      <c r="AC567" s="63"/>
      <c r="AD567" s="63">
        <v>0</v>
      </c>
      <c r="AE567" s="63"/>
      <c r="AF567" s="63"/>
      <c r="AG567" s="63"/>
      <c r="AH567" s="63">
        <v>0</v>
      </c>
      <c r="AI567" s="63"/>
      <c r="AJ567" s="63"/>
      <c r="AK567" s="63"/>
      <c r="AL567" s="63">
        <v>0</v>
      </c>
      <c r="AM567" s="63"/>
      <c r="AN567" s="63"/>
      <c r="AO567" s="63"/>
      <c r="AP567" s="63">
        <v>0</v>
      </c>
    </row>
    <row r="568" spans="1:42" ht="14.45" customHeight="1" x14ac:dyDescent="0.25">
      <c r="A568" s="125" t="s">
        <v>435</v>
      </c>
      <c r="B568" s="180"/>
      <c r="C568" s="63"/>
      <c r="D568" s="63"/>
      <c r="E568" s="63"/>
      <c r="F568" s="63"/>
      <c r="G568" s="63"/>
      <c r="H568" s="63"/>
      <c r="I568" s="63"/>
      <c r="J568" s="63">
        <v>-6.0119999999999996</v>
      </c>
      <c r="K568" s="63"/>
      <c r="L568" s="63"/>
      <c r="M568" s="63"/>
      <c r="N568" s="63">
        <v>0</v>
      </c>
      <c r="O568" s="63"/>
      <c r="P568" s="63"/>
      <c r="Q568" s="63"/>
      <c r="R568" s="63">
        <v>0</v>
      </c>
      <c r="S568" s="63"/>
      <c r="T568" s="63"/>
      <c r="U568" s="63"/>
      <c r="V568" s="63">
        <v>0</v>
      </c>
      <c r="W568" s="63"/>
      <c r="X568" s="63"/>
      <c r="Y568" s="63"/>
      <c r="Z568" s="63">
        <v>0</v>
      </c>
      <c r="AA568" s="63"/>
      <c r="AB568" s="63"/>
      <c r="AC568" s="63"/>
      <c r="AD568" s="63">
        <v>0</v>
      </c>
      <c r="AE568" s="63"/>
      <c r="AF568" s="63"/>
      <c r="AG568" s="63"/>
      <c r="AH568" s="63">
        <v>0</v>
      </c>
      <c r="AI568" s="63"/>
      <c r="AJ568" s="63"/>
      <c r="AK568" s="63"/>
      <c r="AL568" s="63">
        <v>0</v>
      </c>
      <c r="AM568" s="63"/>
      <c r="AN568" s="63"/>
      <c r="AO568" s="63"/>
      <c r="AP568" s="63">
        <v>0</v>
      </c>
    </row>
    <row r="569" spans="1:42" ht="14.45" customHeight="1" x14ac:dyDescent="0.25">
      <c r="A569" s="125" t="s">
        <v>438</v>
      </c>
      <c r="B569" s="180"/>
      <c r="C569" s="98">
        <v>17.151</v>
      </c>
      <c r="D569" s="98">
        <v>33.424999999999997</v>
      </c>
      <c r="E569" s="98">
        <v>26.06</v>
      </c>
      <c r="F569" s="63">
        <v>-1.91</v>
      </c>
      <c r="G569" s="98">
        <v>12.246</v>
      </c>
      <c r="H569" s="98">
        <v>28.364999999999998</v>
      </c>
      <c r="I569" s="98">
        <v>23.14</v>
      </c>
      <c r="J569" s="63">
        <v>3.226</v>
      </c>
      <c r="K569" s="98">
        <v>-5.1859999999999999</v>
      </c>
      <c r="L569" s="98">
        <v>3.9569999999999999</v>
      </c>
      <c r="M569" s="98">
        <v>1.5840000000000001</v>
      </c>
      <c r="N569" s="63">
        <v>28.766999999999999</v>
      </c>
      <c r="O569" s="98">
        <v>14.045999999999999</v>
      </c>
      <c r="P569" s="98">
        <v>43.268000000000001</v>
      </c>
      <c r="Q569" s="98">
        <v>62.017000000000003</v>
      </c>
      <c r="R569" s="63">
        <v>92.787999999999997</v>
      </c>
      <c r="S569" s="98">
        <v>0.71199999999999997</v>
      </c>
      <c r="T569" s="98">
        <v>15.26</v>
      </c>
      <c r="U569" s="98">
        <v>35.067999999999998</v>
      </c>
      <c r="V569" s="63">
        <v>31.21</v>
      </c>
      <c r="W569" s="98">
        <v>10.997999999999999</v>
      </c>
      <c r="X569" s="98">
        <v>56.981000000000002</v>
      </c>
      <c r="Y569" s="98">
        <v>90.905000000000001</v>
      </c>
      <c r="Z569" s="63">
        <v>146.30799999999999</v>
      </c>
      <c r="AA569" s="98">
        <v>-5.4569999999999999</v>
      </c>
      <c r="AB569" s="98">
        <v>-1.4359999999999999</v>
      </c>
      <c r="AC569" s="98">
        <v>21.132000000000001</v>
      </c>
      <c r="AD569" s="63">
        <v>32.301000000000002</v>
      </c>
      <c r="AE569" s="98">
        <v>41.654000000000003</v>
      </c>
      <c r="AF569" s="98">
        <v>67.174000000000007</v>
      </c>
      <c r="AG569" s="98">
        <v>86.037999999999997</v>
      </c>
      <c r="AH569" s="63">
        <v>159.35400000000001</v>
      </c>
      <c r="AI569" s="98">
        <v>-5.5410000000000004</v>
      </c>
      <c r="AJ569" s="98">
        <v>22.285</v>
      </c>
      <c r="AK569" s="98">
        <v>90.876999999999995</v>
      </c>
      <c r="AL569" s="63">
        <v>59.165999999999997</v>
      </c>
      <c r="AM569" s="98">
        <v>42.728000000000002</v>
      </c>
      <c r="AN569" s="98">
        <v>55.118000000000002</v>
      </c>
      <c r="AO569" s="98">
        <v>104.468</v>
      </c>
      <c r="AP569" s="63">
        <v>131.90100000000001</v>
      </c>
    </row>
    <row r="570" spans="1:42" ht="14.45" customHeight="1" x14ac:dyDescent="0.25">
      <c r="A570" s="125" t="s">
        <v>65</v>
      </c>
      <c r="B570" s="180"/>
      <c r="C570" s="98">
        <v>2.7E-2</v>
      </c>
      <c r="D570" s="98">
        <v>2.5999999999999999E-2</v>
      </c>
      <c r="E570" s="98">
        <v>3.6999999999999998E-2</v>
      </c>
      <c r="F570" s="63">
        <v>2.5000000000000001E-2</v>
      </c>
      <c r="G570" s="98">
        <v>1.2999999999999999E-2</v>
      </c>
      <c r="H570" s="98">
        <v>4.3999999999999997E-2</v>
      </c>
      <c r="I570" s="98">
        <v>6.6000000000000003E-2</v>
      </c>
      <c r="J570" s="63">
        <v>7.8E-2</v>
      </c>
      <c r="K570" s="98">
        <v>1.2999999999999999E-2</v>
      </c>
      <c r="L570" s="98">
        <v>1.0999999999999999E-2</v>
      </c>
      <c r="M570" s="98">
        <v>1.7000000000000001E-2</v>
      </c>
      <c r="N570" s="63">
        <v>1.9E-2</v>
      </c>
      <c r="O570" s="102">
        <v>0.437</v>
      </c>
      <c r="P570" s="98">
        <v>0.46200000000000002</v>
      </c>
      <c r="Q570" s="98">
        <v>0.44800000000000001</v>
      </c>
      <c r="R570" s="63">
        <v>0.14799999999999999</v>
      </c>
      <c r="S570" s="158"/>
      <c r="T570" s="63"/>
      <c r="U570" s="98">
        <v>1.048</v>
      </c>
      <c r="V570" s="63">
        <v>1.0649999999999999</v>
      </c>
      <c r="W570" s="102">
        <v>-3.6999999999999998E-2</v>
      </c>
      <c r="X570" s="63"/>
      <c r="Y570" s="98">
        <v>-1.4999999999999999E-2</v>
      </c>
      <c r="Z570" s="63">
        <v>-2.3E-2</v>
      </c>
      <c r="AA570" s="158"/>
      <c r="AB570" s="63"/>
      <c r="AC570" s="63"/>
      <c r="AD570" s="63">
        <v>0</v>
      </c>
      <c r="AE570" s="158"/>
      <c r="AF570" s="63"/>
      <c r="AG570" s="63"/>
      <c r="AH570" s="63">
        <v>0</v>
      </c>
      <c r="AI570" s="158"/>
      <c r="AJ570" s="63"/>
      <c r="AK570" s="63"/>
      <c r="AL570" s="63">
        <v>0</v>
      </c>
      <c r="AM570" s="158"/>
      <c r="AN570" s="63"/>
      <c r="AO570" s="63"/>
      <c r="AP570" s="63">
        <v>0</v>
      </c>
    </row>
    <row r="571" spans="1:42" ht="14.45" customHeight="1" x14ac:dyDescent="0.25">
      <c r="A571" s="110" t="s">
        <v>598</v>
      </c>
      <c r="B571" s="212"/>
      <c r="C571" s="106">
        <v>30.074999999999999</v>
      </c>
      <c r="D571" s="106">
        <v>99.086999999999989</v>
      </c>
      <c r="E571" s="106">
        <v>157.745</v>
      </c>
      <c r="F571" s="159">
        <v>227.31800000000001</v>
      </c>
      <c r="G571" s="106">
        <v>117.532</v>
      </c>
      <c r="H571" s="106">
        <v>177.857</v>
      </c>
      <c r="I571" s="106">
        <v>238.59800000000001</v>
      </c>
      <c r="J571" s="159">
        <v>326.57299999999998</v>
      </c>
      <c r="K571" s="106">
        <v>16.071000000000002</v>
      </c>
      <c r="L571" s="106">
        <v>72.031999999999982</v>
      </c>
      <c r="M571" s="106">
        <v>164.489</v>
      </c>
      <c r="N571" s="159">
        <v>216.041</v>
      </c>
      <c r="O571" s="106">
        <v>55.515999999999991</v>
      </c>
      <c r="P571" s="106">
        <v>158.12899999999999</v>
      </c>
      <c r="Q571" s="106">
        <v>243.654</v>
      </c>
      <c r="R571" s="159">
        <v>314.053</v>
      </c>
      <c r="S571" s="106">
        <v>66.492999999999995</v>
      </c>
      <c r="T571" s="106">
        <v>184.8</v>
      </c>
      <c r="U571" s="106">
        <v>301.517</v>
      </c>
      <c r="V571" s="159">
        <v>416.39299999999997</v>
      </c>
      <c r="W571" s="106">
        <v>129.70500000000001</v>
      </c>
      <c r="X571" s="106">
        <v>254.90600000000001</v>
      </c>
      <c r="Y571" s="106">
        <v>396.87900000000002</v>
      </c>
      <c r="Z571" s="159">
        <v>498.88499999999988</v>
      </c>
      <c r="AA571" s="106">
        <v>165.02</v>
      </c>
      <c r="AB571" s="106">
        <v>290.38800000000009</v>
      </c>
      <c r="AC571" s="106">
        <v>456.86099999999999</v>
      </c>
      <c r="AD571" s="159">
        <v>630.94100000000003</v>
      </c>
      <c r="AE571" s="106">
        <v>246.66800000000001</v>
      </c>
      <c r="AF571" s="106">
        <v>431.35599999999999</v>
      </c>
      <c r="AG571" s="106">
        <v>638.6930000000001</v>
      </c>
      <c r="AH571" s="159">
        <v>816.64200000000017</v>
      </c>
      <c r="AI571" s="106">
        <v>264.488</v>
      </c>
      <c r="AJ571" s="106">
        <v>460.45700000000011</v>
      </c>
      <c r="AK571" s="106">
        <v>675.78</v>
      </c>
      <c r="AL571" s="159">
        <v>894.08899999999994</v>
      </c>
      <c r="AM571" s="106">
        <v>237.19399999999999</v>
      </c>
      <c r="AN571" s="106">
        <v>438.07600000000002</v>
      </c>
      <c r="AO571" s="106">
        <v>703.452</v>
      </c>
      <c r="AP571" s="159">
        <v>938.70699999999988</v>
      </c>
    </row>
    <row r="572" spans="1:42" ht="14.45" customHeight="1" x14ac:dyDescent="0.25">
      <c r="A572" s="96" t="s">
        <v>599</v>
      </c>
      <c r="B572" s="180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</row>
    <row r="573" spans="1:42" ht="14.45" customHeight="1" x14ac:dyDescent="0.25">
      <c r="A573" s="96" t="s">
        <v>600</v>
      </c>
      <c r="B573" s="180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</row>
    <row r="574" spans="1:42" ht="14.45" customHeight="1" x14ac:dyDescent="0.25">
      <c r="A574" s="96" t="s">
        <v>601</v>
      </c>
      <c r="B574" s="180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</row>
    <row r="575" spans="1:42" ht="14.45" customHeight="1" x14ac:dyDescent="0.25">
      <c r="A575" s="96" t="s">
        <v>602</v>
      </c>
      <c r="B575" s="180"/>
      <c r="C575" s="98">
        <v>-38.926000000000002</v>
      </c>
      <c r="D575" s="98">
        <v>-27.088000000000001</v>
      </c>
      <c r="E575" s="98">
        <v>-13.622999999999999</v>
      </c>
      <c r="F575" s="63">
        <v>-39.908999999999999</v>
      </c>
      <c r="G575" s="98">
        <v>4.4630000000000001</v>
      </c>
      <c r="H575" s="98">
        <v>10.47</v>
      </c>
      <c r="I575" s="98">
        <v>-19.036000000000001</v>
      </c>
      <c r="J575" s="63">
        <v>0.25900000000000001</v>
      </c>
      <c r="K575" s="98">
        <v>-99.994</v>
      </c>
      <c r="L575" s="98">
        <v>-16.126999999999999</v>
      </c>
      <c r="M575" s="98">
        <v>-120.42100000000001</v>
      </c>
      <c r="N575" s="63">
        <v>-26.387</v>
      </c>
      <c r="O575" s="98">
        <v>-57.014000000000003</v>
      </c>
      <c r="P575" s="98">
        <v>-78.841999999999999</v>
      </c>
      <c r="Q575" s="98">
        <v>-54.262999999999998</v>
      </c>
      <c r="R575" s="63">
        <v>-31.681000000000001</v>
      </c>
      <c r="S575" s="98">
        <v>-42.31</v>
      </c>
      <c r="T575" s="98">
        <v>20.934999999999999</v>
      </c>
      <c r="U575" s="98">
        <v>69.975000000000009</v>
      </c>
      <c r="V575" s="63">
        <v>55.606999999999999</v>
      </c>
      <c r="W575" s="98">
        <v>-38.661999999999999</v>
      </c>
      <c r="X575" s="98">
        <v>24.332000000000001</v>
      </c>
      <c r="Y575" s="98">
        <v>60.545999999999999</v>
      </c>
      <c r="Z575" s="63">
        <v>30.594999999999999</v>
      </c>
      <c r="AA575" s="98">
        <v>-32.414999999999999</v>
      </c>
      <c r="AB575" s="98">
        <v>-59.003999999999998</v>
      </c>
      <c r="AC575" s="98">
        <v>-61.656999999999996</v>
      </c>
      <c r="AD575" s="63">
        <v>-74.784000000000006</v>
      </c>
      <c r="AE575" s="98">
        <v>-49.537999999999997</v>
      </c>
      <c r="AF575" s="98">
        <v>-41.957000000000001</v>
      </c>
      <c r="AG575" s="98">
        <v>35.790999999999997</v>
      </c>
      <c r="AH575" s="63">
        <v>29.138000000000002</v>
      </c>
      <c r="AI575" s="98">
        <v>-44.256999999999998</v>
      </c>
      <c r="AJ575" s="98">
        <v>0.25700000000000001</v>
      </c>
      <c r="AK575" s="98">
        <v>55.762999999999998</v>
      </c>
      <c r="AL575" s="63">
        <v>-3.774</v>
      </c>
      <c r="AM575" s="98">
        <v>-19.675999999999998</v>
      </c>
      <c r="AN575" s="98">
        <v>-17.821000000000002</v>
      </c>
      <c r="AO575" s="98">
        <v>38.581000000000003</v>
      </c>
      <c r="AP575" s="63">
        <v>10.551</v>
      </c>
    </row>
    <row r="576" spans="1:42" ht="14.45" customHeight="1" x14ac:dyDescent="0.25">
      <c r="A576" s="96" t="s">
        <v>603</v>
      </c>
      <c r="B576" s="180"/>
      <c r="C576" s="98">
        <v>-2.391</v>
      </c>
      <c r="D576" s="98">
        <v>-9.0139999999999993</v>
      </c>
      <c r="E576" s="98">
        <v>-12.613</v>
      </c>
      <c r="F576" s="63">
        <v>-14.564</v>
      </c>
      <c r="G576" s="98">
        <v>-4.0380000000000003</v>
      </c>
      <c r="H576" s="98">
        <v>-9.984</v>
      </c>
      <c r="I576" s="98">
        <v>-13.391</v>
      </c>
      <c r="J576" s="63">
        <v>-17.916</v>
      </c>
      <c r="K576" s="98">
        <v>2.3439999999999999</v>
      </c>
      <c r="L576" s="98">
        <v>3.83</v>
      </c>
      <c r="M576" s="98">
        <v>0.72399999999999998</v>
      </c>
      <c r="N576" s="63">
        <v>4.3470000000000004</v>
      </c>
      <c r="O576" s="98">
        <v>1.196</v>
      </c>
      <c r="P576" s="98">
        <v>5.2279999999999998</v>
      </c>
      <c r="Q576" s="98">
        <v>12.581</v>
      </c>
      <c r="R576" s="63">
        <v>15.201000000000001</v>
      </c>
      <c r="S576" s="98">
        <v>12.223000000000001</v>
      </c>
      <c r="T576" s="98">
        <v>13.42</v>
      </c>
      <c r="U576" s="98">
        <v>16.36</v>
      </c>
      <c r="V576" s="63">
        <v>21.82</v>
      </c>
      <c r="W576" s="98">
        <v>4.1970000000000001</v>
      </c>
      <c r="X576" s="98">
        <v>6.3250000000000002</v>
      </c>
      <c r="Y576" s="98">
        <v>10.355</v>
      </c>
      <c r="Z576" s="63">
        <v>16.003</v>
      </c>
      <c r="AA576" s="98">
        <v>8.1890000000000001</v>
      </c>
      <c r="AB576" s="98">
        <v>21.904</v>
      </c>
      <c r="AC576" s="98">
        <v>27.806000000000001</v>
      </c>
      <c r="AD576" s="63">
        <v>31.779</v>
      </c>
      <c r="AE576" s="98">
        <v>-1.43</v>
      </c>
      <c r="AF576" s="98">
        <v>5.2160000000000002</v>
      </c>
      <c r="AG576" s="98">
        <v>13.417</v>
      </c>
      <c r="AH576" s="63">
        <v>12.708</v>
      </c>
      <c r="AI576" s="98">
        <v>-0.78100000000000003</v>
      </c>
      <c r="AJ576" s="98">
        <v>3.758</v>
      </c>
      <c r="AK576" s="98">
        <v>7.5949999999999998</v>
      </c>
      <c r="AL576" s="63">
        <v>8.9039999999999999</v>
      </c>
      <c r="AM576" s="98">
        <v>6.476</v>
      </c>
      <c r="AN576" s="98">
        <v>4.048</v>
      </c>
      <c r="AO576" s="98">
        <v>1.4690000000000001</v>
      </c>
      <c r="AP576" s="63">
        <v>7.0540000000000003</v>
      </c>
    </row>
    <row r="577" spans="1:42" ht="14.45" customHeight="1" x14ac:dyDescent="0.25">
      <c r="A577" s="96" t="s">
        <v>604</v>
      </c>
      <c r="B577" s="180"/>
      <c r="C577" s="98">
        <v>-3.9750000000000001</v>
      </c>
      <c r="D577" s="98">
        <v>-1.788</v>
      </c>
      <c r="E577" s="98">
        <v>-3.3839999999999999</v>
      </c>
      <c r="F577" s="63">
        <v>-10.85</v>
      </c>
      <c r="G577" s="98">
        <v>-1.4390000000000001</v>
      </c>
      <c r="H577" s="98">
        <v>0.628</v>
      </c>
      <c r="I577" s="98">
        <v>-3.746</v>
      </c>
      <c r="J577" s="63">
        <v>-1.1000000000000001</v>
      </c>
      <c r="K577" s="98">
        <v>0.83299999999999996</v>
      </c>
      <c r="L577" s="98">
        <v>-2.4929999999999999</v>
      </c>
      <c r="M577" s="98">
        <v>-18.762</v>
      </c>
      <c r="N577" s="63">
        <v>-25.122</v>
      </c>
      <c r="O577" s="98">
        <v>5.8979999999999997</v>
      </c>
      <c r="P577" s="98">
        <v>4.0709999999999997</v>
      </c>
      <c r="Q577" s="98">
        <v>2.6110000000000002</v>
      </c>
      <c r="R577" s="63">
        <v>-7.2030000000000003</v>
      </c>
      <c r="S577" s="98">
        <v>-4.117</v>
      </c>
      <c r="T577" s="98">
        <v>9.8480000000000008</v>
      </c>
      <c r="U577" s="98">
        <v>-11.451000000000001</v>
      </c>
      <c r="V577" s="63">
        <v>0.64100000000000001</v>
      </c>
      <c r="W577" s="98">
        <v>-13.33</v>
      </c>
      <c r="X577" s="98">
        <v>-14.178000000000001</v>
      </c>
      <c r="Y577" s="98">
        <v>-27.905000000000001</v>
      </c>
      <c r="Z577" s="63">
        <v>-23.728000000000002</v>
      </c>
      <c r="AA577" s="98">
        <v>-9.9130000000000003</v>
      </c>
      <c r="AB577" s="98">
        <v>-9.7530000000000001</v>
      </c>
      <c r="AC577" s="98">
        <v>-28.701000000000001</v>
      </c>
      <c r="AD577" s="63">
        <v>-33.43</v>
      </c>
      <c r="AE577" s="98">
        <v>-11.006</v>
      </c>
      <c r="AF577" s="98">
        <v>-11.276999999999999</v>
      </c>
      <c r="AG577" s="98">
        <v>-43.351999999999997</v>
      </c>
      <c r="AH577" s="63">
        <v>-47.798000000000002</v>
      </c>
      <c r="AI577" s="98">
        <v>-25.177</v>
      </c>
      <c r="AJ577" s="98">
        <v>-27.341000000000001</v>
      </c>
      <c r="AK577" s="98">
        <v>-31.245000000000001</v>
      </c>
      <c r="AL577" s="63">
        <v>-22.861999999999998</v>
      </c>
      <c r="AM577" s="98">
        <v>-25.823</v>
      </c>
      <c r="AN577" s="98">
        <v>-18.082000000000001</v>
      </c>
      <c r="AO577" s="98">
        <v>-20.588999999999999</v>
      </c>
      <c r="AP577" s="63">
        <v>-24.408000000000001</v>
      </c>
    </row>
    <row r="578" spans="1:42" ht="14.45" customHeight="1" x14ac:dyDescent="0.25">
      <c r="A578" s="110" t="s">
        <v>605</v>
      </c>
      <c r="B578" s="212"/>
      <c r="C578" s="106">
        <v>-15.217000000000001</v>
      </c>
      <c r="D578" s="106">
        <v>61.197000000000003</v>
      </c>
      <c r="E578" s="106">
        <v>128.125</v>
      </c>
      <c r="F578" s="159">
        <v>161.995</v>
      </c>
      <c r="G578" s="106">
        <v>116.518</v>
      </c>
      <c r="H578" s="106">
        <v>178.971</v>
      </c>
      <c r="I578" s="106">
        <v>202.42500000000001</v>
      </c>
      <c r="J578" s="159">
        <v>307.81599999999997</v>
      </c>
      <c r="K578" s="106">
        <v>-80.746000000000009</v>
      </c>
      <c r="L578" s="106">
        <v>57.241999999999983</v>
      </c>
      <c r="M578" s="106">
        <v>26.030000000000019</v>
      </c>
      <c r="N578" s="159">
        <v>168.87899999999999</v>
      </c>
      <c r="O578" s="106">
        <v>5.5959999999999877</v>
      </c>
      <c r="P578" s="106">
        <v>88.585999999999984</v>
      </c>
      <c r="Q578" s="106">
        <v>204.583</v>
      </c>
      <c r="R578" s="159">
        <v>290.37000000000012</v>
      </c>
      <c r="S578" s="106">
        <v>32.288999999999987</v>
      </c>
      <c r="T578" s="106">
        <v>229.00299999999999</v>
      </c>
      <c r="U578" s="106">
        <v>376.40100000000001</v>
      </c>
      <c r="V578" s="159">
        <v>494.46100000000001</v>
      </c>
      <c r="W578" s="106">
        <v>81.910000000000011</v>
      </c>
      <c r="X578" s="106">
        <v>271.38499999999999</v>
      </c>
      <c r="Y578" s="106">
        <v>439.875</v>
      </c>
      <c r="Z578" s="159">
        <v>521.755</v>
      </c>
      <c r="AA578" s="106">
        <v>130.881</v>
      </c>
      <c r="AB578" s="106">
        <v>243.53500000000011</v>
      </c>
      <c r="AC578" s="106">
        <v>394.30900000000003</v>
      </c>
      <c r="AD578" s="159">
        <v>554.50600000000009</v>
      </c>
      <c r="AE578" s="106">
        <v>184.69399999999999</v>
      </c>
      <c r="AF578" s="106">
        <v>383.33800000000002</v>
      </c>
      <c r="AG578" s="106">
        <v>644.54900000000021</v>
      </c>
      <c r="AH578" s="159">
        <v>810.69000000000017</v>
      </c>
      <c r="AI578" s="106">
        <v>194.273</v>
      </c>
      <c r="AJ578" s="106">
        <v>437.13099999999997</v>
      </c>
      <c r="AK578" s="106">
        <v>707.89300000000003</v>
      </c>
      <c r="AL578" s="159">
        <v>876.35699999999997</v>
      </c>
      <c r="AM578" s="106">
        <v>198.17099999999999</v>
      </c>
      <c r="AN578" s="106">
        <v>406.221</v>
      </c>
      <c r="AO578" s="106">
        <v>722.91300000000001</v>
      </c>
      <c r="AP578" s="159">
        <v>931.90399999999988</v>
      </c>
    </row>
    <row r="579" spans="1:42" ht="14.45" customHeight="1" x14ac:dyDescent="0.25">
      <c r="A579" s="111"/>
      <c r="B579" s="211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</row>
    <row r="580" spans="1:42" ht="14.45" customHeight="1" x14ac:dyDescent="0.25">
      <c r="A580" s="135" t="s">
        <v>91</v>
      </c>
      <c r="B580" s="211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</row>
    <row r="581" spans="1:42" ht="14.45" customHeight="1" x14ac:dyDescent="0.25">
      <c r="A581" s="125" t="s">
        <v>606</v>
      </c>
      <c r="B581" s="180"/>
      <c r="C581" s="98">
        <v>-36.784999999999997</v>
      </c>
      <c r="D581" s="98">
        <v>-79.625</v>
      </c>
      <c r="E581" s="98">
        <v>-124.599</v>
      </c>
      <c r="F581" s="63">
        <v>-172.58600000000001</v>
      </c>
      <c r="G581" s="98">
        <v>-41.58</v>
      </c>
      <c r="H581" s="98">
        <v>-79.606999999999999</v>
      </c>
      <c r="I581" s="98">
        <v>-114.953</v>
      </c>
      <c r="J581" s="63">
        <v>-176.601</v>
      </c>
      <c r="K581" s="98">
        <v>-42.048000000000002</v>
      </c>
      <c r="L581" s="98">
        <v>-85.278999999999996</v>
      </c>
      <c r="M581" s="98">
        <v>-113.104</v>
      </c>
      <c r="N581" s="63">
        <v>-138.23500000000001</v>
      </c>
      <c r="O581" s="98">
        <v>-29.315000000000001</v>
      </c>
      <c r="P581" s="98">
        <v>-57.581000000000003</v>
      </c>
      <c r="Q581" s="98">
        <v>-96.747</v>
      </c>
      <c r="R581" s="63">
        <v>-171.374</v>
      </c>
      <c r="S581" s="98">
        <v>-33.093000000000004</v>
      </c>
      <c r="T581" s="98">
        <v>-72.885999999999996</v>
      </c>
      <c r="U581" s="98">
        <v>-110.717</v>
      </c>
      <c r="V581" s="63">
        <v>-202.03399999999999</v>
      </c>
      <c r="W581" s="98">
        <v>-37.204000000000001</v>
      </c>
      <c r="X581" s="98">
        <v>-80.308000000000007</v>
      </c>
      <c r="Y581" s="98">
        <v>-119.62</v>
      </c>
      <c r="Z581" s="63">
        <v>-155.69300000000001</v>
      </c>
      <c r="AA581" s="98">
        <v>-104.35299999999999</v>
      </c>
      <c r="AB581" s="98">
        <v>-145.18199999999999</v>
      </c>
      <c r="AC581" s="98">
        <v>-183.929</v>
      </c>
      <c r="AD581" s="63">
        <v>-298.61099999999999</v>
      </c>
      <c r="AE581" s="98">
        <v>-52.7</v>
      </c>
      <c r="AF581" s="98">
        <v>-92.893000000000001</v>
      </c>
      <c r="AG581" s="98">
        <v>-152.26</v>
      </c>
      <c r="AH581" s="63">
        <v>-282.30399999999997</v>
      </c>
      <c r="AI581" s="98">
        <v>-77.040000000000006</v>
      </c>
      <c r="AJ581" s="98">
        <v>-159.4</v>
      </c>
      <c r="AK581" s="98">
        <v>-287.33300000000003</v>
      </c>
      <c r="AL581" s="63">
        <v>-371.01499999999999</v>
      </c>
      <c r="AM581" s="98">
        <v>-97.866</v>
      </c>
      <c r="AN581" s="98">
        <v>-157.38300000000001</v>
      </c>
      <c r="AO581" s="98">
        <v>-209.994</v>
      </c>
      <c r="AP581" s="63">
        <v>-312.315</v>
      </c>
    </row>
    <row r="582" spans="1:42" ht="14.45" customHeight="1" x14ac:dyDescent="0.25">
      <c r="A582" s="125" t="s">
        <v>607</v>
      </c>
      <c r="B582" s="180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98">
        <v>-183.80600000000001</v>
      </c>
      <c r="AJ582" s="98">
        <v>-213.12299999999999</v>
      </c>
      <c r="AK582" s="98">
        <v>-283.488</v>
      </c>
      <c r="AL582" s="63">
        <v>-446.30900000000003</v>
      </c>
      <c r="AM582" s="98">
        <v>-150.15700000000001</v>
      </c>
      <c r="AN582" s="98">
        <v>-270.14400000000001</v>
      </c>
      <c r="AO582" s="98">
        <v>-350.00299999999999</v>
      </c>
      <c r="AP582" s="63">
        <v>-390.11099999999999</v>
      </c>
    </row>
    <row r="583" spans="1:42" ht="14.45" customHeight="1" x14ac:dyDescent="0.25">
      <c r="A583" s="125" t="s">
        <v>608</v>
      </c>
      <c r="B583" s="180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98">
        <v>1.1160000000000001</v>
      </c>
      <c r="AJ583" s="98">
        <v>16.643000000000001</v>
      </c>
      <c r="AK583" s="98">
        <v>72.231999999999999</v>
      </c>
      <c r="AL583" s="63">
        <v>150.274</v>
      </c>
      <c r="AM583" s="98">
        <v>112.755</v>
      </c>
      <c r="AN583" s="98">
        <v>224.48500000000001</v>
      </c>
      <c r="AO583" s="98">
        <v>506.64600000000002</v>
      </c>
      <c r="AP583" s="63">
        <v>696.41499999999996</v>
      </c>
    </row>
    <row r="584" spans="1:42" ht="14.45" customHeight="1" x14ac:dyDescent="0.25">
      <c r="A584" s="125" t="s">
        <v>609</v>
      </c>
      <c r="B584" s="180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98">
        <v>-4.6539999999999999</v>
      </c>
      <c r="P584" s="98">
        <v>-4.6539999999999999</v>
      </c>
      <c r="Q584" s="98">
        <v>-4.6539999999999999</v>
      </c>
      <c r="R584" s="63">
        <v>-4.6539999999999999</v>
      </c>
      <c r="S584" s="63"/>
      <c r="T584" s="63"/>
      <c r="U584" s="63"/>
      <c r="V584" s="63">
        <v>0</v>
      </c>
      <c r="W584" s="98">
        <v>-1.998</v>
      </c>
      <c r="X584" s="98">
        <v>-1.998</v>
      </c>
      <c r="Y584" s="98">
        <v>-1.998</v>
      </c>
      <c r="Z584" s="63">
        <v>-8.9930000000000003</v>
      </c>
      <c r="AA584" s="98">
        <v>-30.149000000000001</v>
      </c>
      <c r="AB584" s="98">
        <v>-30.149000000000001</v>
      </c>
      <c r="AC584" s="98">
        <v>-30.149000000000001</v>
      </c>
      <c r="AD584" s="63">
        <v>-30.649000000000001</v>
      </c>
      <c r="AE584" s="63"/>
      <c r="AF584" s="63"/>
      <c r="AG584" s="63"/>
      <c r="AH584" s="63">
        <v>0</v>
      </c>
      <c r="AI584" s="63"/>
      <c r="AJ584" s="63"/>
      <c r="AK584" s="63"/>
      <c r="AL584" s="63">
        <v>0</v>
      </c>
      <c r="AM584" s="63"/>
      <c r="AN584" s="63"/>
      <c r="AO584" s="63"/>
      <c r="AP584" s="63">
        <v>0</v>
      </c>
    </row>
    <row r="585" spans="1:42" ht="14.45" customHeight="1" x14ac:dyDescent="0.25">
      <c r="A585" s="125" t="s">
        <v>610</v>
      </c>
      <c r="B585" s="180"/>
      <c r="C585" s="98">
        <v>0.13100000000000001</v>
      </c>
      <c r="D585" s="98">
        <v>0.28199999999999997</v>
      </c>
      <c r="E585" s="98">
        <v>0.33300000000000002</v>
      </c>
      <c r="F585" s="63">
        <v>1.0720000000000001</v>
      </c>
      <c r="G585" s="98">
        <v>0.21099999999999999</v>
      </c>
      <c r="H585" s="98">
        <v>0.38400000000000001</v>
      </c>
      <c r="I585" s="98">
        <v>0.49299999999999999</v>
      </c>
      <c r="J585" s="63">
        <v>0.60799999999999998</v>
      </c>
      <c r="K585" s="98">
        <v>2.8940000000000001</v>
      </c>
      <c r="L585" s="98">
        <v>3.0470000000000002</v>
      </c>
      <c r="M585" s="98">
        <v>3.5550000000000002</v>
      </c>
      <c r="N585" s="63">
        <v>5.2590000000000003</v>
      </c>
      <c r="O585" s="98">
        <v>0.68100000000000005</v>
      </c>
      <c r="P585" s="98">
        <v>0.82299999999999995</v>
      </c>
      <c r="Q585" s="98">
        <v>1.028</v>
      </c>
      <c r="R585" s="63">
        <v>4.0640000000000001</v>
      </c>
      <c r="S585" s="98">
        <v>1.6579999999999999</v>
      </c>
      <c r="T585" s="98">
        <v>1.764</v>
      </c>
      <c r="U585" s="98">
        <v>2.3969999999999998</v>
      </c>
      <c r="V585" s="63">
        <v>3.3849999999999998</v>
      </c>
      <c r="W585" s="98">
        <v>7.3999999999999996E-2</v>
      </c>
      <c r="X585" s="98">
        <v>1.6779999999999999</v>
      </c>
      <c r="Y585" s="98">
        <v>4.2149999999999999</v>
      </c>
      <c r="Z585" s="63">
        <v>5.274</v>
      </c>
      <c r="AA585" s="98">
        <v>2.1779999999999999</v>
      </c>
      <c r="AB585" s="98">
        <v>5.2549999999999999</v>
      </c>
      <c r="AC585" s="98">
        <v>5.3479999999999999</v>
      </c>
      <c r="AD585" s="63">
        <v>7.3689999999999998</v>
      </c>
      <c r="AE585" s="98">
        <v>0.158</v>
      </c>
      <c r="AF585" s="98">
        <v>0.26700000000000002</v>
      </c>
      <c r="AG585" s="98">
        <v>0.441</v>
      </c>
      <c r="AH585" s="63">
        <v>0.69499999999999995</v>
      </c>
      <c r="AI585" s="98">
        <v>0.1</v>
      </c>
      <c r="AJ585" s="98">
        <v>0.25</v>
      </c>
      <c r="AK585" s="98">
        <v>0.42499999999999999</v>
      </c>
      <c r="AL585" s="63">
        <v>0.56899999999999995</v>
      </c>
      <c r="AM585" s="98">
        <v>0.157</v>
      </c>
      <c r="AN585" s="98">
        <v>6.2770000000000001</v>
      </c>
      <c r="AO585" s="98">
        <v>6.3849999999999998</v>
      </c>
      <c r="AP585" s="63">
        <v>6.5940000000000003</v>
      </c>
    </row>
    <row r="586" spans="1:42" ht="14.45" customHeight="1" x14ac:dyDescent="0.25">
      <c r="A586" s="125" t="s">
        <v>611</v>
      </c>
      <c r="B586" s="180"/>
      <c r="C586" s="63"/>
      <c r="D586" s="63"/>
      <c r="E586" s="63"/>
      <c r="F586" s="63"/>
      <c r="G586" s="63"/>
      <c r="H586" s="98">
        <v>8.4</v>
      </c>
      <c r="I586" s="98">
        <v>8.4</v>
      </c>
      <c r="J586" s="63">
        <v>8.4</v>
      </c>
      <c r="K586" s="63"/>
      <c r="L586" s="98">
        <v>3.7890000000000001</v>
      </c>
      <c r="M586" s="98">
        <v>3.7890000000000001</v>
      </c>
      <c r="N586" s="63">
        <v>3.7890000000000001</v>
      </c>
      <c r="O586" s="63"/>
      <c r="P586" s="63"/>
      <c r="Q586" s="63"/>
      <c r="R586" s="63">
        <v>0</v>
      </c>
      <c r="S586" s="63"/>
      <c r="T586" s="63"/>
      <c r="U586" s="63"/>
      <c r="V586" s="63">
        <v>0</v>
      </c>
      <c r="W586" s="63"/>
      <c r="X586" s="63"/>
      <c r="Y586" s="63"/>
      <c r="Z586" s="63">
        <v>0</v>
      </c>
      <c r="AA586" s="63"/>
      <c r="AB586" s="63"/>
      <c r="AC586" s="63"/>
      <c r="AD586" s="63">
        <v>0</v>
      </c>
      <c r="AE586" s="63"/>
      <c r="AF586" s="63"/>
      <c r="AG586" s="63"/>
      <c r="AH586" s="63">
        <v>0</v>
      </c>
      <c r="AI586" s="63"/>
      <c r="AJ586" s="63"/>
      <c r="AK586" s="63"/>
      <c r="AL586" s="63">
        <v>0</v>
      </c>
      <c r="AM586" s="63"/>
      <c r="AN586" s="63"/>
      <c r="AO586" s="63"/>
      <c r="AP586" s="63">
        <v>0</v>
      </c>
    </row>
    <row r="587" spans="1:42" ht="14.45" customHeight="1" x14ac:dyDescent="0.25">
      <c r="A587" s="125" t="s">
        <v>612</v>
      </c>
      <c r="B587" s="180"/>
      <c r="C587" s="63"/>
      <c r="D587" s="63"/>
      <c r="E587" s="63"/>
      <c r="F587" s="63"/>
      <c r="G587" s="63"/>
      <c r="H587" s="63"/>
      <c r="I587" s="63"/>
      <c r="J587" s="63">
        <v>-19.393000000000001</v>
      </c>
      <c r="K587" s="63"/>
      <c r="L587" s="63"/>
      <c r="M587" s="63"/>
      <c r="N587" s="63">
        <v>-13.116</v>
      </c>
      <c r="O587" s="63"/>
      <c r="P587" s="63"/>
      <c r="Q587" s="63"/>
      <c r="R587" s="63">
        <v>0</v>
      </c>
      <c r="S587" s="63"/>
      <c r="T587" s="63"/>
      <c r="U587" s="63"/>
      <c r="V587" s="63">
        <v>0</v>
      </c>
      <c r="W587" s="63"/>
      <c r="X587" s="63"/>
      <c r="Y587" s="63"/>
      <c r="Z587" s="63">
        <v>0</v>
      </c>
      <c r="AA587" s="63"/>
      <c r="AB587" s="63"/>
      <c r="AC587" s="63"/>
      <c r="AD587" s="63">
        <v>0</v>
      </c>
      <c r="AE587" s="63"/>
      <c r="AF587" s="63"/>
      <c r="AG587" s="63"/>
      <c r="AH587" s="63">
        <v>0</v>
      </c>
      <c r="AI587" s="63"/>
      <c r="AJ587" s="63"/>
      <c r="AK587" s="63"/>
      <c r="AL587" s="63">
        <v>0</v>
      </c>
      <c r="AM587" s="63"/>
      <c r="AN587" s="63"/>
      <c r="AO587" s="63"/>
      <c r="AP587" s="63">
        <v>0</v>
      </c>
    </row>
    <row r="588" spans="1:42" ht="14.45" customHeight="1" x14ac:dyDescent="0.25">
      <c r="A588" s="125" t="s">
        <v>434</v>
      </c>
      <c r="B588" s="180"/>
      <c r="C588" s="63"/>
      <c r="D588" s="63"/>
      <c r="E588" s="63"/>
      <c r="F588" s="63"/>
      <c r="G588" s="63"/>
      <c r="H588" s="63"/>
      <c r="I588" s="63"/>
      <c r="J588" s="63">
        <v>12.364000000000001</v>
      </c>
      <c r="K588" s="63"/>
      <c r="L588" s="63"/>
      <c r="M588" s="63"/>
      <c r="N588" s="63">
        <v>0</v>
      </c>
      <c r="O588" s="63"/>
      <c r="P588" s="63"/>
      <c r="Q588" s="63"/>
      <c r="R588" s="63">
        <v>0</v>
      </c>
      <c r="S588" s="63"/>
      <c r="T588" s="63"/>
      <c r="U588" s="63"/>
      <c r="V588" s="63">
        <v>0</v>
      </c>
      <c r="W588" s="63"/>
      <c r="X588" s="63"/>
      <c r="Y588" s="63"/>
      <c r="Z588" s="63">
        <v>0</v>
      </c>
      <c r="AA588" s="63"/>
      <c r="AB588" s="63"/>
      <c r="AC588" s="63"/>
      <c r="AD588" s="63">
        <v>0</v>
      </c>
      <c r="AE588" s="63"/>
      <c r="AF588" s="63"/>
      <c r="AG588" s="63"/>
      <c r="AH588" s="63">
        <v>0</v>
      </c>
      <c r="AI588" s="63"/>
      <c r="AJ588" s="63"/>
      <c r="AK588" s="63"/>
      <c r="AL588" s="63">
        <v>0</v>
      </c>
      <c r="AM588" s="63"/>
      <c r="AN588" s="63"/>
      <c r="AO588" s="63"/>
      <c r="AP588" s="63">
        <v>0</v>
      </c>
    </row>
    <row r="589" spans="1:42" ht="14.45" customHeight="1" x14ac:dyDescent="0.25">
      <c r="A589" s="125" t="s">
        <v>613</v>
      </c>
      <c r="B589" s="180"/>
      <c r="C589" s="63"/>
      <c r="D589" s="63"/>
      <c r="E589" s="63"/>
      <c r="F589" s="63">
        <v>0</v>
      </c>
      <c r="G589" s="63"/>
      <c r="H589" s="63"/>
      <c r="I589" s="63"/>
      <c r="J589" s="63">
        <v>0</v>
      </c>
      <c r="K589" s="63"/>
      <c r="L589" s="63"/>
      <c r="M589" s="63"/>
      <c r="N589" s="63">
        <v>0</v>
      </c>
      <c r="O589" s="63"/>
      <c r="P589" s="63"/>
      <c r="Q589" s="63"/>
      <c r="R589" s="63">
        <v>0</v>
      </c>
      <c r="S589" s="63"/>
      <c r="T589" s="63"/>
      <c r="U589" s="63"/>
      <c r="V589" s="63">
        <v>0</v>
      </c>
      <c r="W589" s="63"/>
      <c r="X589" s="63"/>
      <c r="Y589" s="63"/>
      <c r="Z589" s="63">
        <v>0</v>
      </c>
      <c r="AA589" s="63"/>
      <c r="AB589" s="63"/>
      <c r="AC589" s="63"/>
      <c r="AD589" s="63">
        <v>0</v>
      </c>
      <c r="AE589" s="63"/>
      <c r="AF589" s="63"/>
      <c r="AG589" s="63"/>
      <c r="AH589" s="63">
        <v>0</v>
      </c>
      <c r="AI589" s="63"/>
      <c r="AJ589" s="63"/>
      <c r="AK589" s="63"/>
      <c r="AL589" s="63">
        <v>0</v>
      </c>
      <c r="AM589" s="63"/>
      <c r="AN589" s="63"/>
      <c r="AO589" s="63"/>
      <c r="AP589" s="63">
        <v>0</v>
      </c>
    </row>
    <row r="590" spans="1:42" ht="14.45" customHeight="1" x14ac:dyDescent="0.25">
      <c r="A590" s="125" t="s">
        <v>614</v>
      </c>
      <c r="B590" s="180"/>
      <c r="C590" s="63"/>
      <c r="D590" s="63"/>
      <c r="E590" s="63"/>
      <c r="F590" s="63"/>
      <c r="G590" s="63"/>
      <c r="H590" s="63"/>
      <c r="I590" s="98">
        <v>-56.497999999999998</v>
      </c>
      <c r="J590" s="63">
        <v>0</v>
      </c>
      <c r="K590" s="63"/>
      <c r="L590" s="63"/>
      <c r="M590" s="63"/>
      <c r="N590" s="63">
        <v>0</v>
      </c>
      <c r="O590" s="63"/>
      <c r="P590" s="63"/>
      <c r="Q590" s="63"/>
      <c r="R590" s="63">
        <v>0</v>
      </c>
      <c r="S590" s="63"/>
      <c r="T590" s="63"/>
      <c r="U590" s="63"/>
      <c r="V590" s="63">
        <v>0</v>
      </c>
      <c r="W590" s="63"/>
      <c r="X590" s="63"/>
      <c r="Y590" s="63"/>
      <c r="Z590" s="63">
        <v>0</v>
      </c>
      <c r="AA590" s="63"/>
      <c r="AB590" s="63"/>
      <c r="AC590" s="63"/>
      <c r="AD590" s="63">
        <v>0</v>
      </c>
      <c r="AE590" s="63"/>
      <c r="AF590" s="63"/>
      <c r="AG590" s="63"/>
      <c r="AH590" s="63">
        <v>0</v>
      </c>
      <c r="AI590" s="63"/>
      <c r="AJ590" s="63"/>
      <c r="AK590" s="63"/>
      <c r="AL590" s="63">
        <v>0</v>
      </c>
      <c r="AM590" s="63"/>
      <c r="AN590" s="63"/>
      <c r="AO590" s="63"/>
      <c r="AP590" s="63">
        <v>0</v>
      </c>
    </row>
    <row r="591" spans="1:42" ht="14.45" customHeight="1" x14ac:dyDescent="0.25">
      <c r="A591" s="125" t="s">
        <v>615</v>
      </c>
      <c r="B591" s="180"/>
      <c r="C591" s="63"/>
      <c r="D591" s="63"/>
      <c r="E591" s="63"/>
      <c r="F591" s="63"/>
      <c r="G591" s="98">
        <v>-15.598000000000001</v>
      </c>
      <c r="H591" s="98">
        <v>-15.598000000000001</v>
      </c>
      <c r="I591" s="98">
        <v>-15.598000000000001</v>
      </c>
      <c r="J591" s="63">
        <v>-15.598000000000001</v>
      </c>
      <c r="K591" s="63"/>
      <c r="L591" s="63"/>
      <c r="M591" s="63"/>
      <c r="N591" s="63">
        <v>0</v>
      </c>
      <c r="O591" s="63"/>
      <c r="P591" s="63"/>
      <c r="Q591" s="63"/>
      <c r="R591" s="63">
        <v>0</v>
      </c>
      <c r="S591" s="63"/>
      <c r="T591" s="63"/>
      <c r="U591" s="63"/>
      <c r="V591" s="63">
        <v>0</v>
      </c>
      <c r="W591" s="63"/>
      <c r="X591" s="63"/>
      <c r="Y591" s="63"/>
      <c r="Z591" s="63">
        <v>0</v>
      </c>
      <c r="AA591" s="63"/>
      <c r="AB591" s="63"/>
      <c r="AC591" s="63"/>
      <c r="AD591" s="63">
        <v>0</v>
      </c>
      <c r="AE591" s="63"/>
      <c r="AF591" s="63"/>
      <c r="AG591" s="63"/>
      <c r="AH591" s="63">
        <v>0</v>
      </c>
      <c r="AI591" s="63"/>
      <c r="AJ591" s="63"/>
      <c r="AK591" s="63"/>
      <c r="AL591" s="63">
        <v>0</v>
      </c>
      <c r="AM591" s="63"/>
      <c r="AN591" s="63"/>
      <c r="AO591" s="63"/>
      <c r="AP591" s="63">
        <v>0</v>
      </c>
    </row>
    <row r="592" spans="1:42" ht="14.45" customHeight="1" x14ac:dyDescent="0.25">
      <c r="A592" s="125" t="s">
        <v>616</v>
      </c>
      <c r="B592" s="180"/>
      <c r="C592" s="98">
        <v>-1.204</v>
      </c>
      <c r="D592" s="98">
        <v>-6.6340000000000003</v>
      </c>
      <c r="E592" s="98">
        <v>-7.2160000000000002</v>
      </c>
      <c r="F592" s="63">
        <v>-7.875</v>
      </c>
      <c r="G592" s="98">
        <v>-0.13400000000000001</v>
      </c>
      <c r="H592" s="98">
        <v>-1.0009999999999999</v>
      </c>
      <c r="I592" s="98">
        <v>-1.976</v>
      </c>
      <c r="J592" s="63">
        <v>-3.6150000000000002</v>
      </c>
      <c r="K592" s="98">
        <v>-1.07</v>
      </c>
      <c r="L592" s="98">
        <v>-2.02</v>
      </c>
      <c r="M592" s="98">
        <v>-2.0979999999999999</v>
      </c>
      <c r="N592" s="63">
        <v>-2.0979999999999999</v>
      </c>
      <c r="O592" s="98">
        <v>-0.48599999999999999</v>
      </c>
      <c r="P592" s="98">
        <v>-0.48599999999999999</v>
      </c>
      <c r="Q592" s="98">
        <v>-1.7130000000000001</v>
      </c>
      <c r="R592" s="63">
        <v>-1.7130000000000001</v>
      </c>
      <c r="S592" s="98">
        <v>-0.89300000000000002</v>
      </c>
      <c r="T592" s="98">
        <v>-1.5820000000000001</v>
      </c>
      <c r="U592" s="98">
        <v>-1.77</v>
      </c>
      <c r="V592" s="63">
        <v>-1.77</v>
      </c>
      <c r="W592" s="98">
        <v>-0.51400000000000001</v>
      </c>
      <c r="X592" s="98">
        <v>-1.724</v>
      </c>
      <c r="Y592" s="98">
        <v>-2.194</v>
      </c>
      <c r="Z592" s="63">
        <v>-2.5310000000000001</v>
      </c>
      <c r="AA592" s="98">
        <v>-0.19700000000000001</v>
      </c>
      <c r="AB592" s="98">
        <v>-1.538</v>
      </c>
      <c r="AC592" s="98">
        <v>-1.538</v>
      </c>
      <c r="AD592" s="63">
        <v>-3.0939999999999999</v>
      </c>
      <c r="AE592" s="63"/>
      <c r="AF592" s="98">
        <v>-6.0330000000000004</v>
      </c>
      <c r="AG592" s="98">
        <v>-9.0440000000000005</v>
      </c>
      <c r="AH592" s="63">
        <v>-13.741</v>
      </c>
      <c r="AI592" s="98">
        <v>-3.6320000000000001</v>
      </c>
      <c r="AJ592" s="98">
        <v>-6.5490000000000004</v>
      </c>
      <c r="AK592" s="98">
        <v>-9.7940000000000005</v>
      </c>
      <c r="AL592" s="63">
        <v>-15.72</v>
      </c>
      <c r="AM592" s="98">
        <v>-4.5839999999999996</v>
      </c>
      <c r="AN592" s="98">
        <v>-10.593999999999999</v>
      </c>
      <c r="AO592" s="98">
        <v>-14.709</v>
      </c>
      <c r="AP592" s="63">
        <v>-19.600000000000001</v>
      </c>
    </row>
    <row r="593" spans="1:42" ht="14.45" customHeight="1" x14ac:dyDescent="0.25">
      <c r="A593" s="125" t="s">
        <v>617</v>
      </c>
      <c r="B593" s="180"/>
      <c r="C593" s="98">
        <v>-100.907</v>
      </c>
      <c r="D593" s="98">
        <v>-174.69499999999999</v>
      </c>
      <c r="E593" s="98">
        <v>-174.571</v>
      </c>
      <c r="F593" s="63">
        <v>-272.637</v>
      </c>
      <c r="G593" s="98">
        <v>-139.958</v>
      </c>
      <c r="H593" s="98">
        <v>-227.75899999999999</v>
      </c>
      <c r="I593" s="98">
        <v>-227.76900000000001</v>
      </c>
      <c r="J593" s="63">
        <v>-265.06</v>
      </c>
      <c r="K593" s="63"/>
      <c r="L593" s="98">
        <v>4.7060000000000004</v>
      </c>
      <c r="M593" s="98">
        <v>1.8109999999999999</v>
      </c>
      <c r="N593" s="63">
        <v>0.45600000000000002</v>
      </c>
      <c r="O593" s="63"/>
      <c r="P593" s="63"/>
      <c r="Q593" s="63"/>
      <c r="R593" s="63">
        <v>0</v>
      </c>
      <c r="S593" s="63"/>
      <c r="T593" s="63"/>
      <c r="U593" s="63"/>
      <c r="V593" s="63">
        <v>0</v>
      </c>
      <c r="W593" s="63"/>
      <c r="X593" s="63"/>
      <c r="Y593" s="63"/>
      <c r="Z593" s="63">
        <v>0</v>
      </c>
      <c r="AA593" s="63"/>
      <c r="AB593" s="63"/>
      <c r="AC593" s="63"/>
      <c r="AD593" s="63">
        <v>0</v>
      </c>
      <c r="AE593" s="63"/>
      <c r="AF593" s="63"/>
      <c r="AG593" s="63"/>
      <c r="AH593" s="63">
        <v>0</v>
      </c>
      <c r="AI593" s="63"/>
      <c r="AJ593" s="63"/>
      <c r="AK593" s="63"/>
      <c r="AL593" s="63">
        <v>0</v>
      </c>
      <c r="AM593" s="63"/>
      <c r="AN593" s="63"/>
      <c r="AO593" s="63"/>
      <c r="AP593" s="63">
        <v>0</v>
      </c>
    </row>
    <row r="594" spans="1:42" ht="14.45" customHeight="1" x14ac:dyDescent="0.25">
      <c r="A594" s="125" t="s">
        <v>618</v>
      </c>
      <c r="B594" s="180"/>
      <c r="C594" s="63"/>
      <c r="D594" s="63"/>
      <c r="E594" s="63"/>
      <c r="F594" s="63">
        <v>0</v>
      </c>
      <c r="G594" s="63"/>
      <c r="H594" s="63"/>
      <c r="I594" s="63"/>
      <c r="J594" s="63">
        <v>0</v>
      </c>
      <c r="K594" s="63"/>
      <c r="L594" s="63"/>
      <c r="M594" s="63"/>
      <c r="N594" s="63">
        <v>0</v>
      </c>
      <c r="O594" s="63"/>
      <c r="P594" s="63"/>
      <c r="Q594" s="63"/>
      <c r="R594" s="63">
        <v>0</v>
      </c>
      <c r="S594" s="63"/>
      <c r="T594" s="63"/>
      <c r="U594" s="63"/>
      <c r="V594" s="63">
        <v>0</v>
      </c>
      <c r="W594" s="63"/>
      <c r="X594" s="63"/>
      <c r="Y594" s="63"/>
      <c r="Z594" s="63">
        <v>0</v>
      </c>
      <c r="AA594" s="63"/>
      <c r="AB594" s="63"/>
      <c r="AC594" s="63"/>
      <c r="AD594" s="63">
        <v>0</v>
      </c>
      <c r="AE594" s="63"/>
      <c r="AF594" s="63"/>
      <c r="AG594" s="63"/>
      <c r="AH594" s="63">
        <v>0</v>
      </c>
      <c r="AI594" s="63"/>
      <c r="AJ594" s="63"/>
      <c r="AK594" s="63"/>
      <c r="AL594" s="63">
        <v>0</v>
      </c>
      <c r="AM594" s="63"/>
      <c r="AN594" s="63"/>
      <c r="AO594" s="63"/>
      <c r="AP594" s="63">
        <v>0</v>
      </c>
    </row>
    <row r="595" spans="1:42" ht="14.45" customHeight="1" x14ac:dyDescent="0.25">
      <c r="A595" s="110" t="s">
        <v>619</v>
      </c>
      <c r="B595" s="212"/>
      <c r="C595" s="106">
        <v>-138.76499999999999</v>
      </c>
      <c r="D595" s="106">
        <v>-260.67200000000003</v>
      </c>
      <c r="E595" s="106">
        <v>-306.053</v>
      </c>
      <c r="F595" s="159">
        <v>-452.02600000000001</v>
      </c>
      <c r="G595" s="106">
        <v>-197.059</v>
      </c>
      <c r="H595" s="106">
        <v>-315.18099999999998</v>
      </c>
      <c r="I595" s="106">
        <v>-407.90100000000001</v>
      </c>
      <c r="J595" s="159">
        <v>-458.89499999999998</v>
      </c>
      <c r="K595" s="106">
        <v>-40.223999999999997</v>
      </c>
      <c r="L595" s="106">
        <v>-75.756999999999991</v>
      </c>
      <c r="M595" s="106">
        <v>-106.047</v>
      </c>
      <c r="N595" s="159">
        <v>-143.94499999999999</v>
      </c>
      <c r="O595" s="106">
        <v>-33.774000000000001</v>
      </c>
      <c r="P595" s="106">
        <v>-61.898000000000003</v>
      </c>
      <c r="Q595" s="106">
        <v>-102.086</v>
      </c>
      <c r="R595" s="159">
        <v>-173.67699999999999</v>
      </c>
      <c r="S595" s="106">
        <v>-32.328000000000003</v>
      </c>
      <c r="T595" s="106">
        <v>-72.703999999999994</v>
      </c>
      <c r="U595" s="106">
        <v>-110.09</v>
      </c>
      <c r="V595" s="159">
        <v>-200.41900000000001</v>
      </c>
      <c r="W595" s="106">
        <v>-39.642000000000003</v>
      </c>
      <c r="X595" s="106">
        <v>-82.352000000000018</v>
      </c>
      <c r="Y595" s="106">
        <v>-119.59699999999999</v>
      </c>
      <c r="Z595" s="159">
        <v>-161.94300000000001</v>
      </c>
      <c r="AA595" s="106">
        <v>-132.52099999999999</v>
      </c>
      <c r="AB595" s="106">
        <v>-171.614</v>
      </c>
      <c r="AC595" s="106">
        <v>-210.268</v>
      </c>
      <c r="AD595" s="159">
        <v>-324.98500000000001</v>
      </c>
      <c r="AE595" s="106">
        <v>-52.542000000000002</v>
      </c>
      <c r="AF595" s="106">
        <v>-98.659000000000006</v>
      </c>
      <c r="AG595" s="106">
        <v>-160.863</v>
      </c>
      <c r="AH595" s="159">
        <v>-295.35000000000002</v>
      </c>
      <c r="AI595" s="106">
        <v>-263.262</v>
      </c>
      <c r="AJ595" s="106">
        <v>-362.17899999999997</v>
      </c>
      <c r="AK595" s="106">
        <v>-507.95800000000003</v>
      </c>
      <c r="AL595" s="159">
        <v>-682.20100000000014</v>
      </c>
      <c r="AM595" s="106">
        <v>-139.69499999999999</v>
      </c>
      <c r="AN595" s="106">
        <v>-207.35900000000001</v>
      </c>
      <c r="AO595" s="106">
        <v>-61.67499999999994</v>
      </c>
      <c r="AP595" s="159">
        <v>-19.016999999999971</v>
      </c>
    </row>
    <row r="596" spans="1:42" ht="14.45" customHeight="1" x14ac:dyDescent="0.25">
      <c r="A596" s="111"/>
      <c r="B596" s="211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</row>
    <row r="597" spans="1:42" ht="14.45" customHeight="1" x14ac:dyDescent="0.25">
      <c r="A597" s="135" t="s">
        <v>95</v>
      </c>
      <c r="B597" s="211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</row>
    <row r="598" spans="1:42" ht="14.45" customHeight="1" x14ac:dyDescent="0.25">
      <c r="A598" s="125" t="s">
        <v>620</v>
      </c>
      <c r="B598" s="180"/>
      <c r="C598" s="63"/>
      <c r="D598" s="63"/>
      <c r="E598" s="63"/>
      <c r="F598" s="63">
        <v>0</v>
      </c>
      <c r="G598" s="63"/>
      <c r="H598" s="63"/>
      <c r="I598" s="63"/>
      <c r="J598" s="63">
        <v>0</v>
      </c>
      <c r="K598" s="63"/>
      <c r="L598" s="63"/>
      <c r="M598" s="63"/>
      <c r="N598" s="63">
        <v>0</v>
      </c>
      <c r="O598" s="63"/>
      <c r="P598" s="63"/>
      <c r="Q598" s="63"/>
      <c r="R598" s="63">
        <v>0</v>
      </c>
      <c r="S598" s="63"/>
      <c r="T598" s="63"/>
      <c r="U598" s="63"/>
      <c r="V598" s="63">
        <v>0</v>
      </c>
      <c r="W598" s="63"/>
      <c r="X598" s="63"/>
      <c r="Y598" s="63"/>
      <c r="Z598" s="63">
        <v>0</v>
      </c>
      <c r="AA598" s="63"/>
      <c r="AB598" s="63"/>
      <c r="AC598" s="63"/>
      <c r="AD598" s="63">
        <v>0</v>
      </c>
      <c r="AE598" s="63"/>
      <c r="AF598" s="63"/>
      <c r="AG598" s="63"/>
      <c r="AH598" s="63">
        <v>0</v>
      </c>
      <c r="AI598" s="63"/>
      <c r="AJ598" s="63"/>
      <c r="AK598" s="63"/>
      <c r="AL598" s="63">
        <v>0</v>
      </c>
      <c r="AM598" s="63"/>
      <c r="AN598" s="63"/>
      <c r="AO598" s="63"/>
      <c r="AP598" s="63">
        <v>0</v>
      </c>
    </row>
    <row r="599" spans="1:42" ht="14.45" customHeight="1" x14ac:dyDescent="0.25">
      <c r="A599" s="125" t="s">
        <v>621</v>
      </c>
      <c r="B599" s="180"/>
      <c r="C599" s="63"/>
      <c r="D599" s="98">
        <v>300</v>
      </c>
      <c r="E599" s="98">
        <v>300</v>
      </c>
      <c r="F599" s="63">
        <v>300</v>
      </c>
      <c r="G599" s="63"/>
      <c r="H599" s="63"/>
      <c r="I599" s="63"/>
      <c r="J599" s="63">
        <v>0</v>
      </c>
      <c r="K599" s="63"/>
      <c r="L599" s="63"/>
      <c r="M599" s="63"/>
      <c r="N599" s="63">
        <v>0</v>
      </c>
      <c r="O599" s="63"/>
      <c r="P599" s="63"/>
      <c r="Q599" s="63"/>
      <c r="R599" s="63">
        <v>0</v>
      </c>
      <c r="S599" s="63"/>
      <c r="T599" s="63"/>
      <c r="U599" s="63"/>
      <c r="V599" s="63">
        <v>0</v>
      </c>
      <c r="W599" s="63"/>
      <c r="X599" s="63"/>
      <c r="Y599" s="98">
        <v>70</v>
      </c>
      <c r="Z599" s="63">
        <v>70</v>
      </c>
      <c r="AA599" s="63"/>
      <c r="AB599" s="63"/>
      <c r="AC599" s="63"/>
      <c r="AD599" s="63">
        <v>0</v>
      </c>
      <c r="AE599" s="63"/>
      <c r="AF599" s="63"/>
      <c r="AG599" s="63"/>
      <c r="AH599" s="63">
        <v>0</v>
      </c>
      <c r="AI599" s="63"/>
      <c r="AJ599" s="63"/>
      <c r="AK599" s="63"/>
      <c r="AL599" s="63">
        <v>0</v>
      </c>
      <c r="AM599" s="63"/>
      <c r="AN599" s="63"/>
      <c r="AO599" s="63"/>
      <c r="AP599" s="63">
        <v>0</v>
      </c>
    </row>
    <row r="600" spans="1:42" ht="14.45" customHeight="1" x14ac:dyDescent="0.25">
      <c r="A600" s="125" t="s">
        <v>622</v>
      </c>
      <c r="B600" s="180"/>
      <c r="C600" s="98">
        <v>140</v>
      </c>
      <c r="D600" s="98">
        <v>310</v>
      </c>
      <c r="E600" s="98">
        <v>310</v>
      </c>
      <c r="F600" s="63">
        <v>410</v>
      </c>
      <c r="G600" s="98">
        <v>120</v>
      </c>
      <c r="H600" s="98">
        <v>238</v>
      </c>
      <c r="I600" s="98">
        <v>333</v>
      </c>
      <c r="J600" s="63">
        <v>448</v>
      </c>
      <c r="K600" s="98">
        <v>170</v>
      </c>
      <c r="L600" s="98">
        <v>190</v>
      </c>
      <c r="M600" s="98">
        <v>285</v>
      </c>
      <c r="N600" s="63">
        <v>356</v>
      </c>
      <c r="O600" s="98">
        <v>131.339</v>
      </c>
      <c r="P600" s="98">
        <v>206.339</v>
      </c>
      <c r="Q600" s="98">
        <v>331.339</v>
      </c>
      <c r="R600" s="63">
        <v>515.33900000000006</v>
      </c>
      <c r="S600" s="98">
        <v>185</v>
      </c>
      <c r="T600" s="98">
        <v>235</v>
      </c>
      <c r="U600" s="98">
        <v>235</v>
      </c>
      <c r="V600" s="63">
        <v>235</v>
      </c>
      <c r="W600" s="63"/>
      <c r="X600" s="98">
        <v>55</v>
      </c>
      <c r="Y600" s="98">
        <v>55</v>
      </c>
      <c r="Z600" s="63">
        <v>55</v>
      </c>
      <c r="AA600" s="63"/>
      <c r="AB600" s="98">
        <v>0</v>
      </c>
      <c r="AC600" s="63"/>
      <c r="AD600" s="63">
        <v>0</v>
      </c>
      <c r="AE600" s="63"/>
      <c r="AF600" s="63"/>
      <c r="AG600" s="63"/>
      <c r="AH600" s="63">
        <v>0</v>
      </c>
      <c r="AI600" s="63"/>
      <c r="AJ600" s="63"/>
      <c r="AK600" s="63"/>
      <c r="AL600" s="63">
        <v>0</v>
      </c>
      <c r="AM600" s="63"/>
      <c r="AN600" s="63"/>
      <c r="AO600" s="63"/>
      <c r="AP600" s="63">
        <v>0</v>
      </c>
    </row>
    <row r="601" spans="1:42" ht="14.45" customHeight="1" x14ac:dyDescent="0.25">
      <c r="A601" s="125" t="s">
        <v>623</v>
      </c>
      <c r="B601" s="180"/>
      <c r="C601" s="63"/>
      <c r="D601" s="98">
        <v>-235</v>
      </c>
      <c r="E601" s="98">
        <v>-245</v>
      </c>
      <c r="F601" s="63">
        <v>-258</v>
      </c>
      <c r="G601" s="98">
        <v>-150</v>
      </c>
      <c r="H601" s="98">
        <v>-190</v>
      </c>
      <c r="I601" s="98">
        <v>-238</v>
      </c>
      <c r="J601" s="63">
        <v>-393</v>
      </c>
      <c r="K601" s="98">
        <v>-197</v>
      </c>
      <c r="L601" s="98">
        <v>-297</v>
      </c>
      <c r="M601" s="98">
        <v>-322</v>
      </c>
      <c r="N601" s="63">
        <v>-483</v>
      </c>
      <c r="O601" s="98">
        <v>-82.338999999999999</v>
      </c>
      <c r="P601" s="98">
        <v>-186.339</v>
      </c>
      <c r="Q601" s="98">
        <v>-376.339</v>
      </c>
      <c r="R601" s="63">
        <v>-550.33900000000006</v>
      </c>
      <c r="S601" s="98">
        <v>-125</v>
      </c>
      <c r="T601" s="98">
        <v>-280</v>
      </c>
      <c r="U601" s="98">
        <v>-280</v>
      </c>
      <c r="V601" s="63">
        <v>-280</v>
      </c>
      <c r="W601" s="63"/>
      <c r="X601" s="63"/>
      <c r="Y601" s="98">
        <v>-55</v>
      </c>
      <c r="Z601" s="63">
        <v>-55</v>
      </c>
      <c r="AA601" s="63"/>
      <c r="AB601" s="63"/>
      <c r="AC601" s="63"/>
      <c r="AD601" s="63">
        <v>0</v>
      </c>
      <c r="AE601" s="63"/>
      <c r="AF601" s="63"/>
      <c r="AG601" s="63"/>
      <c r="AH601" s="63">
        <v>0</v>
      </c>
      <c r="AI601" s="63"/>
      <c r="AJ601" s="63"/>
      <c r="AK601" s="63"/>
      <c r="AL601" s="63">
        <v>0</v>
      </c>
      <c r="AM601" s="63"/>
      <c r="AN601" s="63"/>
      <c r="AO601" s="63"/>
      <c r="AP601" s="63">
        <v>0</v>
      </c>
    </row>
    <row r="602" spans="1:42" ht="14.45" customHeight="1" x14ac:dyDescent="0.25">
      <c r="A602" s="125" t="s">
        <v>624</v>
      </c>
      <c r="B602" s="180"/>
      <c r="C602" s="63"/>
      <c r="D602" s="63"/>
      <c r="E602" s="63"/>
      <c r="F602" s="63">
        <v>0</v>
      </c>
      <c r="G602" s="63"/>
      <c r="H602" s="63"/>
      <c r="I602" s="63"/>
      <c r="J602" s="63">
        <v>0</v>
      </c>
      <c r="K602" s="63"/>
      <c r="L602" s="63"/>
      <c r="M602" s="63"/>
      <c r="N602" s="63">
        <v>0</v>
      </c>
      <c r="O602" s="63"/>
      <c r="P602" s="63"/>
      <c r="Q602" s="63"/>
      <c r="R602" s="63">
        <v>0</v>
      </c>
      <c r="S602" s="63"/>
      <c r="T602" s="63"/>
      <c r="U602" s="63"/>
      <c r="V602" s="63">
        <v>0</v>
      </c>
      <c r="W602" s="63"/>
      <c r="X602" s="63"/>
      <c r="Y602" s="63"/>
      <c r="Z602" s="63">
        <v>0</v>
      </c>
      <c r="AA602" s="63"/>
      <c r="AB602" s="63"/>
      <c r="AC602" s="63"/>
      <c r="AD602" s="63">
        <v>0</v>
      </c>
      <c r="AE602" s="63"/>
      <c r="AF602" s="63"/>
      <c r="AG602" s="63"/>
      <c r="AH602" s="63">
        <v>0</v>
      </c>
      <c r="AI602" s="63"/>
      <c r="AJ602" s="63"/>
      <c r="AK602" s="63"/>
      <c r="AL602" s="63">
        <v>0</v>
      </c>
      <c r="AM602" s="63"/>
      <c r="AN602" s="63"/>
      <c r="AO602" s="63"/>
      <c r="AP602" s="63">
        <v>0</v>
      </c>
    </row>
    <row r="603" spans="1:42" ht="14.45" customHeight="1" x14ac:dyDescent="0.25">
      <c r="A603" s="125" t="s">
        <v>625</v>
      </c>
      <c r="B603" s="180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98">
        <v>-7.5</v>
      </c>
      <c r="N603" s="63">
        <v>-7.5</v>
      </c>
      <c r="O603" s="98">
        <v>-15</v>
      </c>
      <c r="P603" s="98">
        <v>-132.5</v>
      </c>
      <c r="Q603" s="98">
        <v>-132.5</v>
      </c>
      <c r="R603" s="63">
        <v>-140</v>
      </c>
      <c r="S603" s="98">
        <v>-7.5</v>
      </c>
      <c r="T603" s="98">
        <v>-15</v>
      </c>
      <c r="U603" s="98">
        <v>-22.5</v>
      </c>
      <c r="V603" s="63">
        <v>-45</v>
      </c>
      <c r="W603" s="98">
        <v>-31.25</v>
      </c>
      <c r="X603" s="98">
        <v>-217.5</v>
      </c>
      <c r="Y603" s="98">
        <v>-217.5</v>
      </c>
      <c r="Z603" s="63">
        <v>-287.5</v>
      </c>
      <c r="AA603" s="63"/>
      <c r="AB603" s="98">
        <v>0</v>
      </c>
      <c r="AC603" s="98">
        <v>-125</v>
      </c>
      <c r="AD603" s="63">
        <v>-125</v>
      </c>
      <c r="AE603" s="63"/>
      <c r="AF603" s="63"/>
      <c r="AG603" s="63"/>
      <c r="AH603" s="63">
        <v>0</v>
      </c>
      <c r="AI603" s="63"/>
      <c r="AJ603" s="63"/>
      <c r="AK603" s="63"/>
      <c r="AL603" s="63">
        <v>0</v>
      </c>
      <c r="AM603" s="63"/>
      <c r="AN603" s="63"/>
      <c r="AO603" s="63"/>
      <c r="AP603" s="63">
        <v>0</v>
      </c>
    </row>
    <row r="604" spans="1:42" ht="14.45" customHeight="1" x14ac:dyDescent="0.25">
      <c r="A604" s="125" t="s">
        <v>626</v>
      </c>
      <c r="B604" s="180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>
        <v>-100</v>
      </c>
      <c r="W604" s="63"/>
      <c r="X604" s="63"/>
      <c r="Y604" s="63"/>
      <c r="Z604" s="63">
        <v>0</v>
      </c>
      <c r="AA604" s="63"/>
      <c r="AB604" s="63"/>
      <c r="AC604" s="63"/>
      <c r="AD604" s="63">
        <v>0</v>
      </c>
      <c r="AE604" s="63"/>
      <c r="AF604" s="63"/>
      <c r="AG604" s="63"/>
      <c r="AH604" s="63">
        <v>0</v>
      </c>
      <c r="AI604" s="63"/>
      <c r="AJ604" s="63"/>
      <c r="AK604" s="63"/>
      <c r="AL604" s="63">
        <v>0</v>
      </c>
      <c r="AM604" s="63"/>
      <c r="AN604" s="63"/>
      <c r="AO604" s="63"/>
      <c r="AP604" s="63">
        <v>0</v>
      </c>
    </row>
    <row r="605" spans="1:42" ht="14.45" customHeight="1" x14ac:dyDescent="0.25">
      <c r="A605" s="125" t="s">
        <v>627</v>
      </c>
      <c r="B605" s="180"/>
      <c r="C605" s="63"/>
      <c r="D605" s="63"/>
      <c r="E605" s="63"/>
      <c r="F605" s="63"/>
      <c r="G605" s="98">
        <v>125</v>
      </c>
      <c r="H605" s="98">
        <v>125</v>
      </c>
      <c r="I605" s="98">
        <v>125</v>
      </c>
      <c r="J605" s="63">
        <v>125</v>
      </c>
      <c r="K605" s="98">
        <v>150</v>
      </c>
      <c r="L605" s="98">
        <v>150</v>
      </c>
      <c r="M605" s="98">
        <v>150</v>
      </c>
      <c r="N605" s="63">
        <v>150</v>
      </c>
      <c r="O605" s="63"/>
      <c r="P605" s="98">
        <v>100</v>
      </c>
      <c r="Q605" s="98">
        <v>100</v>
      </c>
      <c r="R605" s="63">
        <v>100</v>
      </c>
      <c r="S605" s="63"/>
      <c r="T605" s="63"/>
      <c r="U605" s="63"/>
      <c r="V605" s="63">
        <v>0</v>
      </c>
      <c r="W605" s="63"/>
      <c r="X605" s="63"/>
      <c r="Y605" s="63"/>
      <c r="Z605" s="63">
        <v>0</v>
      </c>
      <c r="AA605" s="63"/>
      <c r="AB605" s="63"/>
      <c r="AC605" s="63"/>
      <c r="AD605" s="63">
        <v>0</v>
      </c>
      <c r="AE605" s="63"/>
      <c r="AF605" s="63"/>
      <c r="AG605" s="63"/>
      <c r="AH605" s="63">
        <v>0</v>
      </c>
      <c r="AI605" s="63"/>
      <c r="AJ605" s="63"/>
      <c r="AK605" s="63"/>
      <c r="AL605" s="63">
        <v>0</v>
      </c>
      <c r="AM605" s="63"/>
      <c r="AN605" s="63"/>
      <c r="AO605" s="63"/>
      <c r="AP605" s="63">
        <v>0</v>
      </c>
    </row>
    <row r="606" spans="1:42" ht="14.45" customHeight="1" x14ac:dyDescent="0.25">
      <c r="A606" s="125" t="s">
        <v>628</v>
      </c>
      <c r="B606" s="180"/>
      <c r="C606" s="63"/>
      <c r="D606" s="98">
        <v>-164.75700000000001</v>
      </c>
      <c r="E606" s="98">
        <v>-164.75700000000001</v>
      </c>
      <c r="F606" s="63">
        <v>-164.75700000000001</v>
      </c>
      <c r="G606" s="63"/>
      <c r="H606" s="63"/>
      <c r="I606" s="63"/>
      <c r="J606" s="63">
        <v>0</v>
      </c>
      <c r="K606" s="63"/>
      <c r="L606" s="63"/>
      <c r="M606" s="63"/>
      <c r="N606" s="63">
        <v>0</v>
      </c>
      <c r="O606" s="63"/>
      <c r="P606" s="63"/>
      <c r="Q606" s="63"/>
      <c r="R606" s="63">
        <v>0</v>
      </c>
      <c r="S606" s="63"/>
      <c r="T606" s="63"/>
      <c r="U606" s="63"/>
      <c r="V606" s="63">
        <v>0</v>
      </c>
      <c r="W606" s="63"/>
      <c r="X606" s="63"/>
      <c r="Y606" s="63"/>
      <c r="Z606" s="63">
        <v>0</v>
      </c>
      <c r="AA606" s="63"/>
      <c r="AB606" s="63"/>
      <c r="AC606" s="63"/>
      <c r="AD606" s="63">
        <v>0</v>
      </c>
      <c r="AE606" s="63"/>
      <c r="AF606" s="63"/>
      <c r="AG606" s="63"/>
      <c r="AH606" s="63">
        <v>0</v>
      </c>
      <c r="AI606" s="63"/>
      <c r="AJ606" s="63"/>
      <c r="AK606" s="63"/>
      <c r="AL606" s="63">
        <v>0</v>
      </c>
      <c r="AM606" s="63"/>
      <c r="AN606" s="63"/>
      <c r="AO606" s="63"/>
      <c r="AP606" s="63">
        <v>0</v>
      </c>
    </row>
    <row r="607" spans="1:42" ht="14.45" customHeight="1" x14ac:dyDescent="0.25">
      <c r="A607" s="125" t="s">
        <v>629</v>
      </c>
      <c r="B607" s="180"/>
      <c r="C607" s="63"/>
      <c r="D607" s="63"/>
      <c r="E607" s="63"/>
      <c r="F607" s="63">
        <v>0</v>
      </c>
      <c r="G607" s="63"/>
      <c r="H607" s="63"/>
      <c r="I607" s="63"/>
      <c r="J607" s="63">
        <v>0</v>
      </c>
      <c r="K607" s="63"/>
      <c r="L607" s="63"/>
      <c r="M607" s="63"/>
      <c r="N607" s="63">
        <v>0</v>
      </c>
      <c r="O607" s="63"/>
      <c r="P607" s="63"/>
      <c r="Q607" s="63"/>
      <c r="R607" s="63">
        <v>0</v>
      </c>
      <c r="S607" s="63"/>
      <c r="T607" s="63"/>
      <c r="U607" s="63"/>
      <c r="V607" s="63">
        <v>0</v>
      </c>
      <c r="W607" s="63"/>
      <c r="X607" s="63"/>
      <c r="Y607" s="63"/>
      <c r="Z607" s="63">
        <v>0</v>
      </c>
      <c r="AA607" s="63"/>
      <c r="AB607" s="63"/>
      <c r="AC607" s="63"/>
      <c r="AD607" s="63">
        <v>0</v>
      </c>
      <c r="AE607" s="63"/>
      <c r="AF607" s="63"/>
      <c r="AG607" s="63"/>
      <c r="AH607" s="63">
        <v>0</v>
      </c>
      <c r="AI607" s="63"/>
      <c r="AJ607" s="63"/>
      <c r="AK607" s="63"/>
      <c r="AL607" s="63">
        <v>0</v>
      </c>
      <c r="AM607" s="63"/>
      <c r="AN607" s="63"/>
      <c r="AO607" s="63"/>
      <c r="AP607" s="63">
        <v>0</v>
      </c>
    </row>
    <row r="608" spans="1:42" ht="14.45" customHeight="1" x14ac:dyDescent="0.25">
      <c r="A608" s="125" t="s">
        <v>630</v>
      </c>
      <c r="B608" s="180"/>
      <c r="C608" s="63"/>
      <c r="D608" s="63"/>
      <c r="E608" s="63"/>
      <c r="F608" s="63">
        <v>0</v>
      </c>
      <c r="G608" s="63"/>
      <c r="H608" s="63"/>
      <c r="I608" s="63"/>
      <c r="J608" s="63">
        <v>0</v>
      </c>
      <c r="K608" s="63"/>
      <c r="L608" s="63"/>
      <c r="M608" s="63"/>
      <c r="N608" s="63">
        <v>0</v>
      </c>
      <c r="O608" s="63"/>
      <c r="P608" s="63"/>
      <c r="Q608" s="63"/>
      <c r="R608" s="63">
        <v>0</v>
      </c>
      <c r="S608" s="63"/>
      <c r="T608" s="63"/>
      <c r="U608" s="63"/>
      <c r="V608" s="63">
        <v>0</v>
      </c>
      <c r="W608" s="63"/>
      <c r="X608" s="63"/>
      <c r="Y608" s="63"/>
      <c r="Z608" s="63">
        <v>0</v>
      </c>
      <c r="AA608" s="63"/>
      <c r="AB608" s="63"/>
      <c r="AC608" s="63"/>
      <c r="AD608" s="63">
        <v>0</v>
      </c>
      <c r="AE608" s="63"/>
      <c r="AF608" s="63"/>
      <c r="AG608" s="63"/>
      <c r="AH608" s="63">
        <v>0</v>
      </c>
      <c r="AI608" s="63"/>
      <c r="AJ608" s="63"/>
      <c r="AK608" s="63"/>
      <c r="AL608" s="63">
        <v>0</v>
      </c>
      <c r="AM608" s="63"/>
      <c r="AN608" s="63"/>
      <c r="AO608" s="63"/>
      <c r="AP608" s="63">
        <v>1200</v>
      </c>
    </row>
    <row r="609" spans="1:42" ht="14.45" customHeight="1" x14ac:dyDescent="0.25">
      <c r="A609" s="125" t="s">
        <v>631</v>
      </c>
      <c r="B609" s="180"/>
      <c r="C609" s="63"/>
      <c r="D609" s="63"/>
      <c r="E609" s="63"/>
      <c r="F609" s="63">
        <v>0</v>
      </c>
      <c r="G609" s="63"/>
      <c r="H609" s="63"/>
      <c r="I609" s="63"/>
      <c r="J609" s="63">
        <v>0</v>
      </c>
      <c r="K609" s="63"/>
      <c r="L609" s="63"/>
      <c r="M609" s="63"/>
      <c r="N609" s="63">
        <v>0</v>
      </c>
      <c r="O609" s="63"/>
      <c r="P609" s="63"/>
      <c r="Q609" s="63"/>
      <c r="R609" s="63">
        <v>0</v>
      </c>
      <c r="S609" s="63"/>
      <c r="T609" s="63"/>
      <c r="U609" s="63"/>
      <c r="V609" s="63">
        <v>0</v>
      </c>
      <c r="W609" s="63"/>
      <c r="X609" s="63"/>
      <c r="Y609" s="63"/>
      <c r="Z609" s="63">
        <v>0</v>
      </c>
      <c r="AA609" s="63"/>
      <c r="AB609" s="63"/>
      <c r="AC609" s="63"/>
      <c r="AD609" s="63">
        <v>0</v>
      </c>
      <c r="AE609" s="63"/>
      <c r="AF609" s="63"/>
      <c r="AG609" s="63"/>
      <c r="AH609" s="63">
        <v>0</v>
      </c>
      <c r="AI609" s="63"/>
      <c r="AJ609" s="63"/>
      <c r="AK609" s="63"/>
      <c r="AL609" s="63">
        <v>0</v>
      </c>
      <c r="AM609" s="63"/>
      <c r="AN609" s="63"/>
      <c r="AO609" s="63"/>
      <c r="AP609" s="63">
        <v>950</v>
      </c>
    </row>
    <row r="610" spans="1:42" ht="14.45" customHeight="1" x14ac:dyDescent="0.25">
      <c r="A610" s="125" t="s">
        <v>632</v>
      </c>
      <c r="B610" s="180"/>
      <c r="C610" s="63"/>
      <c r="D610" s="63"/>
      <c r="E610" s="63"/>
      <c r="F610" s="63">
        <v>0</v>
      </c>
      <c r="G610" s="63"/>
      <c r="H610" s="63"/>
      <c r="I610" s="63"/>
      <c r="J610" s="63">
        <v>0</v>
      </c>
      <c r="K610" s="63"/>
      <c r="L610" s="63"/>
      <c r="M610" s="63"/>
      <c r="N610" s="63">
        <v>0</v>
      </c>
      <c r="O610" s="63"/>
      <c r="P610" s="63"/>
      <c r="Q610" s="63"/>
      <c r="R610" s="63">
        <v>0</v>
      </c>
      <c r="S610" s="63"/>
      <c r="T610" s="63"/>
      <c r="U610" s="63"/>
      <c r="V610" s="63">
        <v>0</v>
      </c>
      <c r="W610" s="63"/>
      <c r="X610" s="63"/>
      <c r="Y610" s="63"/>
      <c r="Z610" s="63">
        <v>0</v>
      </c>
      <c r="AA610" s="63"/>
      <c r="AB610" s="63"/>
      <c r="AC610" s="63"/>
      <c r="AD610" s="63">
        <v>0</v>
      </c>
      <c r="AE610" s="63"/>
      <c r="AF610" s="63"/>
      <c r="AG610" s="63"/>
      <c r="AH610" s="63">
        <v>0</v>
      </c>
      <c r="AI610" s="63"/>
      <c r="AJ610" s="63"/>
      <c r="AK610" s="63"/>
      <c r="AL610" s="63">
        <v>0</v>
      </c>
      <c r="AM610" s="63"/>
      <c r="AN610" s="63"/>
      <c r="AO610" s="63"/>
      <c r="AP610" s="63">
        <v>-800</v>
      </c>
    </row>
    <row r="611" spans="1:42" ht="14.45" customHeight="1" x14ac:dyDescent="0.25">
      <c r="A611" s="125" t="s">
        <v>633</v>
      </c>
      <c r="B611" s="180"/>
      <c r="C611" s="63"/>
      <c r="D611" s="63"/>
      <c r="E611" s="63"/>
      <c r="F611" s="63">
        <v>0</v>
      </c>
      <c r="G611" s="63"/>
      <c r="H611" s="63"/>
      <c r="I611" s="63"/>
      <c r="J611" s="63">
        <v>0</v>
      </c>
      <c r="K611" s="63"/>
      <c r="L611" s="63"/>
      <c r="M611" s="63"/>
      <c r="N611" s="63">
        <v>0</v>
      </c>
      <c r="O611" s="63"/>
      <c r="P611" s="63"/>
      <c r="Q611" s="63"/>
      <c r="R611" s="63">
        <v>0</v>
      </c>
      <c r="S611" s="63"/>
      <c r="T611" s="63"/>
      <c r="U611" s="63"/>
      <c r="V611" s="63">
        <v>0</v>
      </c>
      <c r="W611" s="63"/>
      <c r="X611" s="63"/>
      <c r="Y611" s="63"/>
      <c r="Z611" s="63">
        <v>0</v>
      </c>
      <c r="AA611" s="63"/>
      <c r="AB611" s="63"/>
      <c r="AC611" s="63"/>
      <c r="AD611" s="63">
        <v>0</v>
      </c>
      <c r="AE611" s="63"/>
      <c r="AF611" s="63"/>
      <c r="AG611" s="63"/>
      <c r="AH611" s="63">
        <v>0</v>
      </c>
      <c r="AI611" s="63"/>
      <c r="AJ611" s="63"/>
      <c r="AK611" s="63"/>
      <c r="AL611" s="63">
        <v>0</v>
      </c>
      <c r="AM611" s="63"/>
      <c r="AN611" s="63"/>
      <c r="AO611" s="63"/>
      <c r="AP611" s="63">
        <v>-350</v>
      </c>
    </row>
    <row r="612" spans="1:42" ht="14.45" customHeight="1" x14ac:dyDescent="0.25">
      <c r="A612" s="125" t="s">
        <v>634</v>
      </c>
      <c r="B612" s="180"/>
      <c r="C612" s="63"/>
      <c r="D612" s="63"/>
      <c r="E612" s="63"/>
      <c r="F612" s="63">
        <v>0</v>
      </c>
      <c r="G612" s="63"/>
      <c r="H612" s="63"/>
      <c r="I612" s="63"/>
      <c r="J612" s="63">
        <v>0</v>
      </c>
      <c r="K612" s="63"/>
      <c r="L612" s="63"/>
      <c r="M612" s="63"/>
      <c r="N612" s="63">
        <v>0</v>
      </c>
      <c r="O612" s="63"/>
      <c r="P612" s="63"/>
      <c r="Q612" s="63"/>
      <c r="R612" s="63">
        <v>0</v>
      </c>
      <c r="S612" s="63"/>
      <c r="T612" s="63"/>
      <c r="U612" s="63"/>
      <c r="V612" s="63">
        <v>0</v>
      </c>
      <c r="W612" s="63"/>
      <c r="X612" s="63"/>
      <c r="Y612" s="63"/>
      <c r="Z612" s="63">
        <v>0</v>
      </c>
      <c r="AA612" s="63"/>
      <c r="AB612" s="63"/>
      <c r="AC612" s="63"/>
      <c r="AD612" s="63">
        <v>0</v>
      </c>
      <c r="AE612" s="63"/>
      <c r="AF612" s="63"/>
      <c r="AG612" s="63"/>
      <c r="AH612" s="63">
        <v>0</v>
      </c>
      <c r="AI612" s="63"/>
      <c r="AJ612" s="98">
        <v>1200</v>
      </c>
      <c r="AK612" s="98">
        <v>1200</v>
      </c>
      <c r="AL612" s="63">
        <v>1200</v>
      </c>
      <c r="AM612" s="63"/>
      <c r="AN612" s="63"/>
      <c r="AO612" s="63"/>
      <c r="AP612" s="63">
        <v>0</v>
      </c>
    </row>
    <row r="613" spans="1:42" ht="14.45" customHeight="1" x14ac:dyDescent="0.25">
      <c r="A613" s="125" t="s">
        <v>635</v>
      </c>
      <c r="B613" s="180"/>
      <c r="C613" s="98">
        <v>-2.323</v>
      </c>
      <c r="D613" s="98">
        <v>-4.6520000000000001</v>
      </c>
      <c r="E613" s="98">
        <v>-6.98</v>
      </c>
      <c r="F613" s="63">
        <v>-9.3070000000000004</v>
      </c>
      <c r="G613" s="98">
        <v>-2.3279999999999998</v>
      </c>
      <c r="H613" s="98">
        <v>-4.6619999999999999</v>
      </c>
      <c r="I613" s="98">
        <v>-6.9950000000000001</v>
      </c>
      <c r="J613" s="63">
        <v>-9.3279999999999994</v>
      </c>
      <c r="K613" s="98">
        <v>-2.3330000000000002</v>
      </c>
      <c r="L613" s="98">
        <v>-4.6710000000000003</v>
      </c>
      <c r="M613" s="98">
        <v>-7.0140000000000002</v>
      </c>
      <c r="N613" s="63">
        <v>-9.3529999999999998</v>
      </c>
      <c r="O613" s="98">
        <v>-2.339</v>
      </c>
      <c r="P613" s="98">
        <v>-4.6820000000000004</v>
      </c>
      <c r="Q613" s="98">
        <v>-7.0259999999999998</v>
      </c>
      <c r="R613" s="63">
        <v>-9.3689999999999998</v>
      </c>
      <c r="S613" s="98">
        <v>-2.3439999999999999</v>
      </c>
      <c r="T613" s="98">
        <v>-4.6859999999999999</v>
      </c>
      <c r="U613" s="98">
        <v>-7.03</v>
      </c>
      <c r="V613" s="63">
        <v>-9.3740000000000006</v>
      </c>
      <c r="W613" s="98">
        <v>-2.343</v>
      </c>
      <c r="X613" s="98">
        <v>-4.6870000000000003</v>
      </c>
      <c r="Y613" s="98">
        <v>-7.03</v>
      </c>
      <c r="Z613" s="63">
        <v>-9.3740000000000006</v>
      </c>
      <c r="AA613" s="98">
        <v>-2.3439999999999999</v>
      </c>
      <c r="AB613" s="98">
        <v>-4.6870000000000003</v>
      </c>
      <c r="AC613" s="98">
        <v>-7.03</v>
      </c>
      <c r="AD613" s="63">
        <v>-9.3740000000000006</v>
      </c>
      <c r="AE613" s="98">
        <v>-32.808</v>
      </c>
      <c r="AF613" s="98">
        <v>-37.494999999999997</v>
      </c>
      <c r="AG613" s="98">
        <v>-42.182000000000002</v>
      </c>
      <c r="AH613" s="63">
        <v>-46.868000000000002</v>
      </c>
      <c r="AI613" s="98">
        <v>-154.666</v>
      </c>
      <c r="AJ613" s="98">
        <v>-159.35300000000001</v>
      </c>
      <c r="AK613" s="98">
        <v>-163.733</v>
      </c>
      <c r="AL613" s="63">
        <v>-185.63499999999999</v>
      </c>
      <c r="AM613" s="98">
        <v>-21.794</v>
      </c>
      <c r="AN613" s="98">
        <v>-43.588999999999999</v>
      </c>
      <c r="AO613" s="98">
        <v>-65.31</v>
      </c>
      <c r="AP613" s="63">
        <v>-86.673000000000002</v>
      </c>
    </row>
    <row r="614" spans="1:42" ht="14.45" customHeight="1" x14ac:dyDescent="0.25">
      <c r="A614" s="125" t="s">
        <v>636</v>
      </c>
      <c r="B614" s="180"/>
      <c r="C614" s="63"/>
      <c r="D614" s="63"/>
      <c r="E614" s="63"/>
      <c r="F614" s="63">
        <v>0</v>
      </c>
      <c r="G614" s="63"/>
      <c r="H614" s="63"/>
      <c r="I614" s="63"/>
      <c r="J614" s="63">
        <v>0</v>
      </c>
      <c r="K614" s="63"/>
      <c r="L614" s="63"/>
      <c r="M614" s="63"/>
      <c r="N614" s="63">
        <v>0</v>
      </c>
      <c r="O614" s="63"/>
      <c r="P614" s="63"/>
      <c r="Q614" s="63"/>
      <c r="R614" s="63">
        <v>0</v>
      </c>
      <c r="S614" s="63"/>
      <c r="T614" s="63"/>
      <c r="U614" s="63"/>
      <c r="V614" s="63">
        <v>0</v>
      </c>
      <c r="W614" s="63"/>
      <c r="X614" s="63"/>
      <c r="Y614" s="63"/>
      <c r="Z614" s="63">
        <v>0</v>
      </c>
      <c r="AA614" s="63"/>
      <c r="AB614" s="63"/>
      <c r="AC614" s="63"/>
      <c r="AD614" s="63">
        <v>0</v>
      </c>
      <c r="AE614" s="63"/>
      <c r="AF614" s="63"/>
      <c r="AG614" s="63"/>
      <c r="AH614" s="63">
        <v>0</v>
      </c>
      <c r="AI614" s="63"/>
      <c r="AJ614" s="63"/>
      <c r="AK614" s="63"/>
      <c r="AL614" s="63">
        <v>0</v>
      </c>
      <c r="AM614" s="63"/>
      <c r="AN614" s="63"/>
      <c r="AO614" s="63"/>
      <c r="AP614" s="63">
        <v>0</v>
      </c>
    </row>
    <row r="615" spans="1:42" ht="14.45" customHeight="1" x14ac:dyDescent="0.25">
      <c r="A615" s="125" t="s">
        <v>637</v>
      </c>
      <c r="B615" s="180"/>
      <c r="C615" s="98">
        <v>-4.9589999999999996</v>
      </c>
      <c r="D615" s="98">
        <v>-7.9260000000000002</v>
      </c>
      <c r="E615" s="98">
        <v>-10.47</v>
      </c>
      <c r="F615" s="63">
        <v>-13.55</v>
      </c>
      <c r="G615" s="98">
        <v>0</v>
      </c>
      <c r="H615" s="98">
        <v>-6.556</v>
      </c>
      <c r="I615" s="98">
        <v>-11.65</v>
      </c>
      <c r="J615" s="63">
        <v>-16.738</v>
      </c>
      <c r="K615" s="98">
        <v>-5.8819999999999997</v>
      </c>
      <c r="L615" s="98">
        <v>-11.263</v>
      </c>
      <c r="M615" s="98">
        <v>-18.312000000000001</v>
      </c>
      <c r="N615" s="63">
        <v>-24.683</v>
      </c>
      <c r="O615" s="98">
        <v>-6.2370000000000001</v>
      </c>
      <c r="P615" s="98">
        <v>-12.836</v>
      </c>
      <c r="Q615" s="98">
        <v>-18.783999999999999</v>
      </c>
      <c r="R615" s="63">
        <v>-27.181999999999999</v>
      </c>
      <c r="S615" s="98">
        <v>-10.452</v>
      </c>
      <c r="T615" s="98">
        <v>-20.530999999999999</v>
      </c>
      <c r="U615" s="98">
        <v>-31.998999999999999</v>
      </c>
      <c r="V615" s="63">
        <v>-43.4</v>
      </c>
      <c r="W615" s="98">
        <v>-10.045999999999999</v>
      </c>
      <c r="X615" s="98">
        <v>-19.920000000000002</v>
      </c>
      <c r="Y615" s="98">
        <v>-28.64</v>
      </c>
      <c r="Z615" s="63">
        <v>-39.097000000000001</v>
      </c>
      <c r="AA615" s="98">
        <v>-9.8219999999999992</v>
      </c>
      <c r="AB615" s="98">
        <v>-18.71</v>
      </c>
      <c r="AC615" s="98">
        <v>-28.420999999999999</v>
      </c>
      <c r="AD615" s="63">
        <v>-36.515000000000001</v>
      </c>
      <c r="AE615" s="98">
        <v>-6.4989999999999997</v>
      </c>
      <c r="AF615" s="98">
        <v>-13.375999999999999</v>
      </c>
      <c r="AG615" s="98">
        <v>-20.978999999999999</v>
      </c>
      <c r="AH615" s="63">
        <v>-28.207999999999998</v>
      </c>
      <c r="AI615" s="98">
        <v>-9.6999999999999993</v>
      </c>
      <c r="AJ615" s="98">
        <v>-23.675999999999998</v>
      </c>
      <c r="AK615" s="98">
        <v>-44.243000000000002</v>
      </c>
      <c r="AL615" s="63">
        <v>-64.311999999999998</v>
      </c>
      <c r="AM615" s="98">
        <v>-19.818999999999999</v>
      </c>
      <c r="AN615" s="98">
        <v>-35.209000000000003</v>
      </c>
      <c r="AO615" s="98">
        <v>-51.639000000000003</v>
      </c>
      <c r="AP615" s="63">
        <v>-68.884</v>
      </c>
    </row>
    <row r="616" spans="1:42" ht="14.45" customHeight="1" x14ac:dyDescent="0.25">
      <c r="A616" s="125" t="s">
        <v>638</v>
      </c>
      <c r="B616" s="180"/>
      <c r="C616" s="98">
        <v>-1.726</v>
      </c>
      <c r="D616" s="98">
        <v>-3.488</v>
      </c>
      <c r="E616" s="98">
        <v>-5.2789999999999999</v>
      </c>
      <c r="F616" s="63">
        <v>-7.0629999999999997</v>
      </c>
      <c r="G616" s="98">
        <v>-1.8280000000000001</v>
      </c>
      <c r="H616" s="98">
        <v>-3.6949999999999998</v>
      </c>
      <c r="I616" s="98">
        <v>-5.5940000000000003</v>
      </c>
      <c r="J616" s="63">
        <v>-7.4850000000000003</v>
      </c>
      <c r="K616" s="98">
        <v>-2.0529999999999999</v>
      </c>
      <c r="L616" s="98">
        <v>-4.194</v>
      </c>
      <c r="M616" s="98">
        <v>-6.1909999999999998</v>
      </c>
      <c r="N616" s="63">
        <v>-8.2210000000000001</v>
      </c>
      <c r="O616" s="98">
        <v>-2.1139999999999999</v>
      </c>
      <c r="P616" s="98">
        <v>-4.2610000000000001</v>
      </c>
      <c r="Q616" s="98">
        <v>-6.4409999999999998</v>
      </c>
      <c r="R616" s="63">
        <v>-8.6560000000000006</v>
      </c>
      <c r="S616" s="98">
        <v>-1.4850000000000001</v>
      </c>
      <c r="T616" s="98">
        <v>-3.0009999999999999</v>
      </c>
      <c r="U616" s="98">
        <v>-4.4279999999999999</v>
      </c>
      <c r="V616" s="63">
        <v>-5.8609999999999998</v>
      </c>
      <c r="W616" s="98">
        <v>-1.4470000000000001</v>
      </c>
      <c r="X616" s="98">
        <v>-2.3679999999999999</v>
      </c>
      <c r="Y616" s="98">
        <v>-3.5670000000000002</v>
      </c>
      <c r="Z616" s="63">
        <v>-4.7779999999999996</v>
      </c>
      <c r="AA616" s="98">
        <v>-1.375</v>
      </c>
      <c r="AB616" s="98">
        <v>-1.9039999999999999</v>
      </c>
      <c r="AC616" s="98">
        <v>-2.4409999999999998</v>
      </c>
      <c r="AD616" s="63">
        <v>-2.988</v>
      </c>
      <c r="AE616" s="98">
        <v>-0.55800000000000005</v>
      </c>
      <c r="AF616" s="98">
        <v>-1.1299999999999999</v>
      </c>
      <c r="AG616" s="98">
        <v>-1.712</v>
      </c>
      <c r="AH616" s="63">
        <v>-2.3029999999999999</v>
      </c>
      <c r="AI616" s="98">
        <v>-0.60099999999999998</v>
      </c>
      <c r="AJ616" s="98">
        <v>-1.2210000000000001</v>
      </c>
      <c r="AK616" s="98">
        <v>-1.8480000000000001</v>
      </c>
      <c r="AL616" s="63">
        <v>-2.488</v>
      </c>
      <c r="AM616" s="98">
        <v>-0.65</v>
      </c>
      <c r="AN616" s="98">
        <v>-1.32</v>
      </c>
      <c r="AO616" s="98">
        <v>-1.675</v>
      </c>
      <c r="AP616" s="63">
        <v>-1.8089999999999999</v>
      </c>
    </row>
    <row r="617" spans="1:42" ht="14.45" customHeight="1" x14ac:dyDescent="0.25">
      <c r="A617" s="125" t="s">
        <v>639</v>
      </c>
      <c r="B617" s="180"/>
      <c r="C617" s="63"/>
      <c r="D617" s="63"/>
      <c r="E617" s="63"/>
      <c r="F617" s="63">
        <v>0</v>
      </c>
      <c r="G617" s="63"/>
      <c r="H617" s="63"/>
      <c r="I617" s="63"/>
      <c r="J617" s="63">
        <v>0</v>
      </c>
      <c r="K617" s="63"/>
      <c r="L617" s="63"/>
      <c r="M617" s="63"/>
      <c r="N617" s="63">
        <v>0</v>
      </c>
      <c r="O617" s="63"/>
      <c r="P617" s="63"/>
      <c r="Q617" s="63"/>
      <c r="R617" s="63">
        <v>0</v>
      </c>
      <c r="S617" s="63"/>
      <c r="T617" s="63"/>
      <c r="U617" s="63"/>
      <c r="V617" s="63">
        <v>0</v>
      </c>
      <c r="W617" s="63"/>
      <c r="X617" s="63"/>
      <c r="Y617" s="63"/>
      <c r="Z617" s="63">
        <v>0</v>
      </c>
      <c r="AA617" s="63"/>
      <c r="AB617" s="63"/>
      <c r="AC617" s="63"/>
      <c r="AD617" s="63">
        <v>0</v>
      </c>
      <c r="AE617" s="63"/>
      <c r="AF617" s="63"/>
      <c r="AG617" s="63"/>
      <c r="AH617" s="63">
        <v>0</v>
      </c>
      <c r="AI617" s="63"/>
      <c r="AJ617" s="63"/>
      <c r="AK617" s="63"/>
      <c r="AL617" s="63">
        <v>0</v>
      </c>
      <c r="AM617" s="63"/>
      <c r="AN617" s="63"/>
      <c r="AO617" s="63"/>
      <c r="AP617" s="63">
        <v>0</v>
      </c>
    </row>
    <row r="618" spans="1:42" ht="14.45" customHeight="1" x14ac:dyDescent="0.25">
      <c r="A618" s="125" t="s">
        <v>640</v>
      </c>
      <c r="B618" s="180"/>
      <c r="C618" s="63"/>
      <c r="D618" s="63"/>
      <c r="E618" s="63"/>
      <c r="F618" s="63">
        <v>0</v>
      </c>
      <c r="G618" s="63"/>
      <c r="H618" s="63"/>
      <c r="I618" s="63"/>
      <c r="J618" s="63">
        <v>0</v>
      </c>
      <c r="K618" s="98">
        <v>-0.185</v>
      </c>
      <c r="L618" s="98">
        <v>-1.5349999999999999</v>
      </c>
      <c r="M618" s="98">
        <v>-1.5309999999999999</v>
      </c>
      <c r="N618" s="63">
        <v>-1.5309999999999999</v>
      </c>
      <c r="O618" s="98">
        <v>-0.183</v>
      </c>
      <c r="P618" s="98">
        <v>-0.26500000000000001</v>
      </c>
      <c r="Q618" s="98">
        <v>-0.30499999999999999</v>
      </c>
      <c r="R618" s="63">
        <v>-0.42</v>
      </c>
      <c r="S618" s="98">
        <v>-4.5999999999999999E-2</v>
      </c>
      <c r="T618" s="98">
        <v>-0.14499999999999999</v>
      </c>
      <c r="U618" s="98">
        <v>-0.14499999999999999</v>
      </c>
      <c r="V618" s="63">
        <v>-0.22800000000000001</v>
      </c>
      <c r="W618" s="98">
        <v>-0.14699999999999999</v>
      </c>
      <c r="X618" s="98">
        <v>-0.14699999999999999</v>
      </c>
      <c r="Y618" s="98">
        <v>-1.456</v>
      </c>
      <c r="Z618" s="63">
        <v>-1.542</v>
      </c>
      <c r="AA618" s="98">
        <v>-4.8000000000000001E-2</v>
      </c>
      <c r="AB618" s="98">
        <v>-0.13100000000000001</v>
      </c>
      <c r="AC618" s="98">
        <v>-0.219</v>
      </c>
      <c r="AD618" s="63">
        <v>-0.31</v>
      </c>
      <c r="AE618" s="98">
        <v>-0.154</v>
      </c>
      <c r="AF618" s="98">
        <v>-0.154</v>
      </c>
      <c r="AG618" s="98">
        <v>-0.24399999999999999</v>
      </c>
      <c r="AH618" s="63">
        <v>-0.34</v>
      </c>
      <c r="AI618" s="98">
        <v>-5.2999999999999999E-2</v>
      </c>
      <c r="AJ618" s="98">
        <v>-12.212</v>
      </c>
      <c r="AK618" s="98">
        <v>-15.365</v>
      </c>
      <c r="AL618" s="63">
        <v>-15.512</v>
      </c>
      <c r="AM618" s="98">
        <v>-0.23200000000000001</v>
      </c>
      <c r="AN618" s="98">
        <v>-0.23300000000000001</v>
      </c>
      <c r="AO618" s="98">
        <v>-0.26700000000000002</v>
      </c>
      <c r="AP618" s="63">
        <v>-3.3959999999999999</v>
      </c>
    </row>
    <row r="619" spans="1:42" ht="14.45" customHeight="1" x14ac:dyDescent="0.25">
      <c r="A619" s="125" t="s">
        <v>641</v>
      </c>
      <c r="B619" s="180"/>
      <c r="C619" s="63"/>
      <c r="D619" s="63"/>
      <c r="E619" s="63"/>
      <c r="F619" s="63">
        <v>0</v>
      </c>
      <c r="G619" s="63"/>
      <c r="H619" s="63"/>
      <c r="I619" s="63"/>
      <c r="J619" s="63">
        <v>0</v>
      </c>
      <c r="K619" s="63"/>
      <c r="L619" s="63"/>
      <c r="M619" s="63"/>
      <c r="N619" s="63">
        <v>0</v>
      </c>
      <c r="O619" s="63"/>
      <c r="P619" s="63"/>
      <c r="Q619" s="63"/>
      <c r="R619" s="63">
        <v>0</v>
      </c>
      <c r="S619" s="63"/>
      <c r="T619" s="63"/>
      <c r="U619" s="63"/>
      <c r="V619" s="63">
        <v>0</v>
      </c>
      <c r="W619" s="63"/>
      <c r="X619" s="63"/>
      <c r="Y619" s="63"/>
      <c r="Z619" s="63">
        <v>0</v>
      </c>
      <c r="AA619" s="63"/>
      <c r="AB619" s="63"/>
      <c r="AC619" s="63"/>
      <c r="AD619" s="63">
        <v>0</v>
      </c>
      <c r="AE619" s="63"/>
      <c r="AF619" s="63"/>
      <c r="AG619" s="63"/>
      <c r="AH619" s="63">
        <v>0</v>
      </c>
      <c r="AI619" s="63"/>
      <c r="AJ619" s="98">
        <v>-14.471</v>
      </c>
      <c r="AK619" s="98">
        <v>-574.00900000000001</v>
      </c>
      <c r="AL619" s="63">
        <v>-625.654</v>
      </c>
      <c r="AM619" s="63"/>
      <c r="AN619" s="98">
        <v>-34.409999999999997</v>
      </c>
      <c r="AO619" s="98">
        <v>-145.69800000000001</v>
      </c>
      <c r="AP619" s="63">
        <v>-2606.0309999999999</v>
      </c>
    </row>
    <row r="620" spans="1:42" ht="14.45" customHeight="1" x14ac:dyDescent="0.25">
      <c r="A620" s="125" t="s">
        <v>642</v>
      </c>
      <c r="B620" s="180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</row>
    <row r="621" spans="1:42" ht="14.45" customHeight="1" x14ac:dyDescent="0.25">
      <c r="A621" s="125" t="s">
        <v>65</v>
      </c>
      <c r="B621" s="180"/>
      <c r="C621" s="98">
        <v>9.1999999999999998E-2</v>
      </c>
      <c r="D621" s="98">
        <v>-0.877</v>
      </c>
      <c r="E621" s="98">
        <v>-0.86699999999999999</v>
      </c>
      <c r="F621" s="63">
        <v>-0.94</v>
      </c>
      <c r="G621" s="98">
        <v>-0.21299999999999999</v>
      </c>
      <c r="H621" s="98">
        <v>-0.21299999999999999</v>
      </c>
      <c r="I621" s="98">
        <v>-0.21299999999999999</v>
      </c>
      <c r="J621" s="63">
        <v>-0.318</v>
      </c>
      <c r="K621" s="63"/>
      <c r="L621" s="63"/>
      <c r="M621" s="63"/>
      <c r="N621" s="63">
        <v>0</v>
      </c>
      <c r="O621" s="63"/>
      <c r="P621" s="63"/>
      <c r="Q621" s="63"/>
      <c r="R621" s="63">
        <v>0</v>
      </c>
      <c r="S621" s="63"/>
      <c r="T621" s="63"/>
      <c r="U621" s="63"/>
      <c r="V621" s="63">
        <v>0</v>
      </c>
      <c r="W621" s="63"/>
      <c r="X621" s="63"/>
      <c r="Y621" s="63"/>
      <c r="Z621" s="63">
        <v>0</v>
      </c>
      <c r="AA621" s="63"/>
      <c r="AB621" s="63"/>
      <c r="AC621" s="63"/>
      <c r="AD621" s="63">
        <v>0</v>
      </c>
      <c r="AE621" s="63"/>
      <c r="AF621" s="63"/>
      <c r="AG621" s="63"/>
      <c r="AH621" s="63">
        <v>0</v>
      </c>
      <c r="AI621" s="63"/>
      <c r="AJ621" s="63"/>
      <c r="AK621" s="63"/>
      <c r="AL621" s="63">
        <v>0</v>
      </c>
      <c r="AM621" s="63"/>
      <c r="AN621" s="63"/>
      <c r="AO621" s="63"/>
      <c r="AP621" s="63">
        <v>0</v>
      </c>
    </row>
    <row r="622" spans="1:42" ht="14.45" customHeight="1" x14ac:dyDescent="0.25">
      <c r="A622" s="110" t="s">
        <v>643</v>
      </c>
      <c r="B622" s="212"/>
      <c r="C622" s="106">
        <v>131.084</v>
      </c>
      <c r="D622" s="106">
        <v>193.3</v>
      </c>
      <c r="E622" s="106">
        <v>176.64699999999999</v>
      </c>
      <c r="F622" s="159">
        <v>256.38299999999998</v>
      </c>
      <c r="G622" s="106">
        <v>90.631</v>
      </c>
      <c r="H622" s="106">
        <v>157.874</v>
      </c>
      <c r="I622" s="106">
        <v>195.548</v>
      </c>
      <c r="J622" s="159">
        <v>146.131</v>
      </c>
      <c r="K622" s="106">
        <v>112.547</v>
      </c>
      <c r="L622" s="106">
        <v>21.337</v>
      </c>
      <c r="M622" s="106">
        <v>72.451999999999998</v>
      </c>
      <c r="N622" s="159">
        <v>-28.288</v>
      </c>
      <c r="O622" s="106">
        <v>23.126999999999999</v>
      </c>
      <c r="P622" s="106">
        <v>-34.543999999999997</v>
      </c>
      <c r="Q622" s="106">
        <v>-110.056</v>
      </c>
      <c r="R622" s="159">
        <v>-120.627</v>
      </c>
      <c r="S622" s="106">
        <v>38.173000000000002</v>
      </c>
      <c r="T622" s="106">
        <v>-88.363000000000014</v>
      </c>
      <c r="U622" s="106">
        <v>-111.102</v>
      </c>
      <c r="V622" s="159">
        <v>-248.863</v>
      </c>
      <c r="W622" s="106">
        <v>-45.232999999999997</v>
      </c>
      <c r="X622" s="106">
        <v>-189.62200000000001</v>
      </c>
      <c r="Y622" s="106">
        <v>-188.19300000000001</v>
      </c>
      <c r="Z622" s="159">
        <v>-272.291</v>
      </c>
      <c r="AA622" s="106">
        <v>-13.589</v>
      </c>
      <c r="AB622" s="106">
        <v>-25.431999999999999</v>
      </c>
      <c r="AC622" s="106">
        <v>-163.11099999999999</v>
      </c>
      <c r="AD622" s="159">
        <v>-174.18700000000001</v>
      </c>
      <c r="AE622" s="106">
        <v>-40.019000000000013</v>
      </c>
      <c r="AF622" s="106">
        <v>-52.155000000000001</v>
      </c>
      <c r="AG622" s="106">
        <v>-65.117000000000004</v>
      </c>
      <c r="AH622" s="159">
        <v>-77.718999999999994</v>
      </c>
      <c r="AI622" s="106">
        <v>-165.02</v>
      </c>
      <c r="AJ622" s="106">
        <v>989.06699999999989</v>
      </c>
      <c r="AK622" s="106">
        <v>400.80200000000002</v>
      </c>
      <c r="AL622" s="159">
        <v>306.39899999999989</v>
      </c>
      <c r="AM622" s="106">
        <v>-42.494999999999997</v>
      </c>
      <c r="AN622" s="106">
        <v>-114.761</v>
      </c>
      <c r="AO622" s="106">
        <v>-264.589</v>
      </c>
      <c r="AP622" s="159">
        <v>-1766.7929999999999</v>
      </c>
    </row>
    <row r="623" spans="1:42" ht="14.45" customHeight="1" x14ac:dyDescent="0.25">
      <c r="A623" s="111"/>
      <c r="B623" s="211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</row>
    <row r="624" spans="1:42" ht="14.45" customHeight="1" x14ac:dyDescent="0.25">
      <c r="A624" s="135" t="s">
        <v>644</v>
      </c>
      <c r="B624" s="211"/>
      <c r="C624" s="112"/>
      <c r="D624" s="112"/>
      <c r="E624" s="112"/>
      <c r="F624" s="112">
        <v>0</v>
      </c>
      <c r="G624" s="112"/>
      <c r="H624" s="112"/>
      <c r="I624" s="112"/>
      <c r="J624" s="112">
        <v>0</v>
      </c>
      <c r="K624" s="112"/>
      <c r="L624" s="112"/>
      <c r="M624" s="112"/>
      <c r="N624" s="112">
        <v>0</v>
      </c>
      <c r="O624" s="112"/>
      <c r="P624" s="112"/>
      <c r="Q624" s="112"/>
      <c r="R624" s="112">
        <v>0</v>
      </c>
      <c r="S624" s="112"/>
      <c r="T624" s="112"/>
      <c r="U624" s="112"/>
      <c r="V624" s="112">
        <v>0</v>
      </c>
      <c r="W624" s="112"/>
      <c r="X624" s="112"/>
      <c r="Y624" s="112"/>
      <c r="Z624" s="112">
        <v>0</v>
      </c>
      <c r="AA624" s="112"/>
      <c r="AB624" s="112"/>
      <c r="AC624" s="112"/>
      <c r="AD624" s="112">
        <v>0</v>
      </c>
      <c r="AE624" s="112"/>
      <c r="AF624" s="112"/>
      <c r="AG624" s="112"/>
      <c r="AH624" s="112">
        <v>0</v>
      </c>
      <c r="AI624" s="112"/>
      <c r="AJ624" s="112"/>
      <c r="AK624" s="112"/>
      <c r="AL624" s="112">
        <v>0</v>
      </c>
      <c r="AM624" s="112"/>
      <c r="AN624" s="112"/>
      <c r="AO624" s="112"/>
      <c r="AP624" s="112">
        <v>0</v>
      </c>
    </row>
    <row r="625" spans="1:42" ht="14.45" customHeight="1" x14ac:dyDescent="0.25">
      <c r="A625" s="135" t="s">
        <v>645</v>
      </c>
      <c r="B625" s="211"/>
      <c r="C625" s="109">
        <v>-22.897999999999989</v>
      </c>
      <c r="D625" s="109">
        <v>-6.1750000000000114</v>
      </c>
      <c r="E625" s="109">
        <v>-1.2809999999999491</v>
      </c>
      <c r="F625" s="112">
        <v>-33.648000000000003</v>
      </c>
      <c r="G625" s="109">
        <v>10.09</v>
      </c>
      <c r="H625" s="109">
        <v>21.664000000000019</v>
      </c>
      <c r="I625" s="109">
        <v>-9.9279999999999688</v>
      </c>
      <c r="J625" s="112">
        <v>-4.9479999999999791</v>
      </c>
      <c r="K625" s="109">
        <v>-8.423000000000016</v>
      </c>
      <c r="L625" s="109">
        <v>2.8219999999999961</v>
      </c>
      <c r="M625" s="109">
        <v>-7.5649999999999764</v>
      </c>
      <c r="N625" s="112">
        <v>-3.354000000000013</v>
      </c>
      <c r="O625" s="109">
        <v>-5.0510000000000144</v>
      </c>
      <c r="P625" s="109">
        <v>-7.856000000000023</v>
      </c>
      <c r="Q625" s="109">
        <v>-7.5590000000000259</v>
      </c>
      <c r="R625" s="112">
        <v>-3.9339999999999118</v>
      </c>
      <c r="S625" s="109">
        <v>38.133999999999993</v>
      </c>
      <c r="T625" s="109">
        <v>67.93599999999995</v>
      </c>
      <c r="U625" s="109">
        <v>155.209</v>
      </c>
      <c r="V625" s="112">
        <v>45.178999999999967</v>
      </c>
      <c r="W625" s="109">
        <v>-2.9649999999999892</v>
      </c>
      <c r="X625" s="109">
        <v>-0.58900000000005548</v>
      </c>
      <c r="Y625" s="109">
        <v>132.08500000000001</v>
      </c>
      <c r="Z625" s="112">
        <v>87.520999999999958</v>
      </c>
      <c r="AA625" s="109">
        <v>-15.22900000000004</v>
      </c>
      <c r="AB625" s="109">
        <v>46.48900000000009</v>
      </c>
      <c r="AC625" s="109">
        <v>20.93000000000001</v>
      </c>
      <c r="AD625" s="112">
        <v>55.334000000000117</v>
      </c>
      <c r="AE625" s="109">
        <v>92.132999999999981</v>
      </c>
      <c r="AF625" s="109">
        <v>232.524</v>
      </c>
      <c r="AG625" s="109">
        <v>418.56900000000019</v>
      </c>
      <c r="AH625" s="112">
        <v>437.62100000000021</v>
      </c>
      <c r="AI625" s="109">
        <v>-234.00899999999999</v>
      </c>
      <c r="AJ625" s="109">
        <v>1064.019</v>
      </c>
      <c r="AK625" s="109">
        <v>600.73700000000008</v>
      </c>
      <c r="AL625" s="112">
        <v>500.55499999999972</v>
      </c>
      <c r="AM625" s="109">
        <v>15.980999999999989</v>
      </c>
      <c r="AN625" s="109">
        <v>84.100999999999999</v>
      </c>
      <c r="AO625" s="109">
        <v>396.64900000000011</v>
      </c>
      <c r="AP625" s="112">
        <v>-853.90600000000006</v>
      </c>
    </row>
    <row r="626" spans="1:42" ht="14.45" customHeight="1" x14ac:dyDescent="0.25">
      <c r="A626" s="111"/>
      <c r="B626" s="211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</row>
    <row r="627" spans="1:42" ht="14.45" customHeight="1" x14ac:dyDescent="0.25">
      <c r="A627" s="135" t="s">
        <v>646</v>
      </c>
      <c r="B627" s="211"/>
      <c r="C627" s="109">
        <v>55.497999999999948</v>
      </c>
      <c r="D627" s="109">
        <v>55.497999999999948</v>
      </c>
      <c r="E627" s="109">
        <v>55.497999999999948</v>
      </c>
      <c r="F627" s="109">
        <v>55.497999999999948</v>
      </c>
      <c r="G627" s="109">
        <v>21.849999999999952</v>
      </c>
      <c r="H627" s="109">
        <v>21.849999999999952</v>
      </c>
      <c r="I627" s="109">
        <v>21.849999999999952</v>
      </c>
      <c r="J627" s="109">
        <v>21.849999999999952</v>
      </c>
      <c r="K627" s="109">
        <v>16.901999999999969</v>
      </c>
      <c r="L627" s="109">
        <v>16.901999999999969</v>
      </c>
      <c r="M627" s="109">
        <v>16.901999999999969</v>
      </c>
      <c r="N627" s="109">
        <v>16.901999999999969</v>
      </c>
      <c r="O627" s="109">
        <v>13.547999999999959</v>
      </c>
      <c r="P627" s="109">
        <v>13.547999999999959</v>
      </c>
      <c r="Q627" s="109">
        <v>13.547999999999959</v>
      </c>
      <c r="R627" s="109">
        <v>13.547999999999959</v>
      </c>
      <c r="S627" s="109">
        <v>9.614000000000047</v>
      </c>
      <c r="T627" s="109">
        <v>9.614000000000047</v>
      </c>
      <c r="U627" s="109">
        <v>9.614000000000047</v>
      </c>
      <c r="V627" s="109">
        <v>9.614000000000047</v>
      </c>
      <c r="W627" s="109">
        <v>54.793000000000021</v>
      </c>
      <c r="X627" s="109">
        <v>54.793000000000021</v>
      </c>
      <c r="Y627" s="109">
        <v>54.793000000000021</v>
      </c>
      <c r="Z627" s="109">
        <v>54.793000000000021</v>
      </c>
      <c r="AA627" s="109">
        <v>142.31399999999999</v>
      </c>
      <c r="AB627" s="109">
        <v>142.31399999999999</v>
      </c>
      <c r="AC627" s="109">
        <v>142.31399999999999</v>
      </c>
      <c r="AD627" s="109">
        <v>142.31399999999999</v>
      </c>
      <c r="AE627" s="109">
        <v>197.64800000000011</v>
      </c>
      <c r="AF627" s="109">
        <v>197.64800000000011</v>
      </c>
      <c r="AG627" s="109">
        <v>197.64800000000011</v>
      </c>
      <c r="AH627" s="109">
        <v>197.64800000000011</v>
      </c>
      <c r="AI627" s="109">
        <v>635.26900000000023</v>
      </c>
      <c r="AJ627" s="109">
        <v>635.26900000000023</v>
      </c>
      <c r="AK627" s="109">
        <v>635.26900000000023</v>
      </c>
      <c r="AL627" s="109">
        <v>635.26900000000023</v>
      </c>
      <c r="AM627" s="109">
        <v>1135.8240000000001</v>
      </c>
      <c r="AN627" s="109">
        <v>1135.8240000000001</v>
      </c>
      <c r="AO627" s="109">
        <v>1135.8240000000001</v>
      </c>
      <c r="AP627" s="109">
        <v>1135.8240000000001</v>
      </c>
    </row>
    <row r="628" spans="1:42" ht="14.45" customHeight="1" x14ac:dyDescent="0.25">
      <c r="A628" s="135" t="s">
        <v>647</v>
      </c>
      <c r="B628" s="211"/>
      <c r="C628" s="163">
        <v>32.6</v>
      </c>
      <c r="D628" s="109">
        <v>49.322999999999936</v>
      </c>
      <c r="E628" s="109">
        <v>54.216999999999999</v>
      </c>
      <c r="F628" s="109">
        <v>21.849999999999952</v>
      </c>
      <c r="G628" s="163">
        <v>31.94</v>
      </c>
      <c r="H628" s="109">
        <v>43.513999999999967</v>
      </c>
      <c r="I628" s="109">
        <v>11.921999999999979</v>
      </c>
      <c r="J628" s="109">
        <v>16.901999999999969</v>
      </c>
      <c r="K628" s="109">
        <v>8.4789999999999566</v>
      </c>
      <c r="L628" s="109">
        <v>19.723999999999968</v>
      </c>
      <c r="M628" s="109">
        <v>9.3369999999999962</v>
      </c>
      <c r="N628" s="109">
        <v>13.547999999999959</v>
      </c>
      <c r="O628" s="109">
        <v>8.4969999999999448</v>
      </c>
      <c r="P628" s="109">
        <v>5.6919999999999362</v>
      </c>
      <c r="Q628" s="109">
        <v>5.9889999999999333</v>
      </c>
      <c r="R628" s="109">
        <v>9.614000000000047</v>
      </c>
      <c r="S628" s="109">
        <v>47.74800000000004</v>
      </c>
      <c r="T628" s="109">
        <v>77.55</v>
      </c>
      <c r="U628" s="109">
        <v>164.82300000000009</v>
      </c>
      <c r="V628" s="109">
        <v>54.793000000000021</v>
      </c>
      <c r="W628" s="109">
        <v>51.828000000000031</v>
      </c>
      <c r="X628" s="109">
        <v>54.203999999999972</v>
      </c>
      <c r="Y628" s="109">
        <v>186.87799999999999</v>
      </c>
      <c r="Z628" s="109">
        <v>142.31399999999999</v>
      </c>
      <c r="AA628" s="109">
        <v>127.08499999999989</v>
      </c>
      <c r="AB628" s="109">
        <v>188.80300000000011</v>
      </c>
      <c r="AC628" s="109">
        <v>163.244</v>
      </c>
      <c r="AD628" s="109">
        <v>197.64800000000011</v>
      </c>
      <c r="AE628" s="109">
        <v>289.78100000000012</v>
      </c>
      <c r="AF628" s="109">
        <v>430.17200000000008</v>
      </c>
      <c r="AG628" s="109">
        <v>616.21700000000033</v>
      </c>
      <c r="AH628" s="109">
        <v>635.26900000000023</v>
      </c>
      <c r="AI628" s="109">
        <v>401.26000000000022</v>
      </c>
      <c r="AJ628" s="109">
        <v>1699.288</v>
      </c>
      <c r="AK628" s="109">
        <v>1236.0060000000001</v>
      </c>
      <c r="AL628" s="109">
        <v>1135.8240000000001</v>
      </c>
      <c r="AM628" s="109">
        <v>1151.8050000000001</v>
      </c>
      <c r="AN628" s="109">
        <v>1219.925</v>
      </c>
      <c r="AO628" s="109">
        <v>1532.473</v>
      </c>
      <c r="AP628" s="109">
        <v>281.91800000000001</v>
      </c>
    </row>
    <row r="629" spans="1:42" ht="14.45" customHeight="1" x14ac:dyDescent="0.25">
      <c r="A629" s="111"/>
      <c r="B629" s="211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</row>
    <row r="630" spans="1:42" ht="14.45" customHeight="1" x14ac:dyDescent="0.25">
      <c r="A630" s="113" t="s">
        <v>648</v>
      </c>
      <c r="B630" s="180"/>
      <c r="C630" s="63"/>
      <c r="D630" s="63"/>
      <c r="E630" s="63"/>
      <c r="F630" s="99">
        <v>-7.1109999999999998</v>
      </c>
      <c r="G630" s="63"/>
      <c r="H630" s="63"/>
      <c r="I630" s="63"/>
      <c r="J630" s="99">
        <v>30.965</v>
      </c>
      <c r="K630" s="63"/>
      <c r="L630" s="63"/>
      <c r="M630" s="63"/>
      <c r="N630" s="99">
        <v>-36.991</v>
      </c>
      <c r="O630" s="63"/>
      <c r="P630" s="63"/>
      <c r="Q630" s="63"/>
      <c r="R630" s="99">
        <v>6.3090000000000002</v>
      </c>
      <c r="S630" s="63"/>
      <c r="T630" s="63"/>
      <c r="U630" s="63"/>
      <c r="V630" s="99">
        <v>55.755000000000003</v>
      </c>
      <c r="W630" s="63"/>
      <c r="X630" s="63"/>
      <c r="Y630" s="63"/>
      <c r="Z630" s="99">
        <v>70.988</v>
      </c>
      <c r="AA630" s="63"/>
      <c r="AB630" s="63"/>
      <c r="AC630" s="63"/>
      <c r="AD630" s="99">
        <v>140.988</v>
      </c>
      <c r="AE630" s="63"/>
      <c r="AF630" s="63"/>
      <c r="AG630" s="63"/>
      <c r="AH630" s="99">
        <v>200.81200000000001</v>
      </c>
      <c r="AI630" s="63"/>
      <c r="AJ630" s="63"/>
      <c r="AK630" s="63"/>
      <c r="AL630" s="99">
        <v>223.97499999999999</v>
      </c>
      <c r="AM630" s="63"/>
      <c r="AN630" s="63"/>
      <c r="AO630" s="63"/>
      <c r="AP630" s="99">
        <v>196.57900000000001</v>
      </c>
    </row>
    <row r="631" spans="1:42" ht="14.45" customHeight="1" x14ac:dyDescent="0.25">
      <c r="A631" s="113" t="s">
        <v>649</v>
      </c>
      <c r="B631" s="180"/>
      <c r="C631" s="63"/>
      <c r="D631" s="63"/>
      <c r="E631" s="63"/>
      <c r="F631" s="99">
        <v>34.764000000000003</v>
      </c>
      <c r="G631" s="63"/>
      <c r="H631" s="63"/>
      <c r="I631" s="63"/>
      <c r="J631" s="99">
        <v>39.609000000000002</v>
      </c>
      <c r="K631" s="63"/>
      <c r="L631" s="63"/>
      <c r="M631" s="63"/>
      <c r="N631" s="99">
        <v>45.067</v>
      </c>
      <c r="O631" s="63"/>
      <c r="P631" s="63"/>
      <c r="Q631" s="63"/>
      <c r="R631" s="99">
        <v>43.396999999999998</v>
      </c>
      <c r="S631" s="63"/>
      <c r="T631" s="63"/>
      <c r="U631" s="63"/>
      <c r="V631" s="99">
        <v>34.256999999999998</v>
      </c>
      <c r="W631" s="63"/>
      <c r="X631" s="63"/>
      <c r="Y631" s="63"/>
      <c r="Z631" s="99">
        <v>29.141999999999999</v>
      </c>
      <c r="AA631" s="63"/>
      <c r="AB631" s="63"/>
      <c r="AC631" s="63"/>
      <c r="AD631" s="99">
        <v>28.085999999999999</v>
      </c>
      <c r="AE631" s="63"/>
      <c r="AF631" s="63"/>
      <c r="AG631" s="63"/>
      <c r="AH631" s="99">
        <v>23.96</v>
      </c>
      <c r="AI631" s="63"/>
      <c r="AJ631" s="63"/>
      <c r="AK631" s="63"/>
      <c r="AL631" s="99">
        <v>56.094000000000001</v>
      </c>
      <c r="AM631" s="63"/>
      <c r="AN631" s="63"/>
      <c r="AO631" s="63"/>
      <c r="AP631" s="99">
        <v>92.834999999999994</v>
      </c>
    </row>
    <row r="632" spans="1:42" ht="14.45" customHeight="1" x14ac:dyDescent="0.25">
      <c r="A632" s="111"/>
      <c r="B632" s="211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</row>
    <row r="633" spans="1:42" ht="14.45" customHeight="1" x14ac:dyDescent="0.25">
      <c r="A633" s="95" t="s">
        <v>650</v>
      </c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</row>
    <row r="634" spans="1:42" ht="14.45" customHeight="1" x14ac:dyDescent="0.25">
      <c r="A634" s="135" t="s">
        <v>88</v>
      </c>
      <c r="B634" s="211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</row>
    <row r="635" spans="1:42" ht="14.45" customHeight="1" x14ac:dyDescent="0.25">
      <c r="A635" s="125" t="s">
        <v>583</v>
      </c>
      <c r="B635" s="180"/>
      <c r="C635" s="99">
        <v>-9.0329999999999995</v>
      </c>
      <c r="D635" s="99">
        <v>17.324000000000002</v>
      </c>
      <c r="E635" s="99">
        <v>25.553000000000001</v>
      </c>
      <c r="F635" s="99">
        <v>22.818999999999999</v>
      </c>
      <c r="G635" s="99">
        <v>-4.4169999999999998</v>
      </c>
      <c r="H635" s="99">
        <v>7.5810000000000004</v>
      </c>
      <c r="I635" s="99">
        <v>18.911000000000001</v>
      </c>
      <c r="J635" s="99">
        <v>80.771999999999991</v>
      </c>
      <c r="K635" s="99">
        <v>-13.561999999999999</v>
      </c>
      <c r="L635" s="99">
        <v>-2.7479999999999989</v>
      </c>
      <c r="M635" s="99">
        <v>26.95</v>
      </c>
      <c r="N635" s="99">
        <v>-25.795999999999999</v>
      </c>
      <c r="O635" s="99">
        <v>-5.5780000000000003</v>
      </c>
      <c r="P635" s="99">
        <v>16.856000000000002</v>
      </c>
      <c r="Q635" s="99">
        <v>15.545999999999999</v>
      </c>
      <c r="R635" s="99">
        <v>-8.2640000000000029</v>
      </c>
      <c r="S635" s="99">
        <v>15.601000000000001</v>
      </c>
      <c r="T635" s="99">
        <v>42.613</v>
      </c>
      <c r="U635" s="99">
        <v>55.054000000000002</v>
      </c>
      <c r="V635" s="99">
        <v>68.829000000000008</v>
      </c>
      <c r="W635" s="99">
        <v>53.363</v>
      </c>
      <c r="X635" s="99">
        <v>48.180000000000007</v>
      </c>
      <c r="Y635" s="99">
        <v>68.930000000000007</v>
      </c>
      <c r="Z635" s="99">
        <v>19.106999999999999</v>
      </c>
      <c r="AA635" s="99">
        <v>93.39</v>
      </c>
      <c r="AB635" s="99">
        <v>99.561999999999998</v>
      </c>
      <c r="AC635" s="99">
        <v>118.761</v>
      </c>
      <c r="AD635" s="99">
        <v>118.44499999999999</v>
      </c>
      <c r="AE635" s="99">
        <v>118.127</v>
      </c>
      <c r="AF635" s="99">
        <v>122.319</v>
      </c>
      <c r="AG635" s="99">
        <v>92.092999999999989</v>
      </c>
      <c r="AH635" s="99">
        <v>75.836000000000013</v>
      </c>
      <c r="AI635" s="99">
        <v>165.74100000000001</v>
      </c>
      <c r="AJ635" s="99">
        <v>172.81200000000001</v>
      </c>
      <c r="AK635" s="99">
        <v>115.624</v>
      </c>
      <c r="AL635" s="99">
        <v>178.94800000000001</v>
      </c>
      <c r="AM635" s="99">
        <v>103.611</v>
      </c>
      <c r="AN635" s="99">
        <v>187.387</v>
      </c>
      <c r="AO635" s="99">
        <v>142.334</v>
      </c>
      <c r="AP635" s="99">
        <v>137.25</v>
      </c>
    </row>
    <row r="636" spans="1:42" ht="14.45" customHeight="1" x14ac:dyDescent="0.25">
      <c r="A636" s="125" t="s">
        <v>584</v>
      </c>
      <c r="B636" s="180"/>
      <c r="C636" s="99">
        <v>23.363</v>
      </c>
      <c r="D636" s="99">
        <v>26.539000000000001</v>
      </c>
      <c r="E636" s="99">
        <v>29.997</v>
      </c>
      <c r="F636" s="99">
        <v>31.713999999999999</v>
      </c>
      <c r="G636" s="99">
        <v>32.987000000000002</v>
      </c>
      <c r="H636" s="99">
        <v>37.343000000000004</v>
      </c>
      <c r="I636" s="99">
        <v>38.366999999999997</v>
      </c>
      <c r="J636" s="99">
        <v>41.724999999999987</v>
      </c>
      <c r="K636" s="99">
        <v>41.572000000000003</v>
      </c>
      <c r="L636" s="99">
        <v>41.085999999999999</v>
      </c>
      <c r="M636" s="99">
        <v>40.884</v>
      </c>
      <c r="N636" s="99">
        <v>40.960000000000008</v>
      </c>
      <c r="O636" s="99">
        <v>39.978999999999999</v>
      </c>
      <c r="P636" s="99">
        <v>39.337000000000003</v>
      </c>
      <c r="Q636" s="99">
        <v>39.828999999999994</v>
      </c>
      <c r="R636" s="99">
        <v>37.741</v>
      </c>
      <c r="S636" s="99">
        <v>37.798999999999999</v>
      </c>
      <c r="T636" s="99">
        <v>37.079000000000001</v>
      </c>
      <c r="U636" s="99">
        <v>42.325000000000003</v>
      </c>
      <c r="V636" s="99">
        <v>38.732999999999997</v>
      </c>
      <c r="W636" s="99">
        <v>37.716000000000001</v>
      </c>
      <c r="X636" s="99">
        <v>38.547999999999988</v>
      </c>
      <c r="Y636" s="99">
        <v>41.646000000000001</v>
      </c>
      <c r="Z636" s="99">
        <v>39.409999999999997</v>
      </c>
      <c r="AA636" s="99">
        <v>37.360999999999997</v>
      </c>
      <c r="AB636" s="99">
        <v>36.676000000000009</v>
      </c>
      <c r="AC636" s="99">
        <v>36.624000000000002</v>
      </c>
      <c r="AD636" s="99">
        <v>37.300999999999988</v>
      </c>
      <c r="AE636" s="99">
        <v>37.600999999999999</v>
      </c>
      <c r="AF636" s="99">
        <v>37.814000000000007</v>
      </c>
      <c r="AG636" s="99">
        <v>38.249000000000002</v>
      </c>
      <c r="AH636" s="99">
        <v>39.808000000000007</v>
      </c>
      <c r="AI636" s="99">
        <v>40.887999999999998</v>
      </c>
      <c r="AJ636" s="99">
        <v>41.795999999999999</v>
      </c>
      <c r="AK636" s="99">
        <v>42.909000000000013</v>
      </c>
      <c r="AL636" s="99">
        <v>44.749999999999993</v>
      </c>
      <c r="AM636" s="99">
        <v>47.511000000000003</v>
      </c>
      <c r="AN636" s="99">
        <v>48.901999999999987</v>
      </c>
      <c r="AO636" s="99">
        <v>49.223999999999997</v>
      </c>
      <c r="AP636" s="99">
        <v>49.443999999999988</v>
      </c>
    </row>
    <row r="637" spans="1:42" ht="14.45" customHeight="1" x14ac:dyDescent="0.25">
      <c r="A637" s="125" t="s">
        <v>585</v>
      </c>
      <c r="B637" s="180"/>
      <c r="C637" s="99">
        <v>1.026</v>
      </c>
      <c r="D637" s="99">
        <v>1.401</v>
      </c>
      <c r="E637" s="99">
        <v>1.06</v>
      </c>
      <c r="F637" s="99">
        <v>1.5229999999999999</v>
      </c>
      <c r="G637" s="99">
        <v>1.994</v>
      </c>
      <c r="H637" s="99">
        <v>4.7229999999999999</v>
      </c>
      <c r="I637" s="99">
        <v>4.8789999999999996</v>
      </c>
      <c r="J637" s="99">
        <v>6.8230000000000004</v>
      </c>
      <c r="K637" s="99">
        <v>5.6479999999999997</v>
      </c>
      <c r="L637" s="99">
        <v>5.6010000000000009</v>
      </c>
      <c r="M637" s="99">
        <v>5.7050000000000001</v>
      </c>
      <c r="N637" s="99">
        <v>5.8000000000000007</v>
      </c>
      <c r="O637" s="99">
        <v>5.7930000000000001</v>
      </c>
      <c r="P637" s="99">
        <v>5.7190000000000003</v>
      </c>
      <c r="Q637" s="99">
        <v>5.7590000000000003</v>
      </c>
      <c r="R637" s="99">
        <v>5.7590000000000003</v>
      </c>
      <c r="S637" s="99">
        <v>5.76</v>
      </c>
      <c r="T637" s="99">
        <v>5.7580000000000009</v>
      </c>
      <c r="U637" s="99">
        <v>5.7680000000000007</v>
      </c>
      <c r="V637" s="99">
        <v>5.7949999999999982</v>
      </c>
      <c r="W637" s="99">
        <v>5.81</v>
      </c>
      <c r="X637" s="99">
        <v>5.8090000000000002</v>
      </c>
      <c r="Y637" s="99">
        <v>5.8120000000000012</v>
      </c>
      <c r="Z637" s="99">
        <v>5.8140000000000001</v>
      </c>
      <c r="AA637" s="99">
        <v>5.9080000000000004</v>
      </c>
      <c r="AB637" s="99">
        <v>5.9069999999999991</v>
      </c>
      <c r="AC637" s="99">
        <v>5.9070000000000018</v>
      </c>
      <c r="AD637" s="99">
        <v>5.9059999999999988</v>
      </c>
      <c r="AE637" s="99">
        <v>5.9080000000000004</v>
      </c>
      <c r="AF637" s="99">
        <v>5.8619999999999992</v>
      </c>
      <c r="AG637" s="99">
        <v>5.8620000000000019</v>
      </c>
      <c r="AH637" s="99">
        <v>5.8619999999999983</v>
      </c>
      <c r="AI637" s="99">
        <v>5.8630000000000004</v>
      </c>
      <c r="AJ637" s="99">
        <v>5.8619999999999992</v>
      </c>
      <c r="AK637" s="99">
        <v>5.8609999999999989</v>
      </c>
      <c r="AL637" s="99">
        <v>5.8620000000000019</v>
      </c>
      <c r="AM637" s="99">
        <v>5.8620000000000001</v>
      </c>
      <c r="AN637" s="99">
        <v>5.8630000000000004</v>
      </c>
      <c r="AO637" s="99">
        <v>5.8620000000000001</v>
      </c>
      <c r="AP637" s="99">
        <v>5.8620000000000019</v>
      </c>
    </row>
    <row r="638" spans="1:42" ht="14.45" customHeight="1" x14ac:dyDescent="0.25">
      <c r="A638" s="125" t="s">
        <v>399</v>
      </c>
      <c r="B638" s="180"/>
      <c r="C638" s="99">
        <v>0</v>
      </c>
      <c r="D638" s="99">
        <v>0</v>
      </c>
      <c r="E638" s="99">
        <v>0</v>
      </c>
      <c r="F638" s="99">
        <v>0</v>
      </c>
      <c r="G638" s="99">
        <v>0</v>
      </c>
      <c r="H638" s="99">
        <v>0</v>
      </c>
      <c r="I638" s="99">
        <v>0</v>
      </c>
      <c r="J638" s="99">
        <v>0</v>
      </c>
      <c r="K638" s="99">
        <v>0</v>
      </c>
      <c r="L638" s="99">
        <v>0</v>
      </c>
      <c r="M638" s="99">
        <v>0</v>
      </c>
      <c r="N638" s="99">
        <v>0</v>
      </c>
      <c r="O638" s="99">
        <v>0</v>
      </c>
      <c r="P638" s="99">
        <v>0</v>
      </c>
      <c r="Q638" s="99">
        <v>0</v>
      </c>
      <c r="R638" s="99">
        <v>0</v>
      </c>
      <c r="S638" s="99">
        <v>0</v>
      </c>
      <c r="T638" s="99">
        <v>0</v>
      </c>
      <c r="U638" s="99">
        <v>0</v>
      </c>
      <c r="V638" s="99">
        <v>0</v>
      </c>
      <c r="W638" s="99">
        <v>0</v>
      </c>
      <c r="X638" s="99">
        <v>0</v>
      </c>
      <c r="Y638" s="99">
        <v>0</v>
      </c>
      <c r="Z638" s="99">
        <v>0</v>
      </c>
      <c r="AA638" s="99">
        <v>0</v>
      </c>
      <c r="AB638" s="99">
        <v>0</v>
      </c>
      <c r="AC638" s="99">
        <v>0</v>
      </c>
      <c r="AD638" s="99">
        <v>0</v>
      </c>
      <c r="AE638" s="99">
        <v>0</v>
      </c>
      <c r="AF638" s="99">
        <v>39.777000000000001</v>
      </c>
      <c r="AG638" s="99">
        <v>77.319000000000003</v>
      </c>
      <c r="AH638" s="99">
        <v>-4.2999999999999972</v>
      </c>
      <c r="AI638" s="99">
        <v>0</v>
      </c>
      <c r="AJ638" s="99">
        <v>0</v>
      </c>
      <c r="AK638" s="99">
        <v>0</v>
      </c>
      <c r="AL638" s="99">
        <v>0</v>
      </c>
      <c r="AM638" s="99">
        <v>0</v>
      </c>
      <c r="AN638" s="99">
        <v>0</v>
      </c>
      <c r="AO638" s="99">
        <v>0</v>
      </c>
      <c r="AP638" s="99">
        <v>0</v>
      </c>
    </row>
    <row r="639" spans="1:42" ht="14.45" customHeight="1" x14ac:dyDescent="0.25">
      <c r="A639" s="125" t="s">
        <v>586</v>
      </c>
      <c r="B639" s="180"/>
      <c r="C639" s="99">
        <v>0</v>
      </c>
      <c r="D639" s="99">
        <v>0</v>
      </c>
      <c r="E639" s="99">
        <v>0</v>
      </c>
      <c r="F639" s="99">
        <v>0</v>
      </c>
      <c r="G639" s="99">
        <v>0</v>
      </c>
      <c r="H639" s="99">
        <v>0</v>
      </c>
      <c r="I639" s="99">
        <v>0</v>
      </c>
      <c r="J639" s="99">
        <v>0</v>
      </c>
      <c r="K639" s="99">
        <v>0</v>
      </c>
      <c r="L639" s="99">
        <v>0</v>
      </c>
      <c r="M639" s="99">
        <v>0</v>
      </c>
      <c r="N639" s="99">
        <v>0</v>
      </c>
      <c r="O639" s="99">
        <v>0</v>
      </c>
      <c r="P639" s="99">
        <v>0</v>
      </c>
      <c r="Q639" s="99">
        <v>0</v>
      </c>
      <c r="R639" s="99">
        <v>0</v>
      </c>
      <c r="S639" s="99">
        <v>0</v>
      </c>
      <c r="T639" s="99">
        <v>0</v>
      </c>
      <c r="U639" s="99">
        <v>0</v>
      </c>
      <c r="V639" s="99">
        <v>0</v>
      </c>
      <c r="W639" s="99">
        <v>0</v>
      </c>
      <c r="X639" s="99">
        <v>0</v>
      </c>
      <c r="Y639" s="99">
        <v>-18.739000000000001</v>
      </c>
      <c r="Z639" s="99">
        <v>0</v>
      </c>
      <c r="AA639" s="99">
        <v>0</v>
      </c>
      <c r="AB639" s="99">
        <v>0</v>
      </c>
      <c r="AC639" s="99">
        <v>-18.739000000000001</v>
      </c>
      <c r="AD639" s="99">
        <v>0</v>
      </c>
      <c r="AE639" s="99">
        <v>0</v>
      </c>
      <c r="AF639" s="99">
        <v>0</v>
      </c>
      <c r="AG639" s="99">
        <v>0</v>
      </c>
      <c r="AH639" s="99">
        <v>0</v>
      </c>
      <c r="AI639" s="99">
        <v>0</v>
      </c>
      <c r="AJ639" s="99">
        <v>0</v>
      </c>
      <c r="AK639" s="99">
        <v>0</v>
      </c>
      <c r="AL639" s="99">
        <v>0</v>
      </c>
      <c r="AM639" s="99">
        <v>0</v>
      </c>
      <c r="AN639" s="99">
        <v>0</v>
      </c>
      <c r="AO639" s="99">
        <v>0</v>
      </c>
      <c r="AP639" s="99">
        <v>0</v>
      </c>
    </row>
    <row r="640" spans="1:42" ht="14.45" customHeight="1" x14ac:dyDescent="0.25">
      <c r="A640" s="125" t="s">
        <v>587</v>
      </c>
      <c r="B640" s="180"/>
      <c r="C640" s="99">
        <v>-5.0780000000000003</v>
      </c>
      <c r="D640" s="99">
        <v>3.6019999999999999</v>
      </c>
      <c r="E640" s="99">
        <v>6.9850000000000003</v>
      </c>
      <c r="F640" s="99">
        <v>37.433</v>
      </c>
      <c r="G640" s="99">
        <v>-15.494999999999999</v>
      </c>
      <c r="H640" s="99">
        <v>-9.423</v>
      </c>
      <c r="I640" s="99">
        <v>0.1769999999999996</v>
      </c>
      <c r="J640" s="99">
        <v>-33.369999999999997</v>
      </c>
      <c r="K640" s="99">
        <v>-15.394</v>
      </c>
      <c r="L640" s="99">
        <v>-0.89200000000000124</v>
      </c>
      <c r="M640" s="99">
        <v>26.189</v>
      </c>
      <c r="N640" s="99">
        <v>-0.53700000000000081</v>
      </c>
      <c r="O640" s="99">
        <v>-3.4449999999999998</v>
      </c>
      <c r="P640" s="99">
        <v>7.4619999999999997</v>
      </c>
      <c r="Q640" s="99">
        <v>1.236999999999999</v>
      </c>
      <c r="R640" s="99">
        <v>-1.266999999999999</v>
      </c>
      <c r="S640" s="99">
        <v>5.91</v>
      </c>
      <c r="T640" s="99">
        <v>15.76</v>
      </c>
      <c r="U640" s="99">
        <v>-16.367999999999999</v>
      </c>
      <c r="V640" s="99">
        <v>3.4350000000000001</v>
      </c>
      <c r="W640" s="99">
        <v>19.98</v>
      </c>
      <c r="X640" s="99">
        <v>-17.687000000000001</v>
      </c>
      <c r="Y640" s="99">
        <v>8.6140000000000008</v>
      </c>
      <c r="Z640" s="99">
        <v>-20.09</v>
      </c>
      <c r="AA640" s="99">
        <v>33.130000000000003</v>
      </c>
      <c r="AB640" s="99">
        <v>-21.940999999999999</v>
      </c>
      <c r="AC640" s="99">
        <v>-0.4399999999999995</v>
      </c>
      <c r="AD640" s="99">
        <v>-1.772</v>
      </c>
      <c r="AE640" s="99">
        <v>40.743000000000002</v>
      </c>
      <c r="AF640" s="99">
        <v>-48.591000000000001</v>
      </c>
      <c r="AG640" s="99">
        <v>-27.033000000000001</v>
      </c>
      <c r="AH640" s="99">
        <v>-14.14</v>
      </c>
      <c r="AI640" s="99">
        <v>56.616</v>
      </c>
      <c r="AJ640" s="99">
        <v>-54.351999999999997</v>
      </c>
      <c r="AK640" s="99">
        <v>-20.294</v>
      </c>
      <c r="AL640" s="99">
        <v>20.559000000000001</v>
      </c>
      <c r="AM640" s="99">
        <v>35.277999999999999</v>
      </c>
      <c r="AN640" s="99">
        <v>-51.262999999999998</v>
      </c>
      <c r="AO640" s="99">
        <v>16.507999999999999</v>
      </c>
      <c r="AP640" s="99">
        <v>13.180999999999999</v>
      </c>
    </row>
    <row r="641" spans="1:42" ht="14.45" customHeight="1" x14ac:dyDescent="0.25">
      <c r="A641" s="125" t="s">
        <v>588</v>
      </c>
      <c r="B641" s="180"/>
      <c r="C641" s="99">
        <v>0.41699999999999998</v>
      </c>
      <c r="D641" s="99">
        <v>0.93900000000000006</v>
      </c>
      <c r="E641" s="99">
        <v>0.5239999999999998</v>
      </c>
      <c r="F641" s="99">
        <v>1.012</v>
      </c>
      <c r="G641" s="99">
        <v>0.81</v>
      </c>
      <c r="H641" s="99">
        <v>1.165</v>
      </c>
      <c r="I641" s="99">
        <v>1.4450000000000001</v>
      </c>
      <c r="J641" s="99">
        <v>1.0720000000000001</v>
      </c>
      <c r="K641" s="99">
        <v>1.952</v>
      </c>
      <c r="L641" s="99">
        <v>2.343</v>
      </c>
      <c r="M641" s="99">
        <v>1.8280000000000001</v>
      </c>
      <c r="N641" s="99">
        <v>0.97999999999999954</v>
      </c>
      <c r="O641" s="99">
        <v>1.8540000000000001</v>
      </c>
      <c r="P641" s="99">
        <v>2.4700000000000002</v>
      </c>
      <c r="Q641" s="99">
        <v>1.1499999999999999</v>
      </c>
      <c r="R641" s="99">
        <v>1.024</v>
      </c>
      <c r="S641" s="99">
        <v>0.49099999999999999</v>
      </c>
      <c r="T641" s="99">
        <v>0.92499999999999993</v>
      </c>
      <c r="U641" s="99">
        <v>2.2400000000000002</v>
      </c>
      <c r="V641" s="99">
        <v>1.5309999999999999</v>
      </c>
      <c r="W641" s="99">
        <v>1.0980000000000001</v>
      </c>
      <c r="X641" s="99">
        <v>1.359</v>
      </c>
      <c r="Y641" s="99">
        <v>1.56</v>
      </c>
      <c r="Z641" s="99">
        <v>1.9039999999999999</v>
      </c>
      <c r="AA641" s="99">
        <v>0.439</v>
      </c>
      <c r="AB641" s="99">
        <v>0.8879999999999999</v>
      </c>
      <c r="AC641" s="99">
        <v>1.528</v>
      </c>
      <c r="AD641" s="99">
        <v>2.7869999999999999</v>
      </c>
      <c r="AE641" s="99">
        <v>2.3889999999999998</v>
      </c>
      <c r="AF641" s="99">
        <v>1.7390000000000001</v>
      </c>
      <c r="AG641" s="99">
        <v>1.7350000000000001</v>
      </c>
      <c r="AH641" s="99">
        <v>1.3180000000000001</v>
      </c>
      <c r="AI641" s="99">
        <v>0.67</v>
      </c>
      <c r="AJ641" s="99">
        <v>1.587</v>
      </c>
      <c r="AK641" s="99">
        <v>1.8240000000000001</v>
      </c>
      <c r="AL641" s="99">
        <v>-0.91300000000000026</v>
      </c>
      <c r="AM641" s="99">
        <v>1.369</v>
      </c>
      <c r="AN641" s="99">
        <v>-3.2250000000000001</v>
      </c>
      <c r="AO641" s="99">
        <v>1.276</v>
      </c>
      <c r="AP641" s="99">
        <v>1.224</v>
      </c>
    </row>
    <row r="642" spans="1:42" ht="14.45" customHeight="1" x14ac:dyDescent="0.25">
      <c r="A642" s="125" t="s">
        <v>589</v>
      </c>
      <c r="B642" s="180"/>
      <c r="C642" s="63"/>
      <c r="D642" s="63"/>
      <c r="E642" s="63"/>
      <c r="F642" s="63"/>
      <c r="G642" s="99">
        <v>87.066000000000003</v>
      </c>
      <c r="H642" s="99">
        <v>0</v>
      </c>
      <c r="I642" s="99">
        <v>0</v>
      </c>
      <c r="J642" s="99">
        <v>4.3840000000000003</v>
      </c>
      <c r="K642" s="99">
        <v>0</v>
      </c>
      <c r="L642" s="99">
        <v>0</v>
      </c>
      <c r="M642" s="99">
        <v>0</v>
      </c>
      <c r="N642" s="99">
        <v>0</v>
      </c>
      <c r="O642" s="99">
        <v>0</v>
      </c>
      <c r="P642" s="99">
        <v>0</v>
      </c>
      <c r="Q642" s="99">
        <v>0</v>
      </c>
      <c r="R642" s="99">
        <v>0</v>
      </c>
      <c r="S642" s="99">
        <v>0</v>
      </c>
      <c r="T642" s="99">
        <v>0</v>
      </c>
      <c r="U642" s="99">
        <v>0</v>
      </c>
      <c r="V642" s="99">
        <v>0</v>
      </c>
      <c r="W642" s="99">
        <v>0</v>
      </c>
      <c r="X642" s="99">
        <v>0</v>
      </c>
      <c r="Y642" s="99">
        <v>0</v>
      </c>
      <c r="Z642" s="99">
        <v>0</v>
      </c>
      <c r="AA642" s="99">
        <v>0</v>
      </c>
      <c r="AB642" s="99">
        <v>0</v>
      </c>
      <c r="AC642" s="99">
        <v>0</v>
      </c>
      <c r="AD642" s="99">
        <v>0</v>
      </c>
      <c r="AE642" s="99">
        <v>0</v>
      </c>
      <c r="AF642" s="99">
        <v>0</v>
      </c>
      <c r="AG642" s="99">
        <v>0</v>
      </c>
      <c r="AH642" s="99">
        <v>0</v>
      </c>
      <c r="AI642" s="99">
        <v>0</v>
      </c>
      <c r="AJ642" s="99">
        <v>0</v>
      </c>
      <c r="AK642" s="99">
        <v>0</v>
      </c>
      <c r="AL642" s="99">
        <v>0</v>
      </c>
      <c r="AM642" s="99">
        <v>0</v>
      </c>
      <c r="AN642" s="99">
        <v>0</v>
      </c>
      <c r="AO642" s="99">
        <v>0</v>
      </c>
      <c r="AP642" s="99">
        <v>0</v>
      </c>
    </row>
    <row r="643" spans="1:42" ht="14.45" customHeight="1" x14ac:dyDescent="0.25">
      <c r="A643" s="125" t="s">
        <v>590</v>
      </c>
      <c r="B643" s="180"/>
      <c r="C643" s="99">
        <v>0</v>
      </c>
      <c r="D643" s="99">
        <v>0</v>
      </c>
      <c r="E643" s="99">
        <v>0</v>
      </c>
      <c r="F643" s="99">
        <v>0</v>
      </c>
      <c r="G643" s="99">
        <v>0</v>
      </c>
      <c r="H643" s="99">
        <v>0</v>
      </c>
      <c r="I643" s="99">
        <v>0</v>
      </c>
      <c r="J643" s="99">
        <v>30.646999999999998</v>
      </c>
      <c r="K643" s="99">
        <v>0</v>
      </c>
      <c r="L643" s="99">
        <v>0</v>
      </c>
      <c r="M643" s="99">
        <v>0</v>
      </c>
      <c r="N643" s="99">
        <v>1.32</v>
      </c>
      <c r="O643" s="99">
        <v>0</v>
      </c>
      <c r="P643" s="99">
        <v>0</v>
      </c>
      <c r="Q643" s="99">
        <v>0</v>
      </c>
      <c r="R643" s="99">
        <v>0</v>
      </c>
      <c r="S643" s="99">
        <v>0</v>
      </c>
      <c r="T643" s="99">
        <v>0</v>
      </c>
      <c r="U643" s="99">
        <v>0</v>
      </c>
      <c r="V643" s="99">
        <v>0</v>
      </c>
      <c r="W643" s="99">
        <v>0</v>
      </c>
      <c r="X643" s="99">
        <v>0</v>
      </c>
      <c r="Y643" s="99">
        <v>0</v>
      </c>
      <c r="Z643" s="99">
        <v>0</v>
      </c>
      <c r="AA643" s="99">
        <v>0</v>
      </c>
      <c r="AB643" s="99">
        <v>0</v>
      </c>
      <c r="AC643" s="99">
        <v>0</v>
      </c>
      <c r="AD643" s="99">
        <v>0</v>
      </c>
      <c r="AE643" s="99">
        <v>0</v>
      </c>
      <c r="AF643" s="99">
        <v>0</v>
      </c>
      <c r="AG643" s="99">
        <v>0</v>
      </c>
      <c r="AH643" s="99">
        <v>0</v>
      </c>
      <c r="AI643" s="99">
        <v>0</v>
      </c>
      <c r="AJ643" s="99">
        <v>0</v>
      </c>
      <c r="AK643" s="99">
        <v>0</v>
      </c>
      <c r="AL643" s="99">
        <v>0</v>
      </c>
      <c r="AM643" s="99">
        <v>0</v>
      </c>
      <c r="AN643" s="99">
        <v>0</v>
      </c>
      <c r="AO643" s="99">
        <v>0</v>
      </c>
      <c r="AP643" s="99">
        <v>0</v>
      </c>
    </row>
    <row r="644" spans="1:42" ht="14.45" customHeight="1" x14ac:dyDescent="0.25">
      <c r="A644" s="125" t="s">
        <v>591</v>
      </c>
      <c r="B644" s="180"/>
      <c r="C644" s="99">
        <v>0</v>
      </c>
      <c r="D644" s="99">
        <v>0.38200000000000001</v>
      </c>
      <c r="E644" s="99">
        <v>0</v>
      </c>
      <c r="F644" s="99">
        <v>0</v>
      </c>
      <c r="G644" s="99">
        <v>0</v>
      </c>
      <c r="H644" s="99">
        <v>0</v>
      </c>
      <c r="I644" s="99">
        <v>0</v>
      </c>
      <c r="J644" s="99">
        <v>0</v>
      </c>
      <c r="K644" s="99">
        <v>0</v>
      </c>
      <c r="L644" s="99">
        <v>0</v>
      </c>
      <c r="M644" s="99">
        <v>0.29899999999999999</v>
      </c>
      <c r="N644" s="99">
        <v>0.154</v>
      </c>
      <c r="O644" s="99">
        <v>0</v>
      </c>
      <c r="P644" s="99">
        <v>1.155</v>
      </c>
      <c r="Q644" s="99">
        <v>2.9889999999999999</v>
      </c>
      <c r="R644" s="99">
        <v>4.6539999999999999</v>
      </c>
      <c r="S644" s="99">
        <v>0</v>
      </c>
      <c r="T644" s="99">
        <v>1.35</v>
      </c>
      <c r="U644" s="99">
        <v>6.5579999999999998</v>
      </c>
      <c r="V644" s="99">
        <v>0.121999999999999</v>
      </c>
      <c r="W644" s="99">
        <v>0.5</v>
      </c>
      <c r="X644" s="99">
        <v>2.7</v>
      </c>
      <c r="Y644" s="99">
        <v>0</v>
      </c>
      <c r="Z644" s="99">
        <v>0</v>
      </c>
      <c r="AA644" s="99">
        <v>0</v>
      </c>
      <c r="AB644" s="99">
        <v>0</v>
      </c>
      <c r="AC644" s="99">
        <v>0</v>
      </c>
      <c r="AD644" s="99">
        <v>0</v>
      </c>
      <c r="AE644" s="99">
        <v>0</v>
      </c>
      <c r="AF644" s="99">
        <v>0</v>
      </c>
      <c r="AG644" s="99">
        <v>0</v>
      </c>
      <c r="AH644" s="99">
        <v>0</v>
      </c>
      <c r="AI644" s="99">
        <v>0</v>
      </c>
      <c r="AJ644" s="99">
        <v>0</v>
      </c>
      <c r="AK644" s="99">
        <v>0</v>
      </c>
      <c r="AL644" s="99">
        <v>0</v>
      </c>
      <c r="AM644" s="99">
        <v>0</v>
      </c>
      <c r="AN644" s="99">
        <v>0</v>
      </c>
      <c r="AO644" s="99">
        <v>0</v>
      </c>
      <c r="AP644" s="99">
        <v>0</v>
      </c>
    </row>
    <row r="645" spans="1:42" ht="14.45" customHeight="1" x14ac:dyDescent="0.25">
      <c r="A645" s="125" t="s">
        <v>400</v>
      </c>
      <c r="B645" s="180"/>
      <c r="C645" s="99">
        <v>0</v>
      </c>
      <c r="D645" s="99">
        <v>0.69199999999999995</v>
      </c>
      <c r="E645" s="99">
        <v>0</v>
      </c>
      <c r="F645" s="99">
        <v>0</v>
      </c>
      <c r="G645" s="99">
        <v>0</v>
      </c>
      <c r="H645" s="99">
        <v>0</v>
      </c>
      <c r="I645" s="99">
        <v>0</v>
      </c>
      <c r="J645" s="99">
        <v>-12.893000000000001</v>
      </c>
      <c r="K645" s="99">
        <v>0</v>
      </c>
      <c r="L645" s="99">
        <v>0</v>
      </c>
      <c r="M645" s="99">
        <v>-10.17</v>
      </c>
      <c r="N645" s="99">
        <v>0</v>
      </c>
      <c r="O645" s="99">
        <v>0</v>
      </c>
      <c r="P645" s="99">
        <v>0</v>
      </c>
      <c r="Q645" s="99">
        <v>0</v>
      </c>
      <c r="R645" s="99">
        <v>0</v>
      </c>
      <c r="S645" s="99">
        <v>0</v>
      </c>
      <c r="T645" s="99">
        <v>0</v>
      </c>
      <c r="U645" s="99">
        <v>0</v>
      </c>
      <c r="V645" s="99">
        <v>0</v>
      </c>
      <c r="W645" s="99">
        <v>0</v>
      </c>
      <c r="X645" s="99">
        <v>0</v>
      </c>
      <c r="Y645" s="99">
        <v>0</v>
      </c>
      <c r="Z645" s="99">
        <v>0</v>
      </c>
      <c r="AA645" s="99">
        <v>0</v>
      </c>
      <c r="AB645" s="99">
        <v>0</v>
      </c>
      <c r="AC645" s="99">
        <v>0</v>
      </c>
      <c r="AD645" s="99">
        <v>0</v>
      </c>
      <c r="AE645" s="99">
        <v>0</v>
      </c>
      <c r="AF645" s="99">
        <v>0</v>
      </c>
      <c r="AG645" s="99">
        <v>0</v>
      </c>
      <c r="AH645" s="99">
        <v>0</v>
      </c>
      <c r="AI645" s="99">
        <v>0</v>
      </c>
      <c r="AJ645" s="99">
        <v>0</v>
      </c>
      <c r="AK645" s="99">
        <v>0</v>
      </c>
      <c r="AL645" s="99">
        <v>0</v>
      </c>
      <c r="AM645" s="99">
        <v>0</v>
      </c>
      <c r="AN645" s="99">
        <v>0</v>
      </c>
      <c r="AO645" s="99">
        <v>0</v>
      </c>
      <c r="AP645" s="99">
        <v>0</v>
      </c>
    </row>
    <row r="646" spans="1:42" ht="14.45" customHeight="1" x14ac:dyDescent="0.25">
      <c r="A646" s="125" t="s">
        <v>401</v>
      </c>
      <c r="B646" s="180"/>
      <c r="C646" s="99">
        <v>0</v>
      </c>
      <c r="D646" s="99">
        <v>0</v>
      </c>
      <c r="E646" s="99">
        <v>0</v>
      </c>
      <c r="F646" s="99">
        <v>0</v>
      </c>
      <c r="G646" s="99">
        <v>0</v>
      </c>
      <c r="H646" s="99">
        <v>0</v>
      </c>
      <c r="I646" s="99">
        <v>0</v>
      </c>
      <c r="J646" s="99">
        <v>0</v>
      </c>
      <c r="K646" s="99">
        <v>0</v>
      </c>
      <c r="L646" s="99">
        <v>0</v>
      </c>
      <c r="M646" s="99">
        <v>0</v>
      </c>
      <c r="N646" s="99">
        <v>0</v>
      </c>
      <c r="O646" s="99">
        <v>0</v>
      </c>
      <c r="P646" s="99">
        <v>0</v>
      </c>
      <c r="Q646" s="99">
        <v>0</v>
      </c>
      <c r="R646" s="99">
        <v>0</v>
      </c>
      <c r="S646" s="99">
        <v>0</v>
      </c>
      <c r="T646" s="99">
        <v>0</v>
      </c>
      <c r="U646" s="99">
        <v>0</v>
      </c>
      <c r="V646" s="99">
        <v>0</v>
      </c>
      <c r="W646" s="99">
        <v>0</v>
      </c>
      <c r="X646" s="99">
        <v>0</v>
      </c>
      <c r="Y646" s="99">
        <v>0</v>
      </c>
      <c r="Z646" s="99">
        <v>0</v>
      </c>
      <c r="AA646" s="99">
        <v>0</v>
      </c>
      <c r="AB646" s="99">
        <v>0</v>
      </c>
      <c r="AC646" s="99">
        <v>0</v>
      </c>
      <c r="AD646" s="99">
        <v>0</v>
      </c>
      <c r="AE646" s="99">
        <v>0</v>
      </c>
      <c r="AF646" s="99">
        <v>0</v>
      </c>
      <c r="AG646" s="99">
        <v>0</v>
      </c>
      <c r="AH646" s="99">
        <v>0</v>
      </c>
      <c r="AI646" s="99">
        <v>0</v>
      </c>
      <c r="AJ646" s="99">
        <v>0</v>
      </c>
      <c r="AK646" s="99">
        <v>0</v>
      </c>
      <c r="AL646" s="99">
        <v>0</v>
      </c>
      <c r="AM646" s="99">
        <v>0</v>
      </c>
      <c r="AN646" s="99">
        <v>0</v>
      </c>
      <c r="AO646" s="99">
        <v>0</v>
      </c>
      <c r="AP646" s="99">
        <v>0</v>
      </c>
    </row>
    <row r="647" spans="1:42" ht="14.45" customHeight="1" x14ac:dyDescent="0.25">
      <c r="A647" s="125" t="s">
        <v>436</v>
      </c>
      <c r="B647" s="180"/>
      <c r="C647" s="99">
        <v>0</v>
      </c>
      <c r="D647" s="99">
        <v>0</v>
      </c>
      <c r="E647" s="99">
        <v>0</v>
      </c>
      <c r="F647" s="99">
        <v>0</v>
      </c>
      <c r="G647" s="99">
        <v>0</v>
      </c>
      <c r="H647" s="99">
        <v>0</v>
      </c>
      <c r="I647" s="99">
        <v>0</v>
      </c>
      <c r="J647" s="99">
        <v>0</v>
      </c>
      <c r="K647" s="99">
        <v>0</v>
      </c>
      <c r="L647" s="99">
        <v>0</v>
      </c>
      <c r="M647" s="99">
        <v>0</v>
      </c>
      <c r="N647" s="99">
        <v>0</v>
      </c>
      <c r="O647" s="99">
        <v>0</v>
      </c>
      <c r="P647" s="99">
        <v>0</v>
      </c>
      <c r="Q647" s="99">
        <v>0</v>
      </c>
      <c r="R647" s="99">
        <v>0</v>
      </c>
      <c r="S647" s="99">
        <v>0</v>
      </c>
      <c r="T647" s="99">
        <v>0</v>
      </c>
      <c r="U647" s="99">
        <v>0</v>
      </c>
      <c r="V647" s="99">
        <v>0</v>
      </c>
      <c r="W647" s="99">
        <v>0</v>
      </c>
      <c r="X647" s="99">
        <v>0</v>
      </c>
      <c r="Y647" s="99">
        <v>0</v>
      </c>
      <c r="Z647" s="99">
        <v>0</v>
      </c>
      <c r="AA647" s="99">
        <v>0</v>
      </c>
      <c r="AB647" s="99">
        <v>0</v>
      </c>
      <c r="AC647" s="99">
        <v>0</v>
      </c>
      <c r="AD647" s="99">
        <v>0</v>
      </c>
      <c r="AE647" s="99">
        <v>0</v>
      </c>
      <c r="AF647" s="99">
        <v>0</v>
      </c>
      <c r="AG647" s="99">
        <v>0</v>
      </c>
      <c r="AH647" s="99">
        <v>0</v>
      </c>
      <c r="AI647" s="99">
        <v>0</v>
      </c>
      <c r="AJ647" s="99">
        <v>0</v>
      </c>
      <c r="AK647" s="99">
        <v>0</v>
      </c>
      <c r="AL647" s="99">
        <v>0</v>
      </c>
      <c r="AM647" s="99">
        <v>0</v>
      </c>
      <c r="AN647" s="99">
        <v>0</v>
      </c>
      <c r="AO647" s="99">
        <v>0</v>
      </c>
      <c r="AP647" s="99">
        <v>0</v>
      </c>
    </row>
    <row r="648" spans="1:42" ht="14.45" customHeight="1" x14ac:dyDescent="0.25">
      <c r="A648" s="125" t="s">
        <v>592</v>
      </c>
      <c r="B648" s="180"/>
      <c r="C648" s="99">
        <v>0.57499999999999996</v>
      </c>
      <c r="D648" s="99">
        <v>0.59099999999999997</v>
      </c>
      <c r="E648" s="99">
        <v>0.34400000000000008</v>
      </c>
      <c r="F648" s="99">
        <v>0.34499999999999997</v>
      </c>
      <c r="G648" s="99">
        <v>0.26800000000000002</v>
      </c>
      <c r="H648" s="99">
        <v>0.26900000000000002</v>
      </c>
      <c r="I648" s="99">
        <v>0.26900000000000002</v>
      </c>
      <c r="J648" s="99">
        <v>0.27600000000000002</v>
      </c>
      <c r="K648" s="99">
        <v>0.27600000000000002</v>
      </c>
      <c r="L648" s="99">
        <v>0.45400000000000001</v>
      </c>
      <c r="M648" s="99">
        <v>0.373</v>
      </c>
      <c r="N648" s="99">
        <v>0.37400000000000011</v>
      </c>
      <c r="O648" s="99">
        <v>0.38500000000000001</v>
      </c>
      <c r="P648" s="99">
        <v>0.36699999999999999</v>
      </c>
      <c r="Q648" s="99">
        <v>0.28000000000000003</v>
      </c>
      <c r="R648" s="99">
        <v>0.28099999999999992</v>
      </c>
      <c r="S648" s="99">
        <v>0.22</v>
      </c>
      <c r="T648" s="99">
        <v>0.27400000000000002</v>
      </c>
      <c r="U648" s="99">
        <v>0.28399999999999997</v>
      </c>
      <c r="V648" s="99">
        <v>0.27200000000000002</v>
      </c>
      <c r="W648" s="99">
        <v>0.27700000000000002</v>
      </c>
      <c r="X648" s="99">
        <v>0.27200000000000002</v>
      </c>
      <c r="Y648" s="99">
        <v>0.24099999999999999</v>
      </c>
      <c r="Z648" s="99">
        <v>0.46600000000000003</v>
      </c>
      <c r="AA648" s="99">
        <v>0.249</v>
      </c>
      <c r="AB648" s="99">
        <v>0.255</v>
      </c>
      <c r="AC648" s="99">
        <v>0.26400000000000001</v>
      </c>
      <c r="AD648" s="99">
        <v>0.24399999999999999</v>
      </c>
      <c r="AE648" s="99">
        <v>0.246</v>
      </c>
      <c r="AF648" s="99">
        <v>0.248</v>
      </c>
      <c r="AG648" s="99">
        <v>0.248</v>
      </c>
      <c r="AH648" s="99">
        <v>0.249</v>
      </c>
      <c r="AI648" s="99">
        <v>0.251</v>
      </c>
      <c r="AJ648" s="99">
        <v>0.43799999999999989</v>
      </c>
      <c r="AK648" s="99">
        <v>0.80700000000000005</v>
      </c>
      <c r="AL648" s="99">
        <v>0.81400000000000006</v>
      </c>
      <c r="AM648" s="99">
        <v>0.83499999999999996</v>
      </c>
      <c r="AN648" s="99">
        <v>0.82800000000000007</v>
      </c>
      <c r="AO648" s="99">
        <v>0.82199999999999984</v>
      </c>
      <c r="AP648" s="99">
        <v>0.86100000000000021</v>
      </c>
    </row>
    <row r="649" spans="1:42" ht="14.45" customHeight="1" x14ac:dyDescent="0.25">
      <c r="A649" s="125" t="s">
        <v>593</v>
      </c>
      <c r="B649" s="180"/>
      <c r="C649" s="99">
        <v>1.627</v>
      </c>
      <c r="D649" s="99">
        <v>1.2689999999999999</v>
      </c>
      <c r="E649" s="99">
        <v>1.5489999999999999</v>
      </c>
      <c r="F649" s="99">
        <v>2.7090000000000001</v>
      </c>
      <c r="G649" s="99">
        <v>2.06</v>
      </c>
      <c r="H649" s="99">
        <v>2.5169999999999999</v>
      </c>
      <c r="I649" s="99">
        <v>1.8959999999999999</v>
      </c>
      <c r="J649" s="99">
        <v>1.4490000000000001</v>
      </c>
      <c r="K649" s="99">
        <v>0.752</v>
      </c>
      <c r="L649" s="99">
        <v>0.97599999999999998</v>
      </c>
      <c r="M649" s="99">
        <v>2.766</v>
      </c>
      <c r="N649" s="99">
        <v>1.1120000000000001</v>
      </c>
      <c r="O649" s="99">
        <v>2.0449999999999999</v>
      </c>
      <c r="P649" s="99">
        <v>0</v>
      </c>
      <c r="Q649" s="99">
        <v>0</v>
      </c>
      <c r="R649" s="99">
        <v>0</v>
      </c>
      <c r="S649" s="99">
        <v>0</v>
      </c>
      <c r="T649" s="99">
        <v>0</v>
      </c>
      <c r="U649" s="99">
        <v>0</v>
      </c>
      <c r="V649" s="99">
        <v>0</v>
      </c>
      <c r="W649" s="99">
        <v>0</v>
      </c>
      <c r="X649" s="99">
        <v>0</v>
      </c>
      <c r="Y649" s="99">
        <v>0</v>
      </c>
      <c r="Z649" s="99">
        <v>0</v>
      </c>
      <c r="AA649" s="99">
        <v>0</v>
      </c>
      <c r="AB649" s="99">
        <v>0</v>
      </c>
      <c r="AC649" s="99">
        <v>0</v>
      </c>
      <c r="AD649" s="99">
        <v>0</v>
      </c>
      <c r="AE649" s="99">
        <v>0</v>
      </c>
      <c r="AF649" s="99">
        <v>0</v>
      </c>
      <c r="AG649" s="99">
        <v>0</v>
      </c>
      <c r="AH649" s="99">
        <v>0</v>
      </c>
      <c r="AI649" s="99">
        <v>0</v>
      </c>
      <c r="AJ649" s="99">
        <v>0</v>
      </c>
      <c r="AK649" s="99">
        <v>0</v>
      </c>
      <c r="AL649" s="99">
        <v>0</v>
      </c>
      <c r="AM649" s="99">
        <v>0</v>
      </c>
      <c r="AN649" s="99">
        <v>0</v>
      </c>
      <c r="AO649" s="99">
        <v>0</v>
      </c>
      <c r="AP649" s="99">
        <v>0</v>
      </c>
    </row>
    <row r="650" spans="1:42" ht="14.45" customHeight="1" x14ac:dyDescent="0.25">
      <c r="A650" s="125" t="s">
        <v>594</v>
      </c>
      <c r="B650" s="180"/>
      <c r="C650" s="99">
        <v>0</v>
      </c>
      <c r="D650" s="99">
        <v>0</v>
      </c>
      <c r="E650" s="99">
        <v>0</v>
      </c>
      <c r="F650" s="99">
        <v>0</v>
      </c>
      <c r="G650" s="99">
        <v>0</v>
      </c>
      <c r="H650" s="99">
        <v>0</v>
      </c>
      <c r="I650" s="99">
        <v>0</v>
      </c>
      <c r="J650" s="99">
        <v>0</v>
      </c>
      <c r="K650" s="99">
        <v>0</v>
      </c>
      <c r="L650" s="99">
        <v>0</v>
      </c>
      <c r="M650" s="99">
        <v>0</v>
      </c>
      <c r="N650" s="99">
        <v>0</v>
      </c>
      <c r="O650" s="99">
        <v>0</v>
      </c>
      <c r="P650" s="99">
        <v>0</v>
      </c>
      <c r="Q650" s="99">
        <v>0</v>
      </c>
      <c r="R650" s="99">
        <v>0</v>
      </c>
      <c r="S650" s="99">
        <v>0</v>
      </c>
      <c r="T650" s="99">
        <v>0</v>
      </c>
      <c r="U650" s="99">
        <v>0</v>
      </c>
      <c r="V650" s="99">
        <v>0</v>
      </c>
      <c r="W650" s="99">
        <v>0</v>
      </c>
      <c r="X650" s="99">
        <v>0</v>
      </c>
      <c r="Y650" s="99">
        <v>0</v>
      </c>
      <c r="Z650" s="99">
        <v>0</v>
      </c>
      <c r="AA650" s="99">
        <v>0</v>
      </c>
      <c r="AB650" s="99">
        <v>0</v>
      </c>
      <c r="AC650" s="99">
        <v>0</v>
      </c>
      <c r="AD650" s="99">
        <v>0</v>
      </c>
      <c r="AE650" s="99">
        <v>0</v>
      </c>
      <c r="AF650" s="99">
        <v>0</v>
      </c>
      <c r="AG650" s="99">
        <v>0</v>
      </c>
      <c r="AH650" s="99">
        <v>0</v>
      </c>
      <c r="AI650" s="99">
        <v>0</v>
      </c>
      <c r="AJ650" s="99">
        <v>0</v>
      </c>
      <c r="AK650" s="99">
        <v>0</v>
      </c>
      <c r="AL650" s="99">
        <v>0</v>
      </c>
      <c r="AM650" s="99">
        <v>0</v>
      </c>
      <c r="AN650" s="99">
        <v>0</v>
      </c>
      <c r="AO650" s="99">
        <v>0</v>
      </c>
      <c r="AP650" s="99">
        <v>0</v>
      </c>
    </row>
    <row r="651" spans="1:42" ht="14.45" customHeight="1" x14ac:dyDescent="0.25">
      <c r="A651" s="125" t="s">
        <v>595</v>
      </c>
      <c r="B651" s="180"/>
      <c r="C651" s="99">
        <v>0</v>
      </c>
      <c r="D651" s="99">
        <v>0</v>
      </c>
      <c r="E651" s="99">
        <v>0</v>
      </c>
      <c r="F651" s="99">
        <v>0</v>
      </c>
      <c r="G651" s="99">
        <v>0</v>
      </c>
      <c r="H651" s="99">
        <v>0</v>
      </c>
      <c r="I651" s="99">
        <v>0</v>
      </c>
      <c r="J651" s="99">
        <v>0</v>
      </c>
      <c r="K651" s="99">
        <v>0</v>
      </c>
      <c r="L651" s="99">
        <v>0</v>
      </c>
      <c r="M651" s="99">
        <v>0</v>
      </c>
      <c r="N651" s="99">
        <v>0</v>
      </c>
      <c r="O651" s="99">
        <v>0</v>
      </c>
      <c r="P651" s="99">
        <v>0</v>
      </c>
      <c r="Q651" s="99">
        <v>0</v>
      </c>
      <c r="R651" s="99">
        <v>0</v>
      </c>
      <c r="S651" s="99">
        <v>0</v>
      </c>
      <c r="T651" s="99">
        <v>0</v>
      </c>
      <c r="U651" s="99">
        <v>0</v>
      </c>
      <c r="V651" s="99">
        <v>0</v>
      </c>
      <c r="W651" s="99">
        <v>0</v>
      </c>
      <c r="X651" s="99">
        <v>0</v>
      </c>
      <c r="Y651" s="99">
        <v>0</v>
      </c>
      <c r="Z651" s="99">
        <v>0</v>
      </c>
      <c r="AA651" s="99">
        <v>0</v>
      </c>
      <c r="AB651" s="99">
        <v>0</v>
      </c>
      <c r="AC651" s="99">
        <v>0</v>
      </c>
      <c r="AD651" s="99">
        <v>0</v>
      </c>
      <c r="AE651" s="99">
        <v>0</v>
      </c>
      <c r="AF651" s="99">
        <v>0</v>
      </c>
      <c r="AG651" s="99">
        <v>0</v>
      </c>
      <c r="AH651" s="99">
        <v>0</v>
      </c>
      <c r="AI651" s="99">
        <v>0</v>
      </c>
      <c r="AJ651" s="99">
        <v>0</v>
      </c>
      <c r="AK651" s="99">
        <v>0</v>
      </c>
      <c r="AL651" s="99">
        <v>0</v>
      </c>
      <c r="AM651" s="99">
        <v>0</v>
      </c>
      <c r="AN651" s="99">
        <v>0</v>
      </c>
      <c r="AO651" s="99">
        <v>0</v>
      </c>
      <c r="AP651" s="99">
        <v>0</v>
      </c>
    </row>
    <row r="652" spans="1:42" ht="14.45" customHeight="1" x14ac:dyDescent="0.25">
      <c r="A652" s="125" t="s">
        <v>596</v>
      </c>
      <c r="B652" s="180"/>
      <c r="C652" s="99">
        <v>0</v>
      </c>
      <c r="D652" s="99">
        <v>0</v>
      </c>
      <c r="E652" s="99">
        <v>0</v>
      </c>
      <c r="F652" s="99">
        <v>0</v>
      </c>
      <c r="G652" s="99">
        <v>0</v>
      </c>
      <c r="H652" s="99">
        <v>0</v>
      </c>
      <c r="I652" s="99">
        <v>0</v>
      </c>
      <c r="J652" s="99">
        <v>0</v>
      </c>
      <c r="K652" s="99">
        <v>0</v>
      </c>
      <c r="L652" s="99">
        <v>0</v>
      </c>
      <c r="M652" s="99">
        <v>0</v>
      </c>
      <c r="N652" s="99">
        <v>0</v>
      </c>
      <c r="O652" s="99">
        <v>0</v>
      </c>
      <c r="P652" s="99">
        <v>0</v>
      </c>
      <c r="Q652" s="99">
        <v>0</v>
      </c>
      <c r="R652" s="99">
        <v>0</v>
      </c>
      <c r="S652" s="99">
        <v>0</v>
      </c>
      <c r="T652" s="99">
        <v>0</v>
      </c>
      <c r="U652" s="99">
        <v>0</v>
      </c>
      <c r="V652" s="99">
        <v>0</v>
      </c>
      <c r="W652" s="99">
        <v>0</v>
      </c>
      <c r="X652" s="99">
        <v>0</v>
      </c>
      <c r="Y652" s="99">
        <v>0</v>
      </c>
      <c r="Z652" s="99">
        <v>0</v>
      </c>
      <c r="AA652" s="99">
        <v>0</v>
      </c>
      <c r="AB652" s="99">
        <v>0</v>
      </c>
      <c r="AC652" s="99">
        <v>0</v>
      </c>
      <c r="AD652" s="99">
        <v>0</v>
      </c>
      <c r="AE652" s="99">
        <v>0</v>
      </c>
      <c r="AF652" s="99">
        <v>0</v>
      </c>
      <c r="AG652" s="99">
        <v>0</v>
      </c>
      <c r="AH652" s="99">
        <v>0</v>
      </c>
      <c r="AI652" s="99">
        <v>0</v>
      </c>
      <c r="AJ652" s="99">
        <v>0</v>
      </c>
      <c r="AK652" s="99">
        <v>0</v>
      </c>
      <c r="AL652" s="99">
        <v>0</v>
      </c>
      <c r="AM652" s="99">
        <v>0</v>
      </c>
      <c r="AN652" s="99">
        <v>0</v>
      </c>
      <c r="AO652" s="99">
        <v>0</v>
      </c>
      <c r="AP652" s="99">
        <v>0</v>
      </c>
    </row>
    <row r="653" spans="1:42" ht="14.45" customHeight="1" x14ac:dyDescent="0.25">
      <c r="A653" s="125" t="s">
        <v>597</v>
      </c>
      <c r="B653" s="180"/>
      <c r="C653" s="99">
        <v>0</v>
      </c>
      <c r="D653" s="99">
        <v>0</v>
      </c>
      <c r="E653" s="99">
        <v>0</v>
      </c>
      <c r="F653" s="99">
        <v>0</v>
      </c>
      <c r="G653" s="99">
        <v>0</v>
      </c>
      <c r="H653" s="99">
        <v>0</v>
      </c>
      <c r="I653" s="99">
        <v>0</v>
      </c>
      <c r="J653" s="99">
        <v>-6.9960000000000004</v>
      </c>
      <c r="K653" s="99">
        <v>0</v>
      </c>
      <c r="L653" s="99">
        <v>0</v>
      </c>
      <c r="M653" s="99">
        <v>0</v>
      </c>
      <c r="N653" s="99">
        <v>0</v>
      </c>
      <c r="O653" s="99">
        <v>0</v>
      </c>
      <c r="P653" s="99">
        <v>0</v>
      </c>
      <c r="Q653" s="99">
        <v>0</v>
      </c>
      <c r="R653" s="99">
        <v>0</v>
      </c>
      <c r="S653" s="99">
        <v>0</v>
      </c>
      <c r="T653" s="99">
        <v>0</v>
      </c>
      <c r="U653" s="99">
        <v>0</v>
      </c>
      <c r="V653" s="99">
        <v>0</v>
      </c>
      <c r="W653" s="99">
        <v>0</v>
      </c>
      <c r="X653" s="99">
        <v>0</v>
      </c>
      <c r="Y653" s="99">
        <v>0</v>
      </c>
      <c r="Z653" s="99">
        <v>0</v>
      </c>
      <c r="AA653" s="99">
        <v>0</v>
      </c>
      <c r="AB653" s="99">
        <v>0</v>
      </c>
      <c r="AC653" s="99">
        <v>0</v>
      </c>
      <c r="AD653" s="99">
        <v>0</v>
      </c>
      <c r="AE653" s="99">
        <v>0</v>
      </c>
      <c r="AF653" s="99">
        <v>0</v>
      </c>
      <c r="AG653" s="99">
        <v>0</v>
      </c>
      <c r="AH653" s="99">
        <v>0</v>
      </c>
      <c r="AI653" s="99">
        <v>0</v>
      </c>
      <c r="AJ653" s="99">
        <v>0</v>
      </c>
      <c r="AK653" s="99">
        <v>0</v>
      </c>
      <c r="AL653" s="99">
        <v>0</v>
      </c>
      <c r="AM653" s="99">
        <v>0</v>
      </c>
      <c r="AN653" s="99">
        <v>0</v>
      </c>
      <c r="AO653" s="99">
        <v>0</v>
      </c>
      <c r="AP653" s="99">
        <v>0</v>
      </c>
    </row>
    <row r="654" spans="1:42" ht="14.45" customHeight="1" x14ac:dyDescent="0.25">
      <c r="A654" s="125" t="s">
        <v>435</v>
      </c>
      <c r="B654" s="180"/>
      <c r="C654" s="99">
        <v>0</v>
      </c>
      <c r="D654" s="99">
        <v>0</v>
      </c>
      <c r="E654" s="99">
        <v>0</v>
      </c>
      <c r="F654" s="99">
        <v>0</v>
      </c>
      <c r="G654" s="99">
        <v>0</v>
      </c>
      <c r="H654" s="99">
        <v>0</v>
      </c>
      <c r="I654" s="99">
        <v>0</v>
      </c>
      <c r="J654" s="99">
        <v>-6.0119999999999996</v>
      </c>
      <c r="K654" s="99">
        <v>0</v>
      </c>
      <c r="L654" s="99">
        <v>0</v>
      </c>
      <c r="M654" s="99">
        <v>0</v>
      </c>
      <c r="N654" s="99">
        <v>0</v>
      </c>
      <c r="O654" s="99">
        <v>0</v>
      </c>
      <c r="P654" s="99">
        <v>0</v>
      </c>
      <c r="Q654" s="99">
        <v>0</v>
      </c>
      <c r="R654" s="99">
        <v>0</v>
      </c>
      <c r="S654" s="99">
        <v>0</v>
      </c>
      <c r="T654" s="99">
        <v>0</v>
      </c>
      <c r="U654" s="99">
        <v>0</v>
      </c>
      <c r="V654" s="99">
        <v>0</v>
      </c>
      <c r="W654" s="99">
        <v>0</v>
      </c>
      <c r="X654" s="99">
        <v>0</v>
      </c>
      <c r="Y654" s="99">
        <v>0</v>
      </c>
      <c r="Z654" s="99">
        <v>0</v>
      </c>
      <c r="AA654" s="99">
        <v>0</v>
      </c>
      <c r="AB654" s="99">
        <v>0</v>
      </c>
      <c r="AC654" s="99">
        <v>0</v>
      </c>
      <c r="AD654" s="99">
        <v>0</v>
      </c>
      <c r="AE654" s="99">
        <v>0</v>
      </c>
      <c r="AF654" s="99">
        <v>0</v>
      </c>
      <c r="AG654" s="99">
        <v>0</v>
      </c>
      <c r="AH654" s="99">
        <v>0</v>
      </c>
      <c r="AI654" s="99">
        <v>0</v>
      </c>
      <c r="AJ654" s="99">
        <v>0</v>
      </c>
      <c r="AK654" s="99">
        <v>0</v>
      </c>
      <c r="AL654" s="99">
        <v>0</v>
      </c>
      <c r="AM654" s="99">
        <v>0</v>
      </c>
      <c r="AN654" s="99">
        <v>0</v>
      </c>
      <c r="AO654" s="99">
        <v>0</v>
      </c>
      <c r="AP654" s="99">
        <v>0</v>
      </c>
    </row>
    <row r="655" spans="1:42" ht="14.45" customHeight="1" x14ac:dyDescent="0.25">
      <c r="A655" s="125" t="s">
        <v>438</v>
      </c>
      <c r="B655" s="180"/>
      <c r="C655" s="99">
        <v>17.151</v>
      </c>
      <c r="D655" s="99">
        <v>16.274000000000001</v>
      </c>
      <c r="E655" s="99">
        <v>-7.3649999999999984</v>
      </c>
      <c r="F655" s="99">
        <v>-27.97</v>
      </c>
      <c r="G655" s="99">
        <v>12.246</v>
      </c>
      <c r="H655" s="99">
        <v>16.119</v>
      </c>
      <c r="I655" s="99">
        <v>-5.2249999999999979</v>
      </c>
      <c r="J655" s="99">
        <v>-19.914000000000001</v>
      </c>
      <c r="K655" s="99">
        <v>-5.1859999999999999</v>
      </c>
      <c r="L655" s="99">
        <v>9.1430000000000007</v>
      </c>
      <c r="M655" s="99">
        <v>-2.3730000000000002</v>
      </c>
      <c r="N655" s="99">
        <v>27.183</v>
      </c>
      <c r="O655" s="99">
        <v>14.045999999999999</v>
      </c>
      <c r="P655" s="99">
        <v>29.222000000000001</v>
      </c>
      <c r="Q655" s="99">
        <v>18.748999999999999</v>
      </c>
      <c r="R655" s="99">
        <v>30.77099999999999</v>
      </c>
      <c r="S655" s="99">
        <v>0.71199999999999997</v>
      </c>
      <c r="T655" s="99">
        <v>14.548</v>
      </c>
      <c r="U655" s="99">
        <v>19.808</v>
      </c>
      <c r="V655" s="99">
        <v>-3.857999999999997</v>
      </c>
      <c r="W655" s="99">
        <v>10.997999999999999</v>
      </c>
      <c r="X655" s="99">
        <v>45.982999999999997</v>
      </c>
      <c r="Y655" s="99">
        <v>33.923999999999999</v>
      </c>
      <c r="Z655" s="99">
        <v>55.402999999999992</v>
      </c>
      <c r="AA655" s="99">
        <v>-5.4569999999999999</v>
      </c>
      <c r="AB655" s="99">
        <v>4.0209999999999999</v>
      </c>
      <c r="AC655" s="99">
        <v>22.568000000000001</v>
      </c>
      <c r="AD655" s="99">
        <v>11.169</v>
      </c>
      <c r="AE655" s="99">
        <v>41.654000000000003</v>
      </c>
      <c r="AF655" s="99">
        <v>25.52</v>
      </c>
      <c r="AG655" s="99">
        <v>18.86399999999999</v>
      </c>
      <c r="AH655" s="99">
        <v>73.316000000000017</v>
      </c>
      <c r="AI655" s="99">
        <v>-5.5410000000000004</v>
      </c>
      <c r="AJ655" s="99">
        <v>27.826000000000001</v>
      </c>
      <c r="AK655" s="99">
        <v>68.591999999999999</v>
      </c>
      <c r="AL655" s="99">
        <v>-31.710999999999999</v>
      </c>
      <c r="AM655" s="99">
        <v>42.728000000000002</v>
      </c>
      <c r="AN655" s="99">
        <v>12.39</v>
      </c>
      <c r="AO655" s="99">
        <v>49.35</v>
      </c>
      <c r="AP655" s="99">
        <v>27.43300000000001</v>
      </c>
    </row>
    <row r="656" spans="1:42" ht="14.45" customHeight="1" x14ac:dyDescent="0.25">
      <c r="A656" s="130" t="s">
        <v>65</v>
      </c>
      <c r="B656" s="190"/>
      <c r="C656" s="103">
        <v>2.7E-2</v>
      </c>
      <c r="D656" s="103">
        <v>-1.0000000000000011E-3</v>
      </c>
      <c r="E656" s="103">
        <v>1.0999999999999999E-2</v>
      </c>
      <c r="F656" s="103">
        <v>-1.2E-2</v>
      </c>
      <c r="G656" s="103">
        <v>1.2999999999999999E-2</v>
      </c>
      <c r="H656" s="103">
        <v>3.1E-2</v>
      </c>
      <c r="I656" s="103">
        <v>2.2000000000000009E-2</v>
      </c>
      <c r="J656" s="103">
        <v>1.2E-2</v>
      </c>
      <c r="K656" s="103">
        <v>1.2999999999999999E-2</v>
      </c>
      <c r="L656" s="103">
        <v>-2E-3</v>
      </c>
      <c r="M656" s="103">
        <v>6.0000000000000019E-3</v>
      </c>
      <c r="N656" s="103">
        <v>1.9999999999999979E-3</v>
      </c>
      <c r="O656" s="103">
        <v>0.437</v>
      </c>
      <c r="P656" s="103">
        <v>2.5000000000000019E-2</v>
      </c>
      <c r="Q656" s="103">
        <v>-1.4000000000000011E-2</v>
      </c>
      <c r="R656" s="103">
        <v>-0.3</v>
      </c>
      <c r="S656" s="103">
        <v>0</v>
      </c>
      <c r="T656" s="103">
        <v>0</v>
      </c>
      <c r="U656" s="103">
        <v>1.048</v>
      </c>
      <c r="V656" s="103">
        <v>1.6999999999999901E-2</v>
      </c>
      <c r="W656" s="103">
        <v>-3.6999999999999998E-2</v>
      </c>
      <c r="X656" s="103">
        <v>3.6999999999999998E-2</v>
      </c>
      <c r="Y656" s="103">
        <v>-1.4999999999999999E-2</v>
      </c>
      <c r="Z656" s="103">
        <v>-8.0000000000000002E-3</v>
      </c>
      <c r="AA656" s="103">
        <v>0</v>
      </c>
      <c r="AB656" s="103">
        <v>0</v>
      </c>
      <c r="AC656" s="103">
        <v>0</v>
      </c>
      <c r="AD656" s="103">
        <v>0</v>
      </c>
      <c r="AE656" s="103">
        <v>0</v>
      </c>
      <c r="AF656" s="103">
        <v>0</v>
      </c>
      <c r="AG656" s="103">
        <v>0</v>
      </c>
      <c r="AH656" s="103">
        <v>0</v>
      </c>
      <c r="AI656" s="103">
        <v>0</v>
      </c>
      <c r="AJ656" s="103">
        <v>0</v>
      </c>
      <c r="AK656" s="103">
        <v>0</v>
      </c>
      <c r="AL656" s="103">
        <v>0</v>
      </c>
      <c r="AM656" s="103">
        <v>0</v>
      </c>
      <c r="AN656" s="103">
        <v>0</v>
      </c>
      <c r="AO656" s="103">
        <v>0</v>
      </c>
      <c r="AP656" s="103">
        <v>0</v>
      </c>
    </row>
    <row r="657" spans="1:42" ht="14.45" customHeight="1" x14ac:dyDescent="0.25">
      <c r="A657" s="110" t="s">
        <v>598</v>
      </c>
      <c r="B657" s="212"/>
      <c r="C657" s="106">
        <v>30.074999999999999</v>
      </c>
      <c r="D657" s="106">
        <v>69.011999999999986</v>
      </c>
      <c r="E657" s="106">
        <v>58.658000000000008</v>
      </c>
      <c r="F657" s="106">
        <v>69.573000000000008</v>
      </c>
      <c r="G657" s="106">
        <v>117.532</v>
      </c>
      <c r="H657" s="106">
        <v>60.324999999999989</v>
      </c>
      <c r="I657" s="106">
        <v>60.741000000000007</v>
      </c>
      <c r="J657" s="106">
        <v>87.974999999999994</v>
      </c>
      <c r="K657" s="106">
        <v>16.071000000000002</v>
      </c>
      <c r="L657" s="106">
        <v>55.960999999999999</v>
      </c>
      <c r="M657" s="106">
        <v>92.457000000000022</v>
      </c>
      <c r="N657" s="106">
        <v>51.552000000000007</v>
      </c>
      <c r="O657" s="106">
        <v>55.515999999999991</v>
      </c>
      <c r="P657" s="106">
        <v>102.613</v>
      </c>
      <c r="Q657" s="106">
        <v>85.524999999999991</v>
      </c>
      <c r="R657" s="106">
        <v>70.398999999999987</v>
      </c>
      <c r="S657" s="106">
        <v>66.492999999999995</v>
      </c>
      <c r="T657" s="106">
        <v>118.307</v>
      </c>
      <c r="U657" s="106">
        <v>116.717</v>
      </c>
      <c r="V657" s="106">
        <v>114.876</v>
      </c>
      <c r="W657" s="106">
        <v>129.70500000000001</v>
      </c>
      <c r="X657" s="106">
        <v>125.20099999999999</v>
      </c>
      <c r="Y657" s="106">
        <v>141.97300000000001</v>
      </c>
      <c r="Z657" s="106">
        <v>102.006</v>
      </c>
      <c r="AA657" s="106">
        <v>165.02</v>
      </c>
      <c r="AB657" s="106">
        <v>125.36799999999999</v>
      </c>
      <c r="AC657" s="106">
        <v>166.47300000000001</v>
      </c>
      <c r="AD657" s="106">
        <v>174.08</v>
      </c>
      <c r="AE657" s="106">
        <v>246.66800000000001</v>
      </c>
      <c r="AF657" s="106">
        <v>184.68799999999999</v>
      </c>
      <c r="AG657" s="106">
        <v>207.3369999999999</v>
      </c>
      <c r="AH657" s="106">
        <v>177.94900000000001</v>
      </c>
      <c r="AI657" s="106">
        <v>264.488</v>
      </c>
      <c r="AJ657" s="106">
        <v>195.96899999999991</v>
      </c>
      <c r="AK657" s="106">
        <v>215.32300000000001</v>
      </c>
      <c r="AL657" s="106">
        <v>218.309</v>
      </c>
      <c r="AM657" s="106">
        <v>237.19399999999999</v>
      </c>
      <c r="AN657" s="106">
        <v>200.88200000000001</v>
      </c>
      <c r="AO657" s="106">
        <v>265.37599999999998</v>
      </c>
      <c r="AP657" s="106">
        <v>235.255</v>
      </c>
    </row>
    <row r="658" spans="1:42" ht="14.45" customHeight="1" x14ac:dyDescent="0.25">
      <c r="A658" s="125" t="s">
        <v>599</v>
      </c>
      <c r="B658" s="180"/>
      <c r="C658" s="99">
        <v>0</v>
      </c>
      <c r="D658" s="99">
        <v>0</v>
      </c>
      <c r="E658" s="99">
        <v>0</v>
      </c>
      <c r="F658" s="99">
        <v>0</v>
      </c>
      <c r="G658" s="99">
        <v>0</v>
      </c>
      <c r="H658" s="99">
        <v>0</v>
      </c>
      <c r="I658" s="99">
        <v>0</v>
      </c>
      <c r="J658" s="99">
        <v>0</v>
      </c>
      <c r="K658" s="99">
        <v>0</v>
      </c>
      <c r="L658" s="99">
        <v>0</v>
      </c>
      <c r="M658" s="99">
        <v>0</v>
      </c>
      <c r="N658" s="99">
        <v>0</v>
      </c>
      <c r="O658" s="99">
        <v>0</v>
      </c>
      <c r="P658" s="99">
        <v>0</v>
      </c>
      <c r="Q658" s="99">
        <v>0</v>
      </c>
      <c r="R658" s="99">
        <v>0</v>
      </c>
      <c r="S658" s="99">
        <v>0</v>
      </c>
      <c r="T658" s="99">
        <v>0</v>
      </c>
      <c r="U658" s="99">
        <v>0</v>
      </c>
      <c r="V658" s="99">
        <v>0</v>
      </c>
      <c r="W658" s="99">
        <v>0</v>
      </c>
      <c r="X658" s="99">
        <v>0</v>
      </c>
      <c r="Y658" s="99">
        <v>0</v>
      </c>
      <c r="Z658" s="99">
        <v>0</v>
      </c>
      <c r="AA658" s="99">
        <v>0</v>
      </c>
      <c r="AB658" s="99">
        <v>0</v>
      </c>
      <c r="AC658" s="99">
        <v>0</v>
      </c>
      <c r="AD658" s="99">
        <v>0</v>
      </c>
      <c r="AE658" s="99">
        <v>0</v>
      </c>
      <c r="AF658" s="99">
        <v>0</v>
      </c>
      <c r="AG658" s="99">
        <v>0</v>
      </c>
      <c r="AH658" s="99">
        <v>0</v>
      </c>
      <c r="AI658" s="99">
        <v>0</v>
      </c>
      <c r="AJ658" s="99">
        <v>0</v>
      </c>
      <c r="AK658" s="99">
        <v>0</v>
      </c>
      <c r="AL658" s="99">
        <v>0</v>
      </c>
      <c r="AM658" s="99">
        <v>0</v>
      </c>
      <c r="AN658" s="99">
        <v>0</v>
      </c>
      <c r="AO658" s="99">
        <v>0</v>
      </c>
      <c r="AP658" s="99">
        <v>0</v>
      </c>
    </row>
    <row r="659" spans="1:42" ht="14.45" customHeight="1" x14ac:dyDescent="0.25">
      <c r="A659" s="125" t="s">
        <v>600</v>
      </c>
      <c r="B659" s="180"/>
      <c r="C659" s="99">
        <v>0</v>
      </c>
      <c r="D659" s="99">
        <v>0</v>
      </c>
      <c r="E659" s="99">
        <v>0</v>
      </c>
      <c r="F659" s="99">
        <v>0</v>
      </c>
      <c r="G659" s="99">
        <v>0</v>
      </c>
      <c r="H659" s="99">
        <v>0</v>
      </c>
      <c r="I659" s="99">
        <v>0</v>
      </c>
      <c r="J659" s="99">
        <v>0</v>
      </c>
      <c r="K659" s="99">
        <v>0</v>
      </c>
      <c r="L659" s="99">
        <v>0</v>
      </c>
      <c r="M659" s="99">
        <v>0</v>
      </c>
      <c r="N659" s="99">
        <v>0</v>
      </c>
      <c r="O659" s="99">
        <v>0</v>
      </c>
      <c r="P659" s="99">
        <v>0</v>
      </c>
      <c r="Q659" s="99">
        <v>0</v>
      </c>
      <c r="R659" s="99">
        <v>0</v>
      </c>
      <c r="S659" s="99">
        <v>0</v>
      </c>
      <c r="T659" s="99">
        <v>0</v>
      </c>
      <c r="U659" s="99">
        <v>0</v>
      </c>
      <c r="V659" s="99">
        <v>0</v>
      </c>
      <c r="W659" s="99">
        <v>0</v>
      </c>
      <c r="X659" s="99">
        <v>0</v>
      </c>
      <c r="Y659" s="99">
        <v>0</v>
      </c>
      <c r="Z659" s="99">
        <v>0</v>
      </c>
      <c r="AA659" s="99">
        <v>0</v>
      </c>
      <c r="AB659" s="99">
        <v>0</v>
      </c>
      <c r="AC659" s="99">
        <v>0</v>
      </c>
      <c r="AD659" s="99">
        <v>0</v>
      </c>
      <c r="AE659" s="99">
        <v>0</v>
      </c>
      <c r="AF659" s="99">
        <v>0</v>
      </c>
      <c r="AG659" s="99">
        <v>0</v>
      </c>
      <c r="AH659" s="99">
        <v>0</v>
      </c>
      <c r="AI659" s="99">
        <v>0</v>
      </c>
      <c r="AJ659" s="99">
        <v>0</v>
      </c>
      <c r="AK659" s="99">
        <v>0</v>
      </c>
      <c r="AL659" s="99">
        <v>0</v>
      </c>
      <c r="AM659" s="99">
        <v>0</v>
      </c>
      <c r="AN659" s="99">
        <v>0</v>
      </c>
      <c r="AO659" s="99">
        <v>0</v>
      </c>
      <c r="AP659" s="99">
        <v>0</v>
      </c>
    </row>
    <row r="660" spans="1:42" ht="14.45" customHeight="1" x14ac:dyDescent="0.25">
      <c r="A660" s="125" t="s">
        <v>601</v>
      </c>
      <c r="B660" s="180"/>
      <c r="C660" s="99">
        <v>0</v>
      </c>
      <c r="D660" s="99">
        <v>0</v>
      </c>
      <c r="E660" s="99">
        <v>0</v>
      </c>
      <c r="F660" s="99">
        <v>0</v>
      </c>
      <c r="G660" s="99">
        <v>0</v>
      </c>
      <c r="H660" s="99">
        <v>0</v>
      </c>
      <c r="I660" s="99">
        <v>0</v>
      </c>
      <c r="J660" s="99">
        <v>0</v>
      </c>
      <c r="K660" s="99">
        <v>0</v>
      </c>
      <c r="L660" s="99">
        <v>0</v>
      </c>
      <c r="M660" s="99">
        <v>0</v>
      </c>
      <c r="N660" s="99">
        <v>0</v>
      </c>
      <c r="O660" s="99">
        <v>0</v>
      </c>
      <c r="P660" s="99">
        <v>0</v>
      </c>
      <c r="Q660" s="99">
        <v>0</v>
      </c>
      <c r="R660" s="99">
        <v>0</v>
      </c>
      <c r="S660" s="99">
        <v>0</v>
      </c>
      <c r="T660" s="99">
        <v>0</v>
      </c>
      <c r="U660" s="99">
        <v>0</v>
      </c>
      <c r="V660" s="99">
        <v>0</v>
      </c>
      <c r="W660" s="99">
        <v>0</v>
      </c>
      <c r="X660" s="99">
        <v>0</v>
      </c>
      <c r="Y660" s="99">
        <v>0</v>
      </c>
      <c r="Z660" s="99">
        <v>0</v>
      </c>
      <c r="AA660" s="99">
        <v>0</v>
      </c>
      <c r="AB660" s="99">
        <v>0</v>
      </c>
      <c r="AC660" s="99">
        <v>0</v>
      </c>
      <c r="AD660" s="99">
        <v>0</v>
      </c>
      <c r="AE660" s="99">
        <v>0</v>
      </c>
      <c r="AF660" s="99">
        <v>0</v>
      </c>
      <c r="AG660" s="99">
        <v>0</v>
      </c>
      <c r="AH660" s="99">
        <v>0</v>
      </c>
      <c r="AI660" s="99">
        <v>0</v>
      </c>
      <c r="AJ660" s="99">
        <v>0</v>
      </c>
      <c r="AK660" s="99">
        <v>0</v>
      </c>
      <c r="AL660" s="99">
        <v>0</v>
      </c>
      <c r="AM660" s="99">
        <v>0</v>
      </c>
      <c r="AN660" s="99">
        <v>0</v>
      </c>
      <c r="AO660" s="99">
        <v>0</v>
      </c>
      <c r="AP660" s="99">
        <v>0</v>
      </c>
    </row>
    <row r="661" spans="1:42" ht="14.45" customHeight="1" x14ac:dyDescent="0.25">
      <c r="A661" s="125" t="s">
        <v>602</v>
      </c>
      <c r="B661" s="180"/>
      <c r="C661" s="99">
        <v>-38.926000000000002</v>
      </c>
      <c r="D661" s="99">
        <v>11.837999999999999</v>
      </c>
      <c r="E661" s="99">
        <v>13.465</v>
      </c>
      <c r="F661" s="99">
        <v>-26.286000000000001</v>
      </c>
      <c r="G661" s="99">
        <v>4.4630000000000001</v>
      </c>
      <c r="H661" s="99">
        <v>6.0070000000000006</v>
      </c>
      <c r="I661" s="99">
        <v>-29.506</v>
      </c>
      <c r="J661" s="99">
        <v>19.295000000000002</v>
      </c>
      <c r="K661" s="99">
        <v>-99.994</v>
      </c>
      <c r="L661" s="99">
        <v>83.867000000000004</v>
      </c>
      <c r="M661" s="99">
        <v>-104.294</v>
      </c>
      <c r="N661" s="99">
        <v>94.034000000000006</v>
      </c>
      <c r="O661" s="99">
        <v>-57.014000000000003</v>
      </c>
      <c r="P661" s="99">
        <v>-21.827999999999999</v>
      </c>
      <c r="Q661" s="99">
        <v>24.579000000000001</v>
      </c>
      <c r="R661" s="99">
        <v>22.582000000000001</v>
      </c>
      <c r="S661" s="99">
        <v>-42.31</v>
      </c>
      <c r="T661" s="99">
        <v>63.244999999999997</v>
      </c>
      <c r="U661" s="99">
        <v>49.040000000000013</v>
      </c>
      <c r="V661" s="99">
        <v>-14.368000000000009</v>
      </c>
      <c r="W661" s="99">
        <v>-38.661999999999999</v>
      </c>
      <c r="X661" s="99">
        <v>62.994</v>
      </c>
      <c r="Y661" s="99">
        <v>36.213999999999999</v>
      </c>
      <c r="Z661" s="99">
        <v>-29.951000000000001</v>
      </c>
      <c r="AA661" s="99">
        <v>-32.414999999999999</v>
      </c>
      <c r="AB661" s="99">
        <v>-26.588999999999999</v>
      </c>
      <c r="AC661" s="99">
        <v>-2.6529999999999991</v>
      </c>
      <c r="AD661" s="99">
        <v>-13.12700000000001</v>
      </c>
      <c r="AE661" s="99">
        <v>-49.537999999999997</v>
      </c>
      <c r="AF661" s="99">
        <v>7.580999999999996</v>
      </c>
      <c r="AG661" s="99">
        <v>77.74799999999999</v>
      </c>
      <c r="AH661" s="99">
        <v>-6.6529999999999951</v>
      </c>
      <c r="AI661" s="99">
        <v>-44.256999999999998</v>
      </c>
      <c r="AJ661" s="99">
        <v>44.514000000000003</v>
      </c>
      <c r="AK661" s="99">
        <v>55.506</v>
      </c>
      <c r="AL661" s="99">
        <v>-59.536999999999999</v>
      </c>
      <c r="AM661" s="99">
        <v>-19.675999999999998</v>
      </c>
      <c r="AN661" s="99">
        <v>1.8549999999999971</v>
      </c>
      <c r="AO661" s="99">
        <v>56.402000000000001</v>
      </c>
      <c r="AP661" s="99">
        <v>-28.03</v>
      </c>
    </row>
    <row r="662" spans="1:42" ht="14.45" customHeight="1" x14ac:dyDescent="0.25">
      <c r="A662" s="125" t="s">
        <v>603</v>
      </c>
      <c r="B662" s="180"/>
      <c r="C662" s="99">
        <v>-2.391</v>
      </c>
      <c r="D662" s="99">
        <v>-6.6229999999999993</v>
      </c>
      <c r="E662" s="99">
        <v>-3.5990000000000002</v>
      </c>
      <c r="F662" s="99">
        <v>-1.951000000000001</v>
      </c>
      <c r="G662" s="99">
        <v>-4.0380000000000003</v>
      </c>
      <c r="H662" s="99">
        <v>-5.9459999999999997</v>
      </c>
      <c r="I662" s="99">
        <v>-3.407</v>
      </c>
      <c r="J662" s="99">
        <v>-4.5250000000000004</v>
      </c>
      <c r="K662" s="99">
        <v>2.3439999999999999</v>
      </c>
      <c r="L662" s="99">
        <v>1.486</v>
      </c>
      <c r="M662" s="99">
        <v>-3.1059999999999999</v>
      </c>
      <c r="N662" s="99">
        <v>3.6230000000000002</v>
      </c>
      <c r="O662" s="99">
        <v>1.196</v>
      </c>
      <c r="P662" s="99">
        <v>4.032</v>
      </c>
      <c r="Q662" s="99">
        <v>7.3529999999999998</v>
      </c>
      <c r="R662" s="99">
        <v>2.620000000000001</v>
      </c>
      <c r="S662" s="99">
        <v>12.223000000000001</v>
      </c>
      <c r="T662" s="99">
        <v>1.196999999999999</v>
      </c>
      <c r="U662" s="99">
        <v>2.94</v>
      </c>
      <c r="V662" s="99">
        <v>5.4600000000000009</v>
      </c>
      <c r="W662" s="99">
        <v>4.1970000000000001</v>
      </c>
      <c r="X662" s="99">
        <v>2.1280000000000001</v>
      </c>
      <c r="Y662" s="99">
        <v>4.03</v>
      </c>
      <c r="Z662" s="99">
        <v>5.6479999999999997</v>
      </c>
      <c r="AA662" s="99">
        <v>8.1890000000000001</v>
      </c>
      <c r="AB662" s="99">
        <v>13.715</v>
      </c>
      <c r="AC662" s="99">
        <v>5.902000000000001</v>
      </c>
      <c r="AD662" s="99">
        <v>3.972999999999999</v>
      </c>
      <c r="AE662" s="99">
        <v>-1.43</v>
      </c>
      <c r="AF662" s="99">
        <v>6.6459999999999999</v>
      </c>
      <c r="AG662" s="99">
        <v>8.2010000000000005</v>
      </c>
      <c r="AH662" s="99">
        <v>-0.70899999999999963</v>
      </c>
      <c r="AI662" s="99">
        <v>-0.78100000000000003</v>
      </c>
      <c r="AJ662" s="99">
        <v>4.5389999999999997</v>
      </c>
      <c r="AK662" s="99">
        <v>3.8370000000000002</v>
      </c>
      <c r="AL662" s="99">
        <v>1.3089999999999999</v>
      </c>
      <c r="AM662" s="99">
        <v>6.476</v>
      </c>
      <c r="AN662" s="99">
        <v>-2.4279999999999999</v>
      </c>
      <c r="AO662" s="99">
        <v>-2.5790000000000002</v>
      </c>
      <c r="AP662" s="99">
        <v>5.585</v>
      </c>
    </row>
    <row r="663" spans="1:42" ht="14.45" customHeight="1" x14ac:dyDescent="0.25">
      <c r="A663" s="130" t="s">
        <v>604</v>
      </c>
      <c r="B663" s="190"/>
      <c r="C663" s="103">
        <v>-3.9750000000000001</v>
      </c>
      <c r="D663" s="103">
        <v>2.1869999999999998</v>
      </c>
      <c r="E663" s="103">
        <v>-1.5960000000000001</v>
      </c>
      <c r="F663" s="103">
        <v>-7.4659999999999993</v>
      </c>
      <c r="G663" s="103">
        <v>-1.4390000000000001</v>
      </c>
      <c r="H663" s="103">
        <v>2.0670000000000002</v>
      </c>
      <c r="I663" s="103">
        <v>-4.3739999999999997</v>
      </c>
      <c r="J663" s="103">
        <v>2.6459999999999999</v>
      </c>
      <c r="K663" s="103">
        <v>0.83299999999999996</v>
      </c>
      <c r="L663" s="103">
        <v>-3.3260000000000001</v>
      </c>
      <c r="M663" s="103">
        <v>-16.268999999999998</v>
      </c>
      <c r="N663" s="103">
        <v>-6.3599999999999994</v>
      </c>
      <c r="O663" s="103">
        <v>5.8979999999999997</v>
      </c>
      <c r="P663" s="103">
        <v>-1.827</v>
      </c>
      <c r="Q663" s="103">
        <v>-1.46</v>
      </c>
      <c r="R663" s="103">
        <v>-9.8140000000000001</v>
      </c>
      <c r="S663" s="103">
        <v>-4.117</v>
      </c>
      <c r="T663" s="103">
        <v>13.965</v>
      </c>
      <c r="U663" s="103">
        <v>-21.298999999999999</v>
      </c>
      <c r="V663" s="103">
        <v>12.092000000000001</v>
      </c>
      <c r="W663" s="103">
        <v>-13.33</v>
      </c>
      <c r="X663" s="103">
        <v>-0.84800000000000075</v>
      </c>
      <c r="Y663" s="103">
        <v>-13.727</v>
      </c>
      <c r="Z663" s="103">
        <v>4.1769999999999996</v>
      </c>
      <c r="AA663" s="103">
        <v>-9.9130000000000003</v>
      </c>
      <c r="AB663" s="103">
        <v>0.16000000000000009</v>
      </c>
      <c r="AC663" s="103">
        <v>-18.948</v>
      </c>
      <c r="AD663" s="103">
        <v>-4.7289999999999992</v>
      </c>
      <c r="AE663" s="103">
        <v>-11.006</v>
      </c>
      <c r="AF663" s="103">
        <v>-0.27099999999999902</v>
      </c>
      <c r="AG663" s="103">
        <v>-32.075000000000003</v>
      </c>
      <c r="AH663" s="103">
        <v>-4.4460000000000051</v>
      </c>
      <c r="AI663" s="103">
        <v>-25.177</v>
      </c>
      <c r="AJ663" s="103">
        <v>-2.164000000000001</v>
      </c>
      <c r="AK663" s="103">
        <v>-3.9039999999999999</v>
      </c>
      <c r="AL663" s="103">
        <v>8.3830000000000027</v>
      </c>
      <c r="AM663" s="103">
        <v>-25.823</v>
      </c>
      <c r="AN663" s="103">
        <v>7.7409999999999997</v>
      </c>
      <c r="AO663" s="103">
        <v>-2.5069999999999979</v>
      </c>
      <c r="AP663" s="103">
        <v>-3.8190000000000031</v>
      </c>
    </row>
    <row r="664" spans="1:42" ht="14.45" customHeight="1" x14ac:dyDescent="0.25">
      <c r="A664" s="110" t="s">
        <v>605</v>
      </c>
      <c r="B664" s="212"/>
      <c r="C664" s="106">
        <v>-15.217000000000001</v>
      </c>
      <c r="D664" s="106">
        <v>76.413999999999987</v>
      </c>
      <c r="E664" s="106">
        <v>66.927999999999997</v>
      </c>
      <c r="F664" s="106">
        <v>33.869999999999997</v>
      </c>
      <c r="G664" s="106">
        <v>116.518</v>
      </c>
      <c r="H664" s="106">
        <v>62.453000000000003</v>
      </c>
      <c r="I664" s="106">
        <v>23.454000000000011</v>
      </c>
      <c r="J664" s="106">
        <v>105.39100000000001</v>
      </c>
      <c r="K664" s="106">
        <v>-80.746000000000009</v>
      </c>
      <c r="L664" s="106">
        <v>137.988</v>
      </c>
      <c r="M664" s="106">
        <v>-31.211999999999989</v>
      </c>
      <c r="N664" s="106">
        <v>142.84899999999999</v>
      </c>
      <c r="O664" s="106">
        <v>5.5959999999999877</v>
      </c>
      <c r="P664" s="106">
        <v>82.990000000000023</v>
      </c>
      <c r="Q664" s="106">
        <v>115.997</v>
      </c>
      <c r="R664" s="106">
        <v>85.786999999999978</v>
      </c>
      <c r="S664" s="106">
        <v>32.288999999999987</v>
      </c>
      <c r="T664" s="106">
        <v>196.714</v>
      </c>
      <c r="U664" s="106">
        <v>147.398</v>
      </c>
      <c r="V664" s="106">
        <v>118.06</v>
      </c>
      <c r="W664" s="106">
        <v>81.910000000000011</v>
      </c>
      <c r="X664" s="106">
        <v>189.47499999999999</v>
      </c>
      <c r="Y664" s="106">
        <v>168.49</v>
      </c>
      <c r="Z664" s="106">
        <v>81.879999999999967</v>
      </c>
      <c r="AA664" s="106">
        <v>130.881</v>
      </c>
      <c r="AB664" s="106">
        <v>112.654</v>
      </c>
      <c r="AC664" s="106">
        <v>150.774</v>
      </c>
      <c r="AD664" s="106">
        <v>160.197</v>
      </c>
      <c r="AE664" s="106">
        <v>184.69399999999999</v>
      </c>
      <c r="AF664" s="106">
        <v>198.64400000000001</v>
      </c>
      <c r="AG664" s="106">
        <v>261.21100000000001</v>
      </c>
      <c r="AH664" s="106">
        <v>166.14099999999999</v>
      </c>
      <c r="AI664" s="106">
        <v>194.273</v>
      </c>
      <c r="AJ664" s="106">
        <v>242.85799999999989</v>
      </c>
      <c r="AK664" s="106">
        <v>270.76199999999989</v>
      </c>
      <c r="AL664" s="106">
        <v>168.464</v>
      </c>
      <c r="AM664" s="106">
        <v>198.17099999999999</v>
      </c>
      <c r="AN664" s="106">
        <v>208.05</v>
      </c>
      <c r="AO664" s="106">
        <v>316.69200000000001</v>
      </c>
      <c r="AP664" s="106">
        <v>208.99100000000001</v>
      </c>
    </row>
    <row r="665" spans="1:42" ht="14.45" customHeight="1" x14ac:dyDescent="0.25">
      <c r="A665" s="111"/>
      <c r="B665" s="211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</row>
    <row r="666" spans="1:42" ht="14.45" customHeight="1" x14ac:dyDescent="0.25">
      <c r="A666" s="135" t="s">
        <v>91</v>
      </c>
      <c r="B666" s="211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</row>
    <row r="667" spans="1:42" ht="14.45" customHeight="1" x14ac:dyDescent="0.25">
      <c r="A667" s="125" t="s">
        <v>606</v>
      </c>
      <c r="B667" s="63"/>
      <c r="C667" s="99">
        <v>-36.784999999999997</v>
      </c>
      <c r="D667" s="99">
        <v>-42.84</v>
      </c>
      <c r="E667" s="99">
        <v>-44.973999999999997</v>
      </c>
      <c r="F667" s="99">
        <v>-47.987000000000009</v>
      </c>
      <c r="G667" s="99">
        <v>-41.58</v>
      </c>
      <c r="H667" s="99">
        <v>-38.027000000000001</v>
      </c>
      <c r="I667" s="99">
        <v>-35.345999999999997</v>
      </c>
      <c r="J667" s="99">
        <v>-61.648000000000003</v>
      </c>
      <c r="K667" s="99">
        <v>-42.048000000000002</v>
      </c>
      <c r="L667" s="99">
        <v>-43.230999999999987</v>
      </c>
      <c r="M667" s="99">
        <v>-27.824999999999999</v>
      </c>
      <c r="N667" s="99">
        <v>-25.131000000000011</v>
      </c>
      <c r="O667" s="99">
        <v>-29.315000000000001</v>
      </c>
      <c r="P667" s="99">
        <v>-28.265999999999998</v>
      </c>
      <c r="Q667" s="99">
        <v>-39.165999999999997</v>
      </c>
      <c r="R667" s="99">
        <v>-74.626999999999995</v>
      </c>
      <c r="S667" s="99">
        <v>-33.093000000000004</v>
      </c>
      <c r="T667" s="99">
        <v>-39.792999999999992</v>
      </c>
      <c r="U667" s="99">
        <v>-37.831000000000003</v>
      </c>
      <c r="V667" s="99">
        <v>-91.316999999999993</v>
      </c>
      <c r="W667" s="99">
        <v>-37.204000000000001</v>
      </c>
      <c r="X667" s="99">
        <v>-43.104000000000013</v>
      </c>
      <c r="Y667" s="99">
        <v>-39.311999999999998</v>
      </c>
      <c r="Z667" s="99">
        <v>-36.073000000000008</v>
      </c>
      <c r="AA667" s="99">
        <v>-104.35299999999999</v>
      </c>
      <c r="AB667" s="99">
        <v>-40.828999999999994</v>
      </c>
      <c r="AC667" s="99">
        <v>-38.747000000000007</v>
      </c>
      <c r="AD667" s="99">
        <v>-114.682</v>
      </c>
      <c r="AE667" s="99">
        <v>-52.7</v>
      </c>
      <c r="AF667" s="99">
        <v>-40.192999999999998</v>
      </c>
      <c r="AG667" s="99">
        <v>-59.36699999999999</v>
      </c>
      <c r="AH667" s="99">
        <v>-130.04400000000001</v>
      </c>
      <c r="AI667" s="99">
        <v>-77.040000000000006</v>
      </c>
      <c r="AJ667" s="99">
        <v>-82.36</v>
      </c>
      <c r="AK667" s="99">
        <v>-127.93300000000001</v>
      </c>
      <c r="AL667" s="99">
        <v>-83.68199999999996</v>
      </c>
      <c r="AM667" s="99">
        <v>-97.866</v>
      </c>
      <c r="AN667" s="99">
        <v>-59.51700000000001</v>
      </c>
      <c r="AO667" s="99">
        <v>-52.61099999999999</v>
      </c>
      <c r="AP667" s="99">
        <v>-102.321</v>
      </c>
    </row>
    <row r="668" spans="1:42" ht="14.45" customHeight="1" x14ac:dyDescent="0.25">
      <c r="A668" s="125" t="s">
        <v>607</v>
      </c>
      <c r="B668" s="63"/>
      <c r="C668" s="99">
        <v>0</v>
      </c>
      <c r="D668" s="99">
        <v>0</v>
      </c>
      <c r="E668" s="99">
        <v>0</v>
      </c>
      <c r="F668" s="99">
        <v>0</v>
      </c>
      <c r="G668" s="99">
        <v>0</v>
      </c>
      <c r="H668" s="99">
        <v>0</v>
      </c>
      <c r="I668" s="99">
        <v>0</v>
      </c>
      <c r="J668" s="99">
        <v>0</v>
      </c>
      <c r="K668" s="99">
        <v>0</v>
      </c>
      <c r="L668" s="99">
        <v>0</v>
      </c>
      <c r="M668" s="99">
        <v>0</v>
      </c>
      <c r="N668" s="99">
        <v>0</v>
      </c>
      <c r="O668" s="99">
        <v>0</v>
      </c>
      <c r="P668" s="99">
        <v>0</v>
      </c>
      <c r="Q668" s="99">
        <v>0</v>
      </c>
      <c r="R668" s="99">
        <v>0</v>
      </c>
      <c r="S668" s="99">
        <v>0</v>
      </c>
      <c r="T668" s="99">
        <v>0</v>
      </c>
      <c r="U668" s="99">
        <v>0</v>
      </c>
      <c r="V668" s="99">
        <v>0</v>
      </c>
      <c r="W668" s="99">
        <v>0</v>
      </c>
      <c r="X668" s="99">
        <v>0</v>
      </c>
      <c r="Y668" s="99">
        <v>0</v>
      </c>
      <c r="Z668" s="99">
        <v>0</v>
      </c>
      <c r="AA668" s="99">
        <v>0</v>
      </c>
      <c r="AB668" s="99">
        <v>0</v>
      </c>
      <c r="AC668" s="99">
        <v>0</v>
      </c>
      <c r="AD668" s="99">
        <v>0</v>
      </c>
      <c r="AE668" s="99">
        <v>0</v>
      </c>
      <c r="AF668" s="99">
        <v>0</v>
      </c>
      <c r="AG668" s="99">
        <v>0</v>
      </c>
      <c r="AH668" s="99">
        <v>0</v>
      </c>
      <c r="AI668" s="99">
        <v>-183.80600000000001</v>
      </c>
      <c r="AJ668" s="99">
        <v>-29.316999999999979</v>
      </c>
      <c r="AK668" s="99">
        <v>-70.365000000000009</v>
      </c>
      <c r="AL668" s="99">
        <v>-162.821</v>
      </c>
      <c r="AM668" s="99">
        <v>-150.15700000000001</v>
      </c>
      <c r="AN668" s="99">
        <v>-119.98699999999999</v>
      </c>
      <c r="AO668" s="99">
        <v>-79.85899999999998</v>
      </c>
      <c r="AP668" s="99">
        <v>-40.107999999999997</v>
      </c>
    </row>
    <row r="669" spans="1:42" ht="14.45" customHeight="1" x14ac:dyDescent="0.25">
      <c r="A669" s="125" t="s">
        <v>608</v>
      </c>
      <c r="B669" s="63"/>
      <c r="C669" s="99">
        <v>0</v>
      </c>
      <c r="D669" s="99">
        <v>0</v>
      </c>
      <c r="E669" s="99">
        <v>0</v>
      </c>
      <c r="F669" s="99">
        <v>0</v>
      </c>
      <c r="G669" s="99">
        <v>0</v>
      </c>
      <c r="H669" s="99">
        <v>0</v>
      </c>
      <c r="I669" s="99">
        <v>0</v>
      </c>
      <c r="J669" s="99">
        <v>0</v>
      </c>
      <c r="K669" s="99">
        <v>0</v>
      </c>
      <c r="L669" s="99">
        <v>0</v>
      </c>
      <c r="M669" s="99">
        <v>0</v>
      </c>
      <c r="N669" s="99">
        <v>0</v>
      </c>
      <c r="O669" s="99">
        <v>0</v>
      </c>
      <c r="P669" s="99">
        <v>0</v>
      </c>
      <c r="Q669" s="99">
        <v>0</v>
      </c>
      <c r="R669" s="99">
        <v>0</v>
      </c>
      <c r="S669" s="99">
        <v>0</v>
      </c>
      <c r="T669" s="99">
        <v>0</v>
      </c>
      <c r="U669" s="99">
        <v>0</v>
      </c>
      <c r="V669" s="99">
        <v>0</v>
      </c>
      <c r="W669" s="99">
        <v>0</v>
      </c>
      <c r="X669" s="99">
        <v>0</v>
      </c>
      <c r="Y669" s="99">
        <v>0</v>
      </c>
      <c r="Z669" s="99">
        <v>0</v>
      </c>
      <c r="AA669" s="99">
        <v>0</v>
      </c>
      <c r="AB669" s="99">
        <v>0</v>
      </c>
      <c r="AC669" s="99">
        <v>0</v>
      </c>
      <c r="AD669" s="99">
        <v>0</v>
      </c>
      <c r="AE669" s="99">
        <v>0</v>
      </c>
      <c r="AF669" s="99">
        <v>0</v>
      </c>
      <c r="AG669" s="99">
        <v>0</v>
      </c>
      <c r="AH669" s="99">
        <v>0</v>
      </c>
      <c r="AI669" s="99">
        <v>1.1160000000000001</v>
      </c>
      <c r="AJ669" s="99">
        <v>15.526999999999999</v>
      </c>
      <c r="AK669" s="99">
        <v>55.588999999999999</v>
      </c>
      <c r="AL669" s="99">
        <v>78.042000000000002</v>
      </c>
      <c r="AM669" s="99">
        <v>112.755</v>
      </c>
      <c r="AN669" s="99">
        <v>111.73</v>
      </c>
      <c r="AO669" s="99">
        <v>282.161</v>
      </c>
      <c r="AP669" s="99">
        <v>189.76899999999989</v>
      </c>
    </row>
    <row r="670" spans="1:42" ht="14.45" customHeight="1" x14ac:dyDescent="0.25">
      <c r="A670" s="125" t="s">
        <v>609</v>
      </c>
      <c r="B670" s="63"/>
      <c r="C670" s="99">
        <v>0</v>
      </c>
      <c r="D670" s="99">
        <v>0</v>
      </c>
      <c r="E670" s="99">
        <v>0</v>
      </c>
      <c r="F670" s="99">
        <v>0</v>
      </c>
      <c r="G670" s="99">
        <v>0</v>
      </c>
      <c r="H670" s="99">
        <v>0</v>
      </c>
      <c r="I670" s="99">
        <v>0</v>
      </c>
      <c r="J670" s="99">
        <v>0</v>
      </c>
      <c r="K670" s="99">
        <v>0</v>
      </c>
      <c r="L670" s="99">
        <v>0</v>
      </c>
      <c r="M670" s="99">
        <v>0</v>
      </c>
      <c r="N670" s="99">
        <v>0</v>
      </c>
      <c r="O670" s="99">
        <v>-4.6539999999999999</v>
      </c>
      <c r="P670" s="99">
        <v>0</v>
      </c>
      <c r="Q670" s="99">
        <v>0</v>
      </c>
      <c r="R670" s="99">
        <v>0</v>
      </c>
      <c r="S670" s="99">
        <v>0</v>
      </c>
      <c r="T670" s="99">
        <v>0</v>
      </c>
      <c r="U670" s="99">
        <v>0</v>
      </c>
      <c r="V670" s="99">
        <v>0</v>
      </c>
      <c r="W670" s="99">
        <v>-1.998</v>
      </c>
      <c r="X670" s="99">
        <v>0</v>
      </c>
      <c r="Y670" s="99">
        <v>0</v>
      </c>
      <c r="Z670" s="99">
        <v>-6.9950000000000001</v>
      </c>
      <c r="AA670" s="99">
        <v>-30.149000000000001</v>
      </c>
      <c r="AB670" s="99">
        <v>0</v>
      </c>
      <c r="AC670" s="99">
        <v>0</v>
      </c>
      <c r="AD670" s="99">
        <v>-0.5</v>
      </c>
      <c r="AE670" s="99">
        <v>0</v>
      </c>
      <c r="AF670" s="99">
        <v>0</v>
      </c>
      <c r="AG670" s="99">
        <v>0</v>
      </c>
      <c r="AH670" s="99">
        <v>0</v>
      </c>
      <c r="AI670" s="99">
        <v>0</v>
      </c>
      <c r="AJ670" s="99">
        <v>0</v>
      </c>
      <c r="AK670" s="99">
        <v>0</v>
      </c>
      <c r="AL670" s="99">
        <v>0</v>
      </c>
      <c r="AM670" s="99">
        <v>0</v>
      </c>
      <c r="AN670" s="99">
        <v>0</v>
      </c>
      <c r="AO670" s="99">
        <v>0</v>
      </c>
      <c r="AP670" s="99">
        <v>0</v>
      </c>
    </row>
    <row r="671" spans="1:42" ht="14.45" customHeight="1" x14ac:dyDescent="0.25">
      <c r="A671" s="125" t="s">
        <v>610</v>
      </c>
      <c r="B671" s="63"/>
      <c r="C671" s="99">
        <v>0.13100000000000001</v>
      </c>
      <c r="D671" s="99">
        <v>0.151</v>
      </c>
      <c r="E671" s="99">
        <v>5.1000000000000052E-2</v>
      </c>
      <c r="F671" s="99">
        <v>0.7390000000000001</v>
      </c>
      <c r="G671" s="99">
        <v>0.21099999999999999</v>
      </c>
      <c r="H671" s="99">
        <v>0.17299999999999999</v>
      </c>
      <c r="I671" s="99">
        <v>0.109</v>
      </c>
      <c r="J671" s="99">
        <v>0.115</v>
      </c>
      <c r="K671" s="99">
        <v>2.8940000000000001</v>
      </c>
      <c r="L671" s="99">
        <v>0.153</v>
      </c>
      <c r="M671" s="99">
        <v>0.50800000000000001</v>
      </c>
      <c r="N671" s="99">
        <v>1.704</v>
      </c>
      <c r="O671" s="99">
        <v>0.68100000000000005</v>
      </c>
      <c r="P671" s="99">
        <v>0.1419999999999999</v>
      </c>
      <c r="Q671" s="99">
        <v>0.2050000000000001</v>
      </c>
      <c r="R671" s="99">
        <v>3.036</v>
      </c>
      <c r="S671" s="99">
        <v>1.6579999999999999</v>
      </c>
      <c r="T671" s="99">
        <v>0.10600000000000009</v>
      </c>
      <c r="U671" s="99">
        <v>0.63299999999999979</v>
      </c>
      <c r="V671" s="99">
        <v>0.98799999999999999</v>
      </c>
      <c r="W671" s="99">
        <v>7.3999999999999996E-2</v>
      </c>
      <c r="X671" s="99">
        <v>1.6040000000000001</v>
      </c>
      <c r="Y671" s="99">
        <v>2.5369999999999999</v>
      </c>
      <c r="Z671" s="99">
        <v>1.0589999999999999</v>
      </c>
      <c r="AA671" s="99">
        <v>2.1779999999999999</v>
      </c>
      <c r="AB671" s="99">
        <v>3.077</v>
      </c>
      <c r="AC671" s="99">
        <v>9.2999999999999972E-2</v>
      </c>
      <c r="AD671" s="99">
        <v>2.0209999999999999</v>
      </c>
      <c r="AE671" s="99">
        <v>0.158</v>
      </c>
      <c r="AF671" s="99">
        <v>0.109</v>
      </c>
      <c r="AG671" s="99">
        <v>0.17399999999999999</v>
      </c>
      <c r="AH671" s="99">
        <v>0.25399999999999989</v>
      </c>
      <c r="AI671" s="99">
        <v>0.1</v>
      </c>
      <c r="AJ671" s="99">
        <v>0.15</v>
      </c>
      <c r="AK671" s="99">
        <v>0.17499999999999999</v>
      </c>
      <c r="AL671" s="99">
        <v>0.14399999999999999</v>
      </c>
      <c r="AM671" s="99">
        <v>0.157</v>
      </c>
      <c r="AN671" s="99">
        <v>6.12</v>
      </c>
      <c r="AO671" s="99">
        <v>0.10799999999999969</v>
      </c>
      <c r="AP671" s="99">
        <v>0.20900000000000049</v>
      </c>
    </row>
    <row r="672" spans="1:42" ht="14.45" customHeight="1" x14ac:dyDescent="0.25">
      <c r="A672" s="125" t="s">
        <v>611</v>
      </c>
      <c r="B672" s="63"/>
      <c r="C672" s="99">
        <v>0</v>
      </c>
      <c r="D672" s="99">
        <v>0</v>
      </c>
      <c r="E672" s="99">
        <v>0</v>
      </c>
      <c r="F672" s="99">
        <v>0</v>
      </c>
      <c r="G672" s="99">
        <v>0</v>
      </c>
      <c r="H672" s="99">
        <v>8.4</v>
      </c>
      <c r="I672" s="99">
        <v>0</v>
      </c>
      <c r="J672" s="99">
        <v>0</v>
      </c>
      <c r="K672" s="99">
        <v>0</v>
      </c>
      <c r="L672" s="99">
        <v>3.7890000000000001</v>
      </c>
      <c r="M672" s="99">
        <v>0</v>
      </c>
      <c r="N672" s="99">
        <v>0</v>
      </c>
      <c r="O672" s="99">
        <v>0</v>
      </c>
      <c r="P672" s="99">
        <v>0</v>
      </c>
      <c r="Q672" s="99">
        <v>0</v>
      </c>
      <c r="R672" s="99">
        <v>0</v>
      </c>
      <c r="S672" s="99">
        <v>0</v>
      </c>
      <c r="T672" s="99">
        <v>0</v>
      </c>
      <c r="U672" s="99">
        <v>0</v>
      </c>
      <c r="V672" s="99">
        <v>0</v>
      </c>
      <c r="W672" s="99">
        <v>0</v>
      </c>
      <c r="X672" s="99">
        <v>0</v>
      </c>
      <c r="Y672" s="99">
        <v>0</v>
      </c>
      <c r="Z672" s="99">
        <v>0</v>
      </c>
      <c r="AA672" s="99">
        <v>0</v>
      </c>
      <c r="AB672" s="99">
        <v>0</v>
      </c>
      <c r="AC672" s="99">
        <v>0</v>
      </c>
      <c r="AD672" s="99">
        <v>0</v>
      </c>
      <c r="AE672" s="99">
        <v>0</v>
      </c>
      <c r="AF672" s="99">
        <v>0</v>
      </c>
      <c r="AG672" s="99">
        <v>0</v>
      </c>
      <c r="AH672" s="99">
        <v>0</v>
      </c>
      <c r="AI672" s="99">
        <v>0</v>
      </c>
      <c r="AJ672" s="99">
        <v>0</v>
      </c>
      <c r="AK672" s="99">
        <v>0</v>
      </c>
      <c r="AL672" s="99">
        <v>0</v>
      </c>
      <c r="AM672" s="99">
        <v>0</v>
      </c>
      <c r="AN672" s="99">
        <v>0</v>
      </c>
      <c r="AO672" s="99">
        <v>0</v>
      </c>
      <c r="AP672" s="99">
        <v>0</v>
      </c>
    </row>
    <row r="673" spans="1:42" ht="14.45" customHeight="1" x14ac:dyDescent="0.25">
      <c r="A673" s="125" t="s">
        <v>612</v>
      </c>
      <c r="B673" s="63"/>
      <c r="C673" s="99">
        <v>0</v>
      </c>
      <c r="D673" s="99">
        <v>0</v>
      </c>
      <c r="E673" s="99">
        <v>0</v>
      </c>
      <c r="F673" s="99">
        <v>0</v>
      </c>
      <c r="G673" s="99">
        <v>0</v>
      </c>
      <c r="H673" s="99">
        <v>0</v>
      </c>
      <c r="I673" s="99">
        <v>0</v>
      </c>
      <c r="J673" s="99">
        <v>-19.393000000000001</v>
      </c>
      <c r="K673" s="99">
        <v>0</v>
      </c>
      <c r="L673" s="99">
        <v>0</v>
      </c>
      <c r="M673" s="99">
        <v>0</v>
      </c>
      <c r="N673" s="99">
        <v>-13.116</v>
      </c>
      <c r="O673" s="99">
        <v>0</v>
      </c>
      <c r="P673" s="99">
        <v>0</v>
      </c>
      <c r="Q673" s="99">
        <v>0</v>
      </c>
      <c r="R673" s="99">
        <v>0</v>
      </c>
      <c r="S673" s="99">
        <v>0</v>
      </c>
      <c r="T673" s="99">
        <v>0</v>
      </c>
      <c r="U673" s="99">
        <v>0</v>
      </c>
      <c r="V673" s="99">
        <v>0</v>
      </c>
      <c r="W673" s="99">
        <v>0</v>
      </c>
      <c r="X673" s="99">
        <v>0</v>
      </c>
      <c r="Y673" s="99">
        <v>0</v>
      </c>
      <c r="Z673" s="99">
        <v>0</v>
      </c>
      <c r="AA673" s="99">
        <v>0</v>
      </c>
      <c r="AB673" s="99">
        <v>0</v>
      </c>
      <c r="AC673" s="99">
        <v>0</v>
      </c>
      <c r="AD673" s="99">
        <v>0</v>
      </c>
      <c r="AE673" s="99">
        <v>0</v>
      </c>
      <c r="AF673" s="99">
        <v>0</v>
      </c>
      <c r="AG673" s="99">
        <v>0</v>
      </c>
      <c r="AH673" s="99">
        <v>0</v>
      </c>
      <c r="AI673" s="99">
        <v>0</v>
      </c>
      <c r="AJ673" s="99">
        <v>0</v>
      </c>
      <c r="AK673" s="99">
        <v>0</v>
      </c>
      <c r="AL673" s="99">
        <v>0</v>
      </c>
      <c r="AM673" s="99">
        <v>0</v>
      </c>
      <c r="AN673" s="99">
        <v>0</v>
      </c>
      <c r="AO673" s="99">
        <v>0</v>
      </c>
      <c r="AP673" s="99">
        <v>0</v>
      </c>
    </row>
    <row r="674" spans="1:42" ht="14.45" customHeight="1" x14ac:dyDescent="0.25">
      <c r="A674" s="125" t="s">
        <v>434</v>
      </c>
      <c r="B674" s="63"/>
      <c r="C674" s="99">
        <v>0</v>
      </c>
      <c r="D674" s="99">
        <v>0</v>
      </c>
      <c r="E674" s="99">
        <v>0</v>
      </c>
      <c r="F674" s="99">
        <v>0</v>
      </c>
      <c r="G674" s="99">
        <v>0</v>
      </c>
      <c r="H674" s="99">
        <v>0</v>
      </c>
      <c r="I674" s="99">
        <v>0</v>
      </c>
      <c r="J674" s="99">
        <v>12.364000000000001</v>
      </c>
      <c r="K674" s="99">
        <v>0</v>
      </c>
      <c r="L674" s="99">
        <v>0</v>
      </c>
      <c r="M674" s="99">
        <v>0</v>
      </c>
      <c r="N674" s="99">
        <v>0</v>
      </c>
      <c r="O674" s="99">
        <v>0</v>
      </c>
      <c r="P674" s="99">
        <v>0</v>
      </c>
      <c r="Q674" s="99">
        <v>0</v>
      </c>
      <c r="R674" s="99">
        <v>0</v>
      </c>
      <c r="S674" s="99">
        <v>0</v>
      </c>
      <c r="T674" s="99">
        <v>0</v>
      </c>
      <c r="U674" s="99">
        <v>0</v>
      </c>
      <c r="V674" s="99">
        <v>0</v>
      </c>
      <c r="W674" s="99">
        <v>0</v>
      </c>
      <c r="X674" s="99">
        <v>0</v>
      </c>
      <c r="Y674" s="99">
        <v>0</v>
      </c>
      <c r="Z674" s="99">
        <v>0</v>
      </c>
      <c r="AA674" s="99">
        <v>0</v>
      </c>
      <c r="AB674" s="99">
        <v>0</v>
      </c>
      <c r="AC674" s="99">
        <v>0</v>
      </c>
      <c r="AD674" s="99">
        <v>0</v>
      </c>
      <c r="AE674" s="99">
        <v>0</v>
      </c>
      <c r="AF674" s="99">
        <v>0</v>
      </c>
      <c r="AG674" s="99">
        <v>0</v>
      </c>
      <c r="AH674" s="99">
        <v>0</v>
      </c>
      <c r="AI674" s="99">
        <v>0</v>
      </c>
      <c r="AJ674" s="99">
        <v>0</v>
      </c>
      <c r="AK674" s="99">
        <v>0</v>
      </c>
      <c r="AL674" s="99">
        <v>0</v>
      </c>
      <c r="AM674" s="99">
        <v>0</v>
      </c>
      <c r="AN674" s="99">
        <v>0</v>
      </c>
      <c r="AO674" s="99">
        <v>0</v>
      </c>
      <c r="AP674" s="99">
        <v>0</v>
      </c>
    </row>
    <row r="675" spans="1:42" ht="14.45" customHeight="1" x14ac:dyDescent="0.25">
      <c r="A675" s="125" t="s">
        <v>613</v>
      </c>
      <c r="B675" s="63"/>
      <c r="C675" s="99">
        <v>0</v>
      </c>
      <c r="D675" s="99">
        <v>0</v>
      </c>
      <c r="E675" s="99">
        <v>0</v>
      </c>
      <c r="F675" s="99">
        <v>0</v>
      </c>
      <c r="G675" s="99">
        <v>0</v>
      </c>
      <c r="H675" s="99">
        <v>0</v>
      </c>
      <c r="I675" s="99">
        <v>0</v>
      </c>
      <c r="J675" s="99">
        <v>0</v>
      </c>
      <c r="K675" s="99">
        <v>0</v>
      </c>
      <c r="L675" s="99">
        <v>0</v>
      </c>
      <c r="M675" s="99">
        <v>0</v>
      </c>
      <c r="N675" s="99">
        <v>0</v>
      </c>
      <c r="O675" s="99">
        <v>0</v>
      </c>
      <c r="P675" s="99">
        <v>0</v>
      </c>
      <c r="Q675" s="99">
        <v>0</v>
      </c>
      <c r="R675" s="99">
        <v>0</v>
      </c>
      <c r="S675" s="99">
        <v>0</v>
      </c>
      <c r="T675" s="99">
        <v>0</v>
      </c>
      <c r="U675" s="99">
        <v>0</v>
      </c>
      <c r="V675" s="99">
        <v>0</v>
      </c>
      <c r="W675" s="99">
        <v>0</v>
      </c>
      <c r="X675" s="99">
        <v>0</v>
      </c>
      <c r="Y675" s="99">
        <v>0</v>
      </c>
      <c r="Z675" s="99">
        <v>0</v>
      </c>
      <c r="AA675" s="99">
        <v>0</v>
      </c>
      <c r="AB675" s="99">
        <v>0</v>
      </c>
      <c r="AC675" s="99">
        <v>0</v>
      </c>
      <c r="AD675" s="99">
        <v>0</v>
      </c>
      <c r="AE675" s="99">
        <v>0</v>
      </c>
      <c r="AF675" s="99">
        <v>0</v>
      </c>
      <c r="AG675" s="99">
        <v>0</v>
      </c>
      <c r="AH675" s="99">
        <v>0</v>
      </c>
      <c r="AI675" s="99">
        <v>0</v>
      </c>
      <c r="AJ675" s="99">
        <v>0</v>
      </c>
      <c r="AK675" s="99">
        <v>0</v>
      </c>
      <c r="AL675" s="99">
        <v>0</v>
      </c>
      <c r="AM675" s="99">
        <v>0</v>
      </c>
      <c r="AN675" s="99">
        <v>0</v>
      </c>
      <c r="AO675" s="99">
        <v>0</v>
      </c>
      <c r="AP675" s="99">
        <v>0</v>
      </c>
    </row>
    <row r="676" spans="1:42" ht="14.45" customHeight="1" x14ac:dyDescent="0.25">
      <c r="A676" s="125" t="s">
        <v>614</v>
      </c>
      <c r="B676" s="63"/>
      <c r="C676" s="99">
        <v>0</v>
      </c>
      <c r="D676" s="99">
        <v>0</v>
      </c>
      <c r="E676" s="99">
        <v>0</v>
      </c>
      <c r="F676" s="99">
        <v>0</v>
      </c>
      <c r="G676" s="99">
        <v>0</v>
      </c>
      <c r="H676" s="99">
        <v>0</v>
      </c>
      <c r="I676" s="99">
        <v>-56.497999999999998</v>
      </c>
      <c r="J676" s="99">
        <v>56.497999999999998</v>
      </c>
      <c r="K676" s="99">
        <v>0</v>
      </c>
      <c r="L676" s="99">
        <v>0</v>
      </c>
      <c r="M676" s="99">
        <v>0</v>
      </c>
      <c r="N676" s="99">
        <v>0</v>
      </c>
      <c r="O676" s="99">
        <v>0</v>
      </c>
      <c r="P676" s="99">
        <v>0</v>
      </c>
      <c r="Q676" s="99">
        <v>0</v>
      </c>
      <c r="R676" s="99">
        <v>0</v>
      </c>
      <c r="S676" s="99">
        <v>0</v>
      </c>
      <c r="T676" s="99">
        <v>0</v>
      </c>
      <c r="U676" s="99">
        <v>0</v>
      </c>
      <c r="V676" s="99">
        <v>0</v>
      </c>
      <c r="W676" s="99">
        <v>0</v>
      </c>
      <c r="X676" s="99">
        <v>0</v>
      </c>
      <c r="Y676" s="99">
        <v>0</v>
      </c>
      <c r="Z676" s="99">
        <v>0</v>
      </c>
      <c r="AA676" s="99">
        <v>0</v>
      </c>
      <c r="AB676" s="99">
        <v>0</v>
      </c>
      <c r="AC676" s="99">
        <v>0</v>
      </c>
      <c r="AD676" s="99">
        <v>0</v>
      </c>
      <c r="AE676" s="99">
        <v>0</v>
      </c>
      <c r="AF676" s="99">
        <v>0</v>
      </c>
      <c r="AG676" s="99">
        <v>0</v>
      </c>
      <c r="AH676" s="99">
        <v>0</v>
      </c>
      <c r="AI676" s="99">
        <v>0</v>
      </c>
      <c r="AJ676" s="99">
        <v>0</v>
      </c>
      <c r="AK676" s="99">
        <v>0</v>
      </c>
      <c r="AL676" s="99">
        <v>0</v>
      </c>
      <c r="AM676" s="99">
        <v>0</v>
      </c>
      <c r="AN676" s="99">
        <v>0</v>
      </c>
      <c r="AO676" s="99">
        <v>0</v>
      </c>
      <c r="AP676" s="99">
        <v>0</v>
      </c>
    </row>
    <row r="677" spans="1:42" ht="14.45" customHeight="1" x14ac:dyDescent="0.25">
      <c r="A677" s="125" t="s">
        <v>615</v>
      </c>
      <c r="B677" s="63"/>
      <c r="C677" s="63"/>
      <c r="D677" s="63"/>
      <c r="E677" s="63"/>
      <c r="F677" s="63"/>
      <c r="G677" s="99">
        <v>-15.598000000000001</v>
      </c>
      <c r="H677" s="99">
        <v>0</v>
      </c>
      <c r="I677" s="99">
        <v>0</v>
      </c>
      <c r="J677" s="99">
        <v>0</v>
      </c>
      <c r="K677" s="99">
        <v>0</v>
      </c>
      <c r="L677" s="99">
        <v>0</v>
      </c>
      <c r="M677" s="99">
        <v>0</v>
      </c>
      <c r="N677" s="99">
        <v>0</v>
      </c>
      <c r="O677" s="99">
        <v>0</v>
      </c>
      <c r="P677" s="99">
        <v>0</v>
      </c>
      <c r="Q677" s="99">
        <v>0</v>
      </c>
      <c r="R677" s="99">
        <v>0</v>
      </c>
      <c r="S677" s="99">
        <v>0</v>
      </c>
      <c r="T677" s="99">
        <v>0</v>
      </c>
      <c r="U677" s="99">
        <v>0</v>
      </c>
      <c r="V677" s="99">
        <v>0</v>
      </c>
      <c r="W677" s="99">
        <v>0</v>
      </c>
      <c r="X677" s="99">
        <v>0</v>
      </c>
      <c r="Y677" s="99">
        <v>0</v>
      </c>
      <c r="Z677" s="99">
        <v>0</v>
      </c>
      <c r="AA677" s="99">
        <v>0</v>
      </c>
      <c r="AB677" s="99">
        <v>0</v>
      </c>
      <c r="AC677" s="99">
        <v>0</v>
      </c>
      <c r="AD677" s="99">
        <v>0</v>
      </c>
      <c r="AE677" s="99">
        <v>0</v>
      </c>
      <c r="AF677" s="99">
        <v>0</v>
      </c>
      <c r="AG677" s="99">
        <v>0</v>
      </c>
      <c r="AH677" s="99">
        <v>0</v>
      </c>
      <c r="AI677" s="99">
        <v>0</v>
      </c>
      <c r="AJ677" s="99">
        <v>0</v>
      </c>
      <c r="AK677" s="99">
        <v>0</v>
      </c>
      <c r="AL677" s="99">
        <v>0</v>
      </c>
      <c r="AM677" s="99">
        <v>0</v>
      </c>
      <c r="AN677" s="99">
        <v>0</v>
      </c>
      <c r="AO677" s="99">
        <v>0</v>
      </c>
      <c r="AP677" s="99">
        <v>0</v>
      </c>
    </row>
    <row r="678" spans="1:42" ht="14.45" customHeight="1" x14ac:dyDescent="0.25">
      <c r="A678" s="125" t="s">
        <v>616</v>
      </c>
      <c r="B678" s="63"/>
      <c r="C678" s="99">
        <v>-1.204</v>
      </c>
      <c r="D678" s="99">
        <v>-5.4300000000000006</v>
      </c>
      <c r="E678" s="99">
        <v>-0.58199999999999985</v>
      </c>
      <c r="F678" s="99">
        <v>-0.65899999999999981</v>
      </c>
      <c r="G678" s="99">
        <v>-0.13400000000000001</v>
      </c>
      <c r="H678" s="99">
        <v>-0.86699999999999988</v>
      </c>
      <c r="I678" s="99">
        <v>-0.97500000000000009</v>
      </c>
      <c r="J678" s="99">
        <v>-1.639</v>
      </c>
      <c r="K678" s="99">
        <v>-1.07</v>
      </c>
      <c r="L678" s="99">
        <v>-0.95</v>
      </c>
      <c r="M678" s="99">
        <v>-7.7999999999999847E-2</v>
      </c>
      <c r="N678" s="99">
        <v>0</v>
      </c>
      <c r="O678" s="99">
        <v>-0.48599999999999999</v>
      </c>
      <c r="P678" s="99">
        <v>0</v>
      </c>
      <c r="Q678" s="99">
        <v>-1.2270000000000001</v>
      </c>
      <c r="R678" s="99">
        <v>0</v>
      </c>
      <c r="S678" s="99">
        <v>-0.89300000000000002</v>
      </c>
      <c r="T678" s="99">
        <v>-0.68900000000000006</v>
      </c>
      <c r="U678" s="99">
        <v>-0.18799999999999989</v>
      </c>
      <c r="V678" s="99">
        <v>0</v>
      </c>
      <c r="W678" s="99">
        <v>-0.51400000000000001</v>
      </c>
      <c r="X678" s="99">
        <v>-1.21</v>
      </c>
      <c r="Y678" s="99">
        <v>-0.47</v>
      </c>
      <c r="Z678" s="99">
        <v>-0.33700000000000019</v>
      </c>
      <c r="AA678" s="99">
        <v>-0.19700000000000001</v>
      </c>
      <c r="AB678" s="99">
        <v>-1.341</v>
      </c>
      <c r="AC678" s="99">
        <v>0</v>
      </c>
      <c r="AD678" s="99">
        <v>-1.556</v>
      </c>
      <c r="AE678" s="99">
        <v>0</v>
      </c>
      <c r="AF678" s="99">
        <v>-6.0330000000000004</v>
      </c>
      <c r="AG678" s="99">
        <v>-3.0110000000000001</v>
      </c>
      <c r="AH678" s="99">
        <v>-4.6969999999999992</v>
      </c>
      <c r="AI678" s="99">
        <v>-3.6320000000000001</v>
      </c>
      <c r="AJ678" s="99">
        <v>-2.9169999999999998</v>
      </c>
      <c r="AK678" s="99">
        <v>-3.2450000000000001</v>
      </c>
      <c r="AL678" s="99">
        <v>-5.9260000000000002</v>
      </c>
      <c r="AM678" s="99">
        <v>-4.5839999999999996</v>
      </c>
      <c r="AN678" s="99">
        <v>-6.01</v>
      </c>
      <c r="AO678" s="99">
        <v>-4.1150000000000002</v>
      </c>
      <c r="AP678" s="99">
        <v>-4.8910000000000018</v>
      </c>
    </row>
    <row r="679" spans="1:42" ht="14.45" customHeight="1" x14ac:dyDescent="0.25">
      <c r="A679" s="125" t="s">
        <v>617</v>
      </c>
      <c r="B679" s="63"/>
      <c r="C679" s="99">
        <v>-100.907</v>
      </c>
      <c r="D679" s="99">
        <v>-73.787999999999997</v>
      </c>
      <c r="E679" s="99">
        <v>0.1239999999999952</v>
      </c>
      <c r="F679" s="99">
        <v>-98.066000000000003</v>
      </c>
      <c r="G679" s="99">
        <v>-139.958</v>
      </c>
      <c r="H679" s="99">
        <v>-87.800999999999988</v>
      </c>
      <c r="I679" s="99">
        <v>-1.000000000001933E-2</v>
      </c>
      <c r="J679" s="99">
        <v>-37.290999999999997</v>
      </c>
      <c r="K679" s="99">
        <v>0</v>
      </c>
      <c r="L679" s="99">
        <v>4.7060000000000004</v>
      </c>
      <c r="M679" s="99">
        <v>-2.895</v>
      </c>
      <c r="N679" s="99">
        <v>-1.355</v>
      </c>
      <c r="O679" s="99">
        <v>0</v>
      </c>
      <c r="P679" s="99">
        <v>0</v>
      </c>
      <c r="Q679" s="99">
        <v>0</v>
      </c>
      <c r="R679" s="99">
        <v>0</v>
      </c>
      <c r="S679" s="99">
        <v>0</v>
      </c>
      <c r="T679" s="99">
        <v>0</v>
      </c>
      <c r="U679" s="99">
        <v>0</v>
      </c>
      <c r="V679" s="99">
        <v>0</v>
      </c>
      <c r="W679" s="99">
        <v>0</v>
      </c>
      <c r="X679" s="99">
        <v>0</v>
      </c>
      <c r="Y679" s="99">
        <v>0</v>
      </c>
      <c r="Z679" s="99">
        <v>0</v>
      </c>
      <c r="AA679" s="99">
        <v>0</v>
      </c>
      <c r="AB679" s="99">
        <v>0</v>
      </c>
      <c r="AC679" s="99">
        <v>0</v>
      </c>
      <c r="AD679" s="99">
        <v>0</v>
      </c>
      <c r="AE679" s="99">
        <v>0</v>
      </c>
      <c r="AF679" s="99">
        <v>0</v>
      </c>
      <c r="AG679" s="99">
        <v>0</v>
      </c>
      <c r="AH679" s="99">
        <v>0</v>
      </c>
      <c r="AI679" s="99">
        <v>0</v>
      </c>
      <c r="AJ679" s="99">
        <v>0</v>
      </c>
      <c r="AK679" s="99">
        <v>0</v>
      </c>
      <c r="AL679" s="99">
        <v>0</v>
      </c>
      <c r="AM679" s="99">
        <v>0</v>
      </c>
      <c r="AN679" s="99">
        <v>0</v>
      </c>
      <c r="AO679" s="99">
        <v>0</v>
      </c>
      <c r="AP679" s="99">
        <v>0</v>
      </c>
    </row>
    <row r="680" spans="1:42" ht="14.45" customHeight="1" x14ac:dyDescent="0.25">
      <c r="A680" s="130" t="s">
        <v>618</v>
      </c>
      <c r="B680" s="158"/>
      <c r="C680" s="103">
        <v>0</v>
      </c>
      <c r="D680" s="103">
        <v>0</v>
      </c>
      <c r="E680" s="103">
        <v>0</v>
      </c>
      <c r="F680" s="103">
        <v>0</v>
      </c>
      <c r="G680" s="103">
        <v>0</v>
      </c>
      <c r="H680" s="103">
        <v>0</v>
      </c>
      <c r="I680" s="103">
        <v>0</v>
      </c>
      <c r="J680" s="103">
        <v>0</v>
      </c>
      <c r="K680" s="103">
        <v>0</v>
      </c>
      <c r="L680" s="103">
        <v>0</v>
      </c>
      <c r="M680" s="103">
        <v>0</v>
      </c>
      <c r="N680" s="103">
        <v>0</v>
      </c>
      <c r="O680" s="103">
        <v>0</v>
      </c>
      <c r="P680" s="103">
        <v>0</v>
      </c>
      <c r="Q680" s="103">
        <v>0</v>
      </c>
      <c r="R680" s="103">
        <v>0</v>
      </c>
      <c r="S680" s="103">
        <v>0</v>
      </c>
      <c r="T680" s="103">
        <v>0</v>
      </c>
      <c r="U680" s="103">
        <v>0</v>
      </c>
      <c r="V680" s="103">
        <v>0</v>
      </c>
      <c r="W680" s="103">
        <v>0</v>
      </c>
      <c r="X680" s="103">
        <v>0</v>
      </c>
      <c r="Y680" s="103">
        <v>0</v>
      </c>
      <c r="Z680" s="103">
        <v>0</v>
      </c>
      <c r="AA680" s="103">
        <v>0</v>
      </c>
      <c r="AB680" s="103">
        <v>0</v>
      </c>
      <c r="AC680" s="103">
        <v>0</v>
      </c>
      <c r="AD680" s="103">
        <v>0</v>
      </c>
      <c r="AE680" s="103">
        <v>0</v>
      </c>
      <c r="AF680" s="103">
        <v>0</v>
      </c>
      <c r="AG680" s="103">
        <v>0</v>
      </c>
      <c r="AH680" s="103">
        <v>0</v>
      </c>
      <c r="AI680" s="103">
        <v>0</v>
      </c>
      <c r="AJ680" s="103">
        <v>0</v>
      </c>
      <c r="AK680" s="103">
        <v>0</v>
      </c>
      <c r="AL680" s="103">
        <v>0</v>
      </c>
      <c r="AM680" s="103">
        <v>0</v>
      </c>
      <c r="AN680" s="103">
        <v>0</v>
      </c>
      <c r="AO680" s="103">
        <v>0</v>
      </c>
      <c r="AP680" s="103">
        <v>0</v>
      </c>
    </row>
    <row r="681" spans="1:42" ht="14.45" customHeight="1" x14ac:dyDescent="0.25">
      <c r="A681" s="110" t="s">
        <v>619</v>
      </c>
      <c r="B681" s="212"/>
      <c r="C681" s="106">
        <v>-138.76499999999999</v>
      </c>
      <c r="D681" s="106">
        <v>-121.907</v>
      </c>
      <c r="E681" s="106">
        <v>-45.381000000000007</v>
      </c>
      <c r="F681" s="106">
        <v>-145.97300000000001</v>
      </c>
      <c r="G681" s="106">
        <v>-197.059</v>
      </c>
      <c r="H681" s="106">
        <v>-118.122</v>
      </c>
      <c r="I681" s="106">
        <v>-92.720000000000013</v>
      </c>
      <c r="J681" s="106">
        <v>-50.993999999999993</v>
      </c>
      <c r="K681" s="106">
        <v>-40.223999999999997</v>
      </c>
      <c r="L681" s="106">
        <v>-35.532999999999987</v>
      </c>
      <c r="M681" s="106">
        <v>-30.29</v>
      </c>
      <c r="N681" s="106">
        <v>-37.89800000000001</v>
      </c>
      <c r="O681" s="106">
        <v>-33.774000000000001</v>
      </c>
      <c r="P681" s="106">
        <v>-28.123999999999999</v>
      </c>
      <c r="Q681" s="106">
        <v>-40.188000000000002</v>
      </c>
      <c r="R681" s="106">
        <v>-71.590999999999994</v>
      </c>
      <c r="S681" s="106">
        <v>-32.328000000000003</v>
      </c>
      <c r="T681" s="106">
        <v>-40.375999999999991</v>
      </c>
      <c r="U681" s="106">
        <v>-37.386000000000003</v>
      </c>
      <c r="V681" s="106">
        <v>-90.328999999999994</v>
      </c>
      <c r="W681" s="106">
        <v>-39.642000000000003</v>
      </c>
      <c r="X681" s="106">
        <v>-42.710000000000008</v>
      </c>
      <c r="Y681" s="106">
        <v>-37.244999999999997</v>
      </c>
      <c r="Z681" s="106">
        <v>-42.346000000000011</v>
      </c>
      <c r="AA681" s="106">
        <v>-132.52099999999999</v>
      </c>
      <c r="AB681" s="106">
        <v>-39.093000000000004</v>
      </c>
      <c r="AC681" s="106">
        <v>-38.654000000000011</v>
      </c>
      <c r="AD681" s="106">
        <v>-114.717</v>
      </c>
      <c r="AE681" s="106">
        <v>-52.542000000000002</v>
      </c>
      <c r="AF681" s="106">
        <v>-46.116999999999997</v>
      </c>
      <c r="AG681" s="106">
        <v>-62.203999999999994</v>
      </c>
      <c r="AH681" s="106">
        <v>-134.48699999999999</v>
      </c>
      <c r="AI681" s="106">
        <v>-263.262</v>
      </c>
      <c r="AJ681" s="106">
        <v>-98.916999999999973</v>
      </c>
      <c r="AK681" s="106">
        <v>-145.779</v>
      </c>
      <c r="AL681" s="106">
        <v>-174.24299999999999</v>
      </c>
      <c r="AM681" s="106">
        <v>-139.69499999999999</v>
      </c>
      <c r="AN681" s="106">
        <v>-67.664000000000001</v>
      </c>
      <c r="AO681" s="106">
        <v>145.684</v>
      </c>
      <c r="AP681" s="106">
        <v>42.657999999999937</v>
      </c>
    </row>
    <row r="682" spans="1:42" ht="14.45" customHeight="1" x14ac:dyDescent="0.25">
      <c r="A682" s="111"/>
      <c r="B682" s="211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</row>
    <row r="683" spans="1:42" ht="14.45" customHeight="1" x14ac:dyDescent="0.25">
      <c r="A683" s="135" t="s">
        <v>95</v>
      </c>
      <c r="B683" s="211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</row>
    <row r="684" spans="1:42" ht="14.45" customHeight="1" x14ac:dyDescent="0.25">
      <c r="A684" s="125" t="s">
        <v>620</v>
      </c>
      <c r="B684" s="63"/>
      <c r="C684" s="99">
        <v>0</v>
      </c>
      <c r="D684" s="99">
        <v>0</v>
      </c>
      <c r="E684" s="99">
        <v>0</v>
      </c>
      <c r="F684" s="99">
        <v>0</v>
      </c>
      <c r="G684" s="99">
        <v>0</v>
      </c>
      <c r="H684" s="99">
        <v>0</v>
      </c>
      <c r="I684" s="99">
        <v>0</v>
      </c>
      <c r="J684" s="99">
        <v>0</v>
      </c>
      <c r="K684" s="99">
        <v>0</v>
      </c>
      <c r="L684" s="99">
        <v>0</v>
      </c>
      <c r="M684" s="99">
        <v>0</v>
      </c>
      <c r="N684" s="99">
        <v>0</v>
      </c>
      <c r="O684" s="99">
        <v>0</v>
      </c>
      <c r="P684" s="99">
        <v>0</v>
      </c>
      <c r="Q684" s="99">
        <v>0</v>
      </c>
      <c r="R684" s="99">
        <v>0</v>
      </c>
      <c r="S684" s="99">
        <v>0</v>
      </c>
      <c r="T684" s="99">
        <v>0</v>
      </c>
      <c r="U684" s="99">
        <v>0</v>
      </c>
      <c r="V684" s="99">
        <v>0</v>
      </c>
      <c r="W684" s="99">
        <v>0</v>
      </c>
      <c r="X684" s="99">
        <v>0</v>
      </c>
      <c r="Y684" s="99">
        <v>0</v>
      </c>
      <c r="Z684" s="99">
        <v>0</v>
      </c>
      <c r="AA684" s="99">
        <v>0</v>
      </c>
      <c r="AB684" s="99">
        <v>0</v>
      </c>
      <c r="AC684" s="99">
        <v>0</v>
      </c>
      <c r="AD684" s="99">
        <v>0</v>
      </c>
      <c r="AE684" s="99">
        <v>0</v>
      </c>
      <c r="AF684" s="99">
        <v>0</v>
      </c>
      <c r="AG684" s="99">
        <v>0</v>
      </c>
      <c r="AH684" s="99">
        <v>0</v>
      </c>
      <c r="AI684" s="99">
        <v>0</v>
      </c>
      <c r="AJ684" s="99">
        <v>0</v>
      </c>
      <c r="AK684" s="99">
        <v>0</v>
      </c>
      <c r="AL684" s="99">
        <v>0</v>
      </c>
      <c r="AM684" s="99">
        <v>0</v>
      </c>
      <c r="AN684" s="99">
        <v>0</v>
      </c>
      <c r="AO684" s="99">
        <v>0</v>
      </c>
      <c r="AP684" s="99">
        <v>0</v>
      </c>
    </row>
    <row r="685" spans="1:42" ht="14.45" customHeight="1" x14ac:dyDescent="0.25">
      <c r="A685" s="125" t="s">
        <v>621</v>
      </c>
      <c r="B685" s="63"/>
      <c r="C685" s="99">
        <v>0</v>
      </c>
      <c r="D685" s="99">
        <v>300</v>
      </c>
      <c r="E685" s="99">
        <v>0</v>
      </c>
      <c r="F685" s="99">
        <v>0</v>
      </c>
      <c r="G685" s="99">
        <v>0</v>
      </c>
      <c r="H685" s="99">
        <v>0</v>
      </c>
      <c r="I685" s="99">
        <v>0</v>
      </c>
      <c r="J685" s="99">
        <v>0</v>
      </c>
      <c r="K685" s="99">
        <v>0</v>
      </c>
      <c r="L685" s="99">
        <v>0</v>
      </c>
      <c r="M685" s="99">
        <v>0</v>
      </c>
      <c r="N685" s="99">
        <v>0</v>
      </c>
      <c r="O685" s="99">
        <v>0</v>
      </c>
      <c r="P685" s="99">
        <v>0</v>
      </c>
      <c r="Q685" s="99">
        <v>0</v>
      </c>
      <c r="R685" s="99">
        <v>0</v>
      </c>
      <c r="S685" s="99">
        <v>0</v>
      </c>
      <c r="T685" s="99">
        <v>0</v>
      </c>
      <c r="U685" s="99">
        <v>0</v>
      </c>
      <c r="V685" s="99">
        <v>0</v>
      </c>
      <c r="W685" s="99">
        <v>0</v>
      </c>
      <c r="X685" s="99">
        <v>0</v>
      </c>
      <c r="Y685" s="99">
        <v>70</v>
      </c>
      <c r="Z685" s="99">
        <v>0</v>
      </c>
      <c r="AA685" s="99">
        <v>0</v>
      </c>
      <c r="AB685" s="99">
        <v>0</v>
      </c>
      <c r="AC685" s="99">
        <v>0</v>
      </c>
      <c r="AD685" s="99">
        <v>0</v>
      </c>
      <c r="AE685" s="99">
        <v>0</v>
      </c>
      <c r="AF685" s="99">
        <v>0</v>
      </c>
      <c r="AG685" s="99">
        <v>0</v>
      </c>
      <c r="AH685" s="99">
        <v>0</v>
      </c>
      <c r="AI685" s="99">
        <v>0</v>
      </c>
      <c r="AJ685" s="99">
        <v>0</v>
      </c>
      <c r="AK685" s="99">
        <v>0</v>
      </c>
      <c r="AL685" s="99">
        <v>0</v>
      </c>
      <c r="AM685" s="99">
        <v>0</v>
      </c>
      <c r="AN685" s="99">
        <v>0</v>
      </c>
      <c r="AO685" s="99">
        <v>0</v>
      </c>
      <c r="AP685" s="99">
        <v>0</v>
      </c>
    </row>
    <row r="686" spans="1:42" ht="14.45" customHeight="1" x14ac:dyDescent="0.25">
      <c r="A686" s="189" t="s">
        <v>622</v>
      </c>
      <c r="B686" s="63"/>
      <c r="C686" s="63">
        <v>140</v>
      </c>
      <c r="D686" s="63">
        <v>170</v>
      </c>
      <c r="E686" s="63">
        <v>0</v>
      </c>
      <c r="F686" s="63">
        <v>100</v>
      </c>
      <c r="G686" s="63">
        <v>120</v>
      </c>
      <c r="H686" s="63">
        <v>118</v>
      </c>
      <c r="I686" s="63">
        <v>95</v>
      </c>
      <c r="J686" s="63">
        <v>115</v>
      </c>
      <c r="K686" s="63">
        <v>170</v>
      </c>
      <c r="L686" s="63">
        <v>20</v>
      </c>
      <c r="M686" s="63">
        <v>95</v>
      </c>
      <c r="N686" s="63">
        <v>71</v>
      </c>
      <c r="O686" s="63">
        <v>131.339</v>
      </c>
      <c r="P686" s="63">
        <v>75</v>
      </c>
      <c r="Q686" s="63">
        <v>125</v>
      </c>
      <c r="R686" s="63">
        <v>184.00000000000011</v>
      </c>
      <c r="S686" s="63">
        <v>185</v>
      </c>
      <c r="T686" s="63">
        <v>50</v>
      </c>
      <c r="U686" s="63">
        <v>0</v>
      </c>
      <c r="V686" s="63">
        <v>0</v>
      </c>
      <c r="W686" s="63">
        <v>0</v>
      </c>
      <c r="X686" s="63">
        <v>55</v>
      </c>
      <c r="Y686" s="63">
        <v>0</v>
      </c>
      <c r="Z686" s="63">
        <v>0</v>
      </c>
      <c r="AA686" s="63">
        <v>0</v>
      </c>
      <c r="AB686" s="63">
        <v>0</v>
      </c>
      <c r="AC686" s="63">
        <v>0</v>
      </c>
      <c r="AD686" s="63">
        <v>0</v>
      </c>
      <c r="AE686" s="63">
        <v>0</v>
      </c>
      <c r="AF686" s="63">
        <v>0</v>
      </c>
      <c r="AG686" s="63">
        <v>0</v>
      </c>
      <c r="AH686" s="63">
        <v>0</v>
      </c>
      <c r="AI686" s="63">
        <v>0</v>
      </c>
      <c r="AJ686" s="63">
        <v>0</v>
      </c>
      <c r="AK686" s="63">
        <v>0</v>
      </c>
      <c r="AL686" s="63">
        <v>0</v>
      </c>
      <c r="AM686" s="63">
        <v>0</v>
      </c>
      <c r="AN686" s="63">
        <v>0</v>
      </c>
      <c r="AO686" s="63">
        <v>0</v>
      </c>
      <c r="AP686" s="63">
        <v>0</v>
      </c>
    </row>
    <row r="687" spans="1:42" ht="14.45" customHeight="1" x14ac:dyDescent="0.25">
      <c r="A687" s="125" t="s">
        <v>623</v>
      </c>
      <c r="B687" s="63"/>
      <c r="C687" s="99">
        <v>0</v>
      </c>
      <c r="D687" s="99">
        <v>-235</v>
      </c>
      <c r="E687" s="99">
        <v>-10</v>
      </c>
      <c r="F687" s="99">
        <v>-13</v>
      </c>
      <c r="G687" s="99">
        <v>-150</v>
      </c>
      <c r="H687" s="99">
        <v>-40</v>
      </c>
      <c r="I687" s="99">
        <v>-48</v>
      </c>
      <c r="J687" s="99">
        <v>-155</v>
      </c>
      <c r="K687" s="99">
        <v>-197</v>
      </c>
      <c r="L687" s="99">
        <v>-100</v>
      </c>
      <c r="M687" s="99">
        <v>-25</v>
      </c>
      <c r="N687" s="99">
        <v>-161</v>
      </c>
      <c r="O687" s="99">
        <v>-82.338999999999999</v>
      </c>
      <c r="P687" s="99">
        <v>-104</v>
      </c>
      <c r="Q687" s="99">
        <v>-190</v>
      </c>
      <c r="R687" s="99">
        <v>-174.00000000000011</v>
      </c>
      <c r="S687" s="99">
        <v>-125</v>
      </c>
      <c r="T687" s="99">
        <v>-155</v>
      </c>
      <c r="U687" s="99">
        <v>0</v>
      </c>
      <c r="V687" s="99">
        <v>0</v>
      </c>
      <c r="W687" s="99">
        <v>0</v>
      </c>
      <c r="X687" s="99">
        <v>0</v>
      </c>
      <c r="Y687" s="99">
        <v>-55</v>
      </c>
      <c r="Z687" s="99">
        <v>0</v>
      </c>
      <c r="AA687" s="99">
        <v>0</v>
      </c>
      <c r="AB687" s="99">
        <v>0</v>
      </c>
      <c r="AC687" s="99">
        <v>0</v>
      </c>
      <c r="AD687" s="99">
        <v>0</v>
      </c>
      <c r="AE687" s="99">
        <v>0</v>
      </c>
      <c r="AF687" s="99">
        <v>0</v>
      </c>
      <c r="AG687" s="99">
        <v>0</v>
      </c>
      <c r="AH687" s="99">
        <v>0</v>
      </c>
      <c r="AI687" s="99">
        <v>0</v>
      </c>
      <c r="AJ687" s="99">
        <v>0</v>
      </c>
      <c r="AK687" s="99">
        <v>0</v>
      </c>
      <c r="AL687" s="99">
        <v>0</v>
      </c>
      <c r="AM687" s="99">
        <v>0</v>
      </c>
      <c r="AN687" s="99">
        <v>0</v>
      </c>
      <c r="AO687" s="99">
        <v>0</v>
      </c>
      <c r="AP687" s="99">
        <v>0</v>
      </c>
    </row>
    <row r="688" spans="1:42" ht="14.45" customHeight="1" x14ac:dyDescent="0.25">
      <c r="A688" s="125" t="s">
        <v>624</v>
      </c>
      <c r="B688" s="63"/>
      <c r="C688" s="99">
        <v>0</v>
      </c>
      <c r="D688" s="99">
        <v>0</v>
      </c>
      <c r="E688" s="99">
        <v>0</v>
      </c>
      <c r="F688" s="99">
        <v>0</v>
      </c>
      <c r="G688" s="99">
        <v>0</v>
      </c>
      <c r="H688" s="99">
        <v>0</v>
      </c>
      <c r="I688" s="99">
        <v>0</v>
      </c>
      <c r="J688" s="99">
        <v>0</v>
      </c>
      <c r="K688" s="99">
        <v>0</v>
      </c>
      <c r="L688" s="99">
        <v>0</v>
      </c>
      <c r="M688" s="99">
        <v>0</v>
      </c>
      <c r="N688" s="99">
        <v>0</v>
      </c>
      <c r="O688" s="99">
        <v>0</v>
      </c>
      <c r="P688" s="99">
        <v>0</v>
      </c>
      <c r="Q688" s="99">
        <v>0</v>
      </c>
      <c r="R688" s="99">
        <v>0</v>
      </c>
      <c r="S688" s="99">
        <v>0</v>
      </c>
      <c r="T688" s="99">
        <v>0</v>
      </c>
      <c r="U688" s="99">
        <v>0</v>
      </c>
      <c r="V688" s="99">
        <v>0</v>
      </c>
      <c r="W688" s="99">
        <v>0</v>
      </c>
      <c r="X688" s="99">
        <v>0</v>
      </c>
      <c r="Y688" s="99">
        <v>0</v>
      </c>
      <c r="Z688" s="99">
        <v>0</v>
      </c>
      <c r="AA688" s="99">
        <v>0</v>
      </c>
      <c r="AB688" s="99">
        <v>0</v>
      </c>
      <c r="AC688" s="99">
        <v>0</v>
      </c>
      <c r="AD688" s="99">
        <v>0</v>
      </c>
      <c r="AE688" s="99">
        <v>0</v>
      </c>
      <c r="AF688" s="99">
        <v>0</v>
      </c>
      <c r="AG688" s="99">
        <v>0</v>
      </c>
      <c r="AH688" s="99">
        <v>0</v>
      </c>
      <c r="AI688" s="99">
        <v>0</v>
      </c>
      <c r="AJ688" s="99">
        <v>0</v>
      </c>
      <c r="AK688" s="99">
        <v>0</v>
      </c>
      <c r="AL688" s="99">
        <v>0</v>
      </c>
      <c r="AM688" s="99">
        <v>0</v>
      </c>
      <c r="AN688" s="99">
        <v>0</v>
      </c>
      <c r="AO688" s="99">
        <v>0</v>
      </c>
      <c r="AP688" s="99">
        <v>0</v>
      </c>
    </row>
    <row r="689" spans="1:42" ht="14.45" customHeight="1" x14ac:dyDescent="0.25">
      <c r="A689" s="125" t="s">
        <v>625</v>
      </c>
      <c r="B689" s="63"/>
      <c r="C689" s="99">
        <v>0</v>
      </c>
      <c r="D689" s="99">
        <v>0</v>
      </c>
      <c r="E689" s="99">
        <v>0</v>
      </c>
      <c r="F689" s="99">
        <v>0</v>
      </c>
      <c r="G689" s="99">
        <v>0</v>
      </c>
      <c r="H689" s="99">
        <v>0</v>
      </c>
      <c r="I689" s="99">
        <v>0</v>
      </c>
      <c r="J689" s="99">
        <v>0</v>
      </c>
      <c r="K689" s="99">
        <v>0</v>
      </c>
      <c r="L689" s="99">
        <v>0</v>
      </c>
      <c r="M689" s="99">
        <v>-7.5</v>
      </c>
      <c r="N689" s="99">
        <v>0</v>
      </c>
      <c r="O689" s="99">
        <v>-15</v>
      </c>
      <c r="P689" s="99">
        <v>-117.5</v>
      </c>
      <c r="Q689" s="99">
        <v>0</v>
      </c>
      <c r="R689" s="99">
        <v>-7.5</v>
      </c>
      <c r="S689" s="99">
        <v>-7.5</v>
      </c>
      <c r="T689" s="99">
        <v>-7.5</v>
      </c>
      <c r="U689" s="99">
        <v>-7.5</v>
      </c>
      <c r="V689" s="99">
        <v>-22.5</v>
      </c>
      <c r="W689" s="99">
        <v>-31.25</v>
      </c>
      <c r="X689" s="99">
        <v>-186.25</v>
      </c>
      <c r="Y689" s="99">
        <v>0</v>
      </c>
      <c r="Z689" s="99">
        <v>-70</v>
      </c>
      <c r="AA689" s="99">
        <v>0</v>
      </c>
      <c r="AB689" s="99">
        <v>0</v>
      </c>
      <c r="AC689" s="99">
        <v>-125</v>
      </c>
      <c r="AD689" s="99">
        <v>0</v>
      </c>
      <c r="AE689" s="99">
        <v>0</v>
      </c>
      <c r="AF689" s="99">
        <v>0</v>
      </c>
      <c r="AG689" s="99">
        <v>0</v>
      </c>
      <c r="AH689" s="99">
        <v>0</v>
      </c>
      <c r="AI689" s="99">
        <v>0</v>
      </c>
      <c r="AJ689" s="99">
        <v>0</v>
      </c>
      <c r="AK689" s="99">
        <v>0</v>
      </c>
      <c r="AL689" s="99">
        <v>0</v>
      </c>
      <c r="AM689" s="99">
        <v>0</v>
      </c>
      <c r="AN689" s="99">
        <v>0</v>
      </c>
      <c r="AO689" s="99">
        <v>0</v>
      </c>
      <c r="AP689" s="99">
        <v>0</v>
      </c>
    </row>
    <row r="690" spans="1:42" ht="14.45" customHeight="1" x14ac:dyDescent="0.25">
      <c r="A690" s="125" t="s">
        <v>626</v>
      </c>
      <c r="B690" s="63"/>
      <c r="C690" s="99">
        <v>0</v>
      </c>
      <c r="D690" s="99">
        <v>0</v>
      </c>
      <c r="E690" s="99">
        <v>0</v>
      </c>
      <c r="F690" s="99">
        <v>0</v>
      </c>
      <c r="G690" s="99">
        <v>0</v>
      </c>
      <c r="H690" s="99">
        <v>0</v>
      </c>
      <c r="I690" s="99">
        <v>0</v>
      </c>
      <c r="J690" s="99">
        <v>0</v>
      </c>
      <c r="K690" s="99">
        <v>0</v>
      </c>
      <c r="L690" s="99">
        <v>0</v>
      </c>
      <c r="M690" s="99">
        <v>0</v>
      </c>
      <c r="N690" s="99">
        <v>0</v>
      </c>
      <c r="O690" s="99">
        <v>0</v>
      </c>
      <c r="P690" s="99">
        <v>0</v>
      </c>
      <c r="Q690" s="99">
        <v>0</v>
      </c>
      <c r="R690" s="99">
        <v>0</v>
      </c>
      <c r="S690" s="99">
        <v>0</v>
      </c>
      <c r="T690" s="99">
        <v>0</v>
      </c>
      <c r="U690" s="99">
        <v>0</v>
      </c>
      <c r="V690" s="99">
        <v>-100</v>
      </c>
      <c r="W690" s="99">
        <v>0</v>
      </c>
      <c r="X690" s="99">
        <v>0</v>
      </c>
      <c r="Y690" s="99">
        <v>0</v>
      </c>
      <c r="Z690" s="99">
        <v>0</v>
      </c>
      <c r="AA690" s="99">
        <v>0</v>
      </c>
      <c r="AB690" s="99">
        <v>0</v>
      </c>
      <c r="AC690" s="99">
        <v>0</v>
      </c>
      <c r="AD690" s="99">
        <v>0</v>
      </c>
      <c r="AE690" s="99">
        <v>0</v>
      </c>
      <c r="AF690" s="99">
        <v>0</v>
      </c>
      <c r="AG690" s="99">
        <v>0</v>
      </c>
      <c r="AH690" s="99">
        <v>0</v>
      </c>
      <c r="AI690" s="99">
        <v>0</v>
      </c>
      <c r="AJ690" s="99">
        <v>0</v>
      </c>
      <c r="AK690" s="99">
        <v>0</v>
      </c>
      <c r="AL690" s="99">
        <v>0</v>
      </c>
      <c r="AM690" s="99">
        <v>0</v>
      </c>
      <c r="AN690" s="99">
        <v>0</v>
      </c>
      <c r="AO690" s="99">
        <v>0</v>
      </c>
      <c r="AP690" s="99">
        <v>0</v>
      </c>
    </row>
    <row r="691" spans="1:42" ht="14.45" customHeight="1" x14ac:dyDescent="0.25">
      <c r="A691" s="125" t="s">
        <v>627</v>
      </c>
      <c r="B691" s="63"/>
      <c r="C691" s="63"/>
      <c r="D691" s="63"/>
      <c r="E691" s="63"/>
      <c r="F691" s="63"/>
      <c r="G691" s="99">
        <v>125</v>
      </c>
      <c r="H691" s="99">
        <v>0</v>
      </c>
      <c r="I691" s="99">
        <v>0</v>
      </c>
      <c r="J691" s="99">
        <v>0</v>
      </c>
      <c r="K691" s="99">
        <v>150</v>
      </c>
      <c r="L691" s="99">
        <v>0</v>
      </c>
      <c r="M691" s="99">
        <v>0</v>
      </c>
      <c r="N691" s="99">
        <v>0</v>
      </c>
      <c r="O691" s="99">
        <v>0</v>
      </c>
      <c r="P691" s="99">
        <v>100</v>
      </c>
      <c r="Q691" s="99">
        <v>0</v>
      </c>
      <c r="R691" s="99">
        <v>0</v>
      </c>
      <c r="S691" s="99">
        <v>0</v>
      </c>
      <c r="T691" s="99">
        <v>0</v>
      </c>
      <c r="U691" s="99">
        <v>0</v>
      </c>
      <c r="V691" s="99">
        <v>0</v>
      </c>
      <c r="W691" s="99">
        <v>0</v>
      </c>
      <c r="X691" s="99">
        <v>0</v>
      </c>
      <c r="Y691" s="99">
        <v>0</v>
      </c>
      <c r="Z691" s="99">
        <v>0</v>
      </c>
      <c r="AA691" s="99">
        <v>0</v>
      </c>
      <c r="AB691" s="99">
        <v>0</v>
      </c>
      <c r="AC691" s="99">
        <v>0</v>
      </c>
      <c r="AD691" s="99">
        <v>0</v>
      </c>
      <c r="AE691" s="99">
        <v>0</v>
      </c>
      <c r="AF691" s="99">
        <v>0</v>
      </c>
      <c r="AG691" s="99">
        <v>0</v>
      </c>
      <c r="AH691" s="99">
        <v>0</v>
      </c>
      <c r="AI691" s="99">
        <v>0</v>
      </c>
      <c r="AJ691" s="99">
        <v>0</v>
      </c>
      <c r="AK691" s="99">
        <v>0</v>
      </c>
      <c r="AL691" s="99">
        <v>0</v>
      </c>
      <c r="AM691" s="99">
        <v>0</v>
      </c>
      <c r="AN691" s="99">
        <v>0</v>
      </c>
      <c r="AO691" s="99">
        <v>0</v>
      </c>
      <c r="AP691" s="99">
        <v>0</v>
      </c>
    </row>
    <row r="692" spans="1:42" ht="14.45" customHeight="1" x14ac:dyDescent="0.25">
      <c r="A692" s="125" t="s">
        <v>628</v>
      </c>
      <c r="B692" s="63"/>
      <c r="C692" s="99">
        <v>0</v>
      </c>
      <c r="D692" s="99">
        <v>-164.75700000000001</v>
      </c>
      <c r="E692" s="99">
        <v>0</v>
      </c>
      <c r="F692" s="99">
        <v>0</v>
      </c>
      <c r="G692" s="99">
        <v>0</v>
      </c>
      <c r="H692" s="99">
        <v>0</v>
      </c>
      <c r="I692" s="99">
        <v>0</v>
      </c>
      <c r="J692" s="99">
        <v>0</v>
      </c>
      <c r="K692" s="99">
        <v>0</v>
      </c>
      <c r="L692" s="99">
        <v>0</v>
      </c>
      <c r="M692" s="99">
        <v>0</v>
      </c>
      <c r="N692" s="99">
        <v>0</v>
      </c>
      <c r="O692" s="99">
        <v>0</v>
      </c>
      <c r="P692" s="99">
        <v>0</v>
      </c>
      <c r="Q692" s="99">
        <v>0</v>
      </c>
      <c r="R692" s="99">
        <v>0</v>
      </c>
      <c r="S692" s="99">
        <v>0</v>
      </c>
      <c r="T692" s="99">
        <v>0</v>
      </c>
      <c r="U692" s="99">
        <v>0</v>
      </c>
      <c r="V692" s="99">
        <v>0</v>
      </c>
      <c r="W692" s="99">
        <v>0</v>
      </c>
      <c r="X692" s="99">
        <v>0</v>
      </c>
      <c r="Y692" s="99">
        <v>0</v>
      </c>
      <c r="Z692" s="99">
        <v>0</v>
      </c>
      <c r="AA692" s="99">
        <v>0</v>
      </c>
      <c r="AB692" s="99">
        <v>0</v>
      </c>
      <c r="AC692" s="99">
        <v>0</v>
      </c>
      <c r="AD692" s="99">
        <v>0</v>
      </c>
      <c r="AE692" s="99">
        <v>0</v>
      </c>
      <c r="AF692" s="99">
        <v>0</v>
      </c>
      <c r="AG692" s="99">
        <v>0</v>
      </c>
      <c r="AH692" s="99">
        <v>0</v>
      </c>
      <c r="AI692" s="99">
        <v>0</v>
      </c>
      <c r="AJ692" s="99">
        <v>0</v>
      </c>
      <c r="AK692" s="99">
        <v>0</v>
      </c>
      <c r="AL692" s="99">
        <v>0</v>
      </c>
      <c r="AM692" s="99">
        <v>0</v>
      </c>
      <c r="AN692" s="99">
        <v>0</v>
      </c>
      <c r="AO692" s="99">
        <v>0</v>
      </c>
      <c r="AP692" s="99">
        <v>0</v>
      </c>
    </row>
    <row r="693" spans="1:42" ht="14.45" customHeight="1" x14ac:dyDescent="0.25">
      <c r="A693" s="125" t="s">
        <v>629</v>
      </c>
      <c r="B693" s="63"/>
      <c r="C693" s="99">
        <v>0</v>
      </c>
      <c r="D693" s="99">
        <v>0</v>
      </c>
      <c r="E693" s="99">
        <v>0</v>
      </c>
      <c r="F693" s="99">
        <v>0</v>
      </c>
      <c r="G693" s="99">
        <v>0</v>
      </c>
      <c r="H693" s="99">
        <v>0</v>
      </c>
      <c r="I693" s="99">
        <v>0</v>
      </c>
      <c r="J693" s="99">
        <v>0</v>
      </c>
      <c r="K693" s="99">
        <v>0</v>
      </c>
      <c r="L693" s="99">
        <v>0</v>
      </c>
      <c r="M693" s="99">
        <v>0</v>
      </c>
      <c r="N693" s="99">
        <v>0</v>
      </c>
      <c r="O693" s="99">
        <v>0</v>
      </c>
      <c r="P693" s="99">
        <v>0</v>
      </c>
      <c r="Q693" s="99">
        <v>0</v>
      </c>
      <c r="R693" s="99">
        <v>0</v>
      </c>
      <c r="S693" s="99">
        <v>0</v>
      </c>
      <c r="T693" s="99">
        <v>0</v>
      </c>
      <c r="U693" s="99">
        <v>0</v>
      </c>
      <c r="V693" s="99">
        <v>0</v>
      </c>
      <c r="W693" s="99">
        <v>0</v>
      </c>
      <c r="X693" s="99">
        <v>0</v>
      </c>
      <c r="Y693" s="99">
        <v>0</v>
      </c>
      <c r="Z693" s="99">
        <v>0</v>
      </c>
      <c r="AA693" s="99">
        <v>0</v>
      </c>
      <c r="AB693" s="99">
        <v>0</v>
      </c>
      <c r="AC693" s="99">
        <v>0</v>
      </c>
      <c r="AD693" s="99">
        <v>0</v>
      </c>
      <c r="AE693" s="99">
        <v>0</v>
      </c>
      <c r="AF693" s="99">
        <v>0</v>
      </c>
      <c r="AG693" s="99">
        <v>0</v>
      </c>
      <c r="AH693" s="99">
        <v>0</v>
      </c>
      <c r="AI693" s="99">
        <v>0</v>
      </c>
      <c r="AJ693" s="99">
        <v>0</v>
      </c>
      <c r="AK693" s="99">
        <v>0</v>
      </c>
      <c r="AL693" s="99">
        <v>0</v>
      </c>
      <c r="AM693" s="99">
        <v>0</v>
      </c>
      <c r="AN693" s="99">
        <v>0</v>
      </c>
      <c r="AO693" s="99">
        <v>0</v>
      </c>
      <c r="AP693" s="99">
        <v>0</v>
      </c>
    </row>
    <row r="694" spans="1:42" ht="14.45" customHeight="1" x14ac:dyDescent="0.25">
      <c r="A694" s="125" t="s">
        <v>630</v>
      </c>
      <c r="B694" s="63"/>
      <c r="C694" s="99">
        <v>0</v>
      </c>
      <c r="D694" s="99">
        <v>0</v>
      </c>
      <c r="E694" s="99">
        <v>0</v>
      </c>
      <c r="F694" s="99">
        <v>0</v>
      </c>
      <c r="G694" s="99">
        <v>0</v>
      </c>
      <c r="H694" s="99">
        <v>0</v>
      </c>
      <c r="I694" s="99">
        <v>0</v>
      </c>
      <c r="J694" s="99">
        <v>0</v>
      </c>
      <c r="K694" s="99">
        <v>0</v>
      </c>
      <c r="L694" s="99">
        <v>0</v>
      </c>
      <c r="M694" s="99">
        <v>0</v>
      </c>
      <c r="N694" s="99">
        <v>0</v>
      </c>
      <c r="O694" s="99">
        <v>0</v>
      </c>
      <c r="P694" s="99">
        <v>0</v>
      </c>
      <c r="Q694" s="99">
        <v>0</v>
      </c>
      <c r="R694" s="99">
        <v>0</v>
      </c>
      <c r="S694" s="99">
        <v>0</v>
      </c>
      <c r="T694" s="99">
        <v>0</v>
      </c>
      <c r="U694" s="99">
        <v>0</v>
      </c>
      <c r="V694" s="99">
        <v>0</v>
      </c>
      <c r="W694" s="99">
        <v>0</v>
      </c>
      <c r="X694" s="99">
        <v>0</v>
      </c>
      <c r="Y694" s="99">
        <v>0</v>
      </c>
      <c r="Z694" s="99">
        <v>0</v>
      </c>
      <c r="AA694" s="99">
        <v>0</v>
      </c>
      <c r="AB694" s="99">
        <v>0</v>
      </c>
      <c r="AC694" s="99">
        <v>0</v>
      </c>
      <c r="AD694" s="99">
        <v>0</v>
      </c>
      <c r="AE694" s="99">
        <v>0</v>
      </c>
      <c r="AF694" s="99">
        <v>0</v>
      </c>
      <c r="AG694" s="99">
        <v>0</v>
      </c>
      <c r="AH694" s="99">
        <v>0</v>
      </c>
      <c r="AI694" s="99">
        <v>0</v>
      </c>
      <c r="AJ694" s="99">
        <v>0</v>
      </c>
      <c r="AK694" s="99">
        <v>0</v>
      </c>
      <c r="AL694" s="99">
        <v>0</v>
      </c>
      <c r="AM694" s="99">
        <v>0</v>
      </c>
      <c r="AN694" s="99">
        <v>0</v>
      </c>
      <c r="AO694" s="99">
        <v>0</v>
      </c>
      <c r="AP694" s="99">
        <v>1200</v>
      </c>
    </row>
    <row r="695" spans="1:42" ht="14.45" customHeight="1" x14ac:dyDescent="0.25">
      <c r="A695" s="125" t="s">
        <v>631</v>
      </c>
      <c r="B695" s="63"/>
      <c r="C695" s="99">
        <v>0</v>
      </c>
      <c r="D695" s="99">
        <v>0</v>
      </c>
      <c r="E695" s="99">
        <v>0</v>
      </c>
      <c r="F695" s="99">
        <v>0</v>
      </c>
      <c r="G695" s="99">
        <v>0</v>
      </c>
      <c r="H695" s="99">
        <v>0</v>
      </c>
      <c r="I695" s="99">
        <v>0</v>
      </c>
      <c r="J695" s="99">
        <v>0</v>
      </c>
      <c r="K695" s="99">
        <v>0</v>
      </c>
      <c r="L695" s="99">
        <v>0</v>
      </c>
      <c r="M695" s="99">
        <v>0</v>
      </c>
      <c r="N695" s="99">
        <v>0</v>
      </c>
      <c r="O695" s="99">
        <v>0</v>
      </c>
      <c r="P695" s="99">
        <v>0</v>
      </c>
      <c r="Q695" s="99">
        <v>0</v>
      </c>
      <c r="R695" s="99">
        <v>0</v>
      </c>
      <c r="S695" s="99">
        <v>0</v>
      </c>
      <c r="T695" s="99">
        <v>0</v>
      </c>
      <c r="U695" s="99">
        <v>0</v>
      </c>
      <c r="V695" s="99">
        <v>0</v>
      </c>
      <c r="W695" s="99">
        <v>0</v>
      </c>
      <c r="X695" s="99">
        <v>0</v>
      </c>
      <c r="Y695" s="99">
        <v>0</v>
      </c>
      <c r="Z695" s="99">
        <v>0</v>
      </c>
      <c r="AA695" s="99">
        <v>0</v>
      </c>
      <c r="AB695" s="99">
        <v>0</v>
      </c>
      <c r="AC695" s="99">
        <v>0</v>
      </c>
      <c r="AD695" s="99">
        <v>0</v>
      </c>
      <c r="AE695" s="99">
        <v>0</v>
      </c>
      <c r="AF695" s="99">
        <v>0</v>
      </c>
      <c r="AG695" s="99">
        <v>0</v>
      </c>
      <c r="AH695" s="99">
        <v>0</v>
      </c>
      <c r="AI695" s="99">
        <v>0</v>
      </c>
      <c r="AJ695" s="99">
        <v>0</v>
      </c>
      <c r="AK695" s="99">
        <v>0</v>
      </c>
      <c r="AL695" s="99">
        <v>0</v>
      </c>
      <c r="AM695" s="99">
        <v>0</v>
      </c>
      <c r="AN695" s="99">
        <v>0</v>
      </c>
      <c r="AO695" s="99">
        <v>0</v>
      </c>
      <c r="AP695" s="99">
        <v>950</v>
      </c>
    </row>
    <row r="696" spans="1:42" ht="14.45" customHeight="1" x14ac:dyDescent="0.25">
      <c r="A696" s="125" t="s">
        <v>632</v>
      </c>
      <c r="B696" s="63"/>
      <c r="C696" s="99">
        <v>0</v>
      </c>
      <c r="D696" s="99">
        <v>0</v>
      </c>
      <c r="E696" s="99">
        <v>0</v>
      </c>
      <c r="F696" s="99">
        <v>0</v>
      </c>
      <c r="G696" s="99">
        <v>0</v>
      </c>
      <c r="H696" s="99">
        <v>0</v>
      </c>
      <c r="I696" s="99">
        <v>0</v>
      </c>
      <c r="J696" s="99">
        <v>0</v>
      </c>
      <c r="K696" s="99">
        <v>0</v>
      </c>
      <c r="L696" s="99">
        <v>0</v>
      </c>
      <c r="M696" s="99">
        <v>0</v>
      </c>
      <c r="N696" s="99">
        <v>0</v>
      </c>
      <c r="O696" s="99">
        <v>0</v>
      </c>
      <c r="P696" s="99">
        <v>0</v>
      </c>
      <c r="Q696" s="99">
        <v>0</v>
      </c>
      <c r="R696" s="99">
        <v>0</v>
      </c>
      <c r="S696" s="99">
        <v>0</v>
      </c>
      <c r="T696" s="99">
        <v>0</v>
      </c>
      <c r="U696" s="99">
        <v>0</v>
      </c>
      <c r="V696" s="99">
        <v>0</v>
      </c>
      <c r="W696" s="99">
        <v>0</v>
      </c>
      <c r="X696" s="99">
        <v>0</v>
      </c>
      <c r="Y696" s="99">
        <v>0</v>
      </c>
      <c r="Z696" s="99">
        <v>0</v>
      </c>
      <c r="AA696" s="99">
        <v>0</v>
      </c>
      <c r="AB696" s="99">
        <v>0</v>
      </c>
      <c r="AC696" s="99">
        <v>0</v>
      </c>
      <c r="AD696" s="99">
        <v>0</v>
      </c>
      <c r="AE696" s="99">
        <v>0</v>
      </c>
      <c r="AF696" s="99">
        <v>0</v>
      </c>
      <c r="AG696" s="99">
        <v>0</v>
      </c>
      <c r="AH696" s="99">
        <v>0</v>
      </c>
      <c r="AI696" s="99">
        <v>0</v>
      </c>
      <c r="AJ696" s="99">
        <v>0</v>
      </c>
      <c r="AK696" s="99">
        <v>0</v>
      </c>
      <c r="AL696" s="99">
        <v>0</v>
      </c>
      <c r="AM696" s="99">
        <v>0</v>
      </c>
      <c r="AN696" s="99">
        <v>0</v>
      </c>
      <c r="AO696" s="99">
        <v>0</v>
      </c>
      <c r="AP696" s="99">
        <v>-800</v>
      </c>
    </row>
    <row r="697" spans="1:42" ht="14.45" customHeight="1" x14ac:dyDescent="0.25">
      <c r="A697" s="125" t="s">
        <v>633</v>
      </c>
      <c r="B697" s="63"/>
      <c r="C697" s="99">
        <v>0</v>
      </c>
      <c r="D697" s="99">
        <v>0</v>
      </c>
      <c r="E697" s="99">
        <v>0</v>
      </c>
      <c r="F697" s="99">
        <v>0</v>
      </c>
      <c r="G697" s="99">
        <v>0</v>
      </c>
      <c r="H697" s="99">
        <v>0</v>
      </c>
      <c r="I697" s="99">
        <v>0</v>
      </c>
      <c r="J697" s="99">
        <v>0</v>
      </c>
      <c r="K697" s="99">
        <v>0</v>
      </c>
      <c r="L697" s="99">
        <v>0</v>
      </c>
      <c r="M697" s="99">
        <v>0</v>
      </c>
      <c r="N697" s="99">
        <v>0</v>
      </c>
      <c r="O697" s="99">
        <v>0</v>
      </c>
      <c r="P697" s="99">
        <v>0</v>
      </c>
      <c r="Q697" s="99">
        <v>0</v>
      </c>
      <c r="R697" s="99">
        <v>0</v>
      </c>
      <c r="S697" s="99">
        <v>0</v>
      </c>
      <c r="T697" s="99">
        <v>0</v>
      </c>
      <c r="U697" s="99">
        <v>0</v>
      </c>
      <c r="V697" s="99">
        <v>0</v>
      </c>
      <c r="W697" s="99">
        <v>0</v>
      </c>
      <c r="X697" s="99">
        <v>0</v>
      </c>
      <c r="Y697" s="99">
        <v>0</v>
      </c>
      <c r="Z697" s="99">
        <v>0</v>
      </c>
      <c r="AA697" s="99">
        <v>0</v>
      </c>
      <c r="AB697" s="99">
        <v>0</v>
      </c>
      <c r="AC697" s="99">
        <v>0</v>
      </c>
      <c r="AD697" s="99">
        <v>0</v>
      </c>
      <c r="AE697" s="99">
        <v>0</v>
      </c>
      <c r="AF697" s="99">
        <v>0</v>
      </c>
      <c r="AG697" s="99">
        <v>0</v>
      </c>
      <c r="AH697" s="99">
        <v>0</v>
      </c>
      <c r="AI697" s="99">
        <v>0</v>
      </c>
      <c r="AJ697" s="99">
        <v>0</v>
      </c>
      <c r="AK697" s="99">
        <v>0</v>
      </c>
      <c r="AL697" s="99">
        <v>0</v>
      </c>
      <c r="AM697" s="99">
        <v>0</v>
      </c>
      <c r="AN697" s="99">
        <v>0</v>
      </c>
      <c r="AO697" s="99">
        <v>0</v>
      </c>
      <c r="AP697" s="99">
        <v>-350</v>
      </c>
    </row>
    <row r="698" spans="1:42" ht="14.45" customHeight="1" x14ac:dyDescent="0.25">
      <c r="A698" s="125" t="s">
        <v>634</v>
      </c>
      <c r="B698" s="63"/>
      <c r="C698" s="99">
        <v>0</v>
      </c>
      <c r="D698" s="99">
        <v>0</v>
      </c>
      <c r="E698" s="99">
        <v>0</v>
      </c>
      <c r="F698" s="99">
        <v>0</v>
      </c>
      <c r="G698" s="99">
        <v>0</v>
      </c>
      <c r="H698" s="99">
        <v>0</v>
      </c>
      <c r="I698" s="99">
        <v>0</v>
      </c>
      <c r="J698" s="99">
        <v>0</v>
      </c>
      <c r="K698" s="99">
        <v>0</v>
      </c>
      <c r="L698" s="99">
        <v>0</v>
      </c>
      <c r="M698" s="99">
        <v>0</v>
      </c>
      <c r="N698" s="99">
        <v>0</v>
      </c>
      <c r="O698" s="99">
        <v>0</v>
      </c>
      <c r="P698" s="99">
        <v>0</v>
      </c>
      <c r="Q698" s="99">
        <v>0</v>
      </c>
      <c r="R698" s="99">
        <v>0</v>
      </c>
      <c r="S698" s="99">
        <v>0</v>
      </c>
      <c r="T698" s="99">
        <v>0</v>
      </c>
      <c r="U698" s="99">
        <v>0</v>
      </c>
      <c r="V698" s="99">
        <v>0</v>
      </c>
      <c r="W698" s="99">
        <v>0</v>
      </c>
      <c r="X698" s="99">
        <v>0</v>
      </c>
      <c r="Y698" s="99">
        <v>0</v>
      </c>
      <c r="Z698" s="99">
        <v>0</v>
      </c>
      <c r="AA698" s="99">
        <v>0</v>
      </c>
      <c r="AB698" s="99">
        <v>0</v>
      </c>
      <c r="AC698" s="99">
        <v>0</v>
      </c>
      <c r="AD698" s="99">
        <v>0</v>
      </c>
      <c r="AE698" s="99">
        <v>0</v>
      </c>
      <c r="AF698" s="99">
        <v>0</v>
      </c>
      <c r="AG698" s="99">
        <v>0</v>
      </c>
      <c r="AH698" s="99">
        <v>0</v>
      </c>
      <c r="AI698" s="99">
        <v>0</v>
      </c>
      <c r="AJ698" s="99">
        <v>1200</v>
      </c>
      <c r="AK698" s="99">
        <v>0</v>
      </c>
      <c r="AL698" s="99">
        <v>0</v>
      </c>
      <c r="AM698" s="99">
        <v>0</v>
      </c>
      <c r="AN698" s="99">
        <v>0</v>
      </c>
      <c r="AO698" s="99">
        <v>0</v>
      </c>
      <c r="AP698" s="99">
        <v>0</v>
      </c>
    </row>
    <row r="699" spans="1:42" ht="14.45" customHeight="1" x14ac:dyDescent="0.25">
      <c r="A699" s="125" t="s">
        <v>635</v>
      </c>
      <c r="B699" s="63"/>
      <c r="C699" s="99">
        <v>-2.323</v>
      </c>
      <c r="D699" s="99">
        <v>-2.3290000000000002</v>
      </c>
      <c r="E699" s="99">
        <v>-2.3279999999999998</v>
      </c>
      <c r="F699" s="99">
        <v>-2.327</v>
      </c>
      <c r="G699" s="99">
        <v>-2.3279999999999998</v>
      </c>
      <c r="H699" s="99">
        <v>-2.3340000000000001</v>
      </c>
      <c r="I699" s="99">
        <v>-2.3330000000000002</v>
      </c>
      <c r="J699" s="99">
        <v>-2.3329999999999989</v>
      </c>
      <c r="K699" s="99">
        <v>-2.3330000000000002</v>
      </c>
      <c r="L699" s="99">
        <v>-2.3380000000000001</v>
      </c>
      <c r="M699" s="99">
        <v>-2.343</v>
      </c>
      <c r="N699" s="99">
        <v>-2.339</v>
      </c>
      <c r="O699" s="99">
        <v>-2.339</v>
      </c>
      <c r="P699" s="99">
        <v>-2.343</v>
      </c>
      <c r="Q699" s="99">
        <v>-2.343999999999999</v>
      </c>
      <c r="R699" s="99">
        <v>-2.343</v>
      </c>
      <c r="S699" s="99">
        <v>-2.3439999999999999</v>
      </c>
      <c r="T699" s="99">
        <v>-2.3420000000000001</v>
      </c>
      <c r="U699" s="99">
        <v>-2.3439999999999999</v>
      </c>
      <c r="V699" s="99">
        <v>-2.3439999999999999</v>
      </c>
      <c r="W699" s="99">
        <v>-2.343</v>
      </c>
      <c r="X699" s="99">
        <v>-2.3439999999999999</v>
      </c>
      <c r="Y699" s="99">
        <v>-2.343</v>
      </c>
      <c r="Z699" s="99">
        <v>-2.3439999999999999</v>
      </c>
      <c r="AA699" s="99">
        <v>-2.3439999999999999</v>
      </c>
      <c r="AB699" s="99">
        <v>-2.343</v>
      </c>
      <c r="AC699" s="99">
        <v>-2.343</v>
      </c>
      <c r="AD699" s="99">
        <v>-2.3439999999999999</v>
      </c>
      <c r="AE699" s="99">
        <v>-32.808</v>
      </c>
      <c r="AF699" s="99">
        <v>-4.6869999999999976</v>
      </c>
      <c r="AG699" s="99">
        <v>-4.6870000000000047</v>
      </c>
      <c r="AH699" s="99">
        <v>-4.6859999999999999</v>
      </c>
      <c r="AI699" s="99">
        <v>-154.666</v>
      </c>
      <c r="AJ699" s="99">
        <v>-4.6870000000000118</v>
      </c>
      <c r="AK699" s="99">
        <v>-4.3799999999999946</v>
      </c>
      <c r="AL699" s="99">
        <v>-21.90199999999999</v>
      </c>
      <c r="AM699" s="99">
        <v>-21.794</v>
      </c>
      <c r="AN699" s="99">
        <v>-21.795000000000002</v>
      </c>
      <c r="AO699" s="99">
        <v>-21.721</v>
      </c>
      <c r="AP699" s="99">
        <v>-21.363</v>
      </c>
    </row>
    <row r="700" spans="1:42" ht="14.45" customHeight="1" x14ac:dyDescent="0.25">
      <c r="A700" s="125" t="s">
        <v>636</v>
      </c>
      <c r="B700" s="63"/>
      <c r="C700" s="99">
        <v>0</v>
      </c>
      <c r="D700" s="99">
        <v>0</v>
      </c>
      <c r="E700" s="99">
        <v>0</v>
      </c>
      <c r="F700" s="99">
        <v>0</v>
      </c>
      <c r="G700" s="99">
        <v>0</v>
      </c>
      <c r="H700" s="99">
        <v>0</v>
      </c>
      <c r="I700" s="99">
        <v>0</v>
      </c>
      <c r="J700" s="99">
        <v>0</v>
      </c>
      <c r="K700" s="99">
        <v>0</v>
      </c>
      <c r="L700" s="99">
        <v>0</v>
      </c>
      <c r="M700" s="99">
        <v>0</v>
      </c>
      <c r="N700" s="99">
        <v>0</v>
      </c>
      <c r="O700" s="99">
        <v>0</v>
      </c>
      <c r="P700" s="99">
        <v>0</v>
      </c>
      <c r="Q700" s="99">
        <v>0</v>
      </c>
      <c r="R700" s="99">
        <v>0</v>
      </c>
      <c r="S700" s="99">
        <v>0</v>
      </c>
      <c r="T700" s="99">
        <v>0</v>
      </c>
      <c r="U700" s="99">
        <v>0</v>
      </c>
      <c r="V700" s="99">
        <v>0</v>
      </c>
      <c r="W700" s="99">
        <v>0</v>
      </c>
      <c r="X700" s="99">
        <v>0</v>
      </c>
      <c r="Y700" s="99">
        <v>0</v>
      </c>
      <c r="Z700" s="99">
        <v>0</v>
      </c>
      <c r="AA700" s="99">
        <v>0</v>
      </c>
      <c r="AB700" s="99">
        <v>0</v>
      </c>
      <c r="AC700" s="99">
        <v>0</v>
      </c>
      <c r="AD700" s="99">
        <v>0</v>
      </c>
      <c r="AE700" s="99">
        <v>0</v>
      </c>
      <c r="AF700" s="99">
        <v>0</v>
      </c>
      <c r="AG700" s="99">
        <v>0</v>
      </c>
      <c r="AH700" s="99">
        <v>0</v>
      </c>
      <c r="AI700" s="99">
        <v>0</v>
      </c>
      <c r="AJ700" s="99">
        <v>0</v>
      </c>
      <c r="AK700" s="99">
        <v>0</v>
      </c>
      <c r="AL700" s="99">
        <v>0</v>
      </c>
      <c r="AM700" s="99">
        <v>0</v>
      </c>
      <c r="AN700" s="99">
        <v>0</v>
      </c>
      <c r="AO700" s="99">
        <v>0</v>
      </c>
      <c r="AP700" s="99">
        <v>0</v>
      </c>
    </row>
    <row r="701" spans="1:42" ht="14.45" customHeight="1" x14ac:dyDescent="0.25">
      <c r="A701" s="125" t="s">
        <v>637</v>
      </c>
      <c r="B701" s="63"/>
      <c r="C701" s="99">
        <v>-4.9589999999999996</v>
      </c>
      <c r="D701" s="99">
        <v>-2.967000000000001</v>
      </c>
      <c r="E701" s="99">
        <v>-2.544</v>
      </c>
      <c r="F701" s="99">
        <v>-3.08</v>
      </c>
      <c r="G701" s="99">
        <v>0</v>
      </c>
      <c r="H701" s="99">
        <v>-6.556</v>
      </c>
      <c r="I701" s="99">
        <v>-5.0940000000000003</v>
      </c>
      <c r="J701" s="99">
        <v>-5.0879999999999992</v>
      </c>
      <c r="K701" s="99">
        <v>-5.8819999999999997</v>
      </c>
      <c r="L701" s="99">
        <v>-5.3810000000000002</v>
      </c>
      <c r="M701" s="99">
        <v>-7.0490000000000013</v>
      </c>
      <c r="N701" s="99">
        <v>-6.3709999999999987</v>
      </c>
      <c r="O701" s="99">
        <v>-6.2370000000000001</v>
      </c>
      <c r="P701" s="99">
        <v>-6.5990000000000002</v>
      </c>
      <c r="Q701" s="99">
        <v>-5.9479999999999986</v>
      </c>
      <c r="R701" s="99">
        <v>-8.3979999999999997</v>
      </c>
      <c r="S701" s="99">
        <v>-10.452</v>
      </c>
      <c r="T701" s="99">
        <v>-10.079000000000001</v>
      </c>
      <c r="U701" s="99">
        <v>-11.468</v>
      </c>
      <c r="V701" s="99">
        <v>-11.401</v>
      </c>
      <c r="W701" s="99">
        <v>-10.045999999999999</v>
      </c>
      <c r="X701" s="99">
        <v>-9.8740000000000023</v>
      </c>
      <c r="Y701" s="99">
        <v>-8.7199999999999989</v>
      </c>
      <c r="Z701" s="99">
        <v>-10.457000000000001</v>
      </c>
      <c r="AA701" s="99">
        <v>-9.8219999999999992</v>
      </c>
      <c r="AB701" s="99">
        <v>-8.8880000000000017</v>
      </c>
      <c r="AC701" s="99">
        <v>-9.7109999999999985</v>
      </c>
      <c r="AD701" s="99">
        <v>-8.0940000000000012</v>
      </c>
      <c r="AE701" s="99">
        <v>-6.4989999999999997</v>
      </c>
      <c r="AF701" s="99">
        <v>-6.8769999999999998</v>
      </c>
      <c r="AG701" s="99">
        <v>-7.6029999999999998</v>
      </c>
      <c r="AH701" s="99">
        <v>-7.2289999999999992</v>
      </c>
      <c r="AI701" s="99">
        <v>-9.6999999999999993</v>
      </c>
      <c r="AJ701" s="99">
        <v>-13.976000000000001</v>
      </c>
      <c r="AK701" s="99">
        <v>-20.567</v>
      </c>
      <c r="AL701" s="99">
        <v>-20.068999999999999</v>
      </c>
      <c r="AM701" s="99">
        <v>-19.818999999999999</v>
      </c>
      <c r="AN701" s="99">
        <v>-15.39</v>
      </c>
      <c r="AO701" s="99">
        <v>-16.43</v>
      </c>
      <c r="AP701" s="99">
        <v>-17.245000000000001</v>
      </c>
    </row>
    <row r="702" spans="1:42" ht="14.45" customHeight="1" x14ac:dyDescent="0.25">
      <c r="A702" s="125" t="s">
        <v>638</v>
      </c>
      <c r="B702" s="63"/>
      <c r="C702" s="99">
        <v>-1.726</v>
      </c>
      <c r="D702" s="99">
        <v>-1.762</v>
      </c>
      <c r="E702" s="99">
        <v>-1.7909999999999999</v>
      </c>
      <c r="F702" s="99">
        <v>-1.784</v>
      </c>
      <c r="G702" s="99">
        <v>-1.8280000000000001</v>
      </c>
      <c r="H702" s="99">
        <v>-1.867</v>
      </c>
      <c r="I702" s="99">
        <v>-1.899</v>
      </c>
      <c r="J702" s="99">
        <v>-1.891</v>
      </c>
      <c r="K702" s="99">
        <v>-2.0529999999999999</v>
      </c>
      <c r="L702" s="99">
        <v>-2.141</v>
      </c>
      <c r="M702" s="99">
        <v>-1.9970000000000001</v>
      </c>
      <c r="N702" s="99">
        <v>-2.0299999999999998</v>
      </c>
      <c r="O702" s="99">
        <v>-2.1139999999999999</v>
      </c>
      <c r="P702" s="99">
        <v>-2.1469999999999998</v>
      </c>
      <c r="Q702" s="99">
        <v>-2.1800000000000002</v>
      </c>
      <c r="R702" s="99">
        <v>-2.2150000000000012</v>
      </c>
      <c r="S702" s="99">
        <v>-1.4850000000000001</v>
      </c>
      <c r="T702" s="99">
        <v>-1.516</v>
      </c>
      <c r="U702" s="99">
        <v>-1.427</v>
      </c>
      <c r="V702" s="99">
        <v>-1.4330000000000001</v>
      </c>
      <c r="W702" s="99">
        <v>-1.4470000000000001</v>
      </c>
      <c r="X702" s="99">
        <v>-0.92099999999999982</v>
      </c>
      <c r="Y702" s="99">
        <v>-1.1990000000000001</v>
      </c>
      <c r="Z702" s="99">
        <v>-1.210999999999999</v>
      </c>
      <c r="AA702" s="99">
        <v>-1.375</v>
      </c>
      <c r="AB702" s="99">
        <v>-0.52899999999999991</v>
      </c>
      <c r="AC702" s="99">
        <v>-0.53699999999999992</v>
      </c>
      <c r="AD702" s="99">
        <v>-0.54700000000000015</v>
      </c>
      <c r="AE702" s="99">
        <v>-0.55800000000000005</v>
      </c>
      <c r="AF702" s="99">
        <v>-0.57199999999999984</v>
      </c>
      <c r="AG702" s="99">
        <v>-0.58200000000000007</v>
      </c>
      <c r="AH702" s="99">
        <v>-0.59099999999999997</v>
      </c>
      <c r="AI702" s="99">
        <v>-0.60099999999999998</v>
      </c>
      <c r="AJ702" s="99">
        <v>-0.62000000000000011</v>
      </c>
      <c r="AK702" s="99">
        <v>-0.627</v>
      </c>
      <c r="AL702" s="99">
        <v>-0.6399999999999999</v>
      </c>
      <c r="AM702" s="99">
        <v>-0.65</v>
      </c>
      <c r="AN702" s="99">
        <v>-0.67</v>
      </c>
      <c r="AO702" s="99">
        <v>-0.35499999999999998</v>
      </c>
      <c r="AP702" s="99">
        <v>-0.1339999999999999</v>
      </c>
    </row>
    <row r="703" spans="1:42" ht="14.45" customHeight="1" x14ac:dyDescent="0.25">
      <c r="A703" s="125" t="s">
        <v>639</v>
      </c>
      <c r="B703" s="63"/>
      <c r="C703" s="99">
        <v>0</v>
      </c>
      <c r="D703" s="99">
        <v>0</v>
      </c>
      <c r="E703" s="99">
        <v>0</v>
      </c>
      <c r="F703" s="99">
        <v>0</v>
      </c>
      <c r="G703" s="99">
        <v>0</v>
      </c>
      <c r="H703" s="99">
        <v>0</v>
      </c>
      <c r="I703" s="99">
        <v>0</v>
      </c>
      <c r="J703" s="99">
        <v>0</v>
      </c>
      <c r="K703" s="99">
        <v>0</v>
      </c>
      <c r="L703" s="99">
        <v>0</v>
      </c>
      <c r="M703" s="99">
        <v>0</v>
      </c>
      <c r="N703" s="99">
        <v>0</v>
      </c>
      <c r="O703" s="99">
        <v>0</v>
      </c>
      <c r="P703" s="99">
        <v>0</v>
      </c>
      <c r="Q703" s="99">
        <v>0</v>
      </c>
      <c r="R703" s="99">
        <v>0</v>
      </c>
      <c r="S703" s="99">
        <v>0</v>
      </c>
      <c r="T703" s="99">
        <v>0</v>
      </c>
      <c r="U703" s="99">
        <v>0</v>
      </c>
      <c r="V703" s="99">
        <v>0</v>
      </c>
      <c r="W703" s="99">
        <v>0</v>
      </c>
      <c r="X703" s="99">
        <v>0</v>
      </c>
      <c r="Y703" s="99">
        <v>0</v>
      </c>
      <c r="Z703" s="99">
        <v>0</v>
      </c>
      <c r="AA703" s="99">
        <v>0</v>
      </c>
      <c r="AB703" s="99">
        <v>0</v>
      </c>
      <c r="AC703" s="99">
        <v>0</v>
      </c>
      <c r="AD703" s="99">
        <v>0</v>
      </c>
      <c r="AE703" s="99">
        <v>0</v>
      </c>
      <c r="AF703" s="99">
        <v>0</v>
      </c>
      <c r="AG703" s="99">
        <v>0</v>
      </c>
      <c r="AH703" s="99">
        <v>0</v>
      </c>
      <c r="AI703" s="99">
        <v>0</v>
      </c>
      <c r="AJ703" s="99">
        <v>0</v>
      </c>
      <c r="AK703" s="99">
        <v>0</v>
      </c>
      <c r="AL703" s="99">
        <v>0</v>
      </c>
      <c r="AM703" s="99">
        <v>0</v>
      </c>
      <c r="AN703" s="99">
        <v>0</v>
      </c>
      <c r="AO703" s="99">
        <v>0</v>
      </c>
      <c r="AP703" s="99">
        <v>0</v>
      </c>
    </row>
    <row r="704" spans="1:42" ht="14.45" customHeight="1" x14ac:dyDescent="0.25">
      <c r="A704" s="125" t="s">
        <v>640</v>
      </c>
      <c r="B704" s="63"/>
      <c r="C704" s="99">
        <v>0</v>
      </c>
      <c r="D704" s="99">
        <v>0</v>
      </c>
      <c r="E704" s="99">
        <v>0</v>
      </c>
      <c r="F704" s="99">
        <v>0</v>
      </c>
      <c r="G704" s="99">
        <v>0</v>
      </c>
      <c r="H704" s="99">
        <v>0</v>
      </c>
      <c r="I704" s="99">
        <v>0</v>
      </c>
      <c r="J704" s="99">
        <v>0</v>
      </c>
      <c r="K704" s="99">
        <v>-0.185</v>
      </c>
      <c r="L704" s="99">
        <v>-1.35</v>
      </c>
      <c r="M704" s="99">
        <v>4.0000000000000044E-3</v>
      </c>
      <c r="N704" s="99">
        <v>0</v>
      </c>
      <c r="O704" s="99">
        <v>-0.183</v>
      </c>
      <c r="P704" s="99">
        <v>-8.2000000000000017E-2</v>
      </c>
      <c r="Q704" s="99">
        <v>-3.999999999999998E-2</v>
      </c>
      <c r="R704" s="99">
        <v>-0.115</v>
      </c>
      <c r="S704" s="99">
        <v>-4.5999999999999999E-2</v>
      </c>
      <c r="T704" s="99">
        <v>-9.8999999999999991E-2</v>
      </c>
      <c r="U704" s="99">
        <v>0</v>
      </c>
      <c r="V704" s="99">
        <v>-8.3000000000000018E-2</v>
      </c>
      <c r="W704" s="99">
        <v>-0.14699999999999999</v>
      </c>
      <c r="X704" s="99">
        <v>0</v>
      </c>
      <c r="Y704" s="99">
        <v>-1.3089999999999999</v>
      </c>
      <c r="Z704" s="99">
        <v>-8.6000000000000076E-2</v>
      </c>
      <c r="AA704" s="99">
        <v>-4.8000000000000001E-2</v>
      </c>
      <c r="AB704" s="99">
        <v>-8.3000000000000004E-2</v>
      </c>
      <c r="AC704" s="99">
        <v>-8.7999999999999995E-2</v>
      </c>
      <c r="AD704" s="99">
        <v>-9.0999999999999998E-2</v>
      </c>
      <c r="AE704" s="99">
        <v>-0.154</v>
      </c>
      <c r="AF704" s="99">
        <v>0</v>
      </c>
      <c r="AG704" s="99">
        <v>-0.09</v>
      </c>
      <c r="AH704" s="99">
        <v>-9.600000000000003E-2</v>
      </c>
      <c r="AI704" s="99">
        <v>-5.2999999999999999E-2</v>
      </c>
      <c r="AJ704" s="99">
        <v>-12.159000000000001</v>
      </c>
      <c r="AK704" s="99">
        <v>-3.153</v>
      </c>
      <c r="AL704" s="99">
        <v>-0.14700000000000021</v>
      </c>
      <c r="AM704" s="99">
        <v>-0.23200000000000001</v>
      </c>
      <c r="AN704" s="99">
        <v>-1.0000000000000011E-3</v>
      </c>
      <c r="AO704" s="99">
        <v>-3.4000000000000002E-2</v>
      </c>
      <c r="AP704" s="99">
        <v>-3.129</v>
      </c>
    </row>
    <row r="705" spans="1:42" ht="14.45" customHeight="1" x14ac:dyDescent="0.25">
      <c r="A705" s="125" t="s">
        <v>641</v>
      </c>
      <c r="B705" s="63"/>
      <c r="C705" s="99">
        <v>0</v>
      </c>
      <c r="D705" s="99">
        <v>0</v>
      </c>
      <c r="E705" s="99">
        <v>0</v>
      </c>
      <c r="F705" s="99">
        <v>0</v>
      </c>
      <c r="G705" s="99">
        <v>0</v>
      </c>
      <c r="H705" s="99">
        <v>0</v>
      </c>
      <c r="I705" s="99">
        <v>0</v>
      </c>
      <c r="J705" s="99">
        <v>0</v>
      </c>
      <c r="K705" s="99">
        <v>0</v>
      </c>
      <c r="L705" s="99">
        <v>0</v>
      </c>
      <c r="M705" s="99">
        <v>0</v>
      </c>
      <c r="N705" s="99">
        <v>0</v>
      </c>
      <c r="O705" s="99">
        <v>0</v>
      </c>
      <c r="P705" s="99">
        <v>0</v>
      </c>
      <c r="Q705" s="99">
        <v>0</v>
      </c>
      <c r="R705" s="99">
        <v>0</v>
      </c>
      <c r="S705" s="99">
        <v>0</v>
      </c>
      <c r="T705" s="99">
        <v>0</v>
      </c>
      <c r="U705" s="99">
        <v>0</v>
      </c>
      <c r="V705" s="99">
        <v>0</v>
      </c>
      <c r="W705" s="99">
        <v>0</v>
      </c>
      <c r="X705" s="99">
        <v>0</v>
      </c>
      <c r="Y705" s="99">
        <v>0</v>
      </c>
      <c r="Z705" s="99">
        <v>0</v>
      </c>
      <c r="AA705" s="99">
        <v>0</v>
      </c>
      <c r="AB705" s="99">
        <v>0</v>
      </c>
      <c r="AC705" s="99">
        <v>0</v>
      </c>
      <c r="AD705" s="99">
        <v>0</v>
      </c>
      <c r="AE705" s="99">
        <v>0</v>
      </c>
      <c r="AF705" s="99">
        <v>0</v>
      </c>
      <c r="AG705" s="99">
        <v>0</v>
      </c>
      <c r="AH705" s="99">
        <v>0</v>
      </c>
      <c r="AI705" s="99">
        <v>0</v>
      </c>
      <c r="AJ705" s="99">
        <v>-14.471</v>
      </c>
      <c r="AK705" s="99">
        <v>-559.53800000000001</v>
      </c>
      <c r="AL705" s="99">
        <v>-51.644999999999982</v>
      </c>
      <c r="AM705" s="99">
        <v>0</v>
      </c>
      <c r="AN705" s="99">
        <v>-34.409999999999997</v>
      </c>
      <c r="AO705" s="99">
        <v>-111.288</v>
      </c>
      <c r="AP705" s="99">
        <v>-2460.3330000000001</v>
      </c>
    </row>
    <row r="706" spans="1:42" ht="14.45" customHeight="1" x14ac:dyDescent="0.25">
      <c r="A706" s="189" t="s">
        <v>642</v>
      </c>
      <c r="B706" s="63"/>
      <c r="C706" s="63">
        <v>0</v>
      </c>
      <c r="D706" s="63">
        <v>0</v>
      </c>
      <c r="E706" s="63">
        <v>0</v>
      </c>
      <c r="F706" s="63">
        <v>0</v>
      </c>
      <c r="G706" s="63">
        <v>0</v>
      </c>
      <c r="H706" s="63">
        <v>0</v>
      </c>
      <c r="I706" s="63">
        <v>0</v>
      </c>
      <c r="J706" s="63">
        <v>0</v>
      </c>
      <c r="K706" s="63">
        <v>0</v>
      </c>
      <c r="L706" s="63">
        <v>0</v>
      </c>
      <c r="M706" s="63">
        <v>0</v>
      </c>
      <c r="N706" s="63">
        <v>0</v>
      </c>
      <c r="O706" s="63">
        <v>0</v>
      </c>
      <c r="P706" s="63">
        <v>0</v>
      </c>
      <c r="Q706" s="63">
        <v>0</v>
      </c>
      <c r="R706" s="63">
        <v>0</v>
      </c>
      <c r="S706" s="63">
        <v>0</v>
      </c>
      <c r="T706" s="63">
        <v>0</v>
      </c>
      <c r="U706" s="63">
        <v>0</v>
      </c>
      <c r="V706" s="63">
        <v>0</v>
      </c>
      <c r="W706" s="63">
        <v>0</v>
      </c>
      <c r="X706" s="63">
        <v>0</v>
      </c>
      <c r="Y706" s="63">
        <v>0</v>
      </c>
      <c r="Z706" s="63">
        <v>0</v>
      </c>
      <c r="AA706" s="63">
        <v>0</v>
      </c>
      <c r="AB706" s="63">
        <v>0</v>
      </c>
      <c r="AC706" s="63">
        <v>0</v>
      </c>
      <c r="AD706" s="63">
        <v>0</v>
      </c>
      <c r="AE706" s="63">
        <v>0</v>
      </c>
      <c r="AF706" s="63">
        <v>0</v>
      </c>
      <c r="AG706" s="63">
        <v>0</v>
      </c>
      <c r="AH706" s="63">
        <v>0</v>
      </c>
      <c r="AI706" s="63">
        <v>0</v>
      </c>
      <c r="AJ706" s="63">
        <v>0</v>
      </c>
      <c r="AK706" s="63">
        <v>0</v>
      </c>
      <c r="AL706" s="63">
        <v>0</v>
      </c>
      <c r="AM706" s="63">
        <v>0</v>
      </c>
      <c r="AN706" s="63">
        <v>0</v>
      </c>
      <c r="AO706" s="63">
        <v>0</v>
      </c>
      <c r="AP706" s="63">
        <v>0</v>
      </c>
    </row>
    <row r="707" spans="1:42" ht="14.45" customHeight="1" x14ac:dyDescent="0.25">
      <c r="A707" s="130" t="s">
        <v>65</v>
      </c>
      <c r="B707" s="158"/>
      <c r="C707" s="103">
        <v>9.1999999999999998E-2</v>
      </c>
      <c r="D707" s="103">
        <v>-0.96899999999999997</v>
      </c>
      <c r="E707" s="103">
        <v>1.0000000000000011E-2</v>
      </c>
      <c r="F707" s="103">
        <v>-7.2999999999999954E-2</v>
      </c>
      <c r="G707" s="103">
        <v>-0.21299999999999999</v>
      </c>
      <c r="H707" s="103">
        <v>0</v>
      </c>
      <c r="I707" s="103">
        <v>0</v>
      </c>
      <c r="J707" s="103">
        <v>-0.105</v>
      </c>
      <c r="K707" s="103">
        <v>0</v>
      </c>
      <c r="L707" s="103">
        <v>0</v>
      </c>
      <c r="M707" s="103">
        <v>0</v>
      </c>
      <c r="N707" s="103">
        <v>0</v>
      </c>
      <c r="O707" s="103">
        <v>0</v>
      </c>
      <c r="P707" s="103">
        <v>0</v>
      </c>
      <c r="Q707" s="103">
        <v>0</v>
      </c>
      <c r="R707" s="103">
        <v>0</v>
      </c>
      <c r="S707" s="103">
        <v>0</v>
      </c>
      <c r="T707" s="103">
        <v>0</v>
      </c>
      <c r="U707" s="103">
        <v>0</v>
      </c>
      <c r="V707" s="103">
        <v>0</v>
      </c>
      <c r="W707" s="103">
        <v>0</v>
      </c>
      <c r="X707" s="103">
        <v>0</v>
      </c>
      <c r="Y707" s="103">
        <v>0</v>
      </c>
      <c r="Z707" s="103">
        <v>0</v>
      </c>
      <c r="AA707" s="103">
        <v>0</v>
      </c>
      <c r="AB707" s="103">
        <v>0</v>
      </c>
      <c r="AC707" s="103">
        <v>0</v>
      </c>
      <c r="AD707" s="103">
        <v>0</v>
      </c>
      <c r="AE707" s="103">
        <v>0</v>
      </c>
      <c r="AF707" s="103">
        <v>0</v>
      </c>
      <c r="AG707" s="103">
        <v>0</v>
      </c>
      <c r="AH707" s="103">
        <v>0</v>
      </c>
      <c r="AI707" s="103">
        <v>0</v>
      </c>
      <c r="AJ707" s="103">
        <v>0</v>
      </c>
      <c r="AK707" s="103">
        <v>0</v>
      </c>
      <c r="AL707" s="103">
        <v>0</v>
      </c>
      <c r="AM707" s="103">
        <v>0</v>
      </c>
      <c r="AN707" s="103">
        <v>0</v>
      </c>
      <c r="AO707" s="103">
        <v>0</v>
      </c>
      <c r="AP707" s="103">
        <v>0</v>
      </c>
    </row>
    <row r="708" spans="1:42" ht="14.45" customHeight="1" x14ac:dyDescent="0.25">
      <c r="A708" s="110" t="s">
        <v>643</v>
      </c>
      <c r="B708" s="212"/>
      <c r="C708" s="106">
        <v>131.084</v>
      </c>
      <c r="D708" s="106">
        <v>62.216000000000001</v>
      </c>
      <c r="E708" s="106">
        <v>-16.652999999999999</v>
      </c>
      <c r="F708" s="106">
        <v>79.736000000000004</v>
      </c>
      <c r="G708" s="106">
        <v>90.631</v>
      </c>
      <c r="H708" s="106">
        <v>67.242999999999995</v>
      </c>
      <c r="I708" s="106">
        <v>37.673999999999999</v>
      </c>
      <c r="J708" s="106">
        <v>-49.416999999999987</v>
      </c>
      <c r="K708" s="106">
        <v>112.547</v>
      </c>
      <c r="L708" s="106">
        <v>-91.21</v>
      </c>
      <c r="M708" s="106">
        <v>51.114999999999988</v>
      </c>
      <c r="N708" s="106">
        <v>-100.74</v>
      </c>
      <c r="O708" s="106">
        <v>23.126999999999999</v>
      </c>
      <c r="P708" s="106">
        <v>-57.671000000000006</v>
      </c>
      <c r="Q708" s="106">
        <v>-75.511999999999986</v>
      </c>
      <c r="R708" s="106">
        <v>-10.571</v>
      </c>
      <c r="S708" s="106">
        <v>38.173000000000002</v>
      </c>
      <c r="T708" s="106">
        <v>-126.536</v>
      </c>
      <c r="U708" s="106">
        <v>-22.739000000000001</v>
      </c>
      <c r="V708" s="106">
        <v>-137.761</v>
      </c>
      <c r="W708" s="106">
        <v>-45.232999999999997</v>
      </c>
      <c r="X708" s="106">
        <v>-144.38900000000001</v>
      </c>
      <c r="Y708" s="106">
        <v>1.4290000000000009</v>
      </c>
      <c r="Z708" s="106">
        <v>-84.097999999999985</v>
      </c>
      <c r="AA708" s="106">
        <v>-13.589</v>
      </c>
      <c r="AB708" s="106">
        <v>-11.843</v>
      </c>
      <c r="AC708" s="106">
        <v>-137.679</v>
      </c>
      <c r="AD708" s="106">
        <v>-11.076000000000001</v>
      </c>
      <c r="AE708" s="106">
        <v>-40.019000000000013</v>
      </c>
      <c r="AF708" s="106">
        <v>-12.135999999999999</v>
      </c>
      <c r="AG708" s="106">
        <v>-12.96200000000001</v>
      </c>
      <c r="AH708" s="106">
        <v>-12.602</v>
      </c>
      <c r="AI708" s="106">
        <v>-165.02</v>
      </c>
      <c r="AJ708" s="106">
        <v>1154.087</v>
      </c>
      <c r="AK708" s="106">
        <v>-588.26499999999999</v>
      </c>
      <c r="AL708" s="106">
        <v>-94.402999999999963</v>
      </c>
      <c r="AM708" s="106">
        <v>-42.494999999999997</v>
      </c>
      <c r="AN708" s="106">
        <v>-72.265999999999991</v>
      </c>
      <c r="AO708" s="106">
        <v>-149.828</v>
      </c>
      <c r="AP708" s="106">
        <v>-1502.204</v>
      </c>
    </row>
    <row r="709" spans="1:42" ht="14.45" customHeight="1" x14ac:dyDescent="0.25">
      <c r="A709" s="111"/>
      <c r="B709" s="211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</row>
    <row r="710" spans="1:42" ht="14.45" customHeight="1" x14ac:dyDescent="0.25">
      <c r="A710" s="113" t="s">
        <v>644</v>
      </c>
      <c r="B710" s="180"/>
      <c r="C710" s="99">
        <v>0</v>
      </c>
      <c r="D710" s="99">
        <v>0</v>
      </c>
      <c r="E710" s="99">
        <v>0</v>
      </c>
      <c r="F710" s="99">
        <v>0</v>
      </c>
      <c r="G710" s="99">
        <v>0</v>
      </c>
      <c r="H710" s="99">
        <v>0</v>
      </c>
      <c r="I710" s="99">
        <v>0</v>
      </c>
      <c r="J710" s="99">
        <v>0</v>
      </c>
      <c r="K710" s="99">
        <v>0</v>
      </c>
      <c r="L710" s="99">
        <v>0</v>
      </c>
      <c r="M710" s="99">
        <v>0</v>
      </c>
      <c r="N710" s="99">
        <v>0</v>
      </c>
      <c r="O710" s="99">
        <v>0</v>
      </c>
      <c r="P710" s="99">
        <v>0</v>
      </c>
      <c r="Q710" s="99">
        <v>0</v>
      </c>
      <c r="R710" s="99">
        <v>0</v>
      </c>
      <c r="S710" s="99">
        <v>0</v>
      </c>
      <c r="T710" s="99">
        <v>0</v>
      </c>
      <c r="U710" s="99">
        <v>0</v>
      </c>
      <c r="V710" s="99">
        <v>0</v>
      </c>
      <c r="W710" s="99">
        <v>0</v>
      </c>
      <c r="X710" s="99">
        <v>0</v>
      </c>
      <c r="Y710" s="99">
        <v>0</v>
      </c>
      <c r="Z710" s="99">
        <v>0</v>
      </c>
      <c r="AA710" s="99">
        <v>0</v>
      </c>
      <c r="AB710" s="99">
        <v>0</v>
      </c>
      <c r="AC710" s="99">
        <v>0</v>
      </c>
      <c r="AD710" s="99">
        <v>0</v>
      </c>
      <c r="AE710" s="99">
        <v>0</v>
      </c>
      <c r="AF710" s="99">
        <v>0</v>
      </c>
      <c r="AG710" s="99">
        <v>0</v>
      </c>
      <c r="AH710" s="99">
        <v>0</v>
      </c>
      <c r="AI710" s="99">
        <v>0</v>
      </c>
      <c r="AJ710" s="99">
        <v>0</v>
      </c>
      <c r="AK710" s="99">
        <v>0</v>
      </c>
      <c r="AL710" s="99">
        <v>0</v>
      </c>
      <c r="AM710" s="99">
        <v>0</v>
      </c>
      <c r="AN710" s="99">
        <v>0</v>
      </c>
      <c r="AO710" s="99">
        <v>0</v>
      </c>
      <c r="AP710" s="99">
        <v>0</v>
      </c>
    </row>
    <row r="711" spans="1:42" ht="14.45" customHeight="1" x14ac:dyDescent="0.25">
      <c r="A711" s="135" t="s">
        <v>645</v>
      </c>
      <c r="B711" s="211"/>
      <c r="C711" s="109">
        <v>-22.897999999999989</v>
      </c>
      <c r="D711" s="109">
        <v>16.722999999999988</v>
      </c>
      <c r="E711" s="109">
        <v>4.8939999999999912</v>
      </c>
      <c r="F711" s="109">
        <v>-32.366999999999997</v>
      </c>
      <c r="G711" s="109">
        <v>10.09</v>
      </c>
      <c r="H711" s="109">
        <v>11.574000000000011</v>
      </c>
      <c r="I711" s="109">
        <v>-31.592000000000009</v>
      </c>
      <c r="J711" s="109">
        <v>4.9800000000000182</v>
      </c>
      <c r="K711" s="109">
        <v>-8.423000000000016</v>
      </c>
      <c r="L711" s="109">
        <v>11.244999999999999</v>
      </c>
      <c r="M711" s="109">
        <v>-10.387</v>
      </c>
      <c r="N711" s="109">
        <v>4.2109999999999843</v>
      </c>
      <c r="O711" s="109">
        <v>-5.0510000000000144</v>
      </c>
      <c r="P711" s="109">
        <v>-2.8049999999999931</v>
      </c>
      <c r="Q711" s="109">
        <v>0.29699999999999699</v>
      </c>
      <c r="R711" s="109">
        <v>3.6249999999999858</v>
      </c>
      <c r="S711" s="109">
        <v>38.133999999999993</v>
      </c>
      <c r="T711" s="109">
        <v>29.802000000000049</v>
      </c>
      <c r="U711" s="109">
        <v>87.272999999999996</v>
      </c>
      <c r="V711" s="109">
        <v>-110.03</v>
      </c>
      <c r="W711" s="109">
        <v>-2.9649999999999892</v>
      </c>
      <c r="X711" s="109">
        <v>2.3760000000000332</v>
      </c>
      <c r="Y711" s="109">
        <v>132.67400000000001</v>
      </c>
      <c r="Z711" s="109">
        <v>-44.564000000000021</v>
      </c>
      <c r="AA711" s="109">
        <v>-15.22900000000004</v>
      </c>
      <c r="AB711" s="109">
        <v>61.718000000000011</v>
      </c>
      <c r="AC711" s="109">
        <v>-25.559000000000001</v>
      </c>
      <c r="AD711" s="109">
        <v>34.404000000000011</v>
      </c>
      <c r="AE711" s="109">
        <v>92.132999999999981</v>
      </c>
      <c r="AF711" s="109">
        <v>140.39099999999999</v>
      </c>
      <c r="AG711" s="109">
        <v>186.04499999999999</v>
      </c>
      <c r="AH711" s="109">
        <v>19.052000000000021</v>
      </c>
      <c r="AI711" s="109">
        <v>-234.00899999999999</v>
      </c>
      <c r="AJ711" s="109">
        <v>1298.028</v>
      </c>
      <c r="AK711" s="109">
        <v>-463.28199999999998</v>
      </c>
      <c r="AL711" s="109">
        <v>-100.182</v>
      </c>
      <c r="AM711" s="109">
        <v>15.980999999999989</v>
      </c>
      <c r="AN711" s="109">
        <v>68.12</v>
      </c>
      <c r="AO711" s="109">
        <v>312.548</v>
      </c>
      <c r="AP711" s="109">
        <v>-1250.5550000000001</v>
      </c>
    </row>
    <row r="712" spans="1:42" ht="14.45" customHeight="1" x14ac:dyDescent="0.25">
      <c r="A712" s="111"/>
      <c r="B712" s="211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</row>
    <row r="713" spans="1:42" ht="14.45" customHeight="1" x14ac:dyDescent="0.25">
      <c r="A713" s="135" t="s">
        <v>646</v>
      </c>
      <c r="B713" s="211"/>
      <c r="C713" s="109">
        <v>55.497999999999948</v>
      </c>
      <c r="D713" s="109">
        <v>32.599999999999973</v>
      </c>
      <c r="E713" s="109">
        <v>49.322999999999958</v>
      </c>
      <c r="F713" s="109">
        <v>54.216999999999949</v>
      </c>
      <c r="G713" s="109">
        <v>21.849999999999952</v>
      </c>
      <c r="H713" s="109">
        <v>31.939999999999959</v>
      </c>
      <c r="I713" s="109">
        <v>43.51399999999996</v>
      </c>
      <c r="J713" s="109">
        <v>11.921999999999951</v>
      </c>
      <c r="K713" s="109">
        <v>16.901999999999969</v>
      </c>
      <c r="L713" s="109">
        <v>8.4789999999999566</v>
      </c>
      <c r="M713" s="109">
        <v>19.723999999999961</v>
      </c>
      <c r="N713" s="109">
        <v>9.3369999999999642</v>
      </c>
      <c r="O713" s="109">
        <v>13.547999999999959</v>
      </c>
      <c r="P713" s="109">
        <v>8.4969999999999448</v>
      </c>
      <c r="Q713" s="109">
        <v>5.6919999999999522</v>
      </c>
      <c r="R713" s="109">
        <v>5.9889999999999493</v>
      </c>
      <c r="S713" s="109">
        <v>9.614000000000047</v>
      </c>
      <c r="T713" s="109">
        <v>47.74800000000004</v>
      </c>
      <c r="U713" s="109">
        <v>77.550000000000097</v>
      </c>
      <c r="V713" s="109">
        <v>164.82300000000009</v>
      </c>
      <c r="W713" s="109">
        <v>54.793000000000021</v>
      </c>
      <c r="X713" s="109">
        <v>51.828000000000031</v>
      </c>
      <c r="Y713" s="109">
        <v>54.204000000000057</v>
      </c>
      <c r="Z713" s="109">
        <v>186.8780000000001</v>
      </c>
      <c r="AA713" s="109">
        <v>142.31399999999999</v>
      </c>
      <c r="AB713" s="109">
        <v>127.08499999999989</v>
      </c>
      <c r="AC713" s="109">
        <v>188.80299999999991</v>
      </c>
      <c r="AD713" s="109">
        <v>163.24399999999989</v>
      </c>
      <c r="AE713" s="109">
        <v>197.64800000000011</v>
      </c>
      <c r="AF713" s="109">
        <v>289.78100000000012</v>
      </c>
      <c r="AG713" s="109">
        <v>430.17200000000003</v>
      </c>
      <c r="AH713" s="109">
        <v>616.21699999999998</v>
      </c>
      <c r="AI713" s="109">
        <v>635.26900000000023</v>
      </c>
      <c r="AJ713" s="109">
        <v>401.26000000000022</v>
      </c>
      <c r="AK713" s="109">
        <v>1699.288</v>
      </c>
      <c r="AL713" s="109">
        <v>1236.0060000000001</v>
      </c>
      <c r="AM713" s="109">
        <v>1135.8240000000001</v>
      </c>
      <c r="AN713" s="109">
        <v>1151.8050000000001</v>
      </c>
      <c r="AO713" s="109">
        <v>1219.925</v>
      </c>
      <c r="AP713" s="109">
        <v>1532.473</v>
      </c>
    </row>
    <row r="714" spans="1:42" ht="14.45" customHeight="1" x14ac:dyDescent="0.25">
      <c r="A714" s="135" t="s">
        <v>647</v>
      </c>
      <c r="B714" s="211"/>
      <c r="C714" s="109">
        <v>32.599999999999973</v>
      </c>
      <c r="D714" s="109">
        <v>49.322999999999958</v>
      </c>
      <c r="E714" s="109">
        <v>54.216999999999949</v>
      </c>
      <c r="F714" s="109">
        <v>21.849999999999941</v>
      </c>
      <c r="G714" s="109">
        <v>31.939999999999959</v>
      </c>
      <c r="H714" s="109">
        <v>43.51399999999996</v>
      </c>
      <c r="I714" s="109">
        <v>11.921999999999951</v>
      </c>
      <c r="J714" s="109">
        <v>16.901999999999969</v>
      </c>
      <c r="K714" s="109">
        <v>8.4789999999999566</v>
      </c>
      <c r="L714" s="109">
        <v>19.723999999999961</v>
      </c>
      <c r="M714" s="109">
        <v>9.3369999999999642</v>
      </c>
      <c r="N714" s="109">
        <v>13.54799999999995</v>
      </c>
      <c r="O714" s="109">
        <v>8.4969999999999448</v>
      </c>
      <c r="P714" s="109">
        <v>5.6919999999999522</v>
      </c>
      <c r="Q714" s="109">
        <v>5.9889999999999493</v>
      </c>
      <c r="R714" s="109">
        <v>9.613999999999935</v>
      </c>
      <c r="S714" s="109">
        <v>47.74800000000004</v>
      </c>
      <c r="T714" s="109">
        <v>77.550000000000097</v>
      </c>
      <c r="U714" s="109">
        <v>164.82300000000009</v>
      </c>
      <c r="V714" s="109">
        <v>54.793000000000127</v>
      </c>
      <c r="W714" s="109">
        <v>51.828000000000031</v>
      </c>
      <c r="X714" s="109">
        <v>54.204000000000057</v>
      </c>
      <c r="Y714" s="109">
        <v>186.8780000000001</v>
      </c>
      <c r="Z714" s="109">
        <v>142.31399999999999</v>
      </c>
      <c r="AA714" s="109">
        <v>127.08499999999989</v>
      </c>
      <c r="AB714" s="109">
        <v>188.80299999999991</v>
      </c>
      <c r="AC714" s="109">
        <v>163.24399999999989</v>
      </c>
      <c r="AD714" s="109">
        <v>197.648</v>
      </c>
      <c r="AE714" s="109">
        <v>289.78100000000012</v>
      </c>
      <c r="AF714" s="109">
        <v>430.17200000000003</v>
      </c>
      <c r="AG714" s="109">
        <v>616.21699999999998</v>
      </c>
      <c r="AH714" s="109">
        <v>635.26900000000001</v>
      </c>
      <c r="AI714" s="109">
        <v>401.26000000000022</v>
      </c>
      <c r="AJ714" s="109">
        <v>1699.288</v>
      </c>
      <c r="AK714" s="109">
        <v>1236.0060000000001</v>
      </c>
      <c r="AL714" s="109">
        <v>1135.8240000000001</v>
      </c>
      <c r="AM714" s="109">
        <v>1151.8050000000001</v>
      </c>
      <c r="AN714" s="109">
        <v>1219.925</v>
      </c>
      <c r="AO714" s="109">
        <v>1532.473</v>
      </c>
      <c r="AP714" s="109">
        <v>281.91799999999989</v>
      </c>
    </row>
    <row r="715" spans="1:42" ht="14.45" customHeight="1" x14ac:dyDescent="0.25">
      <c r="A715" s="111"/>
      <c r="B715" s="211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</row>
    <row r="716" spans="1:42" ht="14.45" customHeight="1" x14ac:dyDescent="0.25">
      <c r="A716" s="296" t="s">
        <v>648</v>
      </c>
      <c r="B716" s="180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</row>
    <row r="717" spans="1:42" ht="14.45" customHeight="1" x14ac:dyDescent="0.25">
      <c r="A717" s="296" t="s">
        <v>649</v>
      </c>
      <c r="B717" s="180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</row>
    <row r="718" spans="1:42" ht="14.45" customHeight="1" x14ac:dyDescent="0.25">
      <c r="A718" s="111"/>
      <c r="B718" s="211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</row>
    <row r="719" spans="1:42" ht="14.45" customHeight="1" x14ac:dyDescent="0.25">
      <c r="A719" s="217" t="s">
        <v>651</v>
      </c>
      <c r="B719" s="217"/>
      <c r="C719" s="218">
        <v>0</v>
      </c>
      <c r="D719" s="218">
        <v>0</v>
      </c>
      <c r="E719" s="218">
        <v>0</v>
      </c>
      <c r="F719" s="218">
        <v>0</v>
      </c>
      <c r="G719" s="218">
        <v>0</v>
      </c>
      <c r="H719" s="218">
        <v>0</v>
      </c>
      <c r="I719" s="218">
        <v>0</v>
      </c>
      <c r="J719" s="218">
        <v>0</v>
      </c>
      <c r="K719" s="218">
        <v>0</v>
      </c>
      <c r="L719" s="218">
        <v>0</v>
      </c>
      <c r="M719" s="218">
        <v>0</v>
      </c>
      <c r="N719" s="218">
        <v>0</v>
      </c>
      <c r="O719" s="218">
        <v>0</v>
      </c>
      <c r="P719" s="218">
        <v>0</v>
      </c>
      <c r="Q719" s="218">
        <v>0</v>
      </c>
      <c r="R719" s="218">
        <v>0</v>
      </c>
      <c r="S719" s="218">
        <v>0</v>
      </c>
      <c r="T719" s="218">
        <v>0</v>
      </c>
      <c r="U719" s="218">
        <v>0</v>
      </c>
      <c r="V719" s="218">
        <v>0</v>
      </c>
      <c r="W719" s="218">
        <v>0</v>
      </c>
      <c r="X719" s="218">
        <v>0</v>
      </c>
      <c r="Y719" s="218">
        <v>0</v>
      </c>
      <c r="Z719" s="218">
        <v>0</v>
      </c>
      <c r="AA719" s="218">
        <v>0</v>
      </c>
      <c r="AB719" s="218">
        <v>0</v>
      </c>
      <c r="AC719" s="218">
        <v>0</v>
      </c>
      <c r="AD719" s="218">
        <v>0</v>
      </c>
      <c r="AE719" s="218">
        <v>0</v>
      </c>
      <c r="AF719" s="218">
        <v>0</v>
      </c>
      <c r="AG719" s="218">
        <v>0</v>
      </c>
      <c r="AH719" s="218">
        <v>0</v>
      </c>
      <c r="AI719" s="218">
        <v>0</v>
      </c>
      <c r="AJ719" s="218">
        <v>0</v>
      </c>
      <c r="AK719" s="218">
        <v>0</v>
      </c>
      <c r="AL719" s="218">
        <v>0</v>
      </c>
      <c r="AM719" s="218">
        <v>0</v>
      </c>
      <c r="AN719" s="218">
        <v>0</v>
      </c>
      <c r="AO719" s="218">
        <v>0</v>
      </c>
      <c r="AP719" s="218">
        <v>0</v>
      </c>
    </row>
    <row r="720" spans="1:42" ht="14.45" customHeight="1" x14ac:dyDescent="0.25">
      <c r="A720" s="111"/>
      <c r="B720" s="211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</row>
    <row r="721" spans="1:42" ht="14.45" customHeight="1" x14ac:dyDescent="0.25">
      <c r="A721" s="297" t="s">
        <v>652</v>
      </c>
      <c r="B721" s="298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</row>
    <row r="722" spans="1:42" ht="14.45" customHeight="1" x14ac:dyDescent="0.25">
      <c r="A722" s="206" t="s">
        <v>653</v>
      </c>
      <c r="B722" s="234"/>
      <c r="C722" s="236">
        <v>0.1154687954504468</v>
      </c>
      <c r="D722" s="236">
        <v>0.13357494299949491</v>
      </c>
      <c r="E722" s="236">
        <v>0.1190212991006562</v>
      </c>
      <c r="F722" s="236">
        <v>0.1155020801995167</v>
      </c>
      <c r="G722" s="236">
        <v>0.11351310134561041</v>
      </c>
      <c r="H722" s="236">
        <v>0.13435461475673191</v>
      </c>
      <c r="I722" s="236">
        <v>0.1188919553195171</v>
      </c>
      <c r="J722" s="236">
        <v>0.1141095939836269</v>
      </c>
      <c r="K722" s="236">
        <v>0.1116451305994199</v>
      </c>
      <c r="L722" s="236">
        <v>0.1185518106193704</v>
      </c>
      <c r="M722" s="236">
        <v>0.11148309122844879</v>
      </c>
      <c r="N722" s="236">
        <v>0.1087821412541802</v>
      </c>
      <c r="O722" s="236">
        <v>0.10941522914348591</v>
      </c>
      <c r="P722" s="236">
        <v>0.1176558003466058</v>
      </c>
      <c r="Q722" s="236">
        <v>0.11198512762190151</v>
      </c>
      <c r="R722" s="236">
        <v>0.1088303464856567</v>
      </c>
      <c r="S722" s="236">
        <v>0.11304056766880589</v>
      </c>
      <c r="T722" s="236">
        <v>0.1111833416010098</v>
      </c>
      <c r="U722" s="236">
        <v>0.1074719994359848</v>
      </c>
      <c r="V722" s="236">
        <v>9.7878381749094384E-2</v>
      </c>
      <c r="W722" s="236">
        <v>0.1047599493200982</v>
      </c>
      <c r="X722" s="236">
        <v>0.1036550595247063</v>
      </c>
      <c r="Y722" s="236">
        <v>0.1017026621746744</v>
      </c>
      <c r="Z722" s="236">
        <v>9.8252220049421912E-2</v>
      </c>
      <c r="AA722" s="236">
        <v>9.6658104003447293E-2</v>
      </c>
      <c r="AB722" s="236">
        <v>0.1076864577331524</v>
      </c>
      <c r="AC722" s="236">
        <v>0.10916539106784</v>
      </c>
      <c r="AD722" s="236">
        <v>9.7782487445083055E-2</v>
      </c>
      <c r="AE722" s="236">
        <v>0.10022312283721679</v>
      </c>
      <c r="AF722" s="236">
        <v>0.1073937730214633</v>
      </c>
      <c r="AG722" s="236">
        <v>9.8328955984485031E-2</v>
      </c>
      <c r="AH722" s="236">
        <v>9.9091684854110212E-2</v>
      </c>
      <c r="AI722" s="236">
        <v>0.1017817023537566</v>
      </c>
      <c r="AJ722" s="236">
        <v>0.1064947266754054</v>
      </c>
      <c r="AK722" s="236">
        <v>0.10199925503122929</v>
      </c>
      <c r="AL722" s="236">
        <v>9.9068135558043238E-2</v>
      </c>
      <c r="AM722" s="236">
        <v>9.9468835015687276E-2</v>
      </c>
      <c r="AN722" s="236">
        <v>0.103504598609917</v>
      </c>
      <c r="AO722" s="236">
        <v>0.1005329612231886</v>
      </c>
      <c r="AP722" s="236">
        <v>9.6801560032401521E-2</v>
      </c>
    </row>
    <row r="723" spans="1:42" ht="14.45" customHeight="1" x14ac:dyDescent="0.25">
      <c r="A723" s="206" t="s">
        <v>654</v>
      </c>
      <c r="B723" s="234"/>
      <c r="C723" s="236">
        <v>4.4560349317635611E-2</v>
      </c>
      <c r="D723" s="236">
        <v>4.6861699728068938E-2</v>
      </c>
      <c r="E723" s="236">
        <v>4.2949528791815128E-2</v>
      </c>
      <c r="F723" s="236">
        <v>4.5479573746019228E-2</v>
      </c>
      <c r="G723" s="236">
        <v>5.3008325202830768E-2</v>
      </c>
      <c r="H723" s="236">
        <v>5.3801272875291128E-2</v>
      </c>
      <c r="I723" s="236">
        <v>4.7521477049594731E-2</v>
      </c>
      <c r="J723" s="236">
        <v>4.2468108097106438E-2</v>
      </c>
      <c r="K723" s="236">
        <v>4.5804927695107571E-2</v>
      </c>
      <c r="L723" s="236">
        <v>4.8557156710437567E-2</v>
      </c>
      <c r="M723" s="236">
        <v>4.9814710564076443E-2</v>
      </c>
      <c r="N723" s="236">
        <v>4.5408966732131788E-2</v>
      </c>
      <c r="O723" s="236">
        <v>4.7242650882305837E-2</v>
      </c>
      <c r="P723" s="236">
        <v>4.8948364222230471E-2</v>
      </c>
      <c r="Q723" s="236">
        <v>4.8441412315738723E-2</v>
      </c>
      <c r="R723" s="236">
        <v>4.680901405952783E-2</v>
      </c>
      <c r="S723" s="236">
        <v>4.6689803535390872E-2</v>
      </c>
      <c r="T723" s="236">
        <v>4.3529625703113313E-2</v>
      </c>
      <c r="U723" s="236">
        <v>4.2336392287254908E-2</v>
      </c>
      <c r="V723" s="236">
        <v>4.5085061840008607E-2</v>
      </c>
      <c r="W723" s="236">
        <v>5.0421878639777137E-2</v>
      </c>
      <c r="X723" s="236">
        <v>4.4787219137095137E-2</v>
      </c>
      <c r="Y723" s="236">
        <v>4.4216670233490928E-2</v>
      </c>
      <c r="Z723" s="236">
        <v>5.4443029068185073E-2</v>
      </c>
      <c r="AA723" s="236">
        <v>4.8493518324304069E-2</v>
      </c>
      <c r="AB723" s="236">
        <v>5.180426341242296E-2</v>
      </c>
      <c r="AC723" s="236">
        <v>5.2018729455479737E-2</v>
      </c>
      <c r="AD723" s="236">
        <v>5.6046994036565649E-2</v>
      </c>
      <c r="AE723" s="236">
        <v>5.2968001682097143E-2</v>
      </c>
      <c r="AF723" s="236">
        <v>5.1271695420876812E-2</v>
      </c>
      <c r="AG723" s="236">
        <v>4.8577276973153859E-2</v>
      </c>
      <c r="AH723" s="236">
        <v>4.8382757792546818E-2</v>
      </c>
      <c r="AI723" s="236">
        <v>5.4104667146749948E-2</v>
      </c>
      <c r="AJ723" s="236">
        <v>5.0252765098790633E-2</v>
      </c>
      <c r="AK723" s="236">
        <v>4.9332586694008723E-2</v>
      </c>
      <c r="AL723" s="236">
        <v>4.7885304264697261E-2</v>
      </c>
      <c r="AM723" s="236">
        <v>4.9391795985724289E-2</v>
      </c>
      <c r="AN723" s="236">
        <v>5.0257044007586453E-2</v>
      </c>
      <c r="AO723" s="236">
        <v>5.0189751280990867E-2</v>
      </c>
      <c r="AP723" s="236">
        <v>4.6541012762077762E-2</v>
      </c>
    </row>
    <row r="724" spans="1:42" ht="14.45" customHeight="1" x14ac:dyDescent="0.25">
      <c r="A724" s="206" t="s">
        <v>655</v>
      </c>
      <c r="B724" s="234"/>
      <c r="C724" s="236">
        <v>7.7450284649655601E-2</v>
      </c>
      <c r="D724" s="236">
        <v>9.4555758437664755E-2</v>
      </c>
      <c r="E724" s="236">
        <v>8.2861829819831381E-2</v>
      </c>
      <c r="F724" s="236">
        <v>7.9829478131609524E-2</v>
      </c>
      <c r="G724" s="236">
        <v>7.9332900360764666E-2</v>
      </c>
      <c r="H724" s="236">
        <v>9.4508212276152359E-2</v>
      </c>
      <c r="I724" s="236">
        <v>8.6150580367455057E-2</v>
      </c>
      <c r="J724" s="236">
        <v>8.5133964957531436E-2</v>
      </c>
      <c r="K724" s="236">
        <v>8.2663696184798408E-2</v>
      </c>
      <c r="L724" s="236">
        <v>9.3225988780861663E-2</v>
      </c>
      <c r="M724" s="236">
        <v>7.1410431593723178E-2</v>
      </c>
      <c r="N724" s="236">
        <v>5.7177121627616768E-2</v>
      </c>
      <c r="O724" s="236">
        <v>6.2035557269092302E-2</v>
      </c>
      <c r="P724" s="236">
        <v>6.7289426404574776E-2</v>
      </c>
      <c r="Q724" s="236">
        <v>6.7450766287409036E-2</v>
      </c>
      <c r="R724" s="236">
        <v>6.1363719709465303E-2</v>
      </c>
      <c r="S724" s="236">
        <v>7.0754379823953384E-2</v>
      </c>
      <c r="T724" s="236">
        <v>7.3381916756662696E-2</v>
      </c>
      <c r="U724" s="236">
        <v>7.546780355398866E-2</v>
      </c>
      <c r="V724" s="236">
        <v>6.4852775625943979E-2</v>
      </c>
      <c r="W724" s="236">
        <v>7.2534482924137084E-2</v>
      </c>
      <c r="X724" s="236">
        <v>7.9699981017177943E-2</v>
      </c>
      <c r="Y724" s="236">
        <v>7.807263525066685E-2</v>
      </c>
      <c r="Z724" s="236">
        <v>8.3590312210909998E-2</v>
      </c>
      <c r="AA724" s="236">
        <v>7.6038555680275358E-2</v>
      </c>
      <c r="AB724" s="236">
        <v>8.9119874170214275E-2</v>
      </c>
      <c r="AC724" s="236">
        <v>8.5106859280845812E-2</v>
      </c>
      <c r="AD724" s="236">
        <v>8.2972999167709102E-2</v>
      </c>
      <c r="AE724" s="236">
        <v>7.8473631886732939E-2</v>
      </c>
      <c r="AF724" s="236">
        <v>8.5492957616704779E-2</v>
      </c>
      <c r="AG724" s="236">
        <v>8.0212447600306686E-2</v>
      </c>
      <c r="AH724" s="236">
        <v>7.8610183746031251E-2</v>
      </c>
      <c r="AI724" s="236">
        <v>8.2934687395955733E-2</v>
      </c>
      <c r="AJ724" s="236">
        <v>9.1701427717590669E-2</v>
      </c>
      <c r="AK724" s="236">
        <v>8.4929682701379988E-2</v>
      </c>
      <c r="AL724" s="236">
        <v>7.5676882932572867E-2</v>
      </c>
      <c r="AM724" s="236">
        <v>8.1777369470999617E-2</v>
      </c>
      <c r="AN724" s="236">
        <v>8.9025011791768791E-2</v>
      </c>
      <c r="AO724" s="236">
        <v>8.3449829908400011E-2</v>
      </c>
      <c r="AP724" s="236">
        <v>7.4923751963702545E-2</v>
      </c>
    </row>
    <row r="725" spans="1:42" ht="14.45" customHeight="1" x14ac:dyDescent="0.25">
      <c r="A725" s="202"/>
      <c r="B725" s="234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  <c r="AA725" s="235"/>
      <c r="AB725" s="235"/>
      <c r="AC725" s="235"/>
      <c r="AD725" s="235"/>
      <c r="AE725" s="235"/>
      <c r="AF725" s="235"/>
      <c r="AG725" s="235"/>
      <c r="AH725" s="235"/>
      <c r="AI725" s="235"/>
      <c r="AJ725" s="235"/>
      <c r="AK725" s="235"/>
      <c r="AL725" s="235"/>
      <c r="AM725" s="235"/>
      <c r="AN725" s="235"/>
      <c r="AO725" s="235"/>
      <c r="AP725" s="235"/>
    </row>
    <row r="726" spans="1:42" ht="14.45" customHeight="1" x14ac:dyDescent="0.25">
      <c r="A726" s="299" t="s">
        <v>656</v>
      </c>
      <c r="B726" s="300"/>
      <c r="C726" s="301">
        <v>1.2045900318368019E-2</v>
      </c>
      <c r="D726" s="301">
        <v>4.7047586384014184E-3</v>
      </c>
      <c r="E726" s="301">
        <v>5.8308958816731954E-3</v>
      </c>
      <c r="F726" s="301">
        <v>1.291187478498064E-2</v>
      </c>
      <c r="G726" s="301">
        <v>-1.955694104836397E-3</v>
      </c>
      <c r="H726" s="301">
        <v>7.7967175723703264E-4</v>
      </c>
      <c r="I726" s="301">
        <v>-1.2934378113904629E-4</v>
      </c>
      <c r="J726" s="301">
        <v>-1.3924862158898039E-3</v>
      </c>
      <c r="K726" s="301">
        <v>-1.867970746190592E-3</v>
      </c>
      <c r="L726" s="301">
        <v>-1.5802804137361539E-2</v>
      </c>
      <c r="M726" s="301">
        <v>-7.4088640910683207E-3</v>
      </c>
      <c r="N726" s="301">
        <v>-5.3274527294466523E-3</v>
      </c>
      <c r="O726" s="301">
        <v>-2.2299014559339909E-3</v>
      </c>
      <c r="P726" s="301">
        <v>-8.9601027276459133E-4</v>
      </c>
      <c r="Q726" s="301">
        <v>5.0203639345264284E-4</v>
      </c>
      <c r="R726" s="301">
        <v>4.8205231476527999E-5</v>
      </c>
      <c r="S726" s="301">
        <v>3.6253385253200709E-3</v>
      </c>
      <c r="T726" s="301">
        <v>-6.4724587455960159E-3</v>
      </c>
      <c r="U726" s="301">
        <v>-4.5131281859166761E-3</v>
      </c>
      <c r="V726" s="301">
        <v>-1.095196473656236E-2</v>
      </c>
      <c r="W726" s="301">
        <v>-8.2806183487077328E-3</v>
      </c>
      <c r="X726" s="301">
        <v>-7.5282820763034747E-3</v>
      </c>
      <c r="Y726" s="301">
        <v>-5.7693372613104171E-3</v>
      </c>
      <c r="Z726" s="301">
        <v>3.7383830032752813E-4</v>
      </c>
      <c r="AA726" s="301">
        <v>-8.1018453166509102E-3</v>
      </c>
      <c r="AB726" s="301">
        <v>4.0313982084460853E-3</v>
      </c>
      <c r="AC726" s="301">
        <v>7.4627288931655988E-3</v>
      </c>
      <c r="AD726" s="301">
        <v>-4.6973260433885722E-4</v>
      </c>
      <c r="AE726" s="301">
        <v>3.5650188337694589E-3</v>
      </c>
      <c r="AF726" s="301">
        <v>-2.9268471168907018E-4</v>
      </c>
      <c r="AG726" s="301">
        <v>-1.0836435083354939E-2</v>
      </c>
      <c r="AH726" s="301">
        <v>1.309197409027157E-3</v>
      </c>
      <c r="AI726" s="301">
        <v>1.5585795165398849E-3</v>
      </c>
      <c r="AJ726" s="301">
        <v>-8.9904634605787737E-4</v>
      </c>
      <c r="AK726" s="301">
        <v>3.6702990467442488E-3</v>
      </c>
      <c r="AL726" s="301">
        <v>-2.3549296066974201E-5</v>
      </c>
      <c r="AM726" s="301">
        <v>-2.31286733806936E-3</v>
      </c>
      <c r="AN726" s="301">
        <v>-2.9901280654883872E-3</v>
      </c>
      <c r="AO726" s="301">
        <v>-1.466293808040711E-3</v>
      </c>
      <c r="AP726" s="301">
        <v>-2.2665755256417171E-3</v>
      </c>
    </row>
    <row r="727" spans="1:42" ht="14.45" customHeight="1" x14ac:dyDescent="0.25">
      <c r="A727" s="299" t="s">
        <v>657</v>
      </c>
      <c r="B727" s="300"/>
      <c r="C727" s="301">
        <v>-5.7582521489250513E-3</v>
      </c>
      <c r="D727" s="301">
        <v>-3.8139518930372369E-3</v>
      </c>
      <c r="E727" s="301">
        <v>-1.305846364480417E-3</v>
      </c>
      <c r="F727" s="301">
        <v>6.6910937476841251E-3</v>
      </c>
      <c r="G727" s="301">
        <v>8.4479758851951567E-3</v>
      </c>
      <c r="H727" s="301">
        <v>6.9395731472221903E-3</v>
      </c>
      <c r="I727" s="301">
        <v>4.5719482577796034E-3</v>
      </c>
      <c r="J727" s="301">
        <v>-3.011465648912796E-3</v>
      </c>
      <c r="K727" s="301">
        <v>-7.2033975077231971E-3</v>
      </c>
      <c r="L727" s="301">
        <v>-5.2441161648535614E-3</v>
      </c>
      <c r="M727" s="301">
        <v>2.2932335144817059E-3</v>
      </c>
      <c r="N727" s="301">
        <v>2.9408586350253489E-3</v>
      </c>
      <c r="O727" s="301">
        <v>1.4377231871982659E-3</v>
      </c>
      <c r="P727" s="301">
        <v>3.912075117929043E-4</v>
      </c>
      <c r="Q727" s="301">
        <v>-1.37329824833772E-3</v>
      </c>
      <c r="R727" s="301">
        <v>1.4000473273960421E-3</v>
      </c>
      <c r="S727" s="301">
        <v>-5.5284734691497112E-4</v>
      </c>
      <c r="T727" s="301">
        <v>-5.4187385191171653E-3</v>
      </c>
      <c r="U727" s="301">
        <v>-6.1050200284838083E-3</v>
      </c>
      <c r="V727" s="301">
        <v>-1.7239522195192159E-3</v>
      </c>
      <c r="W727" s="301">
        <v>3.7320751043862718E-3</v>
      </c>
      <c r="X727" s="301">
        <v>1.2575934339818381E-3</v>
      </c>
      <c r="Y727" s="301">
        <v>1.8802779462360269E-3</v>
      </c>
      <c r="Z727" s="301">
        <v>9.3579672281764517E-3</v>
      </c>
      <c r="AA727" s="301">
        <v>-1.9283603154730681E-3</v>
      </c>
      <c r="AB727" s="301">
        <v>7.0170442753278162E-3</v>
      </c>
      <c r="AC727" s="301">
        <v>7.8020592219888024E-3</v>
      </c>
      <c r="AD727" s="301">
        <v>1.603964968380583E-3</v>
      </c>
      <c r="AE727" s="301">
        <v>4.4744833577930743E-3</v>
      </c>
      <c r="AF727" s="301">
        <v>-5.3256799154614842E-4</v>
      </c>
      <c r="AG727" s="301">
        <v>-3.4414524823258778E-3</v>
      </c>
      <c r="AH727" s="301">
        <v>-7.6642362440188308E-3</v>
      </c>
      <c r="AI727" s="301">
        <v>1.1366654646528041E-3</v>
      </c>
      <c r="AJ727" s="301">
        <v>-1.0189303220861849E-3</v>
      </c>
      <c r="AK727" s="301">
        <v>7.5530972085485759E-4</v>
      </c>
      <c r="AL727" s="301">
        <v>-4.974535278495576E-4</v>
      </c>
      <c r="AM727" s="301">
        <v>-4.7128711610256594E-3</v>
      </c>
      <c r="AN727" s="301">
        <v>4.278908795826708E-6</v>
      </c>
      <c r="AO727" s="301">
        <v>8.5716458698215092E-4</v>
      </c>
      <c r="AP727" s="301">
        <v>-1.344291502619499E-3</v>
      </c>
    </row>
    <row r="728" spans="1:42" ht="14.45" customHeight="1" x14ac:dyDescent="0.25">
      <c r="A728" s="299" t="s">
        <v>658</v>
      </c>
      <c r="B728" s="300"/>
      <c r="C728" s="301">
        <v>1.1924951139628199E-2</v>
      </c>
      <c r="D728" s="301">
        <v>7.41983981083702E-3</v>
      </c>
      <c r="E728" s="301">
        <v>5.4135131110158302E-3</v>
      </c>
      <c r="F728" s="301">
        <v>9.5910432674151669E-3</v>
      </c>
      <c r="G728" s="301">
        <v>1.8826157111090651E-3</v>
      </c>
      <c r="H728" s="301">
        <v>-4.7546161512396212E-5</v>
      </c>
      <c r="I728" s="301">
        <v>3.288750547623676E-3</v>
      </c>
      <c r="J728" s="301">
        <v>5.3044868259219113E-3</v>
      </c>
      <c r="K728" s="301">
        <v>3.330795824033742E-3</v>
      </c>
      <c r="L728" s="301">
        <v>-1.2822234952906959E-3</v>
      </c>
      <c r="M728" s="301">
        <v>-1.474014877373188E-2</v>
      </c>
      <c r="N728" s="301">
        <v>-2.7956843329914671E-2</v>
      </c>
      <c r="O728" s="301">
        <v>-2.0628138915706109E-2</v>
      </c>
      <c r="P728" s="301">
        <v>-2.593656237628689E-2</v>
      </c>
      <c r="Q728" s="301">
        <v>-3.9596653063141418E-3</v>
      </c>
      <c r="R728" s="301">
        <v>4.1865980818485277E-3</v>
      </c>
      <c r="S728" s="301">
        <v>8.7188225548610818E-3</v>
      </c>
      <c r="T728" s="301">
        <v>6.0924903520879203E-3</v>
      </c>
      <c r="U728" s="301">
        <v>8.0170372665796241E-3</v>
      </c>
      <c r="V728" s="301">
        <v>3.489055916478682E-3</v>
      </c>
      <c r="W728" s="301">
        <v>1.7801031001837E-3</v>
      </c>
      <c r="X728" s="301">
        <v>6.3180642605152456E-3</v>
      </c>
      <c r="Y728" s="301">
        <v>2.6048316966781888E-3</v>
      </c>
      <c r="Z728" s="301">
        <v>1.8737536584966019E-2</v>
      </c>
      <c r="AA728" s="301">
        <v>3.504072756138274E-3</v>
      </c>
      <c r="AB728" s="301">
        <v>9.4198931530363322E-3</v>
      </c>
      <c r="AC728" s="301">
        <v>7.0342240301789621E-3</v>
      </c>
      <c r="AD728" s="301">
        <v>-6.1731304320089553E-4</v>
      </c>
      <c r="AE728" s="301">
        <v>2.4350762064575811E-3</v>
      </c>
      <c r="AF728" s="301">
        <v>-3.626916553509496E-3</v>
      </c>
      <c r="AG728" s="301">
        <v>-4.8944116805391263E-3</v>
      </c>
      <c r="AH728" s="301">
        <v>-4.3628154216778514E-3</v>
      </c>
      <c r="AI728" s="301">
        <v>4.4610555092227944E-3</v>
      </c>
      <c r="AJ728" s="301">
        <v>6.2084701008858906E-3</v>
      </c>
      <c r="AK728" s="301">
        <v>4.7172351010733027E-3</v>
      </c>
      <c r="AL728" s="301">
        <v>-2.9333008134583842E-3</v>
      </c>
      <c r="AM728" s="301">
        <v>-1.1573179249561171E-3</v>
      </c>
      <c r="AN728" s="301">
        <v>-2.6764159258218789E-3</v>
      </c>
      <c r="AO728" s="301">
        <v>-1.4798527929799771E-3</v>
      </c>
      <c r="AP728" s="301">
        <v>-7.5313096887032194E-4</v>
      </c>
    </row>
    <row r="729" spans="1:42" ht="14.45" customHeight="1" x14ac:dyDescent="0.25">
      <c r="A729" s="122"/>
      <c r="B729" s="302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</row>
    <row r="730" spans="1:42" ht="14.45" customHeight="1" x14ac:dyDescent="0.25">
      <c r="A730" s="303" t="s">
        <v>659</v>
      </c>
      <c r="B730" s="304"/>
      <c r="C730" s="305"/>
      <c r="D730" s="305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  <c r="AP730" s="305"/>
    </row>
    <row r="731" spans="1:42" ht="14.45" customHeight="1" x14ac:dyDescent="0.25">
      <c r="A731" s="135" t="s">
        <v>660</v>
      </c>
      <c r="B731" s="211"/>
      <c r="C731" s="139">
        <v>525.82000000000005</v>
      </c>
      <c r="D731" s="139">
        <v>638.89599999999996</v>
      </c>
      <c r="E731" s="139">
        <v>706.471</v>
      </c>
      <c r="F731" s="139">
        <v>722.024</v>
      </c>
      <c r="G731" s="139">
        <v>812.98900000000003</v>
      </c>
      <c r="H731" s="139">
        <v>924.17700000000002</v>
      </c>
      <c r="I731" s="139">
        <v>977.553</v>
      </c>
      <c r="J731" s="139">
        <v>939.27</v>
      </c>
      <c r="K731" s="139">
        <v>1031.3879999999999</v>
      </c>
      <c r="L731" s="139">
        <v>1022.325</v>
      </c>
      <c r="M731" s="139">
        <v>1012.423</v>
      </c>
      <c r="N731" s="139">
        <v>998.11699999999996</v>
      </c>
      <c r="O731" s="139">
        <v>990.53200000000004</v>
      </c>
      <c r="P731" s="139">
        <v>970.49900000000002</v>
      </c>
      <c r="Q731" s="139">
        <v>962.40200000000004</v>
      </c>
      <c r="R731" s="139">
        <v>957.197</v>
      </c>
      <c r="S731" s="139">
        <v>997.40300000000002</v>
      </c>
      <c r="T731" s="139">
        <v>984.76900000000001</v>
      </c>
      <c r="U731" s="139">
        <v>985.178</v>
      </c>
      <c r="V731" s="139">
        <v>979.21</v>
      </c>
      <c r="W731" s="139">
        <v>1022.722</v>
      </c>
      <c r="X731" s="139">
        <v>1021.198</v>
      </c>
      <c r="Y731" s="139">
        <v>1020.293</v>
      </c>
      <c r="Z731" s="139">
        <v>1009.325</v>
      </c>
      <c r="AA731" s="139">
        <v>1030.6880000000001</v>
      </c>
      <c r="AB731" s="139">
        <v>1071.731</v>
      </c>
      <c r="AC731" s="139">
        <v>1081.604</v>
      </c>
      <c r="AD731" s="139">
        <v>1082.94</v>
      </c>
      <c r="AE731" s="139">
        <v>1183.73</v>
      </c>
      <c r="AF731" s="139">
        <v>1170.0029999999999</v>
      </c>
      <c r="AG731" s="139">
        <v>1176.3389999999999</v>
      </c>
      <c r="AH731" s="139">
        <v>1204.8430000000001</v>
      </c>
      <c r="AI731" s="139">
        <v>1320.5630000000001</v>
      </c>
      <c r="AJ731" s="139">
        <v>1321.681</v>
      </c>
      <c r="AK731" s="139">
        <v>1366.0540000000001</v>
      </c>
      <c r="AL731" s="139">
        <v>1454.7460000000001</v>
      </c>
      <c r="AM731" s="139">
        <v>1505.2670000000001</v>
      </c>
      <c r="AN731" s="139">
        <v>1537.547</v>
      </c>
      <c r="AO731" s="139">
        <v>1552.3689999999999</v>
      </c>
      <c r="AP731" s="139">
        <v>1543.7929999999999</v>
      </c>
    </row>
    <row r="732" spans="1:42" ht="14.45" customHeight="1" x14ac:dyDescent="0.25">
      <c r="A732" s="125" t="s">
        <v>661</v>
      </c>
      <c r="B732" s="180"/>
      <c r="C732" s="128">
        <v>-23.363</v>
      </c>
      <c r="D732" s="128">
        <v>-26.539000000000001</v>
      </c>
      <c r="E732" s="128">
        <v>-29.997</v>
      </c>
      <c r="F732" s="128">
        <v>-31.713999999999999</v>
      </c>
      <c r="G732" s="128">
        <v>-32.987000000000002</v>
      </c>
      <c r="H732" s="128">
        <v>-37.343000000000004</v>
      </c>
      <c r="I732" s="128">
        <v>-38.366999999999997</v>
      </c>
      <c r="J732" s="128">
        <v>-41.724999999999987</v>
      </c>
      <c r="K732" s="128">
        <v>-41.572000000000003</v>
      </c>
      <c r="L732" s="128">
        <v>-41.085999999999999</v>
      </c>
      <c r="M732" s="128">
        <v>-40.884</v>
      </c>
      <c r="N732" s="128">
        <v>-40.960000000000008</v>
      </c>
      <c r="O732" s="128">
        <v>-39.978999999999999</v>
      </c>
      <c r="P732" s="128">
        <v>-39.337000000000003</v>
      </c>
      <c r="Q732" s="128">
        <v>-39.828999999999994</v>
      </c>
      <c r="R732" s="128">
        <v>-37.741</v>
      </c>
      <c r="S732" s="128">
        <v>-37.798999999999999</v>
      </c>
      <c r="T732" s="128">
        <v>-37.079000000000001</v>
      </c>
      <c r="U732" s="128">
        <v>-42.325000000000003</v>
      </c>
      <c r="V732" s="128">
        <v>-38.732999999999997</v>
      </c>
      <c r="W732" s="128">
        <v>-37.716000000000001</v>
      </c>
      <c r="X732" s="128">
        <v>-38.547999999999988</v>
      </c>
      <c r="Y732" s="128">
        <v>-41.646000000000001</v>
      </c>
      <c r="Z732" s="128">
        <v>-39.409999999999997</v>
      </c>
      <c r="AA732" s="128">
        <v>-37.360999999999997</v>
      </c>
      <c r="AB732" s="128">
        <v>-36.676000000000009</v>
      </c>
      <c r="AC732" s="128">
        <v>-36.624000000000002</v>
      </c>
      <c r="AD732" s="128">
        <v>-37.300999999999988</v>
      </c>
      <c r="AE732" s="128">
        <v>-37.600999999999999</v>
      </c>
      <c r="AF732" s="128">
        <v>-37.814000000000007</v>
      </c>
      <c r="AG732" s="128">
        <v>-38.249000000000002</v>
      </c>
      <c r="AH732" s="128">
        <v>-39.808000000000007</v>
      </c>
      <c r="AI732" s="128">
        <v>-40.887999999999998</v>
      </c>
      <c r="AJ732" s="128">
        <v>-41.795999999999999</v>
      </c>
      <c r="AK732" s="128">
        <v>-42.909000000000013</v>
      </c>
      <c r="AL732" s="128">
        <v>-44.749999999999993</v>
      </c>
      <c r="AM732" s="128">
        <v>-47.511000000000003</v>
      </c>
      <c r="AN732" s="128">
        <v>-48.901999999999987</v>
      </c>
      <c r="AO732" s="128">
        <v>-49.223999999999997</v>
      </c>
      <c r="AP732" s="128">
        <v>-49.443999999999988</v>
      </c>
    </row>
    <row r="733" spans="1:42" ht="14.45" customHeight="1" x14ac:dyDescent="0.25">
      <c r="A733" s="125" t="s">
        <v>662</v>
      </c>
      <c r="B733" s="180"/>
      <c r="C733" s="127">
        <v>36.784999999999997</v>
      </c>
      <c r="D733" s="127">
        <v>42.84</v>
      </c>
      <c r="E733" s="127">
        <v>44.973999999999997</v>
      </c>
      <c r="F733" s="127">
        <v>47.987000000000009</v>
      </c>
      <c r="G733" s="127">
        <v>41.58</v>
      </c>
      <c r="H733" s="127">
        <v>38.027000000000001</v>
      </c>
      <c r="I733" s="127">
        <v>35.345999999999997</v>
      </c>
      <c r="J733" s="127">
        <v>61.648000000000003</v>
      </c>
      <c r="K733" s="127">
        <v>42.048000000000002</v>
      </c>
      <c r="L733" s="127">
        <v>43.230999999999987</v>
      </c>
      <c r="M733" s="127">
        <v>27.824999999999999</v>
      </c>
      <c r="N733" s="127">
        <v>25.131000000000011</v>
      </c>
      <c r="O733" s="127">
        <v>29.315000000000001</v>
      </c>
      <c r="P733" s="127">
        <v>28.265999999999998</v>
      </c>
      <c r="Q733" s="127">
        <v>39.165999999999997</v>
      </c>
      <c r="R733" s="127">
        <v>74.626999999999995</v>
      </c>
      <c r="S733" s="127">
        <v>33.093000000000004</v>
      </c>
      <c r="T733" s="127">
        <v>39.792999999999992</v>
      </c>
      <c r="U733" s="127">
        <v>37.831000000000003</v>
      </c>
      <c r="V733" s="127">
        <v>91.316999999999993</v>
      </c>
      <c r="W733" s="127">
        <v>37.204000000000001</v>
      </c>
      <c r="X733" s="127">
        <v>43.104000000000013</v>
      </c>
      <c r="Y733" s="127">
        <v>39.311999999999998</v>
      </c>
      <c r="Z733" s="127">
        <v>36.073000000000008</v>
      </c>
      <c r="AA733" s="127">
        <v>104.35299999999999</v>
      </c>
      <c r="AB733" s="127">
        <v>40.828999999999994</v>
      </c>
      <c r="AC733" s="127">
        <v>38.747000000000007</v>
      </c>
      <c r="AD733" s="127">
        <v>114.682</v>
      </c>
      <c r="AE733" s="127">
        <v>52.7</v>
      </c>
      <c r="AF733" s="127">
        <v>40.192999999999998</v>
      </c>
      <c r="AG733" s="127">
        <v>59.36699999999999</v>
      </c>
      <c r="AH733" s="127">
        <v>130.04400000000001</v>
      </c>
      <c r="AI733" s="127">
        <v>77.040000000000006</v>
      </c>
      <c r="AJ733" s="127">
        <v>82.36</v>
      </c>
      <c r="AK733" s="127">
        <v>127.93300000000001</v>
      </c>
      <c r="AL733" s="127">
        <v>83.68199999999996</v>
      </c>
      <c r="AM733" s="127">
        <v>97.866</v>
      </c>
      <c r="AN733" s="127">
        <v>59.51700000000001</v>
      </c>
      <c r="AO733" s="127">
        <v>52.61099999999999</v>
      </c>
      <c r="AP733" s="127">
        <v>102.321</v>
      </c>
    </row>
    <row r="734" spans="1:42" ht="14.45" customHeight="1" x14ac:dyDescent="0.25">
      <c r="A734" s="125" t="s">
        <v>663</v>
      </c>
      <c r="B734" s="180"/>
      <c r="C734" s="128">
        <v>99.653999999999996</v>
      </c>
      <c r="D734" s="128">
        <v>51.274000000000001</v>
      </c>
      <c r="E734" s="128">
        <v>0.57599999999999996</v>
      </c>
      <c r="F734" s="128">
        <v>74.691999999999993</v>
      </c>
      <c r="G734" s="128">
        <v>102.595</v>
      </c>
      <c r="H734" s="128">
        <v>52.692</v>
      </c>
      <c r="I734" s="128">
        <v>-35.262</v>
      </c>
      <c r="J734" s="128">
        <v>72.194999999999993</v>
      </c>
      <c r="K734" s="128">
        <v>-9.5389999999999997</v>
      </c>
      <c r="L734" s="128">
        <v>-12.047000000000001</v>
      </c>
      <c r="M734" s="128">
        <v>-1.2470000000000001</v>
      </c>
      <c r="N734" s="128">
        <v>8.2439999999999998</v>
      </c>
      <c r="O734" s="128">
        <v>-9.3689999999999998</v>
      </c>
      <c r="P734" s="128">
        <v>2.9740000000000002</v>
      </c>
      <c r="Q734" s="128">
        <v>-4.5419999999999998</v>
      </c>
      <c r="R734" s="128">
        <v>3.32</v>
      </c>
      <c r="S734" s="128">
        <v>-7.9279999999999999</v>
      </c>
      <c r="T734" s="128">
        <v>-2.3050000000000002</v>
      </c>
      <c r="U734" s="128">
        <v>-1.474</v>
      </c>
      <c r="V734" s="128">
        <v>-9.0719999999999992</v>
      </c>
      <c r="W734" s="128">
        <v>-1.012</v>
      </c>
      <c r="X734" s="128">
        <v>-5.4610000000000003</v>
      </c>
      <c r="Y734" s="128">
        <v>-8.6340000000000003</v>
      </c>
      <c r="Z734" s="128">
        <v>24.7</v>
      </c>
      <c r="AA734" s="128">
        <v>-25.949000000000002</v>
      </c>
      <c r="AB734" s="128">
        <v>5.72</v>
      </c>
      <c r="AC734" s="128">
        <v>-0.78700000000000003</v>
      </c>
      <c r="AD734" s="128">
        <v>23.408999999999999</v>
      </c>
      <c r="AE734" s="128">
        <v>-28.826000000000001</v>
      </c>
      <c r="AF734" s="128">
        <v>3.9569999999999999</v>
      </c>
      <c r="AG734" s="128">
        <v>7.3860000000000001</v>
      </c>
      <c r="AH734" s="128">
        <v>25.484000000000002</v>
      </c>
      <c r="AI734" s="128">
        <v>-35.033999999999999</v>
      </c>
      <c r="AJ734" s="128">
        <v>3.8090000000000002</v>
      </c>
      <c r="AK734" s="128">
        <v>3.6680000000000001</v>
      </c>
      <c r="AL734" s="128">
        <v>11.589</v>
      </c>
      <c r="AM734" s="128">
        <v>-18.074999999999999</v>
      </c>
      <c r="AN734" s="128">
        <v>4.2069999999999999</v>
      </c>
      <c r="AO734" s="128">
        <v>-11.962999999999999</v>
      </c>
      <c r="AP734" s="128">
        <v>7.9349999999999996</v>
      </c>
    </row>
    <row r="735" spans="1:42" ht="14.45" customHeight="1" x14ac:dyDescent="0.25">
      <c r="A735" s="306" t="s">
        <v>664</v>
      </c>
      <c r="B735" s="307"/>
      <c r="C735" s="308">
        <v>638.89599999999996</v>
      </c>
      <c r="D735" s="308">
        <v>706.471</v>
      </c>
      <c r="E735" s="308">
        <v>722.024</v>
      </c>
      <c r="F735" s="308">
        <v>812.98900000000003</v>
      </c>
      <c r="G735" s="308">
        <v>924.17700000000002</v>
      </c>
      <c r="H735" s="308">
        <v>977.553</v>
      </c>
      <c r="I735" s="308">
        <v>939.27</v>
      </c>
      <c r="J735" s="308">
        <v>1031.3879999999999</v>
      </c>
      <c r="K735" s="308">
        <v>1022.325</v>
      </c>
      <c r="L735" s="308">
        <v>1012.423</v>
      </c>
      <c r="M735" s="308">
        <v>998.11699999999996</v>
      </c>
      <c r="N735" s="308">
        <v>990.53200000000004</v>
      </c>
      <c r="O735" s="308">
        <v>970.49900000000002</v>
      </c>
      <c r="P735" s="308">
        <v>962.40200000000004</v>
      </c>
      <c r="Q735" s="308">
        <v>957.197</v>
      </c>
      <c r="R735" s="308">
        <v>997.40300000000002</v>
      </c>
      <c r="S735" s="308">
        <v>984.76900000000001</v>
      </c>
      <c r="T735" s="308">
        <v>985.178</v>
      </c>
      <c r="U735" s="308">
        <v>979.21</v>
      </c>
      <c r="V735" s="308">
        <v>1022.722</v>
      </c>
      <c r="W735" s="308">
        <v>1021.198</v>
      </c>
      <c r="X735" s="308">
        <v>1020.293</v>
      </c>
      <c r="Y735" s="308">
        <v>1009.325</v>
      </c>
      <c r="Z735" s="308">
        <v>1030.6880000000001</v>
      </c>
      <c r="AA735" s="308">
        <v>1071.731</v>
      </c>
      <c r="AB735" s="308">
        <v>1081.604</v>
      </c>
      <c r="AC735" s="308">
        <v>1082.94</v>
      </c>
      <c r="AD735" s="308">
        <v>1183.73</v>
      </c>
      <c r="AE735" s="308">
        <v>1170.0029999999999</v>
      </c>
      <c r="AF735" s="308">
        <v>1176.3389999999999</v>
      </c>
      <c r="AG735" s="308">
        <v>1204.8430000000001</v>
      </c>
      <c r="AH735" s="308">
        <v>1320.5630000000001</v>
      </c>
      <c r="AI735" s="308">
        <v>1321.681</v>
      </c>
      <c r="AJ735" s="308">
        <v>1366.0540000000001</v>
      </c>
      <c r="AK735" s="308">
        <v>1454.7460000000001</v>
      </c>
      <c r="AL735" s="308">
        <v>1505.2670000000001</v>
      </c>
      <c r="AM735" s="308">
        <v>1537.547</v>
      </c>
      <c r="AN735" s="308">
        <v>1552.3689999999999</v>
      </c>
      <c r="AO735" s="308">
        <v>1543.7929999999999</v>
      </c>
      <c r="AP735" s="308">
        <v>1604.605</v>
      </c>
    </row>
    <row r="736" spans="1:42" ht="14.45" customHeight="1" x14ac:dyDescent="0.25">
      <c r="A736" s="122"/>
      <c r="B736" s="302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</row>
    <row r="737" spans="1:42" ht="14.45" customHeight="1" x14ac:dyDescent="0.25">
      <c r="A737" s="135" t="s">
        <v>665</v>
      </c>
      <c r="B737" s="211"/>
      <c r="C737" s="139">
        <v>663.98799999999994</v>
      </c>
      <c r="D737" s="139">
        <v>664.26099999999997</v>
      </c>
      <c r="E737" s="139">
        <v>693.50699999999995</v>
      </c>
      <c r="F737" s="139">
        <v>692.447</v>
      </c>
      <c r="G737" s="139">
        <v>778.45499999999993</v>
      </c>
      <c r="H737" s="139">
        <v>807.55499999999995</v>
      </c>
      <c r="I737" s="139">
        <v>811.81</v>
      </c>
      <c r="J737" s="139">
        <v>743.03899999999999</v>
      </c>
      <c r="K737" s="139">
        <v>931.67200000000003</v>
      </c>
      <c r="L737" s="139">
        <v>925.26099999999997</v>
      </c>
      <c r="M737" s="139">
        <v>923.99699999999996</v>
      </c>
      <c r="N737" s="139">
        <v>918.77200000000005</v>
      </c>
      <c r="O737" s="139">
        <v>916.86500000000001</v>
      </c>
      <c r="P737" s="139">
        <v>910.29100000000005</v>
      </c>
      <c r="Q737" s="139">
        <v>903.80000000000007</v>
      </c>
      <c r="R737" s="139">
        <v>897.27</v>
      </c>
      <c r="S737" s="139">
        <v>890.73900000000003</v>
      </c>
      <c r="T737" s="139">
        <v>884.20799999999997</v>
      </c>
      <c r="U737" s="139">
        <v>877.678</v>
      </c>
      <c r="V737" s="139">
        <v>872.26700000000005</v>
      </c>
      <c r="W737" s="139">
        <v>866.55700000000002</v>
      </c>
      <c r="X737" s="139">
        <v>859.99</v>
      </c>
      <c r="Y737" s="139">
        <v>853.40899999999999</v>
      </c>
      <c r="Z737" s="139">
        <v>846.82799999999997</v>
      </c>
      <c r="AA737" s="139">
        <v>847.74300000000005</v>
      </c>
      <c r="AB737" s="139">
        <v>871.21799999999996</v>
      </c>
      <c r="AC737" s="139">
        <v>864.54500000000007</v>
      </c>
      <c r="AD737" s="139">
        <v>857.87199999999996</v>
      </c>
      <c r="AE737" s="139">
        <v>851.19999999999993</v>
      </c>
      <c r="AF737" s="139">
        <v>844.52600000000007</v>
      </c>
      <c r="AG737" s="139">
        <v>837.89800000000002</v>
      </c>
      <c r="AH737" s="139">
        <v>831.27</v>
      </c>
      <c r="AI737" s="139">
        <v>824.64200000000005</v>
      </c>
      <c r="AJ737" s="139">
        <v>818.01299999999992</v>
      </c>
      <c r="AK737" s="139">
        <v>811.38499999999999</v>
      </c>
      <c r="AL737" s="139">
        <v>804.75800000000004</v>
      </c>
      <c r="AM737" s="139">
        <v>798.13</v>
      </c>
      <c r="AN737" s="139">
        <v>791.50199999999995</v>
      </c>
      <c r="AO737" s="139">
        <v>784.87300000000005</v>
      </c>
      <c r="AP737" s="139">
        <v>778.245</v>
      </c>
    </row>
    <row r="738" spans="1:42" ht="14.45" customHeight="1" x14ac:dyDescent="0.25">
      <c r="A738" s="125" t="s">
        <v>666</v>
      </c>
      <c r="B738" s="180"/>
      <c r="C738" s="128">
        <v>-1.026</v>
      </c>
      <c r="D738" s="128">
        <v>-1.401</v>
      </c>
      <c r="E738" s="128">
        <v>-1.06</v>
      </c>
      <c r="F738" s="128">
        <v>-1.5229999999999999</v>
      </c>
      <c r="G738" s="128">
        <v>-1.994</v>
      </c>
      <c r="H738" s="128">
        <v>-4.7229999999999999</v>
      </c>
      <c r="I738" s="128">
        <v>-4.8789999999999996</v>
      </c>
      <c r="J738" s="128">
        <v>-6.8230000000000004</v>
      </c>
      <c r="K738" s="128">
        <v>-5.6479999999999997</v>
      </c>
      <c r="L738" s="128">
        <v>-5.6010000000000009</v>
      </c>
      <c r="M738" s="128">
        <v>-5.7050000000000001</v>
      </c>
      <c r="N738" s="128">
        <v>-5.8000000000000007</v>
      </c>
      <c r="O738" s="128">
        <v>-5.7930000000000001</v>
      </c>
      <c r="P738" s="128">
        <v>-5.7190000000000003</v>
      </c>
      <c r="Q738" s="128">
        <v>-5.7590000000000003</v>
      </c>
      <c r="R738" s="128">
        <v>-5.7590000000000003</v>
      </c>
      <c r="S738" s="128">
        <v>-5.76</v>
      </c>
      <c r="T738" s="128">
        <v>-5.7580000000000009</v>
      </c>
      <c r="U738" s="128">
        <v>-5.7680000000000007</v>
      </c>
      <c r="V738" s="128">
        <v>-5.7949999999999982</v>
      </c>
      <c r="W738" s="128">
        <v>-5.81</v>
      </c>
      <c r="X738" s="128">
        <v>-5.8090000000000002</v>
      </c>
      <c r="Y738" s="128">
        <v>-5.8120000000000012</v>
      </c>
      <c r="Z738" s="128">
        <v>-5.8140000000000001</v>
      </c>
      <c r="AA738" s="128">
        <v>-5.9080000000000004</v>
      </c>
      <c r="AB738" s="128">
        <v>-5.9069999999999991</v>
      </c>
      <c r="AC738" s="128">
        <v>-5.9070000000000018</v>
      </c>
      <c r="AD738" s="128">
        <v>-5.9059999999999988</v>
      </c>
      <c r="AE738" s="128">
        <v>-5.9080000000000004</v>
      </c>
      <c r="AF738" s="128">
        <v>-5.8619999999999992</v>
      </c>
      <c r="AG738" s="128">
        <v>-5.8620000000000019</v>
      </c>
      <c r="AH738" s="128">
        <v>-5.8619999999999983</v>
      </c>
      <c r="AI738" s="128">
        <v>-5.8630000000000004</v>
      </c>
      <c r="AJ738" s="128">
        <v>-5.8619999999999992</v>
      </c>
      <c r="AK738" s="128">
        <v>-5.8609999999999989</v>
      </c>
      <c r="AL738" s="128">
        <v>-5.8620000000000019</v>
      </c>
      <c r="AM738" s="128">
        <v>-5.8620000000000001</v>
      </c>
      <c r="AN738" s="128">
        <v>-5.8630000000000004</v>
      </c>
      <c r="AO738" s="128">
        <v>-5.8620000000000001</v>
      </c>
      <c r="AP738" s="128">
        <v>-5.8620000000000019</v>
      </c>
    </row>
    <row r="739" spans="1:42" ht="14.45" customHeight="1" x14ac:dyDescent="0.25">
      <c r="A739" s="125" t="s">
        <v>667</v>
      </c>
      <c r="B739" s="180"/>
      <c r="C739" s="127">
        <v>0</v>
      </c>
      <c r="D739" s="127">
        <v>0</v>
      </c>
      <c r="E739" s="127">
        <v>0</v>
      </c>
      <c r="F739" s="127">
        <v>0</v>
      </c>
      <c r="G739" s="127">
        <v>0</v>
      </c>
      <c r="H739" s="127">
        <v>0</v>
      </c>
      <c r="I739" s="127">
        <v>0</v>
      </c>
      <c r="J739" s="127">
        <v>0</v>
      </c>
      <c r="K739" s="127">
        <v>0</v>
      </c>
      <c r="L739" s="127">
        <v>0</v>
      </c>
      <c r="M739" s="127">
        <v>0</v>
      </c>
      <c r="N739" s="127">
        <v>0</v>
      </c>
      <c r="O739" s="127">
        <v>0</v>
      </c>
      <c r="P739" s="127">
        <v>0</v>
      </c>
      <c r="Q739" s="127">
        <v>0</v>
      </c>
      <c r="R739" s="127">
        <v>0</v>
      </c>
      <c r="S739" s="127">
        <v>0</v>
      </c>
      <c r="T739" s="127">
        <v>0</v>
      </c>
      <c r="U739" s="127">
        <v>0</v>
      </c>
      <c r="V739" s="127">
        <v>0</v>
      </c>
      <c r="W739" s="127">
        <v>0</v>
      </c>
      <c r="X739" s="127">
        <v>0</v>
      </c>
      <c r="Y739" s="127">
        <v>0</v>
      </c>
      <c r="Z739" s="127">
        <v>0</v>
      </c>
      <c r="AA739" s="127">
        <v>0</v>
      </c>
      <c r="AB739" s="127">
        <v>0</v>
      </c>
      <c r="AC739" s="127">
        <v>0</v>
      </c>
      <c r="AD739" s="127">
        <v>0</v>
      </c>
      <c r="AE739" s="127">
        <v>0</v>
      </c>
      <c r="AF739" s="127">
        <v>0</v>
      </c>
      <c r="AG739" s="127">
        <v>0</v>
      </c>
      <c r="AH739" s="127">
        <v>0</v>
      </c>
      <c r="AI739" s="127">
        <v>0</v>
      </c>
      <c r="AJ739" s="127">
        <v>0</v>
      </c>
      <c r="AK739" s="127">
        <v>0</v>
      </c>
      <c r="AL739" s="127">
        <v>0</v>
      </c>
      <c r="AM739" s="127">
        <v>0</v>
      </c>
      <c r="AN739" s="127">
        <v>0</v>
      </c>
      <c r="AO739" s="127">
        <v>0</v>
      </c>
      <c r="AP739" s="127">
        <v>0</v>
      </c>
    </row>
    <row r="740" spans="1:42" ht="14.45" customHeight="1" x14ac:dyDescent="0.25">
      <c r="A740" s="125" t="s">
        <v>668</v>
      </c>
      <c r="B740" s="180"/>
      <c r="C740" s="128">
        <v>1.2989999999999999</v>
      </c>
      <c r="D740" s="128">
        <v>30.646999999999998</v>
      </c>
      <c r="E740" s="128">
        <v>0</v>
      </c>
      <c r="F740" s="128">
        <v>87.531000000000006</v>
      </c>
      <c r="G740" s="128">
        <v>31.094000000000001</v>
      </c>
      <c r="H740" s="128">
        <v>8.9779999999999998</v>
      </c>
      <c r="I740" s="128">
        <v>-63.892000000000003</v>
      </c>
      <c r="J740" s="128">
        <v>195.45599999999999</v>
      </c>
      <c r="K740" s="128">
        <v>-0.76300000000000001</v>
      </c>
      <c r="L740" s="128">
        <v>4.3369999999999997</v>
      </c>
      <c r="M740" s="128">
        <v>0.48</v>
      </c>
      <c r="N740" s="128">
        <v>3.8929999999999998</v>
      </c>
      <c r="O740" s="128">
        <v>-0.78100000000000003</v>
      </c>
      <c r="P740" s="128">
        <v>-0.77200000000000002</v>
      </c>
      <c r="Q740" s="128">
        <v>-0.77100000000000002</v>
      </c>
      <c r="R740" s="128">
        <v>-0.77200000000000002</v>
      </c>
      <c r="S740" s="128">
        <v>-0.77100000000000002</v>
      </c>
      <c r="T740" s="128">
        <v>-0.77200000000000002</v>
      </c>
      <c r="U740" s="128">
        <v>0.35699999999999998</v>
      </c>
      <c r="V740" s="128">
        <v>8.5000000000000006E-2</v>
      </c>
      <c r="W740" s="128">
        <v>-0.75700000000000001</v>
      </c>
      <c r="X740" s="128">
        <v>-0.77200000000000002</v>
      </c>
      <c r="Y740" s="128">
        <v>-0.76900000000000002</v>
      </c>
      <c r="Z740" s="128">
        <v>6.7290000000000001</v>
      </c>
      <c r="AA740" s="128">
        <v>29.382999999999999</v>
      </c>
      <c r="AB740" s="128">
        <v>-0.76600000000000001</v>
      </c>
      <c r="AC740" s="128">
        <v>-0.76600000000000001</v>
      </c>
      <c r="AD740" s="128">
        <v>-0.76600000000000001</v>
      </c>
      <c r="AE740" s="128">
        <v>-0.76600000000000001</v>
      </c>
      <c r="AF740" s="128">
        <v>-0.76600000000000001</v>
      </c>
      <c r="AG740" s="128">
        <v>-0.76600000000000001</v>
      </c>
      <c r="AH740" s="128">
        <v>-0.76600000000000001</v>
      </c>
      <c r="AI740" s="128">
        <v>-0.76600000000000001</v>
      </c>
      <c r="AJ740" s="128">
        <v>-0.76600000000000001</v>
      </c>
      <c r="AK740" s="128">
        <v>-0.76600000000000001</v>
      </c>
      <c r="AL740" s="128">
        <v>-0.76600000000000001</v>
      </c>
      <c r="AM740" s="128">
        <v>-0.76600000000000001</v>
      </c>
      <c r="AN740" s="128">
        <v>-0.76600000000000001</v>
      </c>
      <c r="AO740" s="128">
        <v>-0.76600000000000001</v>
      </c>
      <c r="AP740" s="128">
        <v>-0.76600000000000001</v>
      </c>
    </row>
    <row r="741" spans="1:42" ht="14.45" customHeight="1" x14ac:dyDescent="0.25">
      <c r="A741" s="306" t="s">
        <v>669</v>
      </c>
      <c r="B741" s="307"/>
      <c r="C741" s="308">
        <v>664.26099999999997</v>
      </c>
      <c r="D741" s="308">
        <v>693.50699999999995</v>
      </c>
      <c r="E741" s="308">
        <v>692.447</v>
      </c>
      <c r="F741" s="308">
        <v>778.45499999999993</v>
      </c>
      <c r="G741" s="308">
        <v>807.55499999999995</v>
      </c>
      <c r="H741" s="308">
        <v>811.81</v>
      </c>
      <c r="I741" s="308">
        <v>743.03899999999999</v>
      </c>
      <c r="J741" s="308">
        <v>931.67200000000003</v>
      </c>
      <c r="K741" s="308">
        <v>925.26099999999997</v>
      </c>
      <c r="L741" s="308">
        <v>923.99699999999996</v>
      </c>
      <c r="M741" s="308">
        <v>918.77200000000005</v>
      </c>
      <c r="N741" s="308">
        <v>916.86500000000001</v>
      </c>
      <c r="O741" s="308">
        <v>910.29100000000005</v>
      </c>
      <c r="P741" s="308">
        <v>903.80000000000007</v>
      </c>
      <c r="Q741" s="308">
        <v>897.27</v>
      </c>
      <c r="R741" s="308">
        <v>890.73900000000003</v>
      </c>
      <c r="S741" s="308">
        <v>884.20799999999997</v>
      </c>
      <c r="T741" s="308">
        <v>877.678</v>
      </c>
      <c r="U741" s="308">
        <v>872.26700000000005</v>
      </c>
      <c r="V741" s="308">
        <v>866.55700000000002</v>
      </c>
      <c r="W741" s="308">
        <v>859.99</v>
      </c>
      <c r="X741" s="308">
        <v>853.40899999999999</v>
      </c>
      <c r="Y741" s="308">
        <v>846.82799999999997</v>
      </c>
      <c r="Z741" s="308">
        <v>847.74300000000005</v>
      </c>
      <c r="AA741" s="308">
        <v>871.21799999999996</v>
      </c>
      <c r="AB741" s="308">
        <v>864.54500000000007</v>
      </c>
      <c r="AC741" s="308">
        <v>857.87199999999996</v>
      </c>
      <c r="AD741" s="308">
        <v>851.19999999999993</v>
      </c>
      <c r="AE741" s="308">
        <v>844.52600000000007</v>
      </c>
      <c r="AF741" s="308">
        <v>837.89800000000002</v>
      </c>
      <c r="AG741" s="308">
        <v>831.27</v>
      </c>
      <c r="AH741" s="308">
        <v>824.64200000000005</v>
      </c>
      <c r="AI741" s="308">
        <v>818.01299999999992</v>
      </c>
      <c r="AJ741" s="308">
        <v>811.38499999999999</v>
      </c>
      <c r="AK741" s="308">
        <v>804.75800000000004</v>
      </c>
      <c r="AL741" s="308">
        <v>798.13</v>
      </c>
      <c r="AM741" s="308">
        <v>791.50199999999995</v>
      </c>
      <c r="AN741" s="308">
        <v>784.87300000000005</v>
      </c>
      <c r="AO741" s="308">
        <v>778.245</v>
      </c>
      <c r="AP741" s="308">
        <v>771.61699999999996</v>
      </c>
    </row>
    <row r="742" spans="1:42" ht="14.45" customHeight="1" x14ac:dyDescent="0.25">
      <c r="A742" s="122"/>
      <c r="B742" s="302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</row>
    <row r="743" spans="1:42" ht="14.45" customHeight="1" x14ac:dyDescent="0.25">
      <c r="A743" s="309" t="s">
        <v>670</v>
      </c>
      <c r="B743" s="204"/>
      <c r="C743" s="310">
        <v>0.17772621809744779</v>
      </c>
      <c r="D743" s="310">
        <v>0.16615536800981701</v>
      </c>
      <c r="E743" s="310">
        <v>0.16984136645382469</v>
      </c>
      <c r="F743" s="310">
        <v>0.17569499074823</v>
      </c>
      <c r="G743" s="310">
        <v>0.1622998589156803</v>
      </c>
      <c r="H743" s="310">
        <v>0.1616270476326504</v>
      </c>
      <c r="I743" s="310">
        <v>0.15699199941077371</v>
      </c>
      <c r="J743" s="310">
        <v>0.17769118570804979</v>
      </c>
      <c r="K743" s="310">
        <v>0.1612273945401731</v>
      </c>
      <c r="L743" s="310">
        <v>0.16075514146675471</v>
      </c>
      <c r="M743" s="310">
        <v>0.16152932124220809</v>
      </c>
      <c r="N743" s="310">
        <v>0.1641490927416325</v>
      </c>
      <c r="O743" s="310">
        <v>0.16144455706630381</v>
      </c>
      <c r="P743" s="310">
        <v>0.16213102744052291</v>
      </c>
      <c r="Q743" s="310">
        <v>0.16553997186207009</v>
      </c>
      <c r="R743" s="310">
        <v>0.1577146606184516</v>
      </c>
      <c r="S743" s="310">
        <v>0.15325549903649219</v>
      </c>
      <c r="T743" s="310">
        <v>0.1522649942817515</v>
      </c>
      <c r="U743" s="310">
        <v>0.1737355478506824</v>
      </c>
      <c r="V743" s="310">
        <v>0.15322495739046349</v>
      </c>
      <c r="W743" s="310">
        <v>0.14630968184392501</v>
      </c>
      <c r="X743" s="310">
        <v>0.1514060979316493</v>
      </c>
      <c r="Y743" s="310">
        <v>0.16371929274399449</v>
      </c>
      <c r="Z743" s="310">
        <v>0.1566126638328357</v>
      </c>
      <c r="AA743" s="310">
        <v>0.14539274779522071</v>
      </c>
      <c r="AB743" s="310">
        <v>0.13576918413133601</v>
      </c>
      <c r="AC743" s="310">
        <v>0.13732444283366799</v>
      </c>
      <c r="AD743" s="310">
        <v>0.13665361242864629</v>
      </c>
      <c r="AE743" s="310">
        <v>0.12882409370755529</v>
      </c>
      <c r="AF743" s="310">
        <v>0.12963346116338029</v>
      </c>
      <c r="AG743" s="310">
        <v>0.13041845818366871</v>
      </c>
      <c r="AH743" s="310">
        <v>0.1296730768446438</v>
      </c>
      <c r="AI743" s="310">
        <v>0.12732914469311249</v>
      </c>
      <c r="AJ743" s="310">
        <v>0.1271884769521491</v>
      </c>
      <c r="AK743" s="310">
        <v>0.1263339918810347</v>
      </c>
      <c r="AL743" s="310">
        <v>0.1185122785406488</v>
      </c>
      <c r="AM743" s="310">
        <v>0.13242020094819701</v>
      </c>
      <c r="AN743" s="310">
        <v>0.12757033418515629</v>
      </c>
      <c r="AO743" s="310">
        <v>0.12718427324748369</v>
      </c>
      <c r="AP743" s="310">
        <v>0.1217716418803125</v>
      </c>
    </row>
    <row r="744" spans="1:42" ht="14.45" customHeight="1" x14ac:dyDescent="0.25">
      <c r="A744" s="309" t="s">
        <v>671</v>
      </c>
      <c r="B744" s="204"/>
      <c r="C744" s="310">
        <v>6.1808345933962667E-3</v>
      </c>
      <c r="D744" s="310">
        <v>8.4364429042198784E-3</v>
      </c>
      <c r="E744" s="310">
        <v>6.113853212728928E-3</v>
      </c>
      <c r="F744" s="310">
        <v>8.7977852456577882E-3</v>
      </c>
      <c r="G744" s="310">
        <v>1.0245935860133211E-2</v>
      </c>
      <c r="H744" s="310">
        <v>2.3394072230374399E-2</v>
      </c>
      <c r="I744" s="310">
        <v>2.404010790702258E-2</v>
      </c>
      <c r="J744" s="310">
        <v>3.6730238924201818E-2</v>
      </c>
      <c r="K744" s="310">
        <v>2.4248877287285649E-2</v>
      </c>
      <c r="L744" s="310">
        <v>2.4213708348239039E-2</v>
      </c>
      <c r="M744" s="310">
        <v>2.4697049882196589E-2</v>
      </c>
      <c r="N744" s="310">
        <v>2.5251096028176739E-2</v>
      </c>
      <c r="O744" s="310">
        <v>2.527307727964314E-2</v>
      </c>
      <c r="P744" s="310">
        <v>2.5130425325527769E-2</v>
      </c>
      <c r="Q744" s="310">
        <v>2.5487939809692411E-2</v>
      </c>
      <c r="R744" s="310">
        <v>2.5673431631504449E-2</v>
      </c>
      <c r="S744" s="310">
        <v>2.6150406362791812E-2</v>
      </c>
      <c r="T744" s="310">
        <v>2.633441328409029E-2</v>
      </c>
      <c r="U744" s="310">
        <v>2.6576419212442901E-2</v>
      </c>
      <c r="V744" s="310">
        <v>2.5735239324656319E-2</v>
      </c>
      <c r="W744" s="310">
        <v>2.66001468781175E-2</v>
      </c>
      <c r="X744" s="310">
        <v>2.709314662360628E-2</v>
      </c>
      <c r="Y744" s="310">
        <v>2.731617329072946E-2</v>
      </c>
      <c r="Z744" s="310">
        <v>2.7537929910076319E-2</v>
      </c>
      <c r="AA744" s="310">
        <v>2.795295635224718E-2</v>
      </c>
      <c r="AB744" s="310">
        <v>2.689955950724458E-2</v>
      </c>
      <c r="AC744" s="310">
        <v>2.7709565918103359E-2</v>
      </c>
      <c r="AD744" s="310">
        <v>2.731341393993306E-2</v>
      </c>
      <c r="AE744" s="310">
        <v>2.814875730994152E-2</v>
      </c>
      <c r="AF744" s="310">
        <v>2.7840963549278029E-2</v>
      </c>
      <c r="AG744" s="310">
        <v>2.8061193107535271E-2</v>
      </c>
      <c r="AH744" s="310">
        <v>2.7676656433587622E-2</v>
      </c>
      <c r="AI744" s="310">
        <v>2.92378559968372E-2</v>
      </c>
      <c r="AJ744" s="310">
        <v>2.8822078823729169E-2</v>
      </c>
      <c r="AK744" s="310">
        <v>2.905256220759958E-2</v>
      </c>
      <c r="AL744" s="310">
        <v>2.806325170522005E-2</v>
      </c>
      <c r="AM744" s="310">
        <v>3.0813837690428961E-2</v>
      </c>
      <c r="AN744" s="310">
        <v>2.971114232361835E-2</v>
      </c>
      <c r="AO744" s="310">
        <v>2.995697085059313E-2</v>
      </c>
      <c r="AP744" s="310">
        <v>2.8638555339256931E-2</v>
      </c>
    </row>
    <row r="745" spans="1:42" ht="14.45" customHeight="1" x14ac:dyDescent="0.25">
      <c r="A745" s="177" t="s">
        <v>672</v>
      </c>
      <c r="B745" s="311"/>
      <c r="C745" s="312">
        <v>5.6266318537859012</v>
      </c>
      <c r="D745" s="312">
        <v>6.0184633934963632</v>
      </c>
      <c r="E745" s="312">
        <v>5.8878471180451379</v>
      </c>
      <c r="F745" s="312">
        <v>5.6916819070442077</v>
      </c>
      <c r="G745" s="312">
        <v>6.1614348076514993</v>
      </c>
      <c r="H745" s="312">
        <v>6.1870832552285586</v>
      </c>
      <c r="I745" s="312">
        <v>6.3697513488153872</v>
      </c>
      <c r="J745" s="312">
        <v>5.6277411623726792</v>
      </c>
      <c r="K745" s="312">
        <v>6.2024198980082748</v>
      </c>
      <c r="L745" s="312">
        <v>6.2206408508981159</v>
      </c>
      <c r="M745" s="312">
        <v>6.1908264846883867</v>
      </c>
      <c r="N745" s="312">
        <v>6.0920227050781248</v>
      </c>
      <c r="O745" s="312">
        <v>6.1940768903674437</v>
      </c>
      <c r="P745" s="312">
        <v>6.167850878307954</v>
      </c>
      <c r="Q745" s="312">
        <v>6.0408370785106342</v>
      </c>
      <c r="R745" s="312">
        <v>6.3405646379269234</v>
      </c>
      <c r="S745" s="312">
        <v>6.5250513442384603</v>
      </c>
      <c r="T745" s="312">
        <v>6.5674977017343688</v>
      </c>
      <c r="U745" s="312">
        <v>5.7558744446441867</v>
      </c>
      <c r="V745" s="312">
        <v>6.5263519535639194</v>
      </c>
      <c r="W745" s="312">
        <v>6.8348176784824428</v>
      </c>
      <c r="X745" s="312">
        <v>6.6047537956591391</v>
      </c>
      <c r="Y745" s="312">
        <v>6.1080156360294433</v>
      </c>
      <c r="Z745" s="312">
        <v>6.38517968807027</v>
      </c>
      <c r="AA745" s="312">
        <v>6.8779221464914899</v>
      </c>
      <c r="AB745" s="312">
        <v>7.3654416235767606</v>
      </c>
      <c r="AC745" s="312">
        <v>7.2820248119355826</v>
      </c>
      <c r="AD745" s="312">
        <v>7.3177721556548709</v>
      </c>
      <c r="AE745" s="312">
        <v>7.7625230748380716</v>
      </c>
      <c r="AF745" s="312">
        <v>7.7140577056696387</v>
      </c>
      <c r="AG745" s="312">
        <v>7.6676263001951526</v>
      </c>
      <c r="AH745" s="312">
        <v>7.7117010279478473</v>
      </c>
      <c r="AI745" s="312">
        <v>7.8536614881863089</v>
      </c>
      <c r="AJ745" s="312">
        <v>7.8623474701738916</v>
      </c>
      <c r="AK745" s="312">
        <v>7.9155260204369462</v>
      </c>
      <c r="AL745" s="312">
        <v>8.4379442561895193</v>
      </c>
      <c r="AM745" s="312">
        <v>7.5517178862400423</v>
      </c>
      <c r="AN745" s="312">
        <v>7.8388130468373163</v>
      </c>
      <c r="AO745" s="312">
        <v>7.8626073371047411</v>
      </c>
      <c r="AP745" s="312">
        <v>8.2120926067736253</v>
      </c>
    </row>
    <row r="746" spans="1:42" ht="14.45" customHeight="1" x14ac:dyDescent="0.25">
      <c r="A746" s="177" t="s">
        <v>673</v>
      </c>
      <c r="B746" s="311"/>
      <c r="C746" s="312">
        <v>161.7904483430799</v>
      </c>
      <c r="D746" s="312">
        <v>118.533369022127</v>
      </c>
      <c r="E746" s="312">
        <v>163.56297169811319</v>
      </c>
      <c r="F746" s="312">
        <v>113.6649704530532</v>
      </c>
      <c r="G746" s="312">
        <v>97.599674022066196</v>
      </c>
      <c r="H746" s="312">
        <v>42.745871268261688</v>
      </c>
      <c r="I746" s="312">
        <v>41.59715105554416</v>
      </c>
      <c r="J746" s="312">
        <v>27.225523963066099</v>
      </c>
      <c r="K746" s="312">
        <v>41.239022662889518</v>
      </c>
      <c r="L746" s="312">
        <v>41.298919835743611</v>
      </c>
      <c r="M746" s="312">
        <v>40.490666082383868</v>
      </c>
      <c r="N746" s="312">
        <v>39.602241379310342</v>
      </c>
      <c r="O746" s="312">
        <v>39.567797341619197</v>
      </c>
      <c r="P746" s="312">
        <v>39.792402517922717</v>
      </c>
      <c r="Q746" s="312">
        <v>39.234242055912489</v>
      </c>
      <c r="R746" s="312">
        <v>38.950772703594367</v>
      </c>
      <c r="S746" s="312">
        <v>38.240323539402183</v>
      </c>
      <c r="T746" s="312">
        <v>37.973126236464957</v>
      </c>
      <c r="U746" s="312">
        <v>37.627341441536508</v>
      </c>
      <c r="V746" s="312">
        <v>38.857225588025678</v>
      </c>
      <c r="W746" s="312">
        <v>37.59377737957702</v>
      </c>
      <c r="X746" s="312">
        <v>36.909703176695579</v>
      </c>
      <c r="Y746" s="312">
        <v>36.608348810679828</v>
      </c>
      <c r="Z746" s="312">
        <v>36.313550192968307</v>
      </c>
      <c r="AA746" s="312">
        <v>35.774391352333957</v>
      </c>
      <c r="AB746" s="312">
        <v>37.175329942881802</v>
      </c>
      <c r="AC746" s="312">
        <v>36.088620188260492</v>
      </c>
      <c r="AD746" s="312">
        <v>36.612047186747638</v>
      </c>
      <c r="AE746" s="312">
        <v>35.525546971369209</v>
      </c>
      <c r="AF746" s="312">
        <v>35.918297088749</v>
      </c>
      <c r="AG746" s="312">
        <v>35.636403490323083</v>
      </c>
      <c r="AH746" s="312">
        <v>36.131532087323521</v>
      </c>
      <c r="AI746" s="312">
        <v>34.20223425781203</v>
      </c>
      <c r="AJ746" s="312">
        <v>34.695623661146257</v>
      </c>
      <c r="AK746" s="312">
        <v>34.420372043413778</v>
      </c>
      <c r="AL746" s="312">
        <v>35.633789359270487</v>
      </c>
      <c r="AM746" s="312">
        <v>32.452952145931768</v>
      </c>
      <c r="AN746" s="312">
        <v>33.657406676183832</v>
      </c>
      <c r="AO746" s="312">
        <v>33.381212172197998</v>
      </c>
      <c r="AP746" s="312">
        <v>34.917962451451878</v>
      </c>
    </row>
    <row r="747" spans="1:42" ht="14.45" customHeight="1" x14ac:dyDescent="0.25">
      <c r="A747" s="122"/>
      <c r="B747" s="302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</row>
    <row r="748" spans="1:42" ht="14.45" customHeight="1" x14ac:dyDescent="0.25">
      <c r="A748" s="135" t="s">
        <v>674</v>
      </c>
      <c r="B748" s="211"/>
      <c r="C748" s="139">
        <v>24.388999999999999</v>
      </c>
      <c r="D748" s="139">
        <v>27.94</v>
      </c>
      <c r="E748" s="139">
        <v>31.056999999999999</v>
      </c>
      <c r="F748" s="139">
        <v>33.236999999999988</v>
      </c>
      <c r="G748" s="139">
        <v>34.981000000000002</v>
      </c>
      <c r="H748" s="139">
        <v>42.066000000000003</v>
      </c>
      <c r="I748" s="139">
        <v>43.246000000000002</v>
      </c>
      <c r="J748" s="139">
        <v>48.547999999999988</v>
      </c>
      <c r="K748" s="139">
        <v>47.22</v>
      </c>
      <c r="L748" s="139">
        <v>46.686999999999998</v>
      </c>
      <c r="M748" s="139">
        <v>46.588999999999999</v>
      </c>
      <c r="N748" s="139">
        <v>46.760000000000012</v>
      </c>
      <c r="O748" s="139">
        <v>45.771999999999998</v>
      </c>
      <c r="P748" s="139">
        <v>45.055999999999997</v>
      </c>
      <c r="Q748" s="139">
        <v>45.587999999999987</v>
      </c>
      <c r="R748" s="139">
        <v>43.5</v>
      </c>
      <c r="S748" s="139">
        <v>43.558999999999997</v>
      </c>
      <c r="T748" s="139">
        <v>42.837000000000003</v>
      </c>
      <c r="U748" s="139">
        <v>48.093000000000004</v>
      </c>
      <c r="V748" s="139">
        <v>44.528000000000013</v>
      </c>
      <c r="W748" s="139">
        <v>43.526000000000003</v>
      </c>
      <c r="X748" s="139">
        <v>44.356999999999992</v>
      </c>
      <c r="Y748" s="139">
        <v>47.457999999999998</v>
      </c>
      <c r="Z748" s="139">
        <v>45.223999999999997</v>
      </c>
      <c r="AA748" s="139">
        <v>43.268999999999998</v>
      </c>
      <c r="AB748" s="139">
        <v>42.583000000000013</v>
      </c>
      <c r="AC748" s="139">
        <v>42.530999999999999</v>
      </c>
      <c r="AD748" s="139">
        <v>43.206999999999987</v>
      </c>
      <c r="AE748" s="139">
        <v>43.509</v>
      </c>
      <c r="AF748" s="139">
        <v>43.676000000000009</v>
      </c>
      <c r="AG748" s="139">
        <v>44.110999999999997</v>
      </c>
      <c r="AH748" s="139">
        <v>45.67</v>
      </c>
      <c r="AI748" s="139">
        <v>46.750999999999998</v>
      </c>
      <c r="AJ748" s="139">
        <v>47.658000000000001</v>
      </c>
      <c r="AK748" s="139">
        <v>48.77</v>
      </c>
      <c r="AL748" s="139">
        <v>50.611999999999988</v>
      </c>
      <c r="AM748" s="139">
        <v>53.372999999999998</v>
      </c>
      <c r="AN748" s="139">
        <v>54.764999999999993</v>
      </c>
      <c r="AO748" s="139">
        <v>55.086000000000013</v>
      </c>
      <c r="AP748" s="139">
        <v>55.30599999999999</v>
      </c>
    </row>
    <row r="749" spans="1:42" ht="14.45" customHeight="1" x14ac:dyDescent="0.25">
      <c r="A749" s="135" t="s">
        <v>675</v>
      </c>
      <c r="B749" s="211"/>
      <c r="C749" s="139">
        <v>36.784999999999997</v>
      </c>
      <c r="D749" s="139">
        <v>42.84</v>
      </c>
      <c r="E749" s="139">
        <v>44.973999999999997</v>
      </c>
      <c r="F749" s="139">
        <v>47.987000000000009</v>
      </c>
      <c r="G749" s="139">
        <v>41.58</v>
      </c>
      <c r="H749" s="139">
        <v>38.027000000000001</v>
      </c>
      <c r="I749" s="139">
        <v>35.345999999999997</v>
      </c>
      <c r="J749" s="139">
        <v>61.648000000000003</v>
      </c>
      <c r="K749" s="139">
        <v>42.048000000000002</v>
      </c>
      <c r="L749" s="139">
        <v>43.230999999999987</v>
      </c>
      <c r="M749" s="139">
        <v>27.824999999999999</v>
      </c>
      <c r="N749" s="139">
        <v>25.131000000000011</v>
      </c>
      <c r="O749" s="139">
        <v>29.315000000000001</v>
      </c>
      <c r="P749" s="139">
        <v>28.265999999999998</v>
      </c>
      <c r="Q749" s="139">
        <v>39.165999999999997</v>
      </c>
      <c r="R749" s="139">
        <v>74.626999999999995</v>
      </c>
      <c r="S749" s="139">
        <v>33.093000000000004</v>
      </c>
      <c r="T749" s="139">
        <v>39.792999999999992</v>
      </c>
      <c r="U749" s="139">
        <v>37.831000000000003</v>
      </c>
      <c r="V749" s="139">
        <v>91.316999999999993</v>
      </c>
      <c r="W749" s="139">
        <v>37.204000000000001</v>
      </c>
      <c r="X749" s="139">
        <v>43.104000000000013</v>
      </c>
      <c r="Y749" s="139">
        <v>39.311999999999998</v>
      </c>
      <c r="Z749" s="139">
        <v>36.073000000000008</v>
      </c>
      <c r="AA749" s="139">
        <v>104.35299999999999</v>
      </c>
      <c r="AB749" s="139">
        <v>40.828999999999994</v>
      </c>
      <c r="AC749" s="139">
        <v>38.747000000000007</v>
      </c>
      <c r="AD749" s="139">
        <v>114.682</v>
      </c>
      <c r="AE749" s="139">
        <v>52.7</v>
      </c>
      <c r="AF749" s="139">
        <v>40.192999999999998</v>
      </c>
      <c r="AG749" s="139">
        <v>59.36699999999999</v>
      </c>
      <c r="AH749" s="139">
        <v>130.04400000000001</v>
      </c>
      <c r="AI749" s="139">
        <v>77.040000000000006</v>
      </c>
      <c r="AJ749" s="139">
        <v>82.36</v>
      </c>
      <c r="AK749" s="139">
        <v>127.93300000000001</v>
      </c>
      <c r="AL749" s="139">
        <v>83.68199999999996</v>
      </c>
      <c r="AM749" s="139">
        <v>97.866</v>
      </c>
      <c r="AN749" s="139">
        <v>59.51700000000001</v>
      </c>
      <c r="AO749" s="139">
        <v>52.61099999999999</v>
      </c>
      <c r="AP749" s="139">
        <v>102.321</v>
      </c>
    </row>
    <row r="750" spans="1:42" ht="14.45" customHeight="1" x14ac:dyDescent="0.25">
      <c r="A750" s="309" t="s">
        <v>676</v>
      </c>
      <c r="B750" s="204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</row>
    <row r="751" spans="1:42" ht="14.45" customHeight="1" x14ac:dyDescent="0.25">
      <c r="A751" s="122"/>
      <c r="B751" s="302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</row>
    <row r="752" spans="1:42" ht="14.45" customHeight="1" x14ac:dyDescent="0.25">
      <c r="A752" s="95" t="s">
        <v>677</v>
      </c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</row>
    <row r="753" spans="1:42" ht="14.45" customHeight="1" x14ac:dyDescent="0.25">
      <c r="A753" s="135" t="s">
        <v>678</v>
      </c>
      <c r="B753" s="211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</row>
    <row r="754" spans="1:42" ht="14.45" customHeight="1" x14ac:dyDescent="0.25">
      <c r="A754" s="125" t="s">
        <v>679</v>
      </c>
      <c r="B754" s="180"/>
      <c r="C754" s="98">
        <v>32.6</v>
      </c>
      <c r="D754" s="98">
        <v>49.323</v>
      </c>
      <c r="E754" s="98">
        <v>54.216999999999999</v>
      </c>
      <c r="F754" s="99">
        <v>21.85</v>
      </c>
      <c r="G754" s="98">
        <v>31.94</v>
      </c>
      <c r="H754" s="98">
        <v>43.514000000000003</v>
      </c>
      <c r="I754" s="98">
        <v>11.922000000000001</v>
      </c>
      <c r="J754" s="99">
        <v>16.902000000000001</v>
      </c>
      <c r="K754" s="98">
        <v>8.4789999999999992</v>
      </c>
      <c r="L754" s="98">
        <v>19.724</v>
      </c>
      <c r="M754" s="98">
        <v>9.3369999999999997</v>
      </c>
      <c r="N754" s="99">
        <v>13.548</v>
      </c>
      <c r="O754" s="98">
        <v>8.4969999999999999</v>
      </c>
      <c r="P754" s="98">
        <v>5.6920000000000002</v>
      </c>
      <c r="Q754" s="98">
        <v>5.9889999999999999</v>
      </c>
      <c r="R754" s="99">
        <v>9.6140000000000008</v>
      </c>
      <c r="S754" s="98">
        <v>47.747999999999998</v>
      </c>
      <c r="T754" s="98">
        <v>77.55</v>
      </c>
      <c r="U754" s="98">
        <v>164.82300000000001</v>
      </c>
      <c r="V754" s="99">
        <v>54.792999999999999</v>
      </c>
      <c r="W754" s="98">
        <v>51.828000000000003</v>
      </c>
      <c r="X754" s="98">
        <v>54.204000000000001</v>
      </c>
      <c r="Y754" s="98">
        <v>186.87799999999999</v>
      </c>
      <c r="Z754" s="99">
        <v>142.31399999999999</v>
      </c>
      <c r="AA754" s="98">
        <v>127.08499999999999</v>
      </c>
      <c r="AB754" s="98">
        <v>188.803</v>
      </c>
      <c r="AC754" s="98">
        <v>163.244</v>
      </c>
      <c r="AD754" s="99">
        <v>197.648</v>
      </c>
      <c r="AE754" s="98">
        <v>289.78100000000001</v>
      </c>
      <c r="AF754" s="98">
        <v>430.17200000000003</v>
      </c>
      <c r="AG754" s="98">
        <v>616.21699999999998</v>
      </c>
      <c r="AH754" s="99">
        <v>635.26900000000001</v>
      </c>
      <c r="AI754" s="98">
        <v>401.26</v>
      </c>
      <c r="AJ754" s="98">
        <v>1699.288</v>
      </c>
      <c r="AK754" s="98">
        <v>1236.0060000000001</v>
      </c>
      <c r="AL754" s="99">
        <v>1135.8240000000001</v>
      </c>
      <c r="AM754" s="98">
        <v>1151.8050000000001</v>
      </c>
      <c r="AN754" s="98">
        <v>1219.925</v>
      </c>
      <c r="AO754" s="98">
        <v>1532.473</v>
      </c>
      <c r="AP754" s="99">
        <v>281.91800000000001</v>
      </c>
    </row>
    <row r="755" spans="1:42" ht="14.45" customHeight="1" x14ac:dyDescent="0.25">
      <c r="A755" s="125" t="s">
        <v>680</v>
      </c>
      <c r="B755" s="180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98">
        <v>183.63900000000001</v>
      </c>
      <c r="AJ755" s="98">
        <v>198.77099999999999</v>
      </c>
      <c r="AK755" s="98">
        <v>215.04400000000001</v>
      </c>
      <c r="AL755" s="99">
        <v>301.20999999999998</v>
      </c>
      <c r="AM755" s="98">
        <v>340.05</v>
      </c>
      <c r="AN755" s="98">
        <v>350.18599999999998</v>
      </c>
      <c r="AO755" s="98">
        <v>149.06100000000001</v>
      </c>
      <c r="AP755" s="99">
        <v>0</v>
      </c>
    </row>
    <row r="756" spans="1:42" ht="14.45" customHeight="1" x14ac:dyDescent="0.25">
      <c r="A756" s="125" t="s">
        <v>681</v>
      </c>
      <c r="B756" s="180"/>
      <c r="C756" s="63"/>
      <c r="D756" s="63"/>
      <c r="E756" s="63"/>
      <c r="F756" s="99">
        <v>0</v>
      </c>
      <c r="G756" s="63"/>
      <c r="H756" s="63"/>
      <c r="I756" s="63"/>
      <c r="J756" s="99">
        <v>0</v>
      </c>
      <c r="K756" s="63"/>
      <c r="L756" s="63"/>
      <c r="M756" s="63"/>
      <c r="N756" s="99">
        <v>0</v>
      </c>
      <c r="O756" s="63"/>
      <c r="P756" s="63"/>
      <c r="Q756" s="63"/>
      <c r="R756" s="99">
        <v>0</v>
      </c>
      <c r="S756" s="63"/>
      <c r="T756" s="63"/>
      <c r="U756" s="63"/>
      <c r="V756" s="99">
        <v>0</v>
      </c>
      <c r="W756" s="63"/>
      <c r="X756" s="63"/>
      <c r="Y756" s="63"/>
      <c r="Z756" s="99">
        <v>0</v>
      </c>
      <c r="AA756" s="63"/>
      <c r="AB756" s="63"/>
      <c r="AC756" s="63"/>
      <c r="AD756" s="99">
        <v>0</v>
      </c>
      <c r="AE756" s="63"/>
      <c r="AF756" s="63"/>
      <c r="AG756" s="63"/>
      <c r="AH756" s="99">
        <v>0</v>
      </c>
      <c r="AI756" s="63"/>
      <c r="AJ756" s="63"/>
      <c r="AK756" s="63"/>
      <c r="AL756" s="99">
        <v>0</v>
      </c>
      <c r="AM756" s="63"/>
      <c r="AN756" s="63"/>
      <c r="AO756" s="63"/>
      <c r="AP756" s="99">
        <v>0</v>
      </c>
    </row>
    <row r="757" spans="1:42" ht="14.45" customHeight="1" x14ac:dyDescent="0.25">
      <c r="A757" s="96" t="s">
        <v>682</v>
      </c>
      <c r="B757" s="180"/>
      <c r="C757" s="98">
        <v>206.292</v>
      </c>
      <c r="D757" s="98">
        <v>285.44200000000001</v>
      </c>
      <c r="E757" s="98">
        <v>268.11</v>
      </c>
      <c r="F757" s="99">
        <v>271.661</v>
      </c>
      <c r="G757" s="98">
        <v>293.291</v>
      </c>
      <c r="H757" s="98">
        <v>389.12400000000002</v>
      </c>
      <c r="I757" s="98">
        <v>382.07299999999998</v>
      </c>
      <c r="J757" s="99">
        <v>396.02199999999999</v>
      </c>
      <c r="K757" s="98">
        <v>419.262</v>
      </c>
      <c r="L757" s="98">
        <v>456.74799999999999</v>
      </c>
      <c r="M757" s="98">
        <v>432.38400000000001</v>
      </c>
      <c r="N757" s="99">
        <v>436.89</v>
      </c>
      <c r="O757" s="98">
        <v>425.50400000000002</v>
      </c>
      <c r="P757" s="98">
        <v>460.911</v>
      </c>
      <c r="Q757" s="98">
        <v>448.52800000000002</v>
      </c>
      <c r="R757" s="99">
        <v>433.55200000000002</v>
      </c>
      <c r="S757" s="98">
        <v>470.86799999999999</v>
      </c>
      <c r="T757" s="98">
        <v>471.96199999999999</v>
      </c>
      <c r="U757" s="98">
        <v>453.40199999999999</v>
      </c>
      <c r="V757" s="99">
        <v>425.44499999999999</v>
      </c>
      <c r="W757" s="98">
        <v>460.02199999999999</v>
      </c>
      <c r="X757" s="98">
        <v>481.99799999999999</v>
      </c>
      <c r="Y757" s="98">
        <v>482.21100000000001</v>
      </c>
      <c r="Z757" s="99">
        <v>472.27</v>
      </c>
      <c r="AA757" s="98">
        <v>475.303</v>
      </c>
      <c r="AB757" s="98">
        <v>554.32899999999995</v>
      </c>
      <c r="AC757" s="98">
        <v>557.02599999999995</v>
      </c>
      <c r="AD757" s="99">
        <v>532.04700000000003</v>
      </c>
      <c r="AE757" s="98">
        <v>555.08500000000004</v>
      </c>
      <c r="AF757" s="98">
        <v>603.72799999999995</v>
      </c>
      <c r="AG757" s="98">
        <v>558.13300000000004</v>
      </c>
      <c r="AH757" s="99">
        <v>555.93299999999999</v>
      </c>
      <c r="AI757" s="98">
        <v>568.01400000000001</v>
      </c>
      <c r="AJ757" s="98">
        <v>617.83900000000006</v>
      </c>
      <c r="AK757" s="98">
        <v>572.85900000000004</v>
      </c>
      <c r="AL757" s="99">
        <v>567.65300000000002</v>
      </c>
      <c r="AM757" s="98">
        <v>557.18600000000004</v>
      </c>
      <c r="AN757" s="98">
        <v>604.24699999999996</v>
      </c>
      <c r="AO757" s="98">
        <v>588.51199999999994</v>
      </c>
      <c r="AP757" s="99">
        <v>585.77700000000004</v>
      </c>
    </row>
    <row r="758" spans="1:42" ht="14.45" customHeight="1" x14ac:dyDescent="0.25">
      <c r="A758" s="96" t="s">
        <v>683</v>
      </c>
      <c r="B758" s="180"/>
      <c r="C758" s="63"/>
      <c r="D758" s="63"/>
      <c r="E758" s="98">
        <v>-3.3730000000000002</v>
      </c>
      <c r="F758" s="98">
        <v>-4.4480000000000004</v>
      </c>
      <c r="G758" s="98">
        <v>-5.2450000000000001</v>
      </c>
      <c r="H758" s="98">
        <v>-5.69</v>
      </c>
      <c r="I758" s="98">
        <v>-5.8369999999999997</v>
      </c>
      <c r="J758" s="63">
        <v>-7.6059999999999999</v>
      </c>
      <c r="K758" s="98">
        <v>-6.8070000000000004</v>
      </c>
      <c r="L758" s="98">
        <v>-7.74</v>
      </c>
      <c r="M758" s="98">
        <v>-9.0690000000000008</v>
      </c>
      <c r="N758" s="63">
        <v>-9.141</v>
      </c>
      <c r="O758" s="98">
        <v>-11.143000000000001</v>
      </c>
      <c r="P758" s="98">
        <v>-12.788</v>
      </c>
      <c r="Q758" s="98">
        <v>-13.31</v>
      </c>
      <c r="R758" s="63">
        <v>-13.782</v>
      </c>
      <c r="S758" s="98">
        <v>-16.161999999999999</v>
      </c>
      <c r="T758" s="98">
        <v>-21.244</v>
      </c>
      <c r="U758" s="98">
        <v>-25.05</v>
      </c>
      <c r="V758" s="63">
        <v>-21.62</v>
      </c>
      <c r="W758" s="98">
        <v>-20.648</v>
      </c>
      <c r="X758" s="98">
        <v>-16.431999999999999</v>
      </c>
      <c r="Y758" s="98">
        <v>-16.61</v>
      </c>
      <c r="Z758" s="63">
        <v>-17.335999999999999</v>
      </c>
      <c r="AA758" s="98">
        <v>-16.762</v>
      </c>
      <c r="AB758" s="98">
        <v>-14.523</v>
      </c>
      <c r="AC758" s="98">
        <v>-15.617000000000001</v>
      </c>
      <c r="AD758" s="63">
        <v>-16.119</v>
      </c>
      <c r="AE758" s="98">
        <v>-17.006</v>
      </c>
      <c r="AF758" s="98">
        <v>-17.623999999999999</v>
      </c>
      <c r="AG758" s="98">
        <v>-18.134</v>
      </c>
      <c r="AH758" s="63">
        <v>-16.059999999999999</v>
      </c>
      <c r="AI758" s="98">
        <v>-16.574999999999999</v>
      </c>
      <c r="AJ758" s="98">
        <v>-15.276</v>
      </c>
      <c r="AK758" s="98">
        <v>-16.158000000000001</v>
      </c>
      <c r="AL758" s="63">
        <v>-14.673999999999999</v>
      </c>
      <c r="AM758" s="98">
        <v>-14.01</v>
      </c>
      <c r="AN758" s="98">
        <v>-11.724</v>
      </c>
      <c r="AO758" s="98">
        <v>-13.061</v>
      </c>
      <c r="AP758" s="63">
        <v>-11.176</v>
      </c>
    </row>
    <row r="759" spans="1:42" ht="14.45" customHeight="1" x14ac:dyDescent="0.25">
      <c r="A759" s="96" t="s">
        <v>684</v>
      </c>
      <c r="B759" s="180"/>
      <c r="C759" s="98">
        <v>53.091999999999999</v>
      </c>
      <c r="D759" s="98">
        <v>51.62</v>
      </c>
      <c r="E759" s="98">
        <v>52.046999999999997</v>
      </c>
      <c r="F759" s="99">
        <v>67.590999999999994</v>
      </c>
      <c r="G759" s="98">
        <v>76.179000000000002</v>
      </c>
      <c r="H759" s="98">
        <v>87.29</v>
      </c>
      <c r="I759" s="98">
        <v>65.900000000000006</v>
      </c>
      <c r="J759" s="99">
        <v>65.995999999999995</v>
      </c>
      <c r="K759" s="98">
        <v>69.643000000000001</v>
      </c>
      <c r="L759" s="98">
        <v>64.144000000000005</v>
      </c>
      <c r="M759" s="98">
        <v>62.540999999999997</v>
      </c>
      <c r="N759" s="99">
        <v>44.914999999999999</v>
      </c>
      <c r="O759" s="98">
        <v>56.445</v>
      </c>
      <c r="P759" s="98">
        <v>68.188000000000002</v>
      </c>
      <c r="Q759" s="98">
        <v>60.423999999999999</v>
      </c>
      <c r="R759" s="99">
        <v>62.411000000000001</v>
      </c>
      <c r="S759" s="98">
        <v>56.66</v>
      </c>
      <c r="T759" s="98">
        <v>48.091999999999999</v>
      </c>
      <c r="U759" s="98">
        <v>54.515999999999998</v>
      </c>
      <c r="V759" s="99">
        <v>49.203000000000003</v>
      </c>
      <c r="W759" s="98">
        <v>62.731999999999999</v>
      </c>
      <c r="X759" s="98">
        <v>58.475000000000001</v>
      </c>
      <c r="Y759" s="98">
        <v>58.323</v>
      </c>
      <c r="Z759" s="99">
        <v>57.737000000000002</v>
      </c>
      <c r="AA759" s="98">
        <v>55.302</v>
      </c>
      <c r="AB759" s="98">
        <v>49.576999999999998</v>
      </c>
      <c r="AC759" s="98">
        <v>46.744999999999997</v>
      </c>
      <c r="AD759" s="99">
        <v>35.786000000000001</v>
      </c>
      <c r="AE759" s="98">
        <v>46.593000000000004</v>
      </c>
      <c r="AF759" s="98">
        <v>57.466000000000001</v>
      </c>
      <c r="AG759" s="98">
        <v>55.697000000000003</v>
      </c>
      <c r="AH759" s="99">
        <v>51.936</v>
      </c>
      <c r="AI759" s="98">
        <v>60.74</v>
      </c>
      <c r="AJ759" s="98">
        <v>72.44</v>
      </c>
      <c r="AK759" s="98">
        <v>88.447000000000003</v>
      </c>
      <c r="AL759" s="99">
        <v>89.870999999999995</v>
      </c>
      <c r="AM759" s="98">
        <v>96.685000000000002</v>
      </c>
      <c r="AN759" s="98">
        <v>87.221000000000004</v>
      </c>
      <c r="AO759" s="98">
        <v>85.944999999999993</v>
      </c>
      <c r="AP759" s="99">
        <v>70.197000000000003</v>
      </c>
    </row>
    <row r="760" spans="1:42" ht="14.45" customHeight="1" x14ac:dyDescent="0.25">
      <c r="A760" s="100" t="s">
        <v>685</v>
      </c>
      <c r="B760" s="190"/>
      <c r="C760" s="102">
        <v>26.824000000000002</v>
      </c>
      <c r="D760" s="102">
        <v>24.172999999999998</v>
      </c>
      <c r="E760" s="102">
        <v>32.494</v>
      </c>
      <c r="F760" s="103">
        <v>29.77</v>
      </c>
      <c r="G760" s="102">
        <v>21.341999999999999</v>
      </c>
      <c r="H760" s="102">
        <v>29.824999999999999</v>
      </c>
      <c r="I760" s="102">
        <v>38.078000000000003</v>
      </c>
      <c r="J760" s="103">
        <v>38.96</v>
      </c>
      <c r="K760" s="102">
        <v>22.841999999999999</v>
      </c>
      <c r="L760" s="102">
        <v>29.036999999999999</v>
      </c>
      <c r="M760" s="102">
        <v>28.632000000000001</v>
      </c>
      <c r="N760" s="103">
        <v>30.492999999999999</v>
      </c>
      <c r="O760" s="102">
        <v>39.454000000000001</v>
      </c>
      <c r="P760" s="102">
        <v>38.692</v>
      </c>
      <c r="Q760" s="102">
        <v>40.113999999999997</v>
      </c>
      <c r="R760" s="103">
        <v>43.094000000000001</v>
      </c>
      <c r="S760" s="102">
        <v>42.155000000000001</v>
      </c>
      <c r="T760" s="102">
        <v>40.453000000000003</v>
      </c>
      <c r="U760" s="102">
        <v>44.569000000000003</v>
      </c>
      <c r="V760" s="103">
        <v>37.084000000000003</v>
      </c>
      <c r="W760" s="102">
        <v>32.609000000000002</v>
      </c>
      <c r="X760" s="102">
        <v>26.373999999999999</v>
      </c>
      <c r="Y760" s="102">
        <v>29.238</v>
      </c>
      <c r="Z760" s="103">
        <v>33.878</v>
      </c>
      <c r="AA760" s="102">
        <v>36.838999999999999</v>
      </c>
      <c r="AB760" s="102">
        <v>41.588999999999999</v>
      </c>
      <c r="AC760" s="102">
        <v>70.168000000000006</v>
      </c>
      <c r="AD760" s="103">
        <v>54.631</v>
      </c>
      <c r="AE760" s="102">
        <v>53.573</v>
      </c>
      <c r="AF760" s="102">
        <v>55.762999999999998</v>
      </c>
      <c r="AG760" s="102">
        <v>52.851999999999997</v>
      </c>
      <c r="AH760" s="103">
        <v>67.533000000000001</v>
      </c>
      <c r="AI760" s="102">
        <v>67.096000000000004</v>
      </c>
      <c r="AJ760" s="102">
        <v>41.808</v>
      </c>
      <c r="AK760" s="102">
        <v>46.832999999999998</v>
      </c>
      <c r="AL760" s="103">
        <v>40.692</v>
      </c>
      <c r="AM760" s="102">
        <v>45.286999999999999</v>
      </c>
      <c r="AN760" s="102">
        <v>39.369</v>
      </c>
      <c r="AO760" s="102">
        <v>49.402999999999999</v>
      </c>
      <c r="AP760" s="103">
        <v>54.889000000000003</v>
      </c>
    </row>
    <row r="761" spans="1:42" ht="14.45" customHeight="1" x14ac:dyDescent="0.25">
      <c r="A761" s="125" t="s">
        <v>686</v>
      </c>
      <c r="B761" s="180"/>
      <c r="C761" s="99">
        <v>286.20800000000003</v>
      </c>
      <c r="D761" s="99">
        <v>361.23500000000001</v>
      </c>
      <c r="E761" s="99">
        <v>349.27800000000002</v>
      </c>
      <c r="F761" s="99">
        <v>364.57400000000001</v>
      </c>
      <c r="G761" s="99">
        <v>385.56700000000001</v>
      </c>
      <c r="H761" s="99">
        <v>500.54899999999998</v>
      </c>
      <c r="I761" s="99">
        <v>480.21399999999988</v>
      </c>
      <c r="J761" s="99">
        <v>493.37200000000001</v>
      </c>
      <c r="K761" s="99">
        <v>504.93999999999988</v>
      </c>
      <c r="L761" s="99">
        <v>542.18900000000008</v>
      </c>
      <c r="M761" s="99">
        <v>514.48799999999994</v>
      </c>
      <c r="N761" s="99">
        <v>503.15699999999998</v>
      </c>
      <c r="O761" s="99">
        <v>510.26</v>
      </c>
      <c r="P761" s="99">
        <v>555.00300000000004</v>
      </c>
      <c r="Q761" s="99">
        <v>535.75599999999997</v>
      </c>
      <c r="R761" s="99">
        <v>525.27500000000009</v>
      </c>
      <c r="S761" s="99">
        <v>553.52099999999996</v>
      </c>
      <c r="T761" s="99">
        <v>539.26299999999992</v>
      </c>
      <c r="U761" s="99">
        <v>527.43700000000001</v>
      </c>
      <c r="V761" s="99">
        <v>490.11200000000002</v>
      </c>
      <c r="W761" s="99">
        <v>534.71500000000003</v>
      </c>
      <c r="X761" s="99">
        <v>550.41499999999996</v>
      </c>
      <c r="Y761" s="99">
        <v>553.16200000000003</v>
      </c>
      <c r="Z761" s="99">
        <v>546.54899999999998</v>
      </c>
      <c r="AA761" s="99">
        <v>550.68200000000002</v>
      </c>
      <c r="AB761" s="99">
        <v>630.97199999999998</v>
      </c>
      <c r="AC761" s="99">
        <v>658.322</v>
      </c>
      <c r="AD761" s="99">
        <v>606.34499999999991</v>
      </c>
      <c r="AE761" s="99">
        <v>638.245</v>
      </c>
      <c r="AF761" s="99">
        <v>699.33299999999997</v>
      </c>
      <c r="AG761" s="99">
        <v>648.548</v>
      </c>
      <c r="AH761" s="99">
        <v>659.3420000000001</v>
      </c>
      <c r="AI761" s="99">
        <v>679.27499999999998</v>
      </c>
      <c r="AJ761" s="99">
        <v>716.81100000000015</v>
      </c>
      <c r="AK761" s="99">
        <v>691.98099999999999</v>
      </c>
      <c r="AL761" s="99">
        <v>683.54200000000003</v>
      </c>
      <c r="AM761" s="99">
        <v>685.14800000000014</v>
      </c>
      <c r="AN761" s="99">
        <v>719.11299999999994</v>
      </c>
      <c r="AO761" s="99">
        <v>710.79899999999998</v>
      </c>
      <c r="AP761" s="99">
        <v>699.68700000000001</v>
      </c>
    </row>
    <row r="762" spans="1:42" ht="14.45" customHeight="1" x14ac:dyDescent="0.25">
      <c r="A762" s="125" t="s">
        <v>687</v>
      </c>
      <c r="B762" s="180"/>
      <c r="C762" s="98">
        <v>110.45</v>
      </c>
      <c r="D762" s="98">
        <v>126.73099999999999</v>
      </c>
      <c r="E762" s="98">
        <v>126.039</v>
      </c>
      <c r="F762" s="99">
        <v>143.553</v>
      </c>
      <c r="G762" s="98">
        <v>180.05199999999999</v>
      </c>
      <c r="H762" s="98">
        <v>200.441</v>
      </c>
      <c r="I762" s="98">
        <v>191.94300000000001</v>
      </c>
      <c r="J762" s="99">
        <v>183.61799999999999</v>
      </c>
      <c r="K762" s="98">
        <v>207.16300000000001</v>
      </c>
      <c r="L762" s="98">
        <v>222.07300000000001</v>
      </c>
      <c r="M762" s="98">
        <v>229.892</v>
      </c>
      <c r="N762" s="99">
        <v>210.03299999999999</v>
      </c>
      <c r="O762" s="98">
        <v>220.31700000000001</v>
      </c>
      <c r="P762" s="98">
        <v>230.898</v>
      </c>
      <c r="Q762" s="98">
        <v>231.75200000000001</v>
      </c>
      <c r="R762" s="99">
        <v>225.92599999999999</v>
      </c>
      <c r="S762" s="98">
        <v>228.624</v>
      </c>
      <c r="T762" s="98">
        <v>211.12799999999999</v>
      </c>
      <c r="U762" s="98">
        <v>207.773</v>
      </c>
      <c r="V762" s="99">
        <v>225.75700000000001</v>
      </c>
      <c r="W762" s="98">
        <v>257.363</v>
      </c>
      <c r="X762" s="98">
        <v>237.82300000000001</v>
      </c>
      <c r="Y762" s="98">
        <v>240.495</v>
      </c>
      <c r="Z762" s="99">
        <v>302.851</v>
      </c>
      <c r="AA762" s="98">
        <v>276.27800000000002</v>
      </c>
      <c r="AB762" s="98">
        <v>303.53899999999999</v>
      </c>
      <c r="AC762" s="98">
        <v>313.69900000000001</v>
      </c>
      <c r="AD762" s="99">
        <v>347.54500000000002</v>
      </c>
      <c r="AE762" s="98">
        <v>337.31299999999999</v>
      </c>
      <c r="AF762" s="98">
        <v>333.87400000000002</v>
      </c>
      <c r="AG762" s="98">
        <v>320.40100000000001</v>
      </c>
      <c r="AH762" s="99">
        <v>321.93200000000002</v>
      </c>
      <c r="AI762" s="98">
        <v>361.08600000000001</v>
      </c>
      <c r="AJ762" s="98">
        <v>338.24900000000002</v>
      </c>
      <c r="AK762" s="98">
        <v>334.68099999999998</v>
      </c>
      <c r="AL762" s="99">
        <v>330.39499999999998</v>
      </c>
      <c r="AM762" s="98">
        <v>340.214</v>
      </c>
      <c r="AN762" s="98">
        <v>349.16800000000001</v>
      </c>
      <c r="AO762" s="98">
        <v>354.85700000000003</v>
      </c>
      <c r="AP762" s="99">
        <v>336.40100000000001</v>
      </c>
    </row>
    <row r="763" spans="1:42" ht="14.45" customHeight="1" x14ac:dyDescent="0.25">
      <c r="A763" s="125" t="s">
        <v>688</v>
      </c>
      <c r="B763" s="180"/>
      <c r="C763" s="98">
        <v>49.427999999999997</v>
      </c>
      <c r="D763" s="98">
        <v>53.174999999999997</v>
      </c>
      <c r="E763" s="98">
        <v>51.131999999999998</v>
      </c>
      <c r="F763" s="99">
        <v>63.834000000000003</v>
      </c>
      <c r="G763" s="98">
        <v>61.603999999999999</v>
      </c>
      <c r="H763" s="98">
        <v>66.870999999999995</v>
      </c>
      <c r="I763" s="98">
        <v>129.67400000000001</v>
      </c>
      <c r="J763" s="99">
        <v>100.646</v>
      </c>
      <c r="K763" s="98">
        <v>108.319</v>
      </c>
      <c r="L763" s="98">
        <v>88.9</v>
      </c>
      <c r="M763" s="98">
        <v>91.513999999999996</v>
      </c>
      <c r="N763" s="99">
        <v>70.680000000000007</v>
      </c>
      <c r="O763" s="98">
        <v>69.356999999999999</v>
      </c>
      <c r="P763" s="98">
        <v>72.326999999999998</v>
      </c>
      <c r="Q763" s="98">
        <v>78.397000000000006</v>
      </c>
      <c r="R763" s="99">
        <v>69.460999999999999</v>
      </c>
      <c r="S763" s="98">
        <v>73.591999999999999</v>
      </c>
      <c r="T763" s="98">
        <v>72.17</v>
      </c>
      <c r="U763" s="98">
        <v>69.829000000000008</v>
      </c>
      <c r="V763" s="99">
        <v>74.146000000000001</v>
      </c>
      <c r="W763" s="98">
        <v>76.591999999999999</v>
      </c>
      <c r="X763" s="98">
        <v>76.322999999999993</v>
      </c>
      <c r="Y763" s="98">
        <v>84.152000000000001</v>
      </c>
      <c r="Z763" s="99">
        <v>78.067999999999998</v>
      </c>
      <c r="AA763" s="98">
        <v>94.150999999999996</v>
      </c>
      <c r="AB763" s="98">
        <v>86.843999999999994</v>
      </c>
      <c r="AC763" s="98">
        <v>91.959000000000003</v>
      </c>
      <c r="AD763" s="99">
        <v>94.263000000000005</v>
      </c>
      <c r="AE763" s="98">
        <v>88.287999999999997</v>
      </c>
      <c r="AF763" s="98">
        <v>84.634</v>
      </c>
      <c r="AG763" s="98">
        <v>91.308999999999997</v>
      </c>
      <c r="AH763" s="99">
        <v>88.584999999999994</v>
      </c>
      <c r="AI763" s="98">
        <v>89.593000000000004</v>
      </c>
      <c r="AJ763" s="98">
        <v>83.224999999999994</v>
      </c>
      <c r="AK763" s="98">
        <v>93.421000000000006</v>
      </c>
      <c r="AL763" s="99">
        <v>96.331000000000003</v>
      </c>
      <c r="AM763" s="98">
        <v>96.216999999999999</v>
      </c>
      <c r="AN763" s="98">
        <v>92.846999999999994</v>
      </c>
      <c r="AO763" s="98">
        <v>100.55</v>
      </c>
      <c r="AP763" s="99">
        <v>108.66800000000001</v>
      </c>
    </row>
    <row r="764" spans="1:42" ht="14.45" customHeight="1" x14ac:dyDescent="0.25">
      <c r="A764" s="130" t="s">
        <v>689</v>
      </c>
      <c r="B764" s="190"/>
      <c r="C764" s="158"/>
      <c r="D764" s="158"/>
      <c r="E764" s="158"/>
      <c r="F764" s="158"/>
      <c r="G764" s="158"/>
      <c r="H764" s="158"/>
      <c r="I764" s="102">
        <v>128.96299999999999</v>
      </c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02">
        <v>7.0359999999999996</v>
      </c>
      <c r="V764" s="103">
        <v>6.4290000000000003</v>
      </c>
      <c r="W764" s="102">
        <v>6.35</v>
      </c>
      <c r="X764" s="102">
        <v>8.1039999999999992</v>
      </c>
      <c r="Y764" s="102">
        <v>6.9320000000000004</v>
      </c>
      <c r="Z764" s="103">
        <v>6.88</v>
      </c>
      <c r="AA764" s="102">
        <v>3.0219999999999998</v>
      </c>
      <c r="AB764" s="102">
        <v>3.0449999999999999</v>
      </c>
      <c r="AC764" s="102">
        <v>3.0449999999999999</v>
      </c>
      <c r="AD764" s="103">
        <v>0</v>
      </c>
      <c r="AE764" s="158"/>
      <c r="AF764" s="158"/>
      <c r="AG764" s="158"/>
      <c r="AH764" s="103">
        <v>0</v>
      </c>
      <c r="AI764" s="158"/>
      <c r="AJ764" s="63"/>
      <c r="AK764" s="158"/>
      <c r="AL764" s="103">
        <v>0</v>
      </c>
      <c r="AM764" s="158"/>
      <c r="AN764" s="63"/>
      <c r="AO764" s="63"/>
      <c r="AP764" s="103">
        <v>0</v>
      </c>
    </row>
    <row r="765" spans="1:42" ht="14.45" customHeight="1" x14ac:dyDescent="0.25">
      <c r="A765" s="110" t="s">
        <v>690</v>
      </c>
      <c r="B765" s="212"/>
      <c r="C765" s="106">
        <v>478.68599999999998</v>
      </c>
      <c r="D765" s="106">
        <v>590.46399999999994</v>
      </c>
      <c r="E765" s="106">
        <v>580.66599999999994</v>
      </c>
      <c r="F765" s="106">
        <v>593.81100000000004</v>
      </c>
      <c r="G765" s="106">
        <v>659.16300000000012</v>
      </c>
      <c r="H765" s="106">
        <v>811.375</v>
      </c>
      <c r="I765" s="106">
        <v>942.71599999999989</v>
      </c>
      <c r="J765" s="106">
        <v>794.53800000000001</v>
      </c>
      <c r="K765" s="106">
        <v>828.90099999999995</v>
      </c>
      <c r="L765" s="106">
        <v>872.88600000000008</v>
      </c>
      <c r="M765" s="106">
        <v>845.23099999999988</v>
      </c>
      <c r="N765" s="106">
        <v>797.41799999999989</v>
      </c>
      <c r="O765" s="106">
        <v>808.43099999999993</v>
      </c>
      <c r="P765" s="106">
        <v>863.92000000000007</v>
      </c>
      <c r="Q765" s="106">
        <v>851.89400000000012</v>
      </c>
      <c r="R765" s="106">
        <v>830.27600000000007</v>
      </c>
      <c r="S765" s="106">
        <v>903.48500000000001</v>
      </c>
      <c r="T765" s="106">
        <v>900.11099999999976</v>
      </c>
      <c r="U765" s="106">
        <v>976.89799999999991</v>
      </c>
      <c r="V765" s="106">
        <v>851.23699999999997</v>
      </c>
      <c r="W765" s="106">
        <v>926.84799999999996</v>
      </c>
      <c r="X765" s="106">
        <v>926.86899999999991</v>
      </c>
      <c r="Y765" s="106">
        <v>1071.6189999999999</v>
      </c>
      <c r="Z765" s="106">
        <v>1076.662</v>
      </c>
      <c r="AA765" s="106">
        <v>1051.2180000000001</v>
      </c>
      <c r="AB765" s="106">
        <v>1213.203</v>
      </c>
      <c r="AC765" s="106">
        <v>1230.269</v>
      </c>
      <c r="AD765" s="106">
        <v>1245.8009999999999</v>
      </c>
      <c r="AE765" s="106">
        <v>1353.627</v>
      </c>
      <c r="AF765" s="106">
        <v>1548.0129999999999</v>
      </c>
      <c r="AG765" s="106">
        <v>1676.4749999999999</v>
      </c>
      <c r="AH765" s="106">
        <v>1705.1279999999999</v>
      </c>
      <c r="AI765" s="106">
        <v>1714.8530000000001</v>
      </c>
      <c r="AJ765" s="106">
        <v>3036.3440000000001</v>
      </c>
      <c r="AK765" s="106">
        <v>2571.1329999999998</v>
      </c>
      <c r="AL765" s="106">
        <v>2547.3020000000001</v>
      </c>
      <c r="AM765" s="106">
        <v>2613.4340000000002</v>
      </c>
      <c r="AN765" s="106">
        <v>2731.239</v>
      </c>
      <c r="AO765" s="106">
        <v>2847.74</v>
      </c>
      <c r="AP765" s="106">
        <v>1426.674</v>
      </c>
    </row>
    <row r="766" spans="1:42" ht="14.45" customHeight="1" x14ac:dyDescent="0.25">
      <c r="A766" s="111"/>
      <c r="B766" s="211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</row>
    <row r="767" spans="1:42" ht="14.45" customHeight="1" x14ac:dyDescent="0.25">
      <c r="A767" s="219" t="s">
        <v>691</v>
      </c>
      <c r="B767" s="211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</row>
    <row r="768" spans="1:42" ht="14.45" customHeight="1" x14ac:dyDescent="0.25">
      <c r="A768" s="125" t="s">
        <v>692</v>
      </c>
      <c r="B768" s="180"/>
      <c r="C768" s="98">
        <v>638.89599999999996</v>
      </c>
      <c r="D768" s="98">
        <v>706.471</v>
      </c>
      <c r="E768" s="98">
        <v>722.024</v>
      </c>
      <c r="F768" s="99">
        <v>812.98900000000003</v>
      </c>
      <c r="G768" s="98">
        <v>924.17700000000002</v>
      </c>
      <c r="H768" s="98">
        <v>977.553</v>
      </c>
      <c r="I768" s="98">
        <v>939.27</v>
      </c>
      <c r="J768" s="99">
        <v>1031.3879999999999</v>
      </c>
      <c r="K768" s="98">
        <v>1022.325</v>
      </c>
      <c r="L768" s="98">
        <v>1012.423</v>
      </c>
      <c r="M768" s="98">
        <v>998.11699999999996</v>
      </c>
      <c r="N768" s="99">
        <v>990.53200000000004</v>
      </c>
      <c r="O768" s="98">
        <v>970.49900000000002</v>
      </c>
      <c r="P768" s="98">
        <v>962.40200000000004</v>
      </c>
      <c r="Q768" s="98">
        <v>957.197</v>
      </c>
      <c r="R768" s="99">
        <v>997.40300000000002</v>
      </c>
      <c r="S768" s="98">
        <v>984.76900000000001</v>
      </c>
      <c r="T768" s="98">
        <v>985.178</v>
      </c>
      <c r="U768" s="98">
        <v>979.21</v>
      </c>
      <c r="V768" s="99">
        <v>1022.722</v>
      </c>
      <c r="W768" s="98">
        <v>1021.198</v>
      </c>
      <c r="X768" s="98">
        <v>1020.293</v>
      </c>
      <c r="Y768" s="98">
        <v>1009.325</v>
      </c>
      <c r="Z768" s="99">
        <v>1030.6880000000001</v>
      </c>
      <c r="AA768" s="98">
        <v>1071.731</v>
      </c>
      <c r="AB768" s="98">
        <v>1081.604</v>
      </c>
      <c r="AC768" s="98">
        <v>1082.94</v>
      </c>
      <c r="AD768" s="99">
        <v>1183.73</v>
      </c>
      <c r="AE768" s="98">
        <v>1170.0029999999999</v>
      </c>
      <c r="AF768" s="98">
        <v>1176.3389999999999</v>
      </c>
      <c r="AG768" s="98">
        <v>1204.8430000000001</v>
      </c>
      <c r="AH768" s="99">
        <v>1320.5630000000001</v>
      </c>
      <c r="AI768" s="98">
        <v>1321.681</v>
      </c>
      <c r="AJ768" s="98">
        <v>1366.0540000000001</v>
      </c>
      <c r="AK768" s="98">
        <v>1454.7460000000001</v>
      </c>
      <c r="AL768" s="99">
        <v>1505.2670000000001</v>
      </c>
      <c r="AM768" s="98">
        <v>1537.547</v>
      </c>
      <c r="AN768" s="98">
        <v>1552.3689999999999</v>
      </c>
      <c r="AO768" s="98">
        <v>1543.7929999999999</v>
      </c>
      <c r="AP768" s="99">
        <v>1604.605</v>
      </c>
    </row>
    <row r="769" spans="1:42" ht="14.45" customHeight="1" x14ac:dyDescent="0.25">
      <c r="A769" s="125" t="s">
        <v>693</v>
      </c>
      <c r="B769" s="180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98">
        <v>84.591999999999999</v>
      </c>
      <c r="P769" s="98">
        <v>102.151</v>
      </c>
      <c r="Q769" s="98">
        <v>115.98099999999999</v>
      </c>
      <c r="R769" s="99">
        <v>111.376</v>
      </c>
      <c r="S769" s="98">
        <v>138.447</v>
      </c>
      <c r="T769" s="98">
        <v>134.315</v>
      </c>
      <c r="U769" s="98">
        <v>135.559</v>
      </c>
      <c r="V769" s="99">
        <v>134.38300000000001</v>
      </c>
      <c r="W769" s="98">
        <v>129.44499999999999</v>
      </c>
      <c r="X769" s="98">
        <v>131.53299999999999</v>
      </c>
      <c r="Y769" s="98">
        <v>140.41</v>
      </c>
      <c r="Z769" s="99">
        <v>139.87700000000001</v>
      </c>
      <c r="AA769" s="98">
        <v>138.85599999999999</v>
      </c>
      <c r="AB769" s="98">
        <v>137.02600000000001</v>
      </c>
      <c r="AC769" s="98">
        <v>140.977</v>
      </c>
      <c r="AD769" s="99">
        <v>140.58799999999999</v>
      </c>
      <c r="AE769" s="98">
        <v>134.304</v>
      </c>
      <c r="AF769" s="98">
        <v>128.75899999999999</v>
      </c>
      <c r="AG769" s="98">
        <v>123.63500000000001</v>
      </c>
      <c r="AH769" s="99">
        <v>122.708</v>
      </c>
      <c r="AI769" s="98">
        <v>116.129</v>
      </c>
      <c r="AJ769" s="98">
        <v>110.139</v>
      </c>
      <c r="AK769" s="98">
        <v>102.33</v>
      </c>
      <c r="AL769" s="99">
        <v>112.351</v>
      </c>
      <c r="AM769" s="98">
        <v>107.099</v>
      </c>
      <c r="AN769" s="98">
        <v>107.551</v>
      </c>
      <c r="AO769" s="98">
        <v>121.485</v>
      </c>
      <c r="AP769" s="99">
        <v>116.611</v>
      </c>
    </row>
    <row r="770" spans="1:42" ht="14.45" customHeight="1" x14ac:dyDescent="0.25">
      <c r="A770" s="125" t="s">
        <v>694</v>
      </c>
      <c r="B770" s="180"/>
      <c r="C770" s="98">
        <v>38.405999999999999</v>
      </c>
      <c r="D770" s="98">
        <v>36.49</v>
      </c>
      <c r="E770" s="98">
        <v>35.002000000000002</v>
      </c>
      <c r="F770" s="99">
        <v>33.552</v>
      </c>
      <c r="G770" s="98">
        <v>32.121000000000002</v>
      </c>
      <c r="H770" s="98">
        <v>30.689</v>
      </c>
      <c r="I770" s="98">
        <v>29.259</v>
      </c>
      <c r="J770" s="99">
        <v>29.837</v>
      </c>
      <c r="K770" s="98">
        <v>28.175000000000001</v>
      </c>
      <c r="L770" s="98">
        <v>26.692</v>
      </c>
      <c r="M770" s="98">
        <v>25.207999999999998</v>
      </c>
      <c r="N770" s="99">
        <v>23.72</v>
      </c>
      <c r="O770" s="98">
        <v>22.434999999999999</v>
      </c>
      <c r="P770" s="98">
        <v>20.943999999999999</v>
      </c>
      <c r="Q770" s="98">
        <v>19.452000000000002</v>
      </c>
      <c r="R770" s="99">
        <v>17.96</v>
      </c>
      <c r="S770" s="98">
        <v>12.497999999999999</v>
      </c>
      <c r="T770" s="98">
        <v>11.573</v>
      </c>
      <c r="U770" s="98">
        <v>71.281000000000006</v>
      </c>
      <c r="V770" s="99">
        <v>69.867000000000004</v>
      </c>
      <c r="W770" s="98">
        <v>68.453000000000003</v>
      </c>
      <c r="X770" s="98">
        <v>67.039000000000001</v>
      </c>
      <c r="Y770" s="98">
        <v>65.625</v>
      </c>
      <c r="Z770" s="99">
        <v>64.210999999999999</v>
      </c>
      <c r="AA770" s="98">
        <v>7.6660000000000004</v>
      </c>
      <c r="AB770" s="98">
        <v>7.2539999999999996</v>
      </c>
      <c r="AC770" s="98">
        <v>6.843</v>
      </c>
      <c r="AD770" s="99">
        <v>6.431</v>
      </c>
      <c r="AE770" s="98">
        <v>6.02</v>
      </c>
      <c r="AF770" s="98">
        <v>5.6079999999999997</v>
      </c>
      <c r="AG770" s="98">
        <v>5.1959999999999997</v>
      </c>
      <c r="AH770" s="99">
        <v>4.7850000000000001</v>
      </c>
      <c r="AI770" s="98">
        <v>4.3730000000000002</v>
      </c>
      <c r="AJ770" s="98">
        <v>3.9620000000000002</v>
      </c>
      <c r="AK770" s="98">
        <v>3.55</v>
      </c>
      <c r="AL770" s="99">
        <v>3.1379999999999999</v>
      </c>
      <c r="AM770" s="98">
        <v>2.7269999999999999</v>
      </c>
      <c r="AN770" s="98">
        <v>1.9910000000000001</v>
      </c>
      <c r="AO770" s="98">
        <v>1.2609999999999999</v>
      </c>
      <c r="AP770" s="99">
        <v>1.1599999999999999</v>
      </c>
    </row>
    <row r="771" spans="1:42" ht="14.45" customHeight="1" x14ac:dyDescent="0.25">
      <c r="A771" s="125" t="s">
        <v>695</v>
      </c>
      <c r="B771" s="180"/>
      <c r="C771" s="98">
        <v>68.302999999999997</v>
      </c>
      <c r="D771" s="98">
        <v>79.061999999999998</v>
      </c>
      <c r="E771" s="98">
        <v>82.614999999999995</v>
      </c>
      <c r="F771" s="99">
        <v>86.090999999999994</v>
      </c>
      <c r="G771" s="98">
        <v>92.421000000000006</v>
      </c>
      <c r="H771" s="98">
        <v>99.587000000000003</v>
      </c>
      <c r="I771" s="98">
        <v>104.111</v>
      </c>
      <c r="J771" s="99">
        <v>116.209</v>
      </c>
      <c r="K771" s="98">
        <v>115.51900000000001</v>
      </c>
      <c r="L771" s="98">
        <v>116.09099999999999</v>
      </c>
      <c r="M771" s="98">
        <v>119.193</v>
      </c>
      <c r="N771" s="99">
        <v>115.49</v>
      </c>
      <c r="O771" s="98">
        <v>113.53700000000001</v>
      </c>
      <c r="P771" s="98">
        <v>113.033</v>
      </c>
      <c r="Q771" s="98">
        <v>111.021</v>
      </c>
      <c r="R771" s="99">
        <v>113.26900000000001</v>
      </c>
      <c r="S771" s="98">
        <v>106.43300000000001</v>
      </c>
      <c r="T771" s="98">
        <v>109.822</v>
      </c>
      <c r="U771" s="98">
        <v>111.77500000000001</v>
      </c>
      <c r="V771" s="99">
        <v>111.78100000000001</v>
      </c>
      <c r="W771" s="98">
        <v>112.995</v>
      </c>
      <c r="X771" s="98">
        <v>117.252</v>
      </c>
      <c r="Y771" s="98">
        <v>120.23</v>
      </c>
      <c r="Z771" s="99">
        <v>120.486</v>
      </c>
      <c r="AA771" s="98">
        <v>119.34</v>
      </c>
      <c r="AB771" s="98">
        <v>112.133</v>
      </c>
      <c r="AC771" s="98">
        <v>112.474</v>
      </c>
      <c r="AD771" s="99">
        <v>115.892</v>
      </c>
      <c r="AE771" s="98">
        <v>125.312</v>
      </c>
      <c r="AF771" s="98">
        <v>132.017</v>
      </c>
      <c r="AG771" s="98">
        <v>133.96</v>
      </c>
      <c r="AH771" s="99">
        <v>145.21299999999999</v>
      </c>
      <c r="AI771" s="98">
        <v>156.13999999999999</v>
      </c>
      <c r="AJ771" s="98">
        <v>162.285</v>
      </c>
      <c r="AK771" s="98">
        <v>170.304</v>
      </c>
      <c r="AL771" s="99">
        <v>181.048</v>
      </c>
      <c r="AM771" s="98">
        <v>185.52600000000001</v>
      </c>
      <c r="AN771" s="98">
        <v>197.565</v>
      </c>
      <c r="AO771" s="98">
        <v>210.083</v>
      </c>
      <c r="AP771" s="99">
        <v>216.428</v>
      </c>
    </row>
    <row r="772" spans="1:42" ht="14.45" customHeight="1" x14ac:dyDescent="0.25">
      <c r="A772" s="125" t="s">
        <v>696</v>
      </c>
      <c r="B772" s="180"/>
      <c r="C772" s="98">
        <v>135.31100000000001</v>
      </c>
      <c r="D772" s="98">
        <v>139.756</v>
      </c>
      <c r="E772" s="98">
        <v>141.27099999999999</v>
      </c>
      <c r="F772" s="99">
        <v>144.58600000000001</v>
      </c>
      <c r="G772" s="98">
        <v>149.38300000000001</v>
      </c>
      <c r="H772" s="98">
        <v>160.42699999999999</v>
      </c>
      <c r="I772" s="98">
        <v>152.70099999999999</v>
      </c>
      <c r="J772" s="99">
        <v>169.316</v>
      </c>
      <c r="K772" s="98">
        <v>170.262</v>
      </c>
      <c r="L772" s="98">
        <v>170.899</v>
      </c>
      <c r="M772" s="98">
        <v>165.90299999999999</v>
      </c>
      <c r="N772" s="99">
        <v>165.90299999999999</v>
      </c>
      <c r="O772" s="98">
        <v>165.90299999999999</v>
      </c>
      <c r="P772" s="98">
        <v>165.90299999999999</v>
      </c>
      <c r="Q772" s="98">
        <v>165.90299999999999</v>
      </c>
      <c r="R772" s="99">
        <v>165.90299999999999</v>
      </c>
      <c r="S772" s="98">
        <v>165.90299999999999</v>
      </c>
      <c r="T772" s="98">
        <v>165.90299999999999</v>
      </c>
      <c r="U772" s="98">
        <v>165.90299999999999</v>
      </c>
      <c r="V772" s="99">
        <v>165.90299999999999</v>
      </c>
      <c r="W772" s="98">
        <v>165.90299999999999</v>
      </c>
      <c r="X772" s="98">
        <v>165.90299999999999</v>
      </c>
      <c r="Y772" s="98">
        <v>165.90299999999999</v>
      </c>
      <c r="Z772" s="99">
        <v>165.90299999999999</v>
      </c>
      <c r="AA772" s="98">
        <v>165.90299999999999</v>
      </c>
      <c r="AB772" s="98">
        <v>165.90299999999999</v>
      </c>
      <c r="AC772" s="98">
        <v>165.90299999999999</v>
      </c>
      <c r="AD772" s="99">
        <v>165.90299999999999</v>
      </c>
      <c r="AE772" s="98">
        <v>165.90299999999999</v>
      </c>
      <c r="AF772" s="98">
        <v>165.90299999999999</v>
      </c>
      <c r="AG772" s="98">
        <v>165.90299999999999</v>
      </c>
      <c r="AH772" s="99">
        <v>165.90299999999999</v>
      </c>
      <c r="AI772" s="98">
        <v>165.90299999999999</v>
      </c>
      <c r="AJ772" s="98">
        <v>165.90299999999999</v>
      </c>
      <c r="AK772" s="98">
        <v>165.90299999999999</v>
      </c>
      <c r="AL772" s="99">
        <v>165.90299999999999</v>
      </c>
      <c r="AM772" s="98">
        <v>165.90299999999999</v>
      </c>
      <c r="AN772" s="98">
        <v>165.90299999999999</v>
      </c>
      <c r="AO772" s="98">
        <v>165.90299999999999</v>
      </c>
      <c r="AP772" s="99">
        <v>165.90299999999999</v>
      </c>
    </row>
    <row r="773" spans="1:42" ht="14.45" customHeight="1" x14ac:dyDescent="0.25">
      <c r="A773" s="96" t="s">
        <v>697</v>
      </c>
      <c r="B773" s="180"/>
      <c r="C773" s="63"/>
      <c r="D773" s="63"/>
      <c r="E773" s="63"/>
      <c r="F773" s="63"/>
      <c r="G773" s="63"/>
      <c r="H773" s="63"/>
      <c r="I773" s="63"/>
      <c r="J773" s="99">
        <v>913.35199999999998</v>
      </c>
      <c r="K773" s="98">
        <v>907.4</v>
      </c>
      <c r="L773" s="98">
        <v>906.596</v>
      </c>
      <c r="M773" s="98">
        <v>901.83100000000002</v>
      </c>
      <c r="N773" s="99">
        <v>900.38300000000004</v>
      </c>
      <c r="O773" s="98">
        <v>894.26900000000001</v>
      </c>
      <c r="P773" s="98">
        <v>888.23800000000006</v>
      </c>
      <c r="Q773" s="98">
        <v>882.16700000000003</v>
      </c>
      <c r="R773" s="99">
        <v>876.096</v>
      </c>
      <c r="S773" s="98">
        <v>870.02499999999998</v>
      </c>
      <c r="T773" s="98">
        <v>863.95399999999995</v>
      </c>
      <c r="U773" s="98">
        <v>859.00300000000004</v>
      </c>
      <c r="V773" s="99">
        <v>853.75300000000004</v>
      </c>
      <c r="W773" s="98">
        <v>847.64499999999998</v>
      </c>
      <c r="X773" s="98">
        <v>841.524</v>
      </c>
      <c r="Y773" s="98">
        <v>835.40300000000002</v>
      </c>
      <c r="Z773" s="99">
        <v>836.77700000000004</v>
      </c>
      <c r="AA773" s="98">
        <v>860.70299999999997</v>
      </c>
      <c r="AB773" s="98">
        <v>854.48</v>
      </c>
      <c r="AC773" s="98">
        <v>848.25699999999995</v>
      </c>
      <c r="AD773" s="99">
        <v>842.03499999999997</v>
      </c>
      <c r="AE773" s="98">
        <v>835.81200000000001</v>
      </c>
      <c r="AF773" s="98">
        <v>829.58900000000006</v>
      </c>
      <c r="AG773" s="98">
        <v>823.36599999999999</v>
      </c>
      <c r="AH773" s="99">
        <v>817.14300000000003</v>
      </c>
      <c r="AI773" s="98">
        <v>810.92</v>
      </c>
      <c r="AJ773" s="98">
        <v>804.697</v>
      </c>
      <c r="AK773" s="98">
        <v>798.47500000000002</v>
      </c>
      <c r="AL773" s="99">
        <v>792.25199999999995</v>
      </c>
      <c r="AM773" s="98">
        <v>786.029</v>
      </c>
      <c r="AN773" s="98">
        <v>779.80600000000004</v>
      </c>
      <c r="AO773" s="98">
        <v>773.58299999999997</v>
      </c>
      <c r="AP773" s="99">
        <v>767.36</v>
      </c>
    </row>
    <row r="774" spans="1:42" ht="14.45" customHeight="1" x14ac:dyDescent="0.25">
      <c r="A774" s="96" t="s">
        <v>698</v>
      </c>
      <c r="B774" s="180"/>
      <c r="C774" s="98">
        <v>527.54</v>
      </c>
      <c r="D774" s="98">
        <v>533.04</v>
      </c>
      <c r="E774" s="98">
        <v>533.04</v>
      </c>
      <c r="F774" s="99">
        <v>533.04</v>
      </c>
      <c r="G774" s="98">
        <v>0</v>
      </c>
      <c r="H774" s="98">
        <v>0</v>
      </c>
      <c r="I774" s="63"/>
      <c r="J774" s="99">
        <v>0</v>
      </c>
      <c r="K774" s="63"/>
      <c r="L774" s="63"/>
      <c r="M774" s="63"/>
      <c r="N774" s="99">
        <v>0</v>
      </c>
      <c r="O774" s="63"/>
      <c r="P774" s="63"/>
      <c r="Q774" s="63"/>
      <c r="R774" s="99">
        <v>0</v>
      </c>
      <c r="S774" s="63"/>
      <c r="T774" s="63"/>
      <c r="U774" s="63"/>
      <c r="V774" s="99">
        <v>0</v>
      </c>
      <c r="W774" s="63"/>
      <c r="X774" s="63"/>
      <c r="Y774" s="63"/>
      <c r="Z774" s="99">
        <v>0</v>
      </c>
      <c r="AA774" s="63"/>
      <c r="AB774" s="63"/>
      <c r="AC774" s="63"/>
      <c r="AD774" s="99">
        <v>0</v>
      </c>
      <c r="AE774" s="63"/>
      <c r="AF774" s="63"/>
      <c r="AG774" s="63"/>
      <c r="AH774" s="99">
        <v>0</v>
      </c>
      <c r="AI774" s="63"/>
      <c r="AJ774" s="63"/>
      <c r="AK774" s="63"/>
      <c r="AL774" s="99">
        <v>0</v>
      </c>
      <c r="AM774" s="63"/>
      <c r="AN774" s="63"/>
      <c r="AO774" s="63"/>
      <c r="AP774" s="99">
        <v>0</v>
      </c>
    </row>
    <row r="775" spans="1:42" ht="14.45" customHeight="1" x14ac:dyDescent="0.25">
      <c r="A775" s="96" t="s">
        <v>699</v>
      </c>
      <c r="B775" s="180"/>
      <c r="C775" s="63"/>
      <c r="D775" s="63"/>
      <c r="E775" s="63"/>
      <c r="F775" s="63"/>
      <c r="G775" s="63"/>
      <c r="H775" s="63"/>
      <c r="I775" s="63"/>
      <c r="J775" s="99">
        <v>18.32</v>
      </c>
      <c r="K775" s="98">
        <v>17.861000000000001</v>
      </c>
      <c r="L775" s="98">
        <v>17.401</v>
      </c>
      <c r="M775" s="98">
        <v>16.940999999999999</v>
      </c>
      <c r="N775" s="99">
        <v>16.481999999999999</v>
      </c>
      <c r="O775" s="98">
        <v>16.021999999999998</v>
      </c>
      <c r="P775" s="98">
        <v>15.561999999999999</v>
      </c>
      <c r="Q775" s="98">
        <v>15.103</v>
      </c>
      <c r="R775" s="99">
        <v>14.643000000000001</v>
      </c>
      <c r="S775" s="98">
        <v>14.183</v>
      </c>
      <c r="T775" s="98">
        <v>13.724</v>
      </c>
      <c r="U775" s="98">
        <v>13.263999999999999</v>
      </c>
      <c r="V775" s="99">
        <v>12.804</v>
      </c>
      <c r="W775" s="98">
        <v>12.345000000000001</v>
      </c>
      <c r="X775" s="98">
        <v>11.885</v>
      </c>
      <c r="Y775" s="98">
        <v>11.425000000000001</v>
      </c>
      <c r="Z775" s="99">
        <v>10.965999999999999</v>
      </c>
      <c r="AA775" s="98">
        <v>10.515000000000001</v>
      </c>
      <c r="AB775" s="98">
        <v>10.065</v>
      </c>
      <c r="AC775" s="98">
        <v>9.6150000000000002</v>
      </c>
      <c r="AD775" s="99">
        <v>9.1649999999999991</v>
      </c>
      <c r="AE775" s="98">
        <v>8.7140000000000004</v>
      </c>
      <c r="AF775" s="98">
        <v>8.3089999999999993</v>
      </c>
      <c r="AG775" s="98">
        <v>7.9039999999999999</v>
      </c>
      <c r="AH775" s="99">
        <v>7.4989999999999997</v>
      </c>
      <c r="AI775" s="98">
        <v>7.093</v>
      </c>
      <c r="AJ775" s="98">
        <v>6.6879999999999997</v>
      </c>
      <c r="AK775" s="98">
        <v>6.2830000000000004</v>
      </c>
      <c r="AL775" s="99">
        <v>5.8780000000000001</v>
      </c>
      <c r="AM775" s="98">
        <v>5.4729999999999999</v>
      </c>
      <c r="AN775" s="98">
        <v>5.0670000000000002</v>
      </c>
      <c r="AO775" s="98">
        <v>4.6619999999999999</v>
      </c>
      <c r="AP775" s="99">
        <v>4.2569999999999997</v>
      </c>
    </row>
    <row r="776" spans="1:42" ht="14.45" customHeight="1" x14ac:dyDescent="0.25">
      <c r="A776" s="96" t="s">
        <v>700</v>
      </c>
      <c r="B776" s="180"/>
      <c r="C776" s="98">
        <v>136.721</v>
      </c>
      <c r="D776" s="98">
        <v>160.46700000000001</v>
      </c>
      <c r="E776" s="98">
        <v>159.40700000000001</v>
      </c>
      <c r="F776" s="99">
        <v>245.41499999999999</v>
      </c>
      <c r="G776" s="98">
        <v>807.55499999999995</v>
      </c>
      <c r="H776" s="98">
        <v>811.81</v>
      </c>
      <c r="I776" s="98">
        <v>743.03899999999999</v>
      </c>
      <c r="J776" s="99">
        <v>0</v>
      </c>
      <c r="K776" s="63"/>
      <c r="L776" s="63"/>
      <c r="M776" s="63"/>
      <c r="N776" s="99">
        <v>0</v>
      </c>
      <c r="O776" s="63"/>
      <c r="P776" s="63"/>
      <c r="Q776" s="63"/>
      <c r="R776" s="99">
        <v>0</v>
      </c>
      <c r="S776" s="63"/>
      <c r="T776" s="63"/>
      <c r="U776" s="63"/>
      <c r="V776" s="99">
        <v>0</v>
      </c>
      <c r="W776" s="63"/>
      <c r="X776" s="63"/>
      <c r="Y776" s="63"/>
      <c r="Z776" s="99">
        <v>0</v>
      </c>
      <c r="AA776" s="63"/>
      <c r="AB776" s="63"/>
      <c r="AC776" s="63"/>
      <c r="AD776" s="99">
        <v>0</v>
      </c>
      <c r="AE776" s="63"/>
      <c r="AF776" s="63"/>
      <c r="AG776" s="63"/>
      <c r="AH776" s="99">
        <v>0</v>
      </c>
      <c r="AI776" s="63"/>
      <c r="AJ776" s="63"/>
      <c r="AK776" s="63"/>
      <c r="AL776" s="99">
        <v>0</v>
      </c>
      <c r="AM776" s="63"/>
      <c r="AN776" s="63"/>
      <c r="AO776" s="63"/>
      <c r="AP776" s="99">
        <v>0</v>
      </c>
    </row>
    <row r="777" spans="1:42" ht="14.45" customHeight="1" x14ac:dyDescent="0.25">
      <c r="A777" s="130" t="s">
        <v>701</v>
      </c>
      <c r="B777" s="190"/>
      <c r="C777" s="103">
        <v>664.26099999999997</v>
      </c>
      <c r="D777" s="103">
        <v>693.50699999999995</v>
      </c>
      <c r="E777" s="103">
        <v>692.447</v>
      </c>
      <c r="F777" s="103">
        <v>778.45499999999993</v>
      </c>
      <c r="G777" s="103">
        <v>807.55499999999995</v>
      </c>
      <c r="H777" s="103">
        <v>811.81</v>
      </c>
      <c r="I777" s="103">
        <v>743.03899999999999</v>
      </c>
      <c r="J777" s="103">
        <v>931.67200000000003</v>
      </c>
      <c r="K777" s="103">
        <v>925.26099999999997</v>
      </c>
      <c r="L777" s="103">
        <v>923.99699999999996</v>
      </c>
      <c r="M777" s="103">
        <v>918.77200000000005</v>
      </c>
      <c r="N777" s="103">
        <v>916.86500000000001</v>
      </c>
      <c r="O777" s="103">
        <v>910.29100000000005</v>
      </c>
      <c r="P777" s="103">
        <v>903.80000000000007</v>
      </c>
      <c r="Q777" s="103">
        <v>897.27</v>
      </c>
      <c r="R777" s="103">
        <v>890.73900000000003</v>
      </c>
      <c r="S777" s="103">
        <v>884.20799999999997</v>
      </c>
      <c r="T777" s="103">
        <v>877.678</v>
      </c>
      <c r="U777" s="103">
        <v>872.26700000000005</v>
      </c>
      <c r="V777" s="103">
        <v>866.55700000000002</v>
      </c>
      <c r="W777" s="103">
        <v>859.99</v>
      </c>
      <c r="X777" s="103">
        <v>853.40899999999999</v>
      </c>
      <c r="Y777" s="103">
        <v>846.82799999999997</v>
      </c>
      <c r="Z777" s="103">
        <v>847.74300000000005</v>
      </c>
      <c r="AA777" s="103">
        <v>871.21799999999996</v>
      </c>
      <c r="AB777" s="103">
        <v>864.54500000000007</v>
      </c>
      <c r="AC777" s="103">
        <v>857.87199999999996</v>
      </c>
      <c r="AD777" s="103">
        <v>851.19999999999993</v>
      </c>
      <c r="AE777" s="103">
        <v>844.52600000000007</v>
      </c>
      <c r="AF777" s="103">
        <v>837.89800000000002</v>
      </c>
      <c r="AG777" s="103">
        <v>831.27</v>
      </c>
      <c r="AH777" s="103">
        <v>824.64200000000005</v>
      </c>
      <c r="AI777" s="103">
        <v>818.01299999999992</v>
      </c>
      <c r="AJ777" s="103">
        <v>811.38499999999999</v>
      </c>
      <c r="AK777" s="103">
        <v>804.75800000000004</v>
      </c>
      <c r="AL777" s="103">
        <v>798.13</v>
      </c>
      <c r="AM777" s="103">
        <v>791.50199999999995</v>
      </c>
      <c r="AN777" s="103">
        <v>784.87300000000005</v>
      </c>
      <c r="AO777" s="103">
        <v>778.245</v>
      </c>
      <c r="AP777" s="103">
        <v>771.61699999999996</v>
      </c>
    </row>
    <row r="778" spans="1:42" ht="14.45" customHeight="1" x14ac:dyDescent="0.25">
      <c r="A778" s="110" t="s">
        <v>702</v>
      </c>
      <c r="B778" s="212"/>
      <c r="C778" s="106">
        <v>1545.1769999999999</v>
      </c>
      <c r="D778" s="106">
        <v>1655.2860000000001</v>
      </c>
      <c r="E778" s="106">
        <v>1673.3589999999999</v>
      </c>
      <c r="F778" s="106">
        <v>1855.673</v>
      </c>
      <c r="G778" s="106">
        <v>2005.6569999999999</v>
      </c>
      <c r="H778" s="106">
        <v>2080.0659999999998</v>
      </c>
      <c r="I778" s="106">
        <v>1968.38</v>
      </c>
      <c r="J778" s="106">
        <v>2278.422</v>
      </c>
      <c r="K778" s="106">
        <v>2261.5419999999999</v>
      </c>
      <c r="L778" s="106">
        <v>2250.1019999999999</v>
      </c>
      <c r="M778" s="106">
        <v>2227.1930000000002</v>
      </c>
      <c r="N778" s="106">
        <v>2212.5100000000002</v>
      </c>
      <c r="O778" s="106">
        <v>2267.2570000000001</v>
      </c>
      <c r="P778" s="106">
        <v>2268.2330000000002</v>
      </c>
      <c r="Q778" s="106">
        <v>2266.8240000000001</v>
      </c>
      <c r="R778" s="106">
        <v>2296.65</v>
      </c>
      <c r="S778" s="106">
        <v>2292.2579999999998</v>
      </c>
      <c r="T778" s="106">
        <v>2284.4690000000001</v>
      </c>
      <c r="U778" s="106">
        <v>2335.9949999999999</v>
      </c>
      <c r="V778" s="106">
        <v>2371.2130000000002</v>
      </c>
      <c r="W778" s="106">
        <v>2357.9839999999999</v>
      </c>
      <c r="X778" s="106">
        <v>2355.4290000000001</v>
      </c>
      <c r="Y778" s="106">
        <v>2348.3209999999999</v>
      </c>
      <c r="Z778" s="106">
        <v>2368.9079999999999</v>
      </c>
      <c r="AA778" s="106">
        <v>2374.7139999999999</v>
      </c>
      <c r="AB778" s="106">
        <v>2368.4650000000001</v>
      </c>
      <c r="AC778" s="106">
        <v>2367.009</v>
      </c>
      <c r="AD778" s="106">
        <v>2463.7440000000001</v>
      </c>
      <c r="AE778" s="106">
        <v>2446.0680000000002</v>
      </c>
      <c r="AF778" s="106">
        <v>2446.5239999999999</v>
      </c>
      <c r="AG778" s="106">
        <v>2464.8069999999998</v>
      </c>
      <c r="AH778" s="106">
        <v>2583.8139999999999</v>
      </c>
      <c r="AI778" s="106">
        <v>2582.239</v>
      </c>
      <c r="AJ778" s="109">
        <v>2619.7280000000001</v>
      </c>
      <c r="AK778" s="106">
        <v>2701.5909999999999</v>
      </c>
      <c r="AL778" s="106">
        <v>2765.837</v>
      </c>
      <c r="AM778" s="106">
        <v>2790.3040000000001</v>
      </c>
      <c r="AN778" s="109">
        <v>2810.252</v>
      </c>
      <c r="AO778" s="109">
        <v>2820.77</v>
      </c>
      <c r="AP778" s="106">
        <v>2876.3240000000001</v>
      </c>
    </row>
    <row r="779" spans="1:42" ht="14.45" customHeight="1" x14ac:dyDescent="0.25">
      <c r="A779" s="135" t="s">
        <v>703</v>
      </c>
      <c r="B779" s="211"/>
      <c r="C779" s="109">
        <v>2023.8630000000001</v>
      </c>
      <c r="D779" s="109">
        <v>2245.75</v>
      </c>
      <c r="E779" s="109">
        <v>2254.0250000000001</v>
      </c>
      <c r="F779" s="109">
        <v>2449.4839999999999</v>
      </c>
      <c r="G779" s="109">
        <v>2664.82</v>
      </c>
      <c r="H779" s="109">
        <v>2891.4409999999998</v>
      </c>
      <c r="I779" s="109">
        <v>2911.096</v>
      </c>
      <c r="J779" s="109">
        <v>3072.96</v>
      </c>
      <c r="K779" s="109">
        <v>3090.4430000000002</v>
      </c>
      <c r="L779" s="109">
        <v>3122.9879999999998</v>
      </c>
      <c r="M779" s="109">
        <v>3072.424</v>
      </c>
      <c r="N779" s="109">
        <v>3009.9279999999999</v>
      </c>
      <c r="O779" s="109">
        <v>3075.6880000000001</v>
      </c>
      <c r="P779" s="109">
        <v>3132.1529999999998</v>
      </c>
      <c r="Q779" s="109">
        <v>3118.7179999999998</v>
      </c>
      <c r="R779" s="109">
        <v>3126.9259999999999</v>
      </c>
      <c r="S779" s="109">
        <v>3195.7429999999999</v>
      </c>
      <c r="T779" s="109">
        <v>3184.58</v>
      </c>
      <c r="U779" s="109">
        <v>3312.893</v>
      </c>
      <c r="V779" s="109">
        <v>3222.45</v>
      </c>
      <c r="W779" s="109">
        <v>3284.8319999999999</v>
      </c>
      <c r="X779" s="109">
        <v>3282.2979999999998</v>
      </c>
      <c r="Y779" s="109">
        <v>3419.94</v>
      </c>
      <c r="Z779" s="109">
        <v>3445.5700000000011</v>
      </c>
      <c r="AA779" s="109">
        <v>3425.9319999999998</v>
      </c>
      <c r="AB779" s="109">
        <v>3581.6680000000001</v>
      </c>
      <c r="AC779" s="109">
        <v>3597.2779999999998</v>
      </c>
      <c r="AD779" s="109">
        <v>3709.5450000000001</v>
      </c>
      <c r="AE779" s="109">
        <v>3799.6950000000002</v>
      </c>
      <c r="AF779" s="109">
        <v>3994.5369999999998</v>
      </c>
      <c r="AG779" s="109">
        <v>4141.2819999999992</v>
      </c>
      <c r="AH779" s="109">
        <v>4288.9420000000009</v>
      </c>
      <c r="AI779" s="109">
        <v>4297.0919999999996</v>
      </c>
      <c r="AJ779" s="109">
        <v>5656.0720000000001</v>
      </c>
      <c r="AK779" s="109">
        <v>5272.7240000000002</v>
      </c>
      <c r="AL779" s="109">
        <v>5313.1390000000001</v>
      </c>
      <c r="AM779" s="109">
        <v>5403.7380000000003</v>
      </c>
      <c r="AN779" s="109">
        <v>5541.491</v>
      </c>
      <c r="AO779" s="109">
        <v>5668.51</v>
      </c>
      <c r="AP779" s="109">
        <v>4302.9979999999996</v>
      </c>
    </row>
    <row r="780" spans="1:42" ht="14.45" customHeight="1" x14ac:dyDescent="0.25">
      <c r="A780" s="111"/>
      <c r="B780" s="211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</row>
    <row r="781" spans="1:42" ht="14.45" customHeight="1" x14ac:dyDescent="0.25">
      <c r="A781" s="135" t="s">
        <v>704</v>
      </c>
      <c r="B781" s="211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</row>
    <row r="782" spans="1:42" ht="14.45" customHeight="1" x14ac:dyDescent="0.25">
      <c r="A782" s="125" t="s">
        <v>705</v>
      </c>
      <c r="B782" s="180"/>
      <c r="C782" s="63"/>
      <c r="D782" s="63"/>
      <c r="E782" s="63"/>
      <c r="F782" s="99">
        <v>0</v>
      </c>
      <c r="G782" s="63"/>
      <c r="H782" s="63"/>
      <c r="I782" s="63"/>
      <c r="J782" s="99">
        <v>0</v>
      </c>
      <c r="K782" s="63"/>
      <c r="L782" s="63"/>
      <c r="M782" s="63"/>
      <c r="N782" s="99">
        <v>0</v>
      </c>
      <c r="O782" s="63"/>
      <c r="P782" s="63"/>
      <c r="Q782" s="63"/>
      <c r="R782" s="99">
        <v>0</v>
      </c>
      <c r="S782" s="63"/>
      <c r="T782" s="63"/>
      <c r="U782" s="63"/>
      <c r="V782" s="99">
        <v>0</v>
      </c>
      <c r="W782" s="63"/>
      <c r="X782" s="63"/>
      <c r="Y782" s="63"/>
      <c r="Z782" s="99">
        <v>0</v>
      </c>
      <c r="AA782" s="98">
        <v>125</v>
      </c>
      <c r="AB782" s="98">
        <v>125</v>
      </c>
      <c r="AC782" s="63"/>
      <c r="AD782" s="99">
        <v>0</v>
      </c>
      <c r="AE782" s="63"/>
      <c r="AF782" s="63"/>
      <c r="AG782" s="63"/>
      <c r="AH782" s="99">
        <v>0</v>
      </c>
      <c r="AI782" s="63"/>
      <c r="AJ782" s="63"/>
      <c r="AK782" s="63"/>
      <c r="AL782" s="99">
        <v>349.69900000000001</v>
      </c>
      <c r="AM782" s="98">
        <v>349.78100000000001</v>
      </c>
      <c r="AN782" s="98">
        <v>349.863</v>
      </c>
      <c r="AO782" s="98">
        <v>349.94499999999999</v>
      </c>
      <c r="AP782" s="99">
        <v>100</v>
      </c>
    </row>
    <row r="783" spans="1:42" ht="14.45" customHeight="1" x14ac:dyDescent="0.25">
      <c r="A783" s="125" t="s">
        <v>706</v>
      </c>
      <c r="B783" s="180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98">
        <v>13.555</v>
      </c>
      <c r="P783" s="98">
        <v>14.771000000000001</v>
      </c>
      <c r="Q783" s="98">
        <v>14.929</v>
      </c>
      <c r="R783" s="99">
        <v>15.023999999999999</v>
      </c>
      <c r="S783" s="98">
        <v>17.837</v>
      </c>
      <c r="T783" s="98">
        <v>17.602</v>
      </c>
      <c r="U783" s="98">
        <v>18.812000000000001</v>
      </c>
      <c r="V783" s="99">
        <v>19.765999999999998</v>
      </c>
      <c r="W783" s="98">
        <v>19.388000000000002</v>
      </c>
      <c r="X783" s="98">
        <v>19.956</v>
      </c>
      <c r="Y783" s="98">
        <v>20.65</v>
      </c>
      <c r="Z783" s="99">
        <v>22.047999999999998</v>
      </c>
      <c r="AA783" s="98">
        <v>23.556000000000001</v>
      </c>
      <c r="AB783" s="98">
        <v>24.771000000000001</v>
      </c>
      <c r="AC783" s="98">
        <v>26.465</v>
      </c>
      <c r="AD783" s="99">
        <v>27.635000000000002</v>
      </c>
      <c r="AE783" s="98">
        <v>27.321000000000002</v>
      </c>
      <c r="AF783" s="98">
        <v>26.44</v>
      </c>
      <c r="AG783" s="98">
        <v>26.074000000000002</v>
      </c>
      <c r="AH783" s="99">
        <v>26.193999999999999</v>
      </c>
      <c r="AI783" s="98">
        <v>25.085000000000001</v>
      </c>
      <c r="AJ783" s="98">
        <v>23.922999999999998</v>
      </c>
      <c r="AK783" s="98">
        <v>22.323</v>
      </c>
      <c r="AL783" s="99">
        <v>23.257000000000001</v>
      </c>
      <c r="AM783" s="98">
        <v>23.199000000000002</v>
      </c>
      <c r="AN783" s="98">
        <v>24.538</v>
      </c>
      <c r="AO783" s="98">
        <v>24.544</v>
      </c>
      <c r="AP783" s="99">
        <v>24.411999999999999</v>
      </c>
    </row>
    <row r="784" spans="1:42" ht="14.45" customHeight="1" x14ac:dyDescent="0.25">
      <c r="A784" s="125" t="s">
        <v>707</v>
      </c>
      <c r="B784" s="180"/>
      <c r="C784" s="98">
        <v>7.165</v>
      </c>
      <c r="D784" s="98">
        <v>7.27</v>
      </c>
      <c r="E784" s="98">
        <v>7.3780000000000001</v>
      </c>
      <c r="F784" s="99">
        <v>7.5270000000000001</v>
      </c>
      <c r="G784" s="98">
        <v>7.6989999999999998</v>
      </c>
      <c r="H784" s="98">
        <v>7.875</v>
      </c>
      <c r="I784" s="98">
        <v>7.9630000000000001</v>
      </c>
      <c r="J784" s="99">
        <v>8.2210000000000001</v>
      </c>
      <c r="K784" s="98">
        <v>8.2650000000000006</v>
      </c>
      <c r="L784" s="98">
        <v>8.2629999999999999</v>
      </c>
      <c r="M784" s="98">
        <v>8.4380000000000006</v>
      </c>
      <c r="N784" s="99">
        <v>8.6170000000000009</v>
      </c>
      <c r="O784" s="98">
        <v>8.8330000000000002</v>
      </c>
      <c r="P784" s="98">
        <v>9.0190000000000001</v>
      </c>
      <c r="Q784" s="98">
        <v>9.2089999999999996</v>
      </c>
      <c r="R784" s="99">
        <v>9.4030000000000005</v>
      </c>
      <c r="S784" s="98">
        <v>5.0990000000000002</v>
      </c>
      <c r="T784" s="98">
        <v>4.07</v>
      </c>
      <c r="U784" s="98">
        <v>5.8140000000000001</v>
      </c>
      <c r="V784" s="99">
        <v>5.86</v>
      </c>
      <c r="W784" s="98">
        <v>5.9089999999999998</v>
      </c>
      <c r="X784" s="98">
        <v>5.9589999999999996</v>
      </c>
      <c r="Y784" s="98">
        <v>6.0090000000000003</v>
      </c>
      <c r="Z784" s="99">
        <v>6.06</v>
      </c>
      <c r="AA784" s="98">
        <v>2.1709999999999998</v>
      </c>
      <c r="AB784" s="98">
        <v>2.214</v>
      </c>
      <c r="AC784" s="98">
        <v>2.2589999999999999</v>
      </c>
      <c r="AD784" s="99">
        <v>2.3029999999999999</v>
      </c>
      <c r="AE784" s="98">
        <v>2.347</v>
      </c>
      <c r="AF784" s="98">
        <v>2.3929999999999998</v>
      </c>
      <c r="AG784" s="98">
        <v>2.44</v>
      </c>
      <c r="AH784" s="99">
        <v>2.4870000000000001</v>
      </c>
      <c r="AI784" s="98">
        <v>2.536</v>
      </c>
      <c r="AJ784" s="98">
        <v>2.5840000000000001</v>
      </c>
      <c r="AK784" s="98">
        <v>2.6349999999999998</v>
      </c>
      <c r="AL784" s="99">
        <v>2.6850000000000001</v>
      </c>
      <c r="AM784" s="98">
        <v>2.66</v>
      </c>
      <c r="AN784" s="98">
        <v>1.66</v>
      </c>
      <c r="AO784" s="98">
        <v>0.54800000000000004</v>
      </c>
      <c r="AP784" s="99">
        <v>0.55600000000000005</v>
      </c>
    </row>
    <row r="785" spans="1:42" ht="14.45" customHeight="1" x14ac:dyDescent="0.25">
      <c r="A785" s="96" t="s">
        <v>708</v>
      </c>
      <c r="B785" s="180"/>
      <c r="C785" s="98">
        <v>95.022999999999996</v>
      </c>
      <c r="D785" s="98">
        <v>125.261</v>
      </c>
      <c r="E785" s="98">
        <v>117.247</v>
      </c>
      <c r="F785" s="99">
        <v>116.821</v>
      </c>
      <c r="G785" s="98">
        <v>135.02699999999999</v>
      </c>
      <c r="H785" s="98">
        <v>164.62200000000001</v>
      </c>
      <c r="I785" s="98">
        <v>182.69</v>
      </c>
      <c r="J785" s="99">
        <v>197.04900000000001</v>
      </c>
      <c r="K785" s="98">
        <v>192.14099999999999</v>
      </c>
      <c r="L785" s="98">
        <v>191.66499999999999</v>
      </c>
      <c r="M785" s="98">
        <v>186.70599999999999</v>
      </c>
      <c r="N785" s="99">
        <v>152.04</v>
      </c>
      <c r="O785" s="98">
        <v>168.52600000000001</v>
      </c>
      <c r="P785" s="98">
        <v>181.41800000000001</v>
      </c>
      <c r="Q785" s="98">
        <v>191.78</v>
      </c>
      <c r="R785" s="99">
        <v>187.476</v>
      </c>
      <c r="S785" s="98">
        <v>209.69399999999999</v>
      </c>
      <c r="T785" s="98">
        <v>216.13800000000001</v>
      </c>
      <c r="U785" s="98">
        <v>234.715</v>
      </c>
      <c r="V785" s="99">
        <v>217.56</v>
      </c>
      <c r="W785" s="98">
        <v>227.935</v>
      </c>
      <c r="X785" s="98">
        <v>283.452</v>
      </c>
      <c r="Y785" s="98">
        <v>270.93700000000001</v>
      </c>
      <c r="Z785" s="99">
        <v>319.31799999999998</v>
      </c>
      <c r="AA785" s="98">
        <v>273.702</v>
      </c>
      <c r="AB785" s="98">
        <v>323.44900000000001</v>
      </c>
      <c r="AC785" s="98">
        <v>323.35199999999998</v>
      </c>
      <c r="AD785" s="99">
        <v>351.72899999999998</v>
      </c>
      <c r="AE785" s="98">
        <v>310.435</v>
      </c>
      <c r="AF785" s="98">
        <v>361.82499999999999</v>
      </c>
      <c r="AG785" s="98">
        <v>348.37</v>
      </c>
      <c r="AH785" s="99">
        <v>383.56200000000001</v>
      </c>
      <c r="AI785" s="98">
        <v>346.99900000000002</v>
      </c>
      <c r="AJ785" s="98">
        <v>368.59800000000001</v>
      </c>
      <c r="AK785" s="98">
        <v>346.99700000000001</v>
      </c>
      <c r="AL785" s="99">
        <v>334.87799999999999</v>
      </c>
      <c r="AM785" s="98">
        <v>328.387</v>
      </c>
      <c r="AN785" s="98">
        <v>365.85300000000001</v>
      </c>
      <c r="AO785" s="98">
        <v>362.39299999999997</v>
      </c>
      <c r="AP785" s="99">
        <v>359.10700000000003</v>
      </c>
    </row>
    <row r="786" spans="1:42" ht="14.45" customHeight="1" x14ac:dyDescent="0.25">
      <c r="A786" s="100" t="s">
        <v>709</v>
      </c>
      <c r="B786" s="190"/>
      <c r="C786" s="102">
        <v>96.95</v>
      </c>
      <c r="D786" s="102">
        <v>130.452</v>
      </c>
      <c r="E786" s="102">
        <v>125.91800000000001</v>
      </c>
      <c r="F786" s="103">
        <v>135.155</v>
      </c>
      <c r="G786" s="102">
        <v>134.441</v>
      </c>
      <c r="H786" s="102">
        <v>187.476</v>
      </c>
      <c r="I786" s="102">
        <v>165.279</v>
      </c>
      <c r="J786" s="103">
        <v>171.042</v>
      </c>
      <c r="K786" s="102">
        <v>181.72399999999999</v>
      </c>
      <c r="L786" s="102">
        <v>234.69800000000001</v>
      </c>
      <c r="M786" s="102">
        <v>142.84899999999999</v>
      </c>
      <c r="N786" s="103">
        <v>112.425</v>
      </c>
      <c r="O786" s="102">
        <v>120.77800000000001</v>
      </c>
      <c r="P786" s="102">
        <v>135.99799999999999</v>
      </c>
      <c r="Q786" s="102">
        <v>130.916</v>
      </c>
      <c r="R786" s="103">
        <v>108.699</v>
      </c>
      <c r="S786" s="102">
        <v>136.76599999999999</v>
      </c>
      <c r="T786" s="102">
        <v>139.78</v>
      </c>
      <c r="U786" s="102">
        <v>135.65600000000001</v>
      </c>
      <c r="V786" s="103">
        <v>107.181</v>
      </c>
      <c r="W786" s="102">
        <v>142.29499999999999</v>
      </c>
      <c r="X786" s="102">
        <v>139.76</v>
      </c>
      <c r="Y786" s="102">
        <v>153.70099999999999</v>
      </c>
      <c r="Z786" s="103">
        <v>145.67099999999999</v>
      </c>
      <c r="AA786" s="102">
        <v>159.506</v>
      </c>
      <c r="AB786" s="102">
        <v>198.73500000000001</v>
      </c>
      <c r="AC786" s="102">
        <v>189.88499999999999</v>
      </c>
      <c r="AD786" s="103">
        <v>162.78299999999999</v>
      </c>
      <c r="AE786" s="102">
        <v>189.304</v>
      </c>
      <c r="AF786" s="102">
        <v>194.893</v>
      </c>
      <c r="AG786" s="102">
        <v>180.68700000000001</v>
      </c>
      <c r="AH786" s="103">
        <v>139.499</v>
      </c>
      <c r="AI786" s="102">
        <v>206.494</v>
      </c>
      <c r="AJ786" s="102">
        <v>248.64</v>
      </c>
      <c r="AK786" s="102">
        <v>229.18100000000001</v>
      </c>
      <c r="AL786" s="103">
        <v>187.27099999999999</v>
      </c>
      <c r="AM786" s="102">
        <v>234.90100000000001</v>
      </c>
      <c r="AN786" s="102">
        <v>252.661</v>
      </c>
      <c r="AO786" s="102">
        <v>227.62299999999999</v>
      </c>
      <c r="AP786" s="103">
        <v>182.446</v>
      </c>
    </row>
    <row r="787" spans="1:42" ht="14.45" customHeight="1" x14ac:dyDescent="0.25">
      <c r="A787" s="125" t="s">
        <v>710</v>
      </c>
      <c r="B787" s="180"/>
      <c r="C787" s="99">
        <v>191.97300000000001</v>
      </c>
      <c r="D787" s="99">
        <v>255.71299999999999</v>
      </c>
      <c r="E787" s="99">
        <v>243.16499999999999</v>
      </c>
      <c r="F787" s="99">
        <v>251.976</v>
      </c>
      <c r="G787" s="99">
        <v>269.46800000000002</v>
      </c>
      <c r="H787" s="99">
        <v>352.09800000000001</v>
      </c>
      <c r="I787" s="99">
        <v>347.96899999999999</v>
      </c>
      <c r="J787" s="99">
        <v>368.09100000000001</v>
      </c>
      <c r="K787" s="99">
        <v>373.86500000000001</v>
      </c>
      <c r="L787" s="99">
        <v>426.363</v>
      </c>
      <c r="M787" s="99">
        <v>329.55499999999989</v>
      </c>
      <c r="N787" s="99">
        <v>264.46499999999997</v>
      </c>
      <c r="O787" s="99">
        <v>289.30399999999997</v>
      </c>
      <c r="P787" s="99">
        <v>317.416</v>
      </c>
      <c r="Q787" s="99">
        <v>322.69600000000003</v>
      </c>
      <c r="R787" s="99">
        <v>296.17500000000001</v>
      </c>
      <c r="S787" s="99">
        <v>346.46</v>
      </c>
      <c r="T787" s="99">
        <v>355.91800000000001</v>
      </c>
      <c r="U787" s="99">
        <v>370.37099999999998</v>
      </c>
      <c r="V787" s="99">
        <v>324.74099999999999</v>
      </c>
      <c r="W787" s="99">
        <v>370.23</v>
      </c>
      <c r="X787" s="99">
        <v>423.21199999999999</v>
      </c>
      <c r="Y787" s="99">
        <v>424.63799999999998</v>
      </c>
      <c r="Z787" s="99">
        <v>464.98899999999998</v>
      </c>
      <c r="AA787" s="99">
        <v>433.20800000000003</v>
      </c>
      <c r="AB787" s="99">
        <v>522.18399999999997</v>
      </c>
      <c r="AC787" s="99">
        <v>513.23699999999997</v>
      </c>
      <c r="AD787" s="99">
        <v>514.51199999999994</v>
      </c>
      <c r="AE787" s="99">
        <v>499.73899999999998</v>
      </c>
      <c r="AF787" s="99">
        <v>556.71799999999996</v>
      </c>
      <c r="AG787" s="99">
        <v>529.05700000000002</v>
      </c>
      <c r="AH787" s="99">
        <v>523.06100000000004</v>
      </c>
      <c r="AI787" s="99">
        <v>553.49300000000005</v>
      </c>
      <c r="AJ787" s="99">
        <v>617.23800000000006</v>
      </c>
      <c r="AK787" s="99">
        <v>576.178</v>
      </c>
      <c r="AL787" s="99">
        <v>522.149</v>
      </c>
      <c r="AM787" s="99">
        <v>563.28800000000001</v>
      </c>
      <c r="AN787" s="99">
        <v>618.51400000000001</v>
      </c>
      <c r="AO787" s="99">
        <v>590.01599999999996</v>
      </c>
      <c r="AP787" s="99">
        <v>541.553</v>
      </c>
    </row>
    <row r="788" spans="1:42" ht="14.45" customHeight="1" x14ac:dyDescent="0.25">
      <c r="A788" s="125" t="s">
        <v>711</v>
      </c>
      <c r="B788" s="180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98">
        <v>553.72299999999996</v>
      </c>
      <c r="AK788" s="63"/>
      <c r="AL788" s="63"/>
      <c r="AM788" s="63"/>
      <c r="AN788" s="63"/>
      <c r="AO788" s="63"/>
      <c r="AP788" s="63"/>
    </row>
    <row r="789" spans="1:42" ht="14.45" customHeight="1" x14ac:dyDescent="0.25">
      <c r="A789" s="125" t="s">
        <v>712</v>
      </c>
      <c r="B789" s="180"/>
      <c r="C789" s="98">
        <v>111.218</v>
      </c>
      <c r="D789" s="98">
        <v>129.65199999999999</v>
      </c>
      <c r="E789" s="98">
        <v>132.429</v>
      </c>
      <c r="F789" s="99">
        <v>133.88499999999999</v>
      </c>
      <c r="G789" s="98">
        <v>150.749</v>
      </c>
      <c r="H789" s="98">
        <v>183.68299999999999</v>
      </c>
      <c r="I789" s="98">
        <v>148.28200000000001</v>
      </c>
      <c r="J789" s="99">
        <v>185.53</v>
      </c>
      <c r="K789" s="98">
        <v>149.60599999999999</v>
      </c>
      <c r="L789" s="98">
        <v>201.005</v>
      </c>
      <c r="M789" s="98">
        <v>153.60900000000001</v>
      </c>
      <c r="N789" s="99">
        <v>250.24600000000001</v>
      </c>
      <c r="O789" s="98">
        <v>197.755</v>
      </c>
      <c r="P789" s="98">
        <v>197.101</v>
      </c>
      <c r="Q789" s="98">
        <v>191.29599999999999</v>
      </c>
      <c r="R789" s="99">
        <v>208.834</v>
      </c>
      <c r="S789" s="98">
        <v>182.91800000000001</v>
      </c>
      <c r="T789" s="98">
        <v>190.018</v>
      </c>
      <c r="U789" s="98">
        <v>207.52199999999999</v>
      </c>
      <c r="V789" s="99">
        <v>205.14099999999999</v>
      </c>
      <c r="W789" s="98">
        <v>219.584</v>
      </c>
      <c r="X789" s="98">
        <v>223.011</v>
      </c>
      <c r="Y789" s="98">
        <v>214.101</v>
      </c>
      <c r="Z789" s="99">
        <v>226.76900000000001</v>
      </c>
      <c r="AA789" s="98">
        <v>230.56800000000001</v>
      </c>
      <c r="AB789" s="98">
        <v>229.398</v>
      </c>
      <c r="AC789" s="98">
        <v>207.25</v>
      </c>
      <c r="AD789" s="99">
        <v>198.3</v>
      </c>
      <c r="AE789" s="98">
        <v>201.58</v>
      </c>
      <c r="AF789" s="98">
        <v>226.13499999999999</v>
      </c>
      <c r="AG789" s="98">
        <v>218.70099999999999</v>
      </c>
      <c r="AH789" s="99">
        <v>235.47399999999999</v>
      </c>
      <c r="AI789" s="99">
        <v>248.62299999999999</v>
      </c>
      <c r="AJ789" s="99">
        <v>246.68199999999999</v>
      </c>
      <c r="AK789" s="99">
        <v>249.32499999999999</v>
      </c>
      <c r="AL789" s="99">
        <v>239.07599999999999</v>
      </c>
      <c r="AM789" s="99">
        <v>239.84899999999999</v>
      </c>
      <c r="AN789" s="99">
        <v>253.90100000000001</v>
      </c>
      <c r="AO789" s="99">
        <v>265.81400000000002</v>
      </c>
      <c r="AP789" s="99">
        <v>296.67899999999997</v>
      </c>
    </row>
    <row r="790" spans="1:42" ht="14.45" customHeight="1" x14ac:dyDescent="0.25">
      <c r="A790" s="125" t="s">
        <v>713</v>
      </c>
      <c r="B790" s="180"/>
      <c r="C790" s="98">
        <v>23.774000000000001</v>
      </c>
      <c r="D790" s="98">
        <v>36.622</v>
      </c>
      <c r="E790" s="98">
        <v>43.125</v>
      </c>
      <c r="F790" s="99">
        <v>60.88</v>
      </c>
      <c r="G790" s="98">
        <v>29.251000000000001</v>
      </c>
      <c r="H790" s="98">
        <v>53.518000000000001</v>
      </c>
      <c r="I790" s="98">
        <v>53.622</v>
      </c>
      <c r="J790" s="99">
        <v>72.483999999999995</v>
      </c>
      <c r="K790" s="98">
        <v>33.670999999999999</v>
      </c>
      <c r="L790" s="98">
        <v>52.220999999999997</v>
      </c>
      <c r="M790" s="98">
        <v>57.651000000000003</v>
      </c>
      <c r="N790" s="99">
        <v>72.316000000000003</v>
      </c>
      <c r="O790" s="98">
        <v>40.374000000000002</v>
      </c>
      <c r="P790" s="98">
        <v>59.329000000000001</v>
      </c>
      <c r="Q790" s="98">
        <v>67.638999999999996</v>
      </c>
      <c r="R790" s="99">
        <v>87.813000000000002</v>
      </c>
      <c r="S790" s="98">
        <v>48.466000000000001</v>
      </c>
      <c r="T790" s="98">
        <v>62.167999999999999</v>
      </c>
      <c r="U790" s="98">
        <v>74.778000000000006</v>
      </c>
      <c r="V790" s="99">
        <v>87.608000000000004</v>
      </c>
      <c r="W790" s="98">
        <v>62.536000000000001</v>
      </c>
      <c r="X790" s="98">
        <v>67.834999999999994</v>
      </c>
      <c r="Y790" s="98">
        <v>96.617000000000004</v>
      </c>
      <c r="Z790" s="99">
        <v>110.89400000000001</v>
      </c>
      <c r="AA790" s="98">
        <v>73.33</v>
      </c>
      <c r="AB790" s="98">
        <v>69.878</v>
      </c>
      <c r="AC790" s="98">
        <v>121.592</v>
      </c>
      <c r="AD790" s="99">
        <v>126.92100000000001</v>
      </c>
      <c r="AE790" s="98">
        <v>75.745999999999995</v>
      </c>
      <c r="AF790" s="98">
        <v>77.778999999999996</v>
      </c>
      <c r="AG790" s="98">
        <v>125.71899999999999</v>
      </c>
      <c r="AH790" s="99">
        <v>146.93199999999999</v>
      </c>
      <c r="AI790" s="98">
        <v>82.296999999999997</v>
      </c>
      <c r="AJ790" s="98">
        <v>87.495999999999995</v>
      </c>
      <c r="AK790" s="98">
        <v>141.07400000000001</v>
      </c>
      <c r="AL790" s="99">
        <v>168.69200000000001</v>
      </c>
      <c r="AM790" s="98">
        <v>84.356999999999999</v>
      </c>
      <c r="AN790" s="98">
        <v>82.981999999999999</v>
      </c>
      <c r="AO790" s="98">
        <v>135.72300000000001</v>
      </c>
      <c r="AP790" s="99">
        <v>154.899</v>
      </c>
    </row>
    <row r="791" spans="1:42" ht="14.45" customHeight="1" x14ac:dyDescent="0.25">
      <c r="A791" s="125" t="s">
        <v>714</v>
      </c>
      <c r="B791" s="180"/>
      <c r="C791" s="98">
        <v>10.84</v>
      </c>
      <c r="D791" s="98">
        <v>3.5230000000000001</v>
      </c>
      <c r="E791" s="98">
        <v>8.7449999999999992</v>
      </c>
      <c r="F791" s="99">
        <v>3.6389999999999998</v>
      </c>
      <c r="G791" s="98">
        <v>9.1440000000000001</v>
      </c>
      <c r="H791" s="98">
        <v>4.9139999999999997</v>
      </c>
      <c r="I791" s="98">
        <v>9.2789999999999999</v>
      </c>
      <c r="J791" s="99">
        <v>5.1260000000000003</v>
      </c>
      <c r="K791" s="98">
        <v>9.5489999999999995</v>
      </c>
      <c r="L791" s="98">
        <v>5.0709999999999997</v>
      </c>
      <c r="M791" s="98">
        <v>9.3629999999999995</v>
      </c>
      <c r="N791" s="99">
        <v>6.093</v>
      </c>
      <c r="O791" s="98">
        <v>9.32</v>
      </c>
      <c r="P791" s="98">
        <v>4.3159999999999998</v>
      </c>
      <c r="Q791" s="98">
        <v>7.4039999999999999</v>
      </c>
      <c r="R791" s="99">
        <v>4.9459999999999997</v>
      </c>
      <c r="S791" s="98">
        <v>7.21</v>
      </c>
      <c r="T791" s="98">
        <v>4.4539999999999997</v>
      </c>
      <c r="U791" s="98">
        <v>6.6930000000000014</v>
      </c>
      <c r="V791" s="99">
        <v>3.944</v>
      </c>
      <c r="W791" s="98">
        <v>6.26</v>
      </c>
      <c r="X791" s="98">
        <v>3.9790000000000001</v>
      </c>
      <c r="Y791" s="98">
        <v>6.2809999999999997</v>
      </c>
      <c r="Z791" s="99">
        <v>4.0960000000000001</v>
      </c>
      <c r="AA791" s="98">
        <v>6.2380000000000004</v>
      </c>
      <c r="AB791" s="98">
        <v>3.988</v>
      </c>
      <c r="AC791" s="98">
        <v>5.8920000000000003</v>
      </c>
      <c r="AD791" s="99">
        <v>2.677</v>
      </c>
      <c r="AE791" s="98">
        <v>5.8419999999999996</v>
      </c>
      <c r="AF791" s="98">
        <v>2.5169999999999999</v>
      </c>
      <c r="AG791" s="98">
        <v>5.8419999999999996</v>
      </c>
      <c r="AH791" s="99">
        <v>2.52</v>
      </c>
      <c r="AI791" s="98">
        <v>5.8419999999999996</v>
      </c>
      <c r="AJ791" s="98">
        <v>7.9669999999999996</v>
      </c>
      <c r="AK791" s="98">
        <v>27.417999999999999</v>
      </c>
      <c r="AL791" s="99">
        <v>7.6109999999999998</v>
      </c>
      <c r="AM791" s="98">
        <v>27.056999999999999</v>
      </c>
      <c r="AN791" s="98">
        <v>7.734</v>
      </c>
      <c r="AO791" s="98">
        <v>27.059000000000001</v>
      </c>
      <c r="AP791" s="99">
        <v>10.558</v>
      </c>
    </row>
    <row r="792" spans="1:42" ht="14.45" customHeight="1" x14ac:dyDescent="0.25">
      <c r="A792" s="125" t="s">
        <v>715</v>
      </c>
      <c r="B792" s="180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99">
        <v>32.808</v>
      </c>
      <c r="AE792" s="63"/>
      <c r="AF792" s="63"/>
      <c r="AG792" s="63"/>
      <c r="AH792" s="99">
        <v>154.666</v>
      </c>
      <c r="AI792" s="63"/>
      <c r="AJ792" s="63"/>
      <c r="AK792" s="98">
        <v>21.902000000000001</v>
      </c>
      <c r="AL792" s="99">
        <v>0</v>
      </c>
      <c r="AM792" s="63"/>
      <c r="AN792" s="63"/>
      <c r="AO792" s="63"/>
      <c r="AP792" s="99">
        <v>0</v>
      </c>
    </row>
    <row r="793" spans="1:42" ht="14.45" customHeight="1" x14ac:dyDescent="0.25">
      <c r="A793" s="130" t="s">
        <v>716</v>
      </c>
      <c r="B793" s="190"/>
      <c r="C793" s="158"/>
      <c r="D793" s="158"/>
      <c r="E793" s="158"/>
      <c r="F793" s="158"/>
      <c r="G793" s="158"/>
      <c r="H793" s="158"/>
      <c r="I793" s="102">
        <v>19.966999999999999</v>
      </c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</row>
    <row r="794" spans="1:42" ht="14.45" customHeight="1" x14ac:dyDescent="0.25">
      <c r="A794" s="110" t="s">
        <v>717</v>
      </c>
      <c r="B794" s="212"/>
      <c r="C794" s="106">
        <v>344.97</v>
      </c>
      <c r="D794" s="106">
        <v>432.78</v>
      </c>
      <c r="E794" s="106">
        <v>434.84199999999998</v>
      </c>
      <c r="F794" s="106">
        <v>457.90699999999998</v>
      </c>
      <c r="G794" s="106">
        <v>466.31099999999998</v>
      </c>
      <c r="H794" s="106">
        <v>602.08799999999997</v>
      </c>
      <c r="I794" s="106">
        <v>587.08199999999988</v>
      </c>
      <c r="J794" s="106">
        <v>639.452</v>
      </c>
      <c r="K794" s="106">
        <v>574.95600000000002</v>
      </c>
      <c r="L794" s="106">
        <v>692.923</v>
      </c>
      <c r="M794" s="106">
        <v>558.61599999999987</v>
      </c>
      <c r="N794" s="106">
        <v>601.73699999999997</v>
      </c>
      <c r="O794" s="106">
        <v>559.14100000000008</v>
      </c>
      <c r="P794" s="106">
        <v>601.952</v>
      </c>
      <c r="Q794" s="106">
        <v>613.173</v>
      </c>
      <c r="R794" s="106">
        <v>622.19500000000005</v>
      </c>
      <c r="S794" s="106">
        <v>607.99</v>
      </c>
      <c r="T794" s="106">
        <v>634.23</v>
      </c>
      <c r="U794" s="106">
        <v>683.99</v>
      </c>
      <c r="V794" s="106">
        <v>647.05999999999995</v>
      </c>
      <c r="W794" s="106">
        <v>683.90700000000015</v>
      </c>
      <c r="X794" s="106">
        <v>743.952</v>
      </c>
      <c r="Y794" s="106">
        <v>768.29599999999994</v>
      </c>
      <c r="Z794" s="106">
        <v>834.85599999999999</v>
      </c>
      <c r="AA794" s="106">
        <v>894.07100000000003</v>
      </c>
      <c r="AB794" s="106">
        <v>977.43300000000011</v>
      </c>
      <c r="AC794" s="106">
        <v>876.69500000000005</v>
      </c>
      <c r="AD794" s="106">
        <v>905.15599999999995</v>
      </c>
      <c r="AE794" s="106">
        <v>812.57500000000005</v>
      </c>
      <c r="AF794" s="106">
        <v>891.98199999999997</v>
      </c>
      <c r="AG794" s="106">
        <v>907.83300000000008</v>
      </c>
      <c r="AH794" s="106">
        <v>1091.3340000000001</v>
      </c>
      <c r="AI794" s="106">
        <v>917.87599999999998</v>
      </c>
      <c r="AJ794" s="106">
        <v>1539.6130000000001</v>
      </c>
      <c r="AK794" s="106">
        <v>1040.855</v>
      </c>
      <c r="AL794" s="106">
        <v>1313.1690000000001</v>
      </c>
      <c r="AM794" s="106">
        <v>1290.191</v>
      </c>
      <c r="AN794" s="106">
        <v>1339.192</v>
      </c>
      <c r="AO794" s="106">
        <v>1393.6489999999999</v>
      </c>
      <c r="AP794" s="106">
        <v>1128.6569999999999</v>
      </c>
    </row>
    <row r="795" spans="1:42" ht="14.45" customHeight="1" x14ac:dyDescent="0.25">
      <c r="A795" s="111"/>
      <c r="B795" s="211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</row>
    <row r="796" spans="1:42" ht="14.45" customHeight="1" x14ac:dyDescent="0.25">
      <c r="A796" s="219" t="s">
        <v>718</v>
      </c>
      <c r="B796" s="211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</row>
    <row r="797" spans="1:42" ht="14.45" customHeight="1" x14ac:dyDescent="0.25">
      <c r="A797" s="125" t="s">
        <v>587</v>
      </c>
      <c r="B797" s="180"/>
      <c r="C797" s="98">
        <v>135.095</v>
      </c>
      <c r="D797" s="98">
        <v>136.84100000000001</v>
      </c>
      <c r="E797" s="98">
        <v>150.91300000000001</v>
      </c>
      <c r="F797" s="99">
        <v>174.85400000000001</v>
      </c>
      <c r="G797" s="98">
        <v>156.46</v>
      </c>
      <c r="H797" s="98">
        <v>146.649</v>
      </c>
      <c r="I797" s="98">
        <v>153.76499999999999</v>
      </c>
      <c r="J797" s="99">
        <v>112.364</v>
      </c>
      <c r="K797" s="98">
        <v>97.471000000000004</v>
      </c>
      <c r="L797" s="98">
        <v>96.790999999999997</v>
      </c>
      <c r="M797" s="98">
        <v>123.248</v>
      </c>
      <c r="N797" s="99">
        <v>127.17400000000001</v>
      </c>
      <c r="O797" s="98">
        <v>123.92</v>
      </c>
      <c r="P797" s="98">
        <v>131.49799999999999</v>
      </c>
      <c r="Q797" s="98">
        <v>132.428</v>
      </c>
      <c r="R797" s="99">
        <v>125.13</v>
      </c>
      <c r="S797" s="98">
        <v>131.024</v>
      </c>
      <c r="T797" s="98">
        <v>147.101</v>
      </c>
      <c r="U797" s="98">
        <v>131.21799999999999</v>
      </c>
      <c r="V797" s="99">
        <v>139.423</v>
      </c>
      <c r="W797" s="98">
        <v>159.845</v>
      </c>
      <c r="X797" s="98">
        <v>142.596</v>
      </c>
      <c r="Y797" s="98">
        <v>151.55799999999999</v>
      </c>
      <c r="Z797" s="99">
        <v>136.43199999999999</v>
      </c>
      <c r="AA797" s="98">
        <v>169.827</v>
      </c>
      <c r="AB797" s="98">
        <v>148.15100000000001</v>
      </c>
      <c r="AC797" s="98">
        <v>147.976</v>
      </c>
      <c r="AD797" s="99">
        <v>150.22200000000001</v>
      </c>
      <c r="AE797" s="98">
        <v>191.20400000000001</v>
      </c>
      <c r="AF797" s="98">
        <v>151.63</v>
      </c>
      <c r="AG797" s="98">
        <v>143.90700000000001</v>
      </c>
      <c r="AH797" s="99">
        <v>128.435</v>
      </c>
      <c r="AI797" s="98">
        <v>185.001</v>
      </c>
      <c r="AJ797" s="98">
        <v>130.65799999999999</v>
      </c>
      <c r="AK797" s="98">
        <v>110.51</v>
      </c>
      <c r="AL797" s="99">
        <v>132.941</v>
      </c>
      <c r="AM797" s="98">
        <v>168.215</v>
      </c>
      <c r="AN797" s="98">
        <v>116.941</v>
      </c>
      <c r="AO797" s="98">
        <v>133.465</v>
      </c>
      <c r="AP797" s="99">
        <v>143.738</v>
      </c>
    </row>
    <row r="798" spans="1:42" ht="14.45" customHeight="1" x14ac:dyDescent="0.25">
      <c r="A798" s="125" t="s">
        <v>719</v>
      </c>
      <c r="B798" s="180"/>
      <c r="C798" s="98">
        <v>115</v>
      </c>
      <c r="D798" s="98">
        <v>117.919</v>
      </c>
      <c r="E798" s="98">
        <v>106.874</v>
      </c>
      <c r="F798" s="99">
        <v>126.679</v>
      </c>
      <c r="G798" s="98">
        <v>126.473</v>
      </c>
      <c r="H798" s="98">
        <v>126.31399999999999</v>
      </c>
      <c r="I798" s="98">
        <v>99.834999999999994</v>
      </c>
      <c r="J798" s="99">
        <v>118.392</v>
      </c>
      <c r="K798" s="98">
        <v>118.489</v>
      </c>
      <c r="L798" s="98">
        <v>118.658</v>
      </c>
      <c r="M798" s="98">
        <v>98.738</v>
      </c>
      <c r="N798" s="99">
        <v>85.682000000000002</v>
      </c>
      <c r="O798" s="98">
        <v>85.370999999999995</v>
      </c>
      <c r="P798" s="98">
        <v>87.3</v>
      </c>
      <c r="Q798" s="98">
        <v>84.361000000000004</v>
      </c>
      <c r="R798" s="99">
        <v>114.831</v>
      </c>
      <c r="S798" s="98">
        <v>116.63500000000001</v>
      </c>
      <c r="T798" s="98">
        <v>117.839</v>
      </c>
      <c r="U798" s="98">
        <v>103.431</v>
      </c>
      <c r="V798" s="99">
        <v>113.325</v>
      </c>
      <c r="W798" s="98">
        <v>115.306</v>
      </c>
      <c r="X798" s="98">
        <v>116.44799999999999</v>
      </c>
      <c r="Y798" s="98">
        <v>110.58199999999999</v>
      </c>
      <c r="Z798" s="99">
        <v>93.391000000000005</v>
      </c>
      <c r="AA798" s="98">
        <v>96.397999999999996</v>
      </c>
      <c r="AB798" s="98">
        <v>99.491</v>
      </c>
      <c r="AC798" s="98">
        <v>76.375</v>
      </c>
      <c r="AD798" s="99">
        <v>60.323</v>
      </c>
      <c r="AE798" s="98">
        <v>62.853999999999999</v>
      </c>
      <c r="AF798" s="98">
        <v>55.783999999999999</v>
      </c>
      <c r="AG798" s="98">
        <v>53.293999999999997</v>
      </c>
      <c r="AH798" s="99">
        <v>60.613999999999997</v>
      </c>
      <c r="AI798" s="98">
        <v>60.779000000000003</v>
      </c>
      <c r="AJ798" s="98">
        <v>61.892000000000003</v>
      </c>
      <c r="AK798" s="98">
        <v>61.615000000000002</v>
      </c>
      <c r="AL798" s="99">
        <v>58.502000000000002</v>
      </c>
      <c r="AM798" s="98">
        <v>58.914000000000001</v>
      </c>
      <c r="AN798" s="98">
        <v>59.098999999999997</v>
      </c>
      <c r="AO798" s="98">
        <v>59.338000000000001</v>
      </c>
      <c r="AP798" s="99">
        <v>69.298000000000002</v>
      </c>
    </row>
    <row r="799" spans="1:42" ht="14.45" customHeight="1" x14ac:dyDescent="0.25">
      <c r="A799" s="125" t="s">
        <v>720</v>
      </c>
      <c r="B799" s="180"/>
      <c r="C799" s="98">
        <v>306.75400000000002</v>
      </c>
      <c r="D799" s="98">
        <v>352.95699999999999</v>
      </c>
      <c r="E799" s="98">
        <v>344.26499999999999</v>
      </c>
      <c r="F799" s="99">
        <v>378.572</v>
      </c>
      <c r="G799" s="98">
        <v>513.68299999999999</v>
      </c>
      <c r="H799" s="98">
        <v>532.57000000000005</v>
      </c>
      <c r="I799" s="98">
        <v>524.28700000000003</v>
      </c>
      <c r="J799" s="99">
        <v>620.57899999999995</v>
      </c>
      <c r="K799" s="98">
        <v>607.68499999999995</v>
      </c>
      <c r="L799" s="98">
        <v>609.06899999999996</v>
      </c>
      <c r="M799" s="98">
        <v>600.30999999999995</v>
      </c>
      <c r="N799" s="99">
        <v>609.13499999999999</v>
      </c>
      <c r="O799" s="98">
        <v>620.29300000000001</v>
      </c>
      <c r="P799" s="98">
        <v>641.55600000000004</v>
      </c>
      <c r="Q799" s="98">
        <v>658.61</v>
      </c>
      <c r="R799" s="99">
        <v>668.56600000000003</v>
      </c>
      <c r="S799" s="98">
        <v>655.048</v>
      </c>
      <c r="T799" s="98">
        <v>674.66899999999998</v>
      </c>
      <c r="U799" s="98">
        <v>679.36099999999999</v>
      </c>
      <c r="V799" s="99">
        <v>679.28</v>
      </c>
      <c r="W799" s="98">
        <v>666.88499999999999</v>
      </c>
      <c r="X799" s="98">
        <v>705.00800000000004</v>
      </c>
      <c r="Y799" s="98">
        <v>726.29200000000003</v>
      </c>
      <c r="Z799" s="99">
        <v>758.61</v>
      </c>
      <c r="AA799" s="98">
        <v>734.33699999999999</v>
      </c>
      <c r="AB799" s="98">
        <v>730.53200000000004</v>
      </c>
      <c r="AC799" s="98">
        <v>750.81399999999996</v>
      </c>
      <c r="AD799" s="99">
        <v>753.35699999999997</v>
      </c>
      <c r="AE799" s="98">
        <v>779.99199999999996</v>
      </c>
      <c r="AF799" s="98">
        <v>801.64200000000005</v>
      </c>
      <c r="AG799" s="98">
        <v>803.54899999999998</v>
      </c>
      <c r="AH799" s="99">
        <v>866.49900000000002</v>
      </c>
      <c r="AI799" s="98">
        <v>831.596</v>
      </c>
      <c r="AJ799" s="98">
        <v>847.65099999999995</v>
      </c>
      <c r="AK799" s="98">
        <v>900.07600000000002</v>
      </c>
      <c r="AL799" s="99">
        <v>859.55899999999997</v>
      </c>
      <c r="AM799" s="98">
        <v>860.59500000000003</v>
      </c>
      <c r="AN799" s="98">
        <v>869.55200000000002</v>
      </c>
      <c r="AO799" s="98">
        <v>904.75099999999998</v>
      </c>
      <c r="AP799" s="99">
        <v>918.755</v>
      </c>
    </row>
    <row r="800" spans="1:42" ht="14.45" customHeight="1" x14ac:dyDescent="0.25">
      <c r="A800" s="125" t="s">
        <v>721</v>
      </c>
      <c r="B800" s="180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98">
        <v>71.344999999999999</v>
      </c>
      <c r="P800" s="98">
        <v>87.804000000000002</v>
      </c>
      <c r="Q800" s="98">
        <v>101.884</v>
      </c>
      <c r="R800" s="99">
        <v>97.765000000000001</v>
      </c>
      <c r="S800" s="98">
        <v>124.69799999999999</v>
      </c>
      <c r="T800" s="98">
        <v>122.053</v>
      </c>
      <c r="U800" s="98">
        <v>121.288</v>
      </c>
      <c r="V800" s="99">
        <v>119.923</v>
      </c>
      <c r="W800" s="98">
        <v>115.48699999999999</v>
      </c>
      <c r="X800" s="98">
        <v>116.039</v>
      </c>
      <c r="Y800" s="98">
        <v>123.627</v>
      </c>
      <c r="Z800" s="99">
        <v>122.04600000000001</v>
      </c>
      <c r="AA800" s="98">
        <v>119.81399999999999</v>
      </c>
      <c r="AB800" s="98">
        <v>117.056</v>
      </c>
      <c r="AC800" s="98">
        <v>119.617</v>
      </c>
      <c r="AD800" s="99">
        <v>118.76300000000001</v>
      </c>
      <c r="AE800" s="98">
        <v>113.04</v>
      </c>
      <c r="AF800" s="98">
        <v>108.5</v>
      </c>
      <c r="AG800" s="98">
        <v>103.578</v>
      </c>
      <c r="AH800" s="99">
        <v>102.271</v>
      </c>
      <c r="AI800" s="98">
        <v>96.978999999999999</v>
      </c>
      <c r="AJ800" s="98">
        <v>92.248000000000005</v>
      </c>
      <c r="AK800" s="98">
        <v>85.863</v>
      </c>
      <c r="AL800" s="99">
        <v>92.361999999999995</v>
      </c>
      <c r="AM800" s="98">
        <v>87.52</v>
      </c>
      <c r="AN800" s="98">
        <v>87.212999999999994</v>
      </c>
      <c r="AO800" s="98">
        <v>101.614</v>
      </c>
      <c r="AP800" s="99">
        <v>95.075999999999993</v>
      </c>
    </row>
    <row r="801" spans="1:42" ht="14.45" customHeight="1" x14ac:dyDescent="0.25">
      <c r="A801" s="125" t="s">
        <v>722</v>
      </c>
      <c r="B801" s="180"/>
      <c r="C801" s="98">
        <v>46.893000000000001</v>
      </c>
      <c r="D801" s="98">
        <v>45.026000000000003</v>
      </c>
      <c r="E801" s="98">
        <v>43.127000000000002</v>
      </c>
      <c r="F801" s="99">
        <v>41.194000000000003</v>
      </c>
      <c r="G801" s="98">
        <v>39.194000000000003</v>
      </c>
      <c r="H801" s="98">
        <v>37.151000000000003</v>
      </c>
      <c r="I801" s="98">
        <v>35.164000000000001</v>
      </c>
      <c r="J801" s="99">
        <v>35.247999999999998</v>
      </c>
      <c r="K801" s="98">
        <v>33.151000000000003</v>
      </c>
      <c r="L801" s="98">
        <v>31.012</v>
      </c>
      <c r="M801" s="98">
        <v>28.84</v>
      </c>
      <c r="N801" s="99">
        <v>26.631</v>
      </c>
      <c r="O801" s="98">
        <v>24.515000000000001</v>
      </c>
      <c r="P801" s="98">
        <v>22.181999999999999</v>
      </c>
      <c r="Q801" s="98">
        <v>19.812000000000001</v>
      </c>
      <c r="R801" s="99">
        <v>17.402999999999999</v>
      </c>
      <c r="S801" s="98">
        <v>13.436</v>
      </c>
      <c r="T801" s="98">
        <v>12.949</v>
      </c>
      <c r="U801" s="98">
        <v>71.183000000000007</v>
      </c>
      <c r="V801" s="99">
        <v>69.983999999999995</v>
      </c>
      <c r="W801" s="98">
        <v>68.756</v>
      </c>
      <c r="X801" s="98">
        <v>67.516999999999996</v>
      </c>
      <c r="Y801" s="98">
        <v>66.268000000000001</v>
      </c>
      <c r="Z801" s="99">
        <v>65.006</v>
      </c>
      <c r="AA801" s="98">
        <v>9.2639999999999993</v>
      </c>
      <c r="AB801" s="98">
        <v>8.6920000000000002</v>
      </c>
      <c r="AC801" s="98">
        <v>8.11</v>
      </c>
      <c r="AD801" s="99">
        <v>7.5190000000000001</v>
      </c>
      <c r="AE801" s="98">
        <v>6.9169999999999998</v>
      </c>
      <c r="AF801" s="98">
        <v>6.2990000000000004</v>
      </c>
      <c r="AG801" s="98">
        <v>5.67</v>
      </c>
      <c r="AH801" s="99">
        <v>5.032</v>
      </c>
      <c r="AI801" s="98">
        <v>4.3819999999999997</v>
      </c>
      <c r="AJ801" s="98">
        <v>3.714</v>
      </c>
      <c r="AK801" s="98">
        <v>3.036</v>
      </c>
      <c r="AL801" s="99">
        <v>2.3460000000000001</v>
      </c>
      <c r="AM801" s="98">
        <v>1.7210000000000001</v>
      </c>
      <c r="AN801" s="98">
        <v>1.4690000000000001</v>
      </c>
      <c r="AO801" s="98">
        <v>1.33</v>
      </c>
      <c r="AP801" s="99">
        <v>1.1879999999999999</v>
      </c>
    </row>
    <row r="802" spans="1:42" ht="14.45" customHeight="1" x14ac:dyDescent="0.25">
      <c r="A802" s="130" t="s">
        <v>723</v>
      </c>
      <c r="B802" s="190"/>
      <c r="C802" s="102">
        <v>760.03599999999994</v>
      </c>
      <c r="D802" s="102">
        <v>829.81799999999998</v>
      </c>
      <c r="E802" s="102">
        <v>820.06299999999999</v>
      </c>
      <c r="F802" s="103">
        <v>907.25400000000002</v>
      </c>
      <c r="G802" s="102">
        <v>1002.309</v>
      </c>
      <c r="H802" s="102">
        <v>1080.578</v>
      </c>
      <c r="I802" s="102">
        <v>1127.847</v>
      </c>
      <c r="J802" s="103">
        <v>1088.018</v>
      </c>
      <c r="K802" s="102">
        <v>1211.1089999999999</v>
      </c>
      <c r="L802" s="102">
        <v>1131.3130000000001</v>
      </c>
      <c r="M802" s="102">
        <v>1194.1089999999999</v>
      </c>
      <c r="N802" s="103">
        <v>1104.403</v>
      </c>
      <c r="O802" s="102">
        <v>1138.5</v>
      </c>
      <c r="P802" s="102">
        <v>1092.152</v>
      </c>
      <c r="Q802" s="102">
        <v>1027.3430000000001</v>
      </c>
      <c r="R802" s="103">
        <v>1029.92</v>
      </c>
      <c r="S802" s="102">
        <v>1082.5889999999999</v>
      </c>
      <c r="T802" s="102">
        <v>970.17399999999998</v>
      </c>
      <c r="U802" s="102">
        <v>962.86700000000008</v>
      </c>
      <c r="V802" s="103">
        <v>940.46500000000003</v>
      </c>
      <c r="W802" s="102">
        <v>909.30399999999997</v>
      </c>
      <c r="X802" s="102">
        <v>778.23599999999999</v>
      </c>
      <c r="Y802" s="102">
        <v>793.17700000000002</v>
      </c>
      <c r="Z802" s="103">
        <v>723.44299999999998</v>
      </c>
      <c r="AA802" s="102">
        <v>598.57399999999996</v>
      </c>
      <c r="AB802" s="102">
        <v>598.63300000000004</v>
      </c>
      <c r="AC802" s="102">
        <v>598.77800000000002</v>
      </c>
      <c r="AD802" s="103">
        <v>598.81700000000001</v>
      </c>
      <c r="AE802" s="102">
        <v>598.86</v>
      </c>
      <c r="AF802" s="102">
        <v>598.99199999999996</v>
      </c>
      <c r="AG802" s="102">
        <v>599.12300000000005</v>
      </c>
      <c r="AH802" s="103">
        <v>599.15899999999999</v>
      </c>
      <c r="AI802" s="102">
        <v>599.29300000000001</v>
      </c>
      <c r="AJ802" s="102">
        <v>1785.1020000000001</v>
      </c>
      <c r="AK802" s="102">
        <v>1785.7819999999999</v>
      </c>
      <c r="AL802" s="103">
        <v>1436.6489999999999</v>
      </c>
      <c r="AM802" s="102">
        <v>1437.1679999999999</v>
      </c>
      <c r="AN802" s="102">
        <v>1437.806</v>
      </c>
      <c r="AO802" s="102">
        <v>1438.4390000000001</v>
      </c>
      <c r="AP802" s="103">
        <v>2686.009</v>
      </c>
    </row>
    <row r="803" spans="1:42" ht="14.45" customHeight="1" x14ac:dyDescent="0.25">
      <c r="A803" s="110" t="s">
        <v>724</v>
      </c>
      <c r="B803" s="212"/>
      <c r="C803" s="106">
        <v>1363.778</v>
      </c>
      <c r="D803" s="106">
        <v>1482.5609999999999</v>
      </c>
      <c r="E803" s="106">
        <v>1465.242</v>
      </c>
      <c r="F803" s="106">
        <v>1628.5530000000001</v>
      </c>
      <c r="G803" s="106">
        <v>1838.1189999999999</v>
      </c>
      <c r="H803" s="106">
        <v>1923.2619999999999</v>
      </c>
      <c r="I803" s="106">
        <v>1940.8979999999999</v>
      </c>
      <c r="J803" s="106">
        <v>1974.6010000000001</v>
      </c>
      <c r="K803" s="106">
        <v>2067.9050000000002</v>
      </c>
      <c r="L803" s="106">
        <v>1986.8430000000001</v>
      </c>
      <c r="M803" s="106">
        <v>2045.2449999999999</v>
      </c>
      <c r="N803" s="106">
        <v>1953.0250000000001</v>
      </c>
      <c r="O803" s="106">
        <v>2063.944</v>
      </c>
      <c r="P803" s="106">
        <v>2062.4920000000002</v>
      </c>
      <c r="Q803" s="106">
        <v>2024.4380000000001</v>
      </c>
      <c r="R803" s="106">
        <v>2053.6149999999998</v>
      </c>
      <c r="S803" s="106">
        <v>2123.4299999999998</v>
      </c>
      <c r="T803" s="106">
        <v>2044.7850000000001</v>
      </c>
      <c r="U803" s="106">
        <v>2069.348</v>
      </c>
      <c r="V803" s="106">
        <v>2062.4</v>
      </c>
      <c r="W803" s="106">
        <v>2035.5830000000001</v>
      </c>
      <c r="X803" s="106">
        <v>1925.8440000000001</v>
      </c>
      <c r="Y803" s="106">
        <v>1971.5039999999999</v>
      </c>
      <c r="Z803" s="106">
        <v>1898.9280000000001</v>
      </c>
      <c r="AA803" s="106">
        <v>1728.2139999999999</v>
      </c>
      <c r="AB803" s="106">
        <v>1702.5550000000001</v>
      </c>
      <c r="AC803" s="106">
        <v>1701.67</v>
      </c>
      <c r="AD803" s="106">
        <v>1689.001</v>
      </c>
      <c r="AE803" s="106">
        <v>1752.867</v>
      </c>
      <c r="AF803" s="106">
        <v>1722.847</v>
      </c>
      <c r="AG803" s="106">
        <v>1709.1210000000001</v>
      </c>
      <c r="AH803" s="106">
        <v>1762.01</v>
      </c>
      <c r="AI803" s="106">
        <v>1778.03</v>
      </c>
      <c r="AJ803" s="106">
        <v>2921.2649999999999</v>
      </c>
      <c r="AK803" s="106">
        <v>2946.8820000000001</v>
      </c>
      <c r="AL803" s="106">
        <v>2582.3589999999999</v>
      </c>
      <c r="AM803" s="106">
        <v>2614.1329999999998</v>
      </c>
      <c r="AN803" s="106">
        <v>2572.08</v>
      </c>
      <c r="AO803" s="106">
        <v>2638.9369999999999</v>
      </c>
      <c r="AP803" s="106">
        <v>3914.0639999999999</v>
      </c>
    </row>
    <row r="804" spans="1:42" ht="14.45" customHeight="1" x14ac:dyDescent="0.25">
      <c r="A804" s="135" t="s">
        <v>725</v>
      </c>
      <c r="B804" s="211"/>
      <c r="C804" s="109">
        <v>1708.748</v>
      </c>
      <c r="D804" s="109">
        <v>1915.3409999999999</v>
      </c>
      <c r="E804" s="109">
        <v>1900.0840000000001</v>
      </c>
      <c r="F804" s="109">
        <v>2086.46</v>
      </c>
      <c r="G804" s="109">
        <v>2304.4299999999998</v>
      </c>
      <c r="H804" s="109">
        <v>2525.35</v>
      </c>
      <c r="I804" s="109">
        <v>2527.98</v>
      </c>
      <c r="J804" s="109">
        <v>2614.0529999999999</v>
      </c>
      <c r="K804" s="109">
        <v>2642.8609999999999</v>
      </c>
      <c r="L804" s="109">
        <v>2679.7660000000001</v>
      </c>
      <c r="M804" s="109">
        <v>2603.8609999999999</v>
      </c>
      <c r="N804" s="109">
        <v>2554.7620000000002</v>
      </c>
      <c r="O804" s="109">
        <v>2623.085</v>
      </c>
      <c r="P804" s="109">
        <v>2664.444</v>
      </c>
      <c r="Q804" s="109">
        <v>2637.6109999999999</v>
      </c>
      <c r="R804" s="109">
        <v>2675.81</v>
      </c>
      <c r="S804" s="109">
        <v>2731.42</v>
      </c>
      <c r="T804" s="109">
        <v>2679.0149999999999</v>
      </c>
      <c r="U804" s="109">
        <v>2753.3380000000002</v>
      </c>
      <c r="V804" s="109">
        <v>2709.46</v>
      </c>
      <c r="W804" s="109">
        <v>2719.49</v>
      </c>
      <c r="X804" s="109">
        <v>2669.7959999999998</v>
      </c>
      <c r="Y804" s="109">
        <v>2739.8</v>
      </c>
      <c r="Z804" s="109">
        <v>2733.7840000000001</v>
      </c>
      <c r="AA804" s="109">
        <v>2622.2849999999999</v>
      </c>
      <c r="AB804" s="109">
        <v>2679.9879999999998</v>
      </c>
      <c r="AC804" s="109">
        <v>2578.3649999999998</v>
      </c>
      <c r="AD804" s="109">
        <v>2594.1570000000002</v>
      </c>
      <c r="AE804" s="109">
        <v>2565.442</v>
      </c>
      <c r="AF804" s="109">
        <v>2614.8290000000002</v>
      </c>
      <c r="AG804" s="109">
        <v>2616.9540000000002</v>
      </c>
      <c r="AH804" s="109">
        <v>2853.3440000000001</v>
      </c>
      <c r="AI804" s="109">
        <v>2695.9059999999999</v>
      </c>
      <c r="AJ804" s="109">
        <v>4460.8780000000006</v>
      </c>
      <c r="AK804" s="109">
        <v>3987.7370000000001</v>
      </c>
      <c r="AL804" s="109">
        <v>3895.5279999999998</v>
      </c>
      <c r="AM804" s="109">
        <v>3904.3240000000001</v>
      </c>
      <c r="AN804" s="109">
        <v>3911.2719999999999</v>
      </c>
      <c r="AO804" s="109">
        <v>4032.5859999999998</v>
      </c>
      <c r="AP804" s="109">
        <v>5042.7209999999995</v>
      </c>
    </row>
    <row r="805" spans="1:42" ht="14.45" customHeight="1" x14ac:dyDescent="0.25">
      <c r="A805" s="111"/>
      <c r="B805" s="211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</row>
    <row r="806" spans="1:42" ht="14.45" customHeight="1" x14ac:dyDescent="0.25">
      <c r="A806" s="219" t="s">
        <v>726</v>
      </c>
      <c r="B806" s="211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</row>
    <row r="807" spans="1:42" ht="14.45" customHeight="1" x14ac:dyDescent="0.25">
      <c r="A807" s="125" t="s">
        <v>727</v>
      </c>
      <c r="B807" s="180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</row>
    <row r="808" spans="1:42" ht="14.45" customHeight="1" x14ac:dyDescent="0.25">
      <c r="A808" s="125" t="s">
        <v>728</v>
      </c>
      <c r="B808" s="180"/>
      <c r="C808" s="98">
        <v>10.204000000000001</v>
      </c>
      <c r="D808" s="98">
        <v>10.204000000000001</v>
      </c>
      <c r="E808" s="98">
        <v>10.204000000000001</v>
      </c>
      <c r="F808" s="99">
        <v>10.204000000000001</v>
      </c>
      <c r="G808" s="98">
        <v>10.204000000000001</v>
      </c>
      <c r="H808" s="98">
        <v>10.204000000000001</v>
      </c>
      <c r="I808" s="98">
        <v>10.204000000000001</v>
      </c>
      <c r="J808" s="99">
        <v>10.204000000000001</v>
      </c>
      <c r="K808" s="98">
        <v>10.204000000000001</v>
      </c>
      <c r="L808" s="98">
        <v>10.204000000000001</v>
      </c>
      <c r="M808" s="98">
        <v>10.204000000000001</v>
      </c>
      <c r="N808" s="99">
        <v>10.204000000000001</v>
      </c>
      <c r="O808" s="98">
        <v>10.204000000000001</v>
      </c>
      <c r="P808" s="98">
        <v>10.204000000000001</v>
      </c>
      <c r="Q808" s="98">
        <v>10.204000000000001</v>
      </c>
      <c r="R808" s="99">
        <v>10.204000000000001</v>
      </c>
      <c r="S808" s="98">
        <v>10.204000000000001</v>
      </c>
      <c r="T808" s="98">
        <v>10.204000000000001</v>
      </c>
      <c r="U808" s="98">
        <v>10.204000000000001</v>
      </c>
      <c r="V808" s="99">
        <v>10.204000000000001</v>
      </c>
      <c r="W808" s="98">
        <v>10.204000000000001</v>
      </c>
      <c r="X808" s="98">
        <v>10.204000000000001</v>
      </c>
      <c r="Y808" s="98">
        <v>10.204000000000001</v>
      </c>
      <c r="Z808" s="99">
        <v>10.204000000000001</v>
      </c>
      <c r="AA808" s="98">
        <v>11.430999999999999</v>
      </c>
      <c r="AB808" s="98">
        <v>11.430999999999999</v>
      </c>
      <c r="AC808" s="98">
        <v>11.430999999999999</v>
      </c>
      <c r="AD808" s="99">
        <v>11.430999999999999</v>
      </c>
      <c r="AE808" s="98">
        <v>11.430999999999999</v>
      </c>
      <c r="AF808" s="98">
        <v>11.430999999999999</v>
      </c>
      <c r="AG808" s="98">
        <v>11.430999999999999</v>
      </c>
      <c r="AH808" s="99">
        <v>11.430999999999999</v>
      </c>
      <c r="AI808" s="98">
        <v>11.430999999999999</v>
      </c>
      <c r="AJ808" s="98">
        <v>11.430999999999999</v>
      </c>
      <c r="AK808" s="98">
        <v>10.833</v>
      </c>
      <c r="AL808" s="99">
        <v>10.833</v>
      </c>
      <c r="AM808" s="98">
        <v>10.833</v>
      </c>
      <c r="AN808" s="98">
        <v>108.327</v>
      </c>
      <c r="AO808" s="98">
        <v>75.878</v>
      </c>
      <c r="AP808" s="99">
        <v>56.517000000000003</v>
      </c>
    </row>
    <row r="809" spans="1:42" ht="14.45" customHeight="1" x14ac:dyDescent="0.25">
      <c r="A809" s="125" t="s">
        <v>729</v>
      </c>
      <c r="B809" s="180"/>
      <c r="C809" s="98">
        <v>2.798</v>
      </c>
      <c r="D809" s="98">
        <v>2.798</v>
      </c>
      <c r="E809" s="98">
        <v>2.798</v>
      </c>
      <c r="F809" s="99">
        <v>2.798</v>
      </c>
      <c r="G809" s="98">
        <v>2.819</v>
      </c>
      <c r="H809" s="98">
        <v>2.819</v>
      </c>
      <c r="I809" s="98">
        <v>2.819</v>
      </c>
      <c r="J809" s="99">
        <v>2.819</v>
      </c>
      <c r="K809" s="98">
        <v>2.839</v>
      </c>
      <c r="L809" s="98">
        <v>2.839</v>
      </c>
      <c r="M809" s="98">
        <v>2.839</v>
      </c>
      <c r="N809" s="99">
        <v>2.839</v>
      </c>
      <c r="O809" s="98">
        <v>2.86</v>
      </c>
      <c r="P809" s="98">
        <v>2.86</v>
      </c>
      <c r="Q809" s="98">
        <v>2.86</v>
      </c>
      <c r="R809" s="99">
        <v>2.86</v>
      </c>
      <c r="S809" s="98">
        <v>2.86</v>
      </c>
      <c r="T809" s="98">
        <v>2.86</v>
      </c>
      <c r="U809" s="98">
        <v>2.86</v>
      </c>
      <c r="V809" s="99">
        <v>2.86</v>
      </c>
      <c r="W809" s="98">
        <v>2.86</v>
      </c>
      <c r="X809" s="98">
        <v>2.86</v>
      </c>
      <c r="Y809" s="98">
        <v>2.86</v>
      </c>
      <c r="Z809" s="99">
        <v>2.86</v>
      </c>
      <c r="AA809" s="98">
        <v>1.633</v>
      </c>
      <c r="AB809" s="98">
        <v>1.633</v>
      </c>
      <c r="AC809" s="98">
        <v>1.633</v>
      </c>
      <c r="AD809" s="99">
        <v>1.633</v>
      </c>
      <c r="AE809" s="98">
        <v>1.633</v>
      </c>
      <c r="AF809" s="98">
        <v>1.633</v>
      </c>
      <c r="AG809" s="98">
        <v>1.633</v>
      </c>
      <c r="AH809" s="99">
        <v>1.633</v>
      </c>
      <c r="AI809" s="98">
        <v>1.633</v>
      </c>
      <c r="AJ809" s="98">
        <v>1.633</v>
      </c>
      <c r="AK809" s="98">
        <v>1.633</v>
      </c>
      <c r="AL809" s="99">
        <v>1.633</v>
      </c>
      <c r="AM809" s="98">
        <v>1.633</v>
      </c>
      <c r="AN809" s="98">
        <v>16.327999999999999</v>
      </c>
      <c r="AO809" s="98">
        <v>10.047000000000001</v>
      </c>
      <c r="AP809" s="99">
        <v>10.047000000000001</v>
      </c>
    </row>
    <row r="810" spans="1:42" ht="14.45" customHeight="1" x14ac:dyDescent="0.25">
      <c r="A810" s="125" t="s">
        <v>730</v>
      </c>
      <c r="B810" s="180"/>
      <c r="C810" s="98">
        <v>116.76900000000001</v>
      </c>
      <c r="D810" s="98">
        <v>116.76900000000001</v>
      </c>
      <c r="E810" s="98">
        <v>116.76900000000001</v>
      </c>
      <c r="F810" s="99">
        <v>116.76900000000001</v>
      </c>
      <c r="G810" s="98">
        <v>120.417</v>
      </c>
      <c r="H810" s="98">
        <v>120.417</v>
      </c>
      <c r="I810" s="98">
        <v>120.417</v>
      </c>
      <c r="J810" s="99">
        <v>120.417</v>
      </c>
      <c r="K810" s="98">
        <v>124.22799999999999</v>
      </c>
      <c r="L810" s="98">
        <v>124.22799999999999</v>
      </c>
      <c r="M810" s="98">
        <v>124.22799999999999</v>
      </c>
      <c r="N810" s="99">
        <v>124.22799999999999</v>
      </c>
      <c r="O810" s="98">
        <v>128.983</v>
      </c>
      <c r="P810" s="98">
        <v>128.983</v>
      </c>
      <c r="Q810" s="98">
        <v>128.983</v>
      </c>
      <c r="R810" s="99">
        <v>128.983</v>
      </c>
      <c r="S810" s="98">
        <v>128.983</v>
      </c>
      <c r="T810" s="98">
        <v>128.983</v>
      </c>
      <c r="U810" s="98">
        <v>128.983</v>
      </c>
      <c r="V810" s="99">
        <v>135.953</v>
      </c>
      <c r="W810" s="98">
        <v>135.953</v>
      </c>
      <c r="X810" s="98">
        <v>135.953</v>
      </c>
      <c r="Y810" s="98">
        <v>135.953</v>
      </c>
      <c r="Z810" s="99">
        <v>135.953</v>
      </c>
      <c r="AA810" s="98">
        <v>135.953</v>
      </c>
      <c r="AB810" s="98">
        <v>135.953</v>
      </c>
      <c r="AC810" s="98">
        <v>135.953</v>
      </c>
      <c r="AD810" s="99">
        <v>135.953</v>
      </c>
      <c r="AE810" s="98">
        <v>135.953</v>
      </c>
      <c r="AF810" s="98">
        <v>135.953</v>
      </c>
      <c r="AG810" s="98">
        <v>135.953</v>
      </c>
      <c r="AH810" s="99">
        <v>135.953</v>
      </c>
      <c r="AI810" s="98">
        <v>135.953</v>
      </c>
      <c r="AJ810" s="98">
        <v>135.953</v>
      </c>
      <c r="AK810" s="98">
        <v>135.953</v>
      </c>
      <c r="AL810" s="99">
        <v>135.953</v>
      </c>
      <c r="AM810" s="98">
        <v>135.953</v>
      </c>
      <c r="AN810" s="98">
        <v>23.763999999999999</v>
      </c>
      <c r="AO810" s="98">
        <v>23.763999999999999</v>
      </c>
      <c r="AP810" s="99">
        <v>23.763999999999999</v>
      </c>
    </row>
    <row r="811" spans="1:42" ht="14.45" customHeight="1" x14ac:dyDescent="0.25">
      <c r="A811" s="125" t="s">
        <v>731</v>
      </c>
      <c r="B811" s="180"/>
      <c r="C811" s="98">
        <v>248.30799999999999</v>
      </c>
      <c r="D811" s="98">
        <v>261.63099999999997</v>
      </c>
      <c r="E811" s="98">
        <v>282.44499999999999</v>
      </c>
      <c r="F811" s="99">
        <v>301.51100000000002</v>
      </c>
      <c r="G811" s="98">
        <v>294.13200000000001</v>
      </c>
      <c r="H811" s="98">
        <v>298.14600000000002</v>
      </c>
      <c r="I811" s="98">
        <v>313.12900000000002</v>
      </c>
      <c r="J811" s="99">
        <v>388.71800000000002</v>
      </c>
      <c r="K811" s="98">
        <v>372.2</v>
      </c>
      <c r="L811" s="98">
        <v>365.92899999999997</v>
      </c>
      <c r="M811" s="98">
        <v>388.75</v>
      </c>
      <c r="N811" s="99">
        <v>359.435</v>
      </c>
      <c r="O811" s="98">
        <v>369.98500000000001</v>
      </c>
      <c r="P811" s="98">
        <v>383.012</v>
      </c>
      <c r="Q811" s="98">
        <v>393.67399999999998</v>
      </c>
      <c r="R811" s="99">
        <v>381.161</v>
      </c>
      <c r="S811" s="98">
        <v>393.47899999999998</v>
      </c>
      <c r="T811" s="98">
        <v>430.70600000000002</v>
      </c>
      <c r="U811" s="98">
        <v>480.24599999999998</v>
      </c>
      <c r="V811" s="99">
        <v>544.28</v>
      </c>
      <c r="W811" s="98">
        <v>595.29999999999995</v>
      </c>
      <c r="X811" s="98">
        <v>641.13599999999997</v>
      </c>
      <c r="Y811" s="98">
        <v>707.72299999999996</v>
      </c>
      <c r="Z811" s="99">
        <v>724.48599999999999</v>
      </c>
      <c r="AA811" s="98">
        <v>815.53200000000004</v>
      </c>
      <c r="AB811" s="98">
        <v>912.75099999999998</v>
      </c>
      <c r="AC811" s="98">
        <v>1029.1690000000001</v>
      </c>
      <c r="AD811" s="99">
        <v>1112.462</v>
      </c>
      <c r="AE811" s="98">
        <v>1230.5889999999999</v>
      </c>
      <c r="AF811" s="98">
        <v>1348.221</v>
      </c>
      <c r="AG811" s="98">
        <v>1435.627</v>
      </c>
      <c r="AH811" s="99">
        <v>1352.1110000000001</v>
      </c>
      <c r="AI811" s="98">
        <v>1517.8520000000001</v>
      </c>
      <c r="AJ811" s="98">
        <v>1685.9770000000001</v>
      </c>
      <c r="AK811" s="98">
        <v>1216.2349999999999</v>
      </c>
      <c r="AL811" s="99">
        <v>1395.183</v>
      </c>
      <c r="AM811" s="98">
        <v>1477</v>
      </c>
      <c r="AN811" s="98">
        <v>1642.5920000000001</v>
      </c>
      <c r="AO811" s="98">
        <v>1524.336</v>
      </c>
      <c r="AP811" s="99">
        <v>-824.04600000000005</v>
      </c>
    </row>
    <row r="812" spans="1:42" ht="14.45" customHeight="1" x14ac:dyDescent="0.25">
      <c r="A812" s="125" t="s">
        <v>732</v>
      </c>
      <c r="B812" s="180"/>
      <c r="C812" s="98">
        <v>-82.093999999999994</v>
      </c>
      <c r="D812" s="98">
        <v>-81.795000000000002</v>
      </c>
      <c r="E812" s="98">
        <v>-81.488</v>
      </c>
      <c r="F812" s="99">
        <v>-92.897000000000006</v>
      </c>
      <c r="G812" s="98">
        <v>-92.454999999999998</v>
      </c>
      <c r="H812" s="98">
        <v>-92.001000000000005</v>
      </c>
      <c r="I812" s="98">
        <v>-91.554000000000002</v>
      </c>
      <c r="J812" s="99">
        <v>-94.201999999999998</v>
      </c>
      <c r="K812" s="98">
        <v>-93.462999999999994</v>
      </c>
      <c r="L812" s="98">
        <v>-92.736999999999995</v>
      </c>
      <c r="M812" s="98">
        <v>-92.003</v>
      </c>
      <c r="N812" s="99">
        <v>-77.265000000000001</v>
      </c>
      <c r="O812" s="98">
        <v>-96.406999999999996</v>
      </c>
      <c r="P812" s="98">
        <v>-95.813999999999993</v>
      </c>
      <c r="Q812" s="98">
        <v>-95.617999999999995</v>
      </c>
      <c r="R812" s="99">
        <v>-115.002</v>
      </c>
      <c r="S812" s="98">
        <v>-115.05200000000001</v>
      </c>
      <c r="T812" s="98">
        <v>-114.081</v>
      </c>
      <c r="U812" s="98">
        <v>-112.801</v>
      </c>
      <c r="V812" s="99">
        <v>-119.053</v>
      </c>
      <c r="W812" s="98">
        <v>-117.721</v>
      </c>
      <c r="X812" s="98">
        <v>-116.39700000000001</v>
      </c>
      <c r="Y812" s="98">
        <v>-115.346</v>
      </c>
      <c r="Z812" s="99">
        <v>-100.46299999999999</v>
      </c>
      <c r="AA812" s="98">
        <v>-99.647999999999996</v>
      </c>
      <c r="AB812" s="98">
        <v>-98.834000000000003</v>
      </c>
      <c r="AC812" s="98">
        <v>-98.019000000000005</v>
      </c>
      <c r="AD812" s="99">
        <v>-84.837000000000003</v>
      </c>
      <c r="AE812" s="98">
        <v>-84.099000000000004</v>
      </c>
      <c r="AF812" s="98">
        <v>-56.276000000000003</v>
      </c>
      <c r="AG812" s="98">
        <v>0.93799999999999994</v>
      </c>
      <c r="AH812" s="99">
        <v>-4.2759999999999998</v>
      </c>
      <c r="AI812" s="98">
        <v>-4.4290000000000003</v>
      </c>
      <c r="AJ812" s="98">
        <v>-4.4029999999999996</v>
      </c>
      <c r="AK812" s="98">
        <v>-3.952</v>
      </c>
      <c r="AL812" s="99">
        <v>1.885</v>
      </c>
      <c r="AM812" s="98">
        <v>1.871</v>
      </c>
      <c r="AN812" s="98">
        <v>1.839</v>
      </c>
      <c r="AO812" s="98">
        <v>1.899</v>
      </c>
      <c r="AP812" s="99">
        <v>-6.0049999999999999</v>
      </c>
    </row>
    <row r="813" spans="1:42" ht="14.45" customHeight="1" x14ac:dyDescent="0.25">
      <c r="A813" s="125" t="s">
        <v>733</v>
      </c>
      <c r="B813" s="180"/>
      <c r="C813" s="98">
        <v>-60.844999999999999</v>
      </c>
      <c r="D813" s="98">
        <v>-60.844999999999999</v>
      </c>
      <c r="E813" s="98">
        <v>-60.844999999999999</v>
      </c>
      <c r="F813" s="99">
        <v>-60.844999999999999</v>
      </c>
      <c r="G813" s="98">
        <v>-60.844999999999999</v>
      </c>
      <c r="H813" s="98">
        <v>-60.844999999999999</v>
      </c>
      <c r="I813" s="98">
        <v>-60.844999999999999</v>
      </c>
      <c r="J813" s="99">
        <v>-60.844999999999999</v>
      </c>
      <c r="K813" s="98">
        <v>-60.844999999999999</v>
      </c>
      <c r="L813" s="98">
        <v>-60.844999999999999</v>
      </c>
      <c r="M813" s="98">
        <v>-60.844999999999999</v>
      </c>
      <c r="N813" s="99">
        <v>-60.844999999999999</v>
      </c>
      <c r="O813" s="98">
        <v>-60.844999999999999</v>
      </c>
      <c r="P813" s="98">
        <v>-60.844999999999999</v>
      </c>
      <c r="Q813" s="98">
        <v>-60.844999999999999</v>
      </c>
      <c r="R813" s="99">
        <v>-60.844999999999999</v>
      </c>
      <c r="S813" s="98">
        <v>-60.844999999999999</v>
      </c>
      <c r="T813" s="98">
        <v>-60.844999999999999</v>
      </c>
      <c r="U813" s="98">
        <v>-60.844999999999999</v>
      </c>
      <c r="V813" s="99">
        <v>-60.844999999999999</v>
      </c>
      <c r="W813" s="98">
        <v>-60.844999999999999</v>
      </c>
      <c r="X813" s="98">
        <v>-60.844999999999999</v>
      </c>
      <c r="Y813" s="98">
        <v>-60.844999999999999</v>
      </c>
      <c r="Z813" s="99">
        <v>-60.844999999999999</v>
      </c>
      <c r="AA813" s="98">
        <v>-60.844999999999999</v>
      </c>
      <c r="AB813" s="98">
        <v>-60.844999999999999</v>
      </c>
      <c r="AC813" s="98">
        <v>-60.844999999999999</v>
      </c>
      <c r="AD813" s="99">
        <v>-60.844999999999999</v>
      </c>
      <c r="AE813" s="98">
        <v>-60.844999999999999</v>
      </c>
      <c r="AF813" s="98">
        <v>-60.844999999999999</v>
      </c>
      <c r="AG813" s="98">
        <v>-60.844999999999999</v>
      </c>
      <c r="AH813" s="99">
        <v>-60.844999999999999</v>
      </c>
      <c r="AI813" s="98">
        <v>-60.844999999999999</v>
      </c>
      <c r="AJ813" s="98">
        <v>-634.98800000000006</v>
      </c>
      <c r="AK813" s="98">
        <v>-75.305999999999997</v>
      </c>
      <c r="AL813" s="99">
        <v>-127.467</v>
      </c>
      <c r="AM813" s="98">
        <v>-127.467</v>
      </c>
      <c r="AN813" s="98">
        <v>-162.22200000000001</v>
      </c>
      <c r="AO813" s="63"/>
      <c r="AP813" s="99">
        <v>0</v>
      </c>
    </row>
    <row r="814" spans="1:42" ht="14.45" customHeight="1" x14ac:dyDescent="0.25">
      <c r="A814" s="125" t="s">
        <v>734</v>
      </c>
      <c r="B814" s="180"/>
      <c r="C814" s="98">
        <v>-0.40899999999999997</v>
      </c>
      <c r="D814" s="98">
        <v>-0.40899999999999997</v>
      </c>
      <c r="E814" s="98">
        <v>-0.40899999999999997</v>
      </c>
      <c r="F814" s="99">
        <v>-0.40899999999999997</v>
      </c>
      <c r="G814" s="98">
        <v>-0.40899999999999997</v>
      </c>
      <c r="H814" s="98">
        <v>-0.40899999999999997</v>
      </c>
      <c r="I814" s="98">
        <v>-0.40899999999999997</v>
      </c>
      <c r="J814" s="99">
        <v>-0.40899999999999997</v>
      </c>
      <c r="K814" s="98">
        <v>-0.40899999999999997</v>
      </c>
      <c r="L814" s="98">
        <v>-0.40899999999999997</v>
      </c>
      <c r="M814" s="98">
        <v>-0.40899999999999997</v>
      </c>
      <c r="N814" s="99">
        <v>-0.40899999999999997</v>
      </c>
      <c r="O814" s="98">
        <v>-0.40899999999999997</v>
      </c>
      <c r="P814" s="98">
        <v>-0.40899999999999997</v>
      </c>
      <c r="Q814" s="98">
        <v>-0.40899999999999997</v>
      </c>
      <c r="R814" s="99">
        <v>-0.40899999999999997</v>
      </c>
      <c r="S814" s="98">
        <v>-0.40899999999999997</v>
      </c>
      <c r="T814" s="98">
        <v>-0.40899999999999997</v>
      </c>
      <c r="U814" s="98">
        <v>-0.40899999999999997</v>
      </c>
      <c r="V814" s="99">
        <v>-0.40899999999999997</v>
      </c>
      <c r="W814" s="98">
        <v>-0.40899999999999997</v>
      </c>
      <c r="X814" s="98">
        <v>-0.40899999999999997</v>
      </c>
      <c r="Y814" s="98">
        <v>-0.40899999999999997</v>
      </c>
      <c r="Z814" s="99">
        <v>-0.40899999999999997</v>
      </c>
      <c r="AA814" s="98">
        <v>-0.40899999999999997</v>
      </c>
      <c r="AB814" s="98">
        <v>-0.40899999999999997</v>
      </c>
      <c r="AC814" s="98">
        <v>-0.40899999999999997</v>
      </c>
      <c r="AD814" s="99">
        <v>-0.40899999999999997</v>
      </c>
      <c r="AE814" s="98">
        <v>-0.40899999999999997</v>
      </c>
      <c r="AF814" s="98">
        <v>-0.40899999999999997</v>
      </c>
      <c r="AG814" s="98">
        <v>-0.40899999999999997</v>
      </c>
      <c r="AH814" s="99">
        <v>-0.40899999999999997</v>
      </c>
      <c r="AI814" s="98">
        <v>-0.40899999999999997</v>
      </c>
      <c r="AJ814" s="98">
        <v>-0.40899999999999997</v>
      </c>
      <c r="AK814" s="98">
        <v>-0.40899999999999997</v>
      </c>
      <c r="AL814" s="99">
        <v>-0.40899999999999997</v>
      </c>
      <c r="AM814" s="98">
        <v>-0.40899999999999997</v>
      </c>
      <c r="AN814" s="98">
        <v>-0.40899999999999997</v>
      </c>
      <c r="AO814" s="63"/>
      <c r="AP814" s="99">
        <v>0</v>
      </c>
    </row>
    <row r="815" spans="1:42" ht="14.45" customHeight="1" x14ac:dyDescent="0.25">
      <c r="A815" s="110" t="s">
        <v>735</v>
      </c>
      <c r="B815" s="212"/>
      <c r="C815" s="106">
        <v>234.73099999999999</v>
      </c>
      <c r="D815" s="106">
        <v>248.35300000000001</v>
      </c>
      <c r="E815" s="106">
        <v>269.47399999999999</v>
      </c>
      <c r="F815" s="106">
        <v>277.13100000000009</v>
      </c>
      <c r="G815" s="106">
        <v>273.86300000000011</v>
      </c>
      <c r="H815" s="106">
        <v>278.33100000000002</v>
      </c>
      <c r="I815" s="106">
        <v>293.76100000000002</v>
      </c>
      <c r="J815" s="106">
        <v>366.702</v>
      </c>
      <c r="K815" s="106">
        <v>354.75400000000002</v>
      </c>
      <c r="L815" s="106">
        <v>349.20899999999989</v>
      </c>
      <c r="M815" s="106">
        <v>372.76400000000001</v>
      </c>
      <c r="N815" s="106">
        <v>358.18700000000001</v>
      </c>
      <c r="O815" s="106">
        <v>354.37100000000009</v>
      </c>
      <c r="P815" s="106">
        <v>367.99099999999999</v>
      </c>
      <c r="Q815" s="106">
        <v>378.84899999999999</v>
      </c>
      <c r="R815" s="106">
        <v>346.952</v>
      </c>
      <c r="S815" s="106">
        <v>359.21999999999991</v>
      </c>
      <c r="T815" s="106">
        <v>397.41800000000001</v>
      </c>
      <c r="U815" s="106">
        <v>448.23800000000011</v>
      </c>
      <c r="V815" s="106">
        <v>512.99</v>
      </c>
      <c r="W815" s="106">
        <v>565.34199999999998</v>
      </c>
      <c r="X815" s="106">
        <v>612.50199999999995</v>
      </c>
      <c r="Y815" s="106">
        <v>680.14</v>
      </c>
      <c r="Z815" s="106">
        <v>711.78599999999994</v>
      </c>
      <c r="AA815" s="106">
        <v>803.64699999999993</v>
      </c>
      <c r="AB815" s="106">
        <v>901.68</v>
      </c>
      <c r="AC815" s="106">
        <v>1018.913</v>
      </c>
      <c r="AD815" s="106">
        <v>1115.3879999999999</v>
      </c>
      <c r="AE815" s="106">
        <v>1234.2529999999999</v>
      </c>
      <c r="AF815" s="106">
        <v>1379.7080000000001</v>
      </c>
      <c r="AG815" s="106">
        <v>1524.328</v>
      </c>
      <c r="AH815" s="106">
        <v>1435.598</v>
      </c>
      <c r="AI815" s="106">
        <v>1601.1859999999999</v>
      </c>
      <c r="AJ815" s="106">
        <v>1195.194</v>
      </c>
      <c r="AK815" s="106">
        <v>1284.9870000000001</v>
      </c>
      <c r="AL815" s="106">
        <v>1417.6110000000001</v>
      </c>
      <c r="AM815" s="106">
        <v>1499.414</v>
      </c>
      <c r="AN815" s="106">
        <v>1630.2190000000001</v>
      </c>
      <c r="AO815" s="106">
        <v>1635.924</v>
      </c>
      <c r="AP815" s="106">
        <v>-739.72300000000007</v>
      </c>
    </row>
    <row r="816" spans="1:42" ht="14.45" customHeight="1" x14ac:dyDescent="0.25">
      <c r="A816" s="125" t="s">
        <v>27</v>
      </c>
      <c r="B816" s="180"/>
      <c r="C816" s="98">
        <v>80.384</v>
      </c>
      <c r="D816" s="98">
        <v>82.055999999999997</v>
      </c>
      <c r="E816" s="98">
        <v>84.466999999999999</v>
      </c>
      <c r="F816" s="99">
        <v>85.893000000000001</v>
      </c>
      <c r="G816" s="98">
        <v>86.527000000000001</v>
      </c>
      <c r="H816" s="98">
        <v>87.76</v>
      </c>
      <c r="I816" s="98">
        <v>89.355000000000004</v>
      </c>
      <c r="J816" s="99">
        <v>92.204999999999998</v>
      </c>
      <c r="K816" s="98">
        <v>92.828000000000003</v>
      </c>
      <c r="L816" s="98">
        <v>94.013000000000005</v>
      </c>
      <c r="M816" s="98">
        <v>95.799000000000007</v>
      </c>
      <c r="N816" s="99">
        <v>96.978999999999999</v>
      </c>
      <c r="O816" s="98">
        <v>98.231999999999999</v>
      </c>
      <c r="P816" s="98">
        <v>99.718000000000004</v>
      </c>
      <c r="Q816" s="98">
        <v>102.258</v>
      </c>
      <c r="R816" s="99">
        <v>104.164</v>
      </c>
      <c r="S816" s="98">
        <v>105.10299999999999</v>
      </c>
      <c r="T816" s="98">
        <v>108.14700000000001</v>
      </c>
      <c r="U816" s="98">
        <v>111.31699999999999</v>
      </c>
      <c r="V816" s="99">
        <v>0</v>
      </c>
      <c r="W816" s="63"/>
      <c r="X816" s="63"/>
      <c r="Y816" s="63"/>
      <c r="Z816" s="99">
        <v>0</v>
      </c>
      <c r="AA816" s="63"/>
      <c r="AB816" s="63"/>
      <c r="AC816" s="63"/>
      <c r="AD816" s="99">
        <v>0</v>
      </c>
      <c r="AE816" s="63"/>
      <c r="AF816" s="63"/>
      <c r="AG816" s="63"/>
      <c r="AH816" s="99">
        <v>0</v>
      </c>
      <c r="AI816" s="63"/>
      <c r="AJ816" s="63"/>
      <c r="AK816" s="63"/>
      <c r="AL816" s="99">
        <v>0</v>
      </c>
      <c r="AM816" s="63"/>
      <c r="AN816" s="63"/>
      <c r="AO816" s="63"/>
      <c r="AP816" s="99">
        <v>0</v>
      </c>
    </row>
    <row r="817" spans="1:42" ht="14.45" customHeight="1" x14ac:dyDescent="0.25">
      <c r="A817" s="135" t="s">
        <v>736</v>
      </c>
      <c r="B817" s="211"/>
      <c r="C817" s="109">
        <v>2023.8630000000001</v>
      </c>
      <c r="D817" s="109">
        <v>2245.75</v>
      </c>
      <c r="E817" s="109">
        <v>2254.0250000000001</v>
      </c>
      <c r="F817" s="109">
        <v>2449.4839999999999</v>
      </c>
      <c r="G817" s="109">
        <v>2664.82</v>
      </c>
      <c r="H817" s="109">
        <v>2891.4409999999998</v>
      </c>
      <c r="I817" s="109">
        <v>2911.096</v>
      </c>
      <c r="J817" s="109">
        <v>3072.96</v>
      </c>
      <c r="K817" s="109">
        <v>3090.4430000000002</v>
      </c>
      <c r="L817" s="109">
        <v>3122.9879999999998</v>
      </c>
      <c r="M817" s="109">
        <v>3072.424</v>
      </c>
      <c r="N817" s="109">
        <v>3009.9279999999999</v>
      </c>
      <c r="O817" s="109">
        <v>3075.6880000000001</v>
      </c>
      <c r="P817" s="109">
        <v>3132.1529999999998</v>
      </c>
      <c r="Q817" s="109">
        <v>3118.7179999999998</v>
      </c>
      <c r="R817" s="109">
        <v>3126.9260000000008</v>
      </c>
      <c r="S817" s="109">
        <v>3195.7429999999999</v>
      </c>
      <c r="T817" s="109">
        <v>3184.58</v>
      </c>
      <c r="U817" s="109">
        <v>3312.893</v>
      </c>
      <c r="V817" s="109">
        <v>3222.45</v>
      </c>
      <c r="W817" s="109">
        <v>3284.8319999999999</v>
      </c>
      <c r="X817" s="109">
        <v>3282.2979999999998</v>
      </c>
      <c r="Y817" s="109">
        <v>3419.94</v>
      </c>
      <c r="Z817" s="109">
        <v>3445.57</v>
      </c>
      <c r="AA817" s="109">
        <v>3425.9319999999998</v>
      </c>
      <c r="AB817" s="109">
        <v>3581.6680000000001</v>
      </c>
      <c r="AC817" s="109">
        <v>3597.2779999999998</v>
      </c>
      <c r="AD817" s="109">
        <v>3709.5450000000001</v>
      </c>
      <c r="AE817" s="109">
        <v>3799.6950000000002</v>
      </c>
      <c r="AF817" s="109">
        <v>3994.5369999999989</v>
      </c>
      <c r="AG817" s="109">
        <v>4141.2820000000002</v>
      </c>
      <c r="AH817" s="109">
        <v>4288.942</v>
      </c>
      <c r="AI817" s="109">
        <v>4297.0919999999996</v>
      </c>
      <c r="AJ817" s="109">
        <v>5656.0720000000001</v>
      </c>
      <c r="AK817" s="109">
        <v>5272.7240000000002</v>
      </c>
      <c r="AL817" s="109">
        <v>5313.1390000000001</v>
      </c>
      <c r="AM817" s="109">
        <v>5403.7379999999994</v>
      </c>
      <c r="AN817" s="109">
        <v>5541.491</v>
      </c>
      <c r="AO817" s="109">
        <v>5668.51</v>
      </c>
      <c r="AP817" s="109">
        <v>4302.9980000000014</v>
      </c>
    </row>
    <row r="818" spans="1:42" ht="14.45" customHeight="1" x14ac:dyDescent="0.2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</row>
    <row r="819" spans="1:42" ht="14.45" customHeight="1" x14ac:dyDescent="0.25">
      <c r="A819" s="217" t="s">
        <v>737</v>
      </c>
      <c r="B819" s="217"/>
      <c r="C819" s="218">
        <v>0</v>
      </c>
      <c r="D819" s="218">
        <v>0</v>
      </c>
      <c r="E819" s="218">
        <v>0</v>
      </c>
      <c r="F819" s="218">
        <v>0</v>
      </c>
      <c r="G819" s="218">
        <v>0</v>
      </c>
      <c r="H819" s="218">
        <v>0</v>
      </c>
      <c r="I819" s="218">
        <v>0</v>
      </c>
      <c r="J819" s="218">
        <v>0</v>
      </c>
      <c r="K819" s="218">
        <v>0</v>
      </c>
      <c r="L819" s="218">
        <v>0</v>
      </c>
      <c r="M819" s="218">
        <v>0</v>
      </c>
      <c r="N819" s="218">
        <v>0</v>
      </c>
      <c r="O819" s="218">
        <v>0</v>
      </c>
      <c r="P819" s="218">
        <v>0</v>
      </c>
      <c r="Q819" s="218">
        <v>0</v>
      </c>
      <c r="R819" s="218">
        <v>0</v>
      </c>
      <c r="S819" s="218">
        <v>0</v>
      </c>
      <c r="T819" s="218">
        <v>0</v>
      </c>
      <c r="U819" s="218">
        <v>0</v>
      </c>
      <c r="V819" s="218">
        <v>0</v>
      </c>
      <c r="W819" s="218">
        <v>0</v>
      </c>
      <c r="X819" s="218">
        <v>0</v>
      </c>
      <c r="Y819" s="218">
        <v>0</v>
      </c>
      <c r="Z819" s="218">
        <v>0</v>
      </c>
      <c r="AA819" s="218">
        <v>0</v>
      </c>
      <c r="AB819" s="218">
        <v>0</v>
      </c>
      <c r="AC819" s="218">
        <v>0</v>
      </c>
      <c r="AD819" s="218">
        <v>0</v>
      </c>
      <c r="AE819" s="218">
        <v>0</v>
      </c>
      <c r="AF819" s="218">
        <v>0</v>
      </c>
      <c r="AG819" s="218">
        <v>0</v>
      </c>
      <c r="AH819" s="218">
        <v>0</v>
      </c>
      <c r="AI819" s="218">
        <v>0</v>
      </c>
      <c r="AJ819" s="218">
        <v>0</v>
      </c>
      <c r="AK819" s="218">
        <v>0</v>
      </c>
      <c r="AL819" s="218">
        <v>0</v>
      </c>
      <c r="AM819" s="218">
        <v>0</v>
      </c>
      <c r="AN819" s="218">
        <v>0</v>
      </c>
      <c r="AO819" s="218">
        <v>0</v>
      </c>
      <c r="AP819" s="218">
        <v>0</v>
      </c>
    </row>
    <row r="820" spans="1:42" ht="15" customHeight="1" x14ac:dyDescent="0.2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</row>
    <row r="821" spans="1:42" ht="14.45" customHeight="1" x14ac:dyDescent="0.25">
      <c r="A821" s="313" t="s">
        <v>738</v>
      </c>
      <c r="B821" s="313"/>
      <c r="C821" s="313"/>
      <c r="D821" s="313"/>
      <c r="E821" s="313"/>
      <c r="F821" s="313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3"/>
      <c r="S821" s="313"/>
      <c r="T821" s="313"/>
      <c r="U821" s="313"/>
      <c r="V821" s="313"/>
      <c r="W821" s="313"/>
      <c r="X821" s="313"/>
      <c r="Y821" s="313"/>
      <c r="Z821" s="313"/>
      <c r="AA821" s="313"/>
      <c r="AB821" s="313"/>
      <c r="AC821" s="313"/>
      <c r="AD821" s="313"/>
      <c r="AE821" s="313"/>
      <c r="AF821" s="313"/>
      <c r="AG821" s="313"/>
      <c r="AH821" s="313"/>
      <c r="AI821" s="313"/>
      <c r="AJ821" s="313"/>
      <c r="AK821" s="313"/>
      <c r="AL821" s="313"/>
      <c r="AM821" s="313"/>
      <c r="AN821" s="313"/>
      <c r="AO821" s="313"/>
      <c r="AP821" s="313"/>
    </row>
    <row r="822" spans="1:42" ht="14.45" customHeight="1" x14ac:dyDescent="0.25">
      <c r="A822" s="99" t="s">
        <v>739</v>
      </c>
      <c r="B822" s="127"/>
      <c r="C822" s="218">
        <v>0</v>
      </c>
      <c r="D822" s="218">
        <v>0</v>
      </c>
      <c r="E822" s="218">
        <v>0</v>
      </c>
      <c r="F822" s="218">
        <v>0</v>
      </c>
      <c r="G822" s="218">
        <v>0</v>
      </c>
      <c r="H822" s="218">
        <v>0</v>
      </c>
      <c r="I822" s="218">
        <v>0</v>
      </c>
      <c r="J822" s="218">
        <v>0</v>
      </c>
      <c r="K822" s="218">
        <v>0</v>
      </c>
      <c r="L822" s="218">
        <v>0</v>
      </c>
      <c r="M822" s="218">
        <v>0</v>
      </c>
      <c r="N822" s="218">
        <v>0</v>
      </c>
      <c r="O822" s="218">
        <v>0</v>
      </c>
      <c r="P822" s="218">
        <v>0</v>
      </c>
      <c r="Q822" s="218">
        <v>0</v>
      </c>
      <c r="R822" s="218">
        <v>0</v>
      </c>
      <c r="S822" s="218">
        <v>0</v>
      </c>
      <c r="T822" s="218">
        <v>0</v>
      </c>
      <c r="U822" s="218">
        <v>0</v>
      </c>
      <c r="V822" s="218">
        <v>0</v>
      </c>
      <c r="W822" s="218">
        <v>0</v>
      </c>
      <c r="X822" s="218">
        <v>0</v>
      </c>
      <c r="Y822" s="218">
        <v>0</v>
      </c>
      <c r="Z822" s="218">
        <v>0</v>
      </c>
      <c r="AA822" s="218">
        <v>0</v>
      </c>
      <c r="AB822" s="218">
        <v>0</v>
      </c>
      <c r="AC822" s="218">
        <v>0</v>
      </c>
      <c r="AD822" s="218">
        <v>0</v>
      </c>
      <c r="AE822" s="218">
        <v>0</v>
      </c>
      <c r="AF822" s="218">
        <v>0</v>
      </c>
      <c r="AG822" s="218">
        <v>0</v>
      </c>
      <c r="AH822" s="218">
        <v>0</v>
      </c>
      <c r="AI822" s="218">
        <v>0</v>
      </c>
      <c r="AJ822" s="218">
        <v>0</v>
      </c>
      <c r="AK822" s="218">
        <v>0</v>
      </c>
      <c r="AL822" s="218">
        <v>0</v>
      </c>
      <c r="AM822" s="218">
        <v>0</v>
      </c>
      <c r="AN822" s="218">
        <v>0</v>
      </c>
      <c r="AO822" s="218">
        <v>0</v>
      </c>
      <c r="AP822" s="218">
        <v>0</v>
      </c>
    </row>
    <row r="823" spans="1:42" ht="14.45" customHeight="1" x14ac:dyDescent="0.25">
      <c r="A823" s="99" t="s">
        <v>740</v>
      </c>
      <c r="B823" s="127"/>
      <c r="C823" s="218">
        <v>0</v>
      </c>
      <c r="D823" s="218">
        <v>0</v>
      </c>
      <c r="E823" s="218">
        <v>0</v>
      </c>
      <c r="F823" s="218">
        <v>0</v>
      </c>
      <c r="G823" s="218">
        <v>0</v>
      </c>
      <c r="H823" s="218">
        <v>0</v>
      </c>
      <c r="I823" s="218">
        <v>0</v>
      </c>
      <c r="J823" s="218">
        <v>0</v>
      </c>
      <c r="K823" s="218">
        <v>0</v>
      </c>
      <c r="L823" s="218">
        <v>0</v>
      </c>
      <c r="M823" s="218">
        <v>0</v>
      </c>
      <c r="N823" s="218">
        <v>0</v>
      </c>
      <c r="O823" s="218">
        <v>0</v>
      </c>
      <c r="P823" s="218">
        <v>0</v>
      </c>
      <c r="Q823" s="218">
        <v>0</v>
      </c>
      <c r="R823" s="218">
        <v>0</v>
      </c>
      <c r="S823" s="218">
        <v>0</v>
      </c>
      <c r="T823" s="218">
        <v>0</v>
      </c>
      <c r="U823" s="218">
        <v>0</v>
      </c>
      <c r="V823" s="218">
        <v>0</v>
      </c>
      <c r="W823" s="218">
        <v>0</v>
      </c>
      <c r="X823" s="218">
        <v>0</v>
      </c>
      <c r="Y823" s="218">
        <v>0</v>
      </c>
      <c r="Z823" s="218">
        <v>0</v>
      </c>
      <c r="AA823" s="218">
        <v>0</v>
      </c>
      <c r="AB823" s="218">
        <v>0</v>
      </c>
      <c r="AC823" s="218">
        <v>0</v>
      </c>
      <c r="AD823" s="218">
        <v>0</v>
      </c>
      <c r="AE823" s="218">
        <v>0</v>
      </c>
      <c r="AF823" s="218">
        <v>0</v>
      </c>
      <c r="AG823" s="218">
        <v>0</v>
      </c>
      <c r="AH823" s="218">
        <v>0</v>
      </c>
      <c r="AI823" s="218">
        <v>0</v>
      </c>
      <c r="AJ823" s="218">
        <v>0</v>
      </c>
      <c r="AK823" s="218">
        <v>0</v>
      </c>
      <c r="AL823" s="218">
        <v>0</v>
      </c>
      <c r="AM823" s="218">
        <v>0</v>
      </c>
      <c r="AN823" s="218">
        <v>0</v>
      </c>
      <c r="AO823" s="218">
        <v>0</v>
      </c>
      <c r="AP823" s="218">
        <v>0</v>
      </c>
    </row>
    <row r="824" spans="1:42" ht="14.45" customHeight="1" x14ac:dyDescent="0.25">
      <c r="A824" s="99" t="s">
        <v>741</v>
      </c>
      <c r="B824" s="127"/>
      <c r="C824" s="218">
        <v>0</v>
      </c>
      <c r="D824" s="218">
        <v>0</v>
      </c>
      <c r="E824" s="218">
        <v>0</v>
      </c>
      <c r="F824" s="218">
        <v>0</v>
      </c>
      <c r="G824" s="218">
        <v>0</v>
      </c>
      <c r="H824" s="218">
        <v>0</v>
      </c>
      <c r="I824" s="218">
        <v>0</v>
      </c>
      <c r="J824" s="218">
        <v>0</v>
      </c>
      <c r="K824" s="218">
        <v>0</v>
      </c>
      <c r="L824" s="218">
        <v>0</v>
      </c>
      <c r="M824" s="218">
        <v>0</v>
      </c>
      <c r="N824" s="218">
        <v>0</v>
      </c>
      <c r="O824" s="218">
        <v>0</v>
      </c>
      <c r="P824" s="218">
        <v>0</v>
      </c>
      <c r="Q824" s="218">
        <v>0</v>
      </c>
      <c r="R824" s="218">
        <v>0</v>
      </c>
      <c r="S824" s="218">
        <v>0</v>
      </c>
      <c r="T824" s="218">
        <v>0</v>
      </c>
      <c r="U824" s="218">
        <v>0</v>
      </c>
      <c r="V824" s="218">
        <v>0</v>
      </c>
      <c r="W824" s="218">
        <v>0</v>
      </c>
      <c r="X824" s="218">
        <v>0</v>
      </c>
      <c r="Y824" s="218">
        <v>0</v>
      </c>
      <c r="Z824" s="218">
        <v>0</v>
      </c>
      <c r="AA824" s="218">
        <v>0</v>
      </c>
      <c r="AB824" s="218">
        <v>0</v>
      </c>
      <c r="AC824" s="218">
        <v>0</v>
      </c>
      <c r="AD824" s="218">
        <v>0</v>
      </c>
      <c r="AE824" s="218">
        <v>0</v>
      </c>
      <c r="AF824" s="218">
        <v>0</v>
      </c>
      <c r="AG824" s="218">
        <v>0</v>
      </c>
      <c r="AH824" s="218">
        <v>0</v>
      </c>
      <c r="AI824" s="218">
        <v>0</v>
      </c>
      <c r="AJ824" s="218">
        <v>0</v>
      </c>
      <c r="AK824" s="218">
        <v>0</v>
      </c>
      <c r="AL824" s="218">
        <v>0</v>
      </c>
      <c r="AM824" s="218">
        <v>0</v>
      </c>
      <c r="AN824" s="218">
        <v>0</v>
      </c>
      <c r="AO824" s="218">
        <v>0</v>
      </c>
      <c r="AP824" s="218">
        <v>0</v>
      </c>
    </row>
    <row r="825" spans="1:42" ht="14.45" customHeight="1" x14ac:dyDescent="0.25">
      <c r="A825" s="99" t="s">
        <v>742</v>
      </c>
      <c r="B825" s="127"/>
      <c r="C825" s="218">
        <v>0</v>
      </c>
      <c r="D825" s="218">
        <v>0</v>
      </c>
      <c r="E825" s="218">
        <v>0</v>
      </c>
      <c r="F825" s="218">
        <v>0</v>
      </c>
      <c r="G825" s="218">
        <v>0</v>
      </c>
      <c r="H825" s="218">
        <v>0</v>
      </c>
      <c r="I825" s="218">
        <v>0</v>
      </c>
      <c r="J825" s="218">
        <v>0</v>
      </c>
      <c r="K825" s="218">
        <v>0</v>
      </c>
      <c r="L825" s="218">
        <v>0</v>
      </c>
      <c r="M825" s="218">
        <v>0</v>
      </c>
      <c r="N825" s="218">
        <v>0</v>
      </c>
      <c r="O825" s="218">
        <v>0</v>
      </c>
      <c r="P825" s="218">
        <v>0</v>
      </c>
      <c r="Q825" s="218">
        <v>0</v>
      </c>
      <c r="R825" s="218">
        <v>0</v>
      </c>
      <c r="S825" s="218">
        <v>0</v>
      </c>
      <c r="T825" s="218">
        <v>0</v>
      </c>
      <c r="U825" s="218">
        <v>0</v>
      </c>
      <c r="V825" s="218">
        <v>0</v>
      </c>
      <c r="W825" s="218">
        <v>0</v>
      </c>
      <c r="X825" s="218">
        <v>0</v>
      </c>
      <c r="Y825" s="218">
        <v>0</v>
      </c>
      <c r="Z825" s="218">
        <v>0</v>
      </c>
      <c r="AA825" s="218">
        <v>0</v>
      </c>
      <c r="AB825" s="218">
        <v>0</v>
      </c>
      <c r="AC825" s="218">
        <v>0</v>
      </c>
      <c r="AD825" s="218">
        <v>0</v>
      </c>
      <c r="AE825" s="218">
        <v>0</v>
      </c>
      <c r="AF825" s="218">
        <v>0</v>
      </c>
      <c r="AG825" s="218">
        <v>0</v>
      </c>
      <c r="AH825" s="218">
        <v>0</v>
      </c>
      <c r="AI825" s="218">
        <v>0</v>
      </c>
      <c r="AJ825" s="218">
        <v>0</v>
      </c>
      <c r="AK825" s="218">
        <v>0</v>
      </c>
      <c r="AL825" s="218">
        <v>0</v>
      </c>
      <c r="AM825" s="218">
        <v>0</v>
      </c>
      <c r="AN825" s="218">
        <v>0</v>
      </c>
      <c r="AO825" s="218">
        <v>0</v>
      </c>
      <c r="AP825" s="218">
        <v>0</v>
      </c>
    </row>
    <row r="826" spans="1:42" ht="14.45" customHeight="1" x14ac:dyDescent="0.25">
      <c r="A826" s="99" t="s">
        <v>743</v>
      </c>
      <c r="B826" s="127"/>
      <c r="C826" s="218">
        <v>0</v>
      </c>
      <c r="D826" s="218">
        <v>0</v>
      </c>
      <c r="E826" s="218">
        <v>0</v>
      </c>
      <c r="F826" s="218">
        <v>0</v>
      </c>
      <c r="G826" s="218">
        <v>0</v>
      </c>
      <c r="H826" s="218">
        <v>0</v>
      </c>
      <c r="I826" s="218">
        <v>0</v>
      </c>
      <c r="J826" s="218">
        <v>0</v>
      </c>
      <c r="K826" s="218">
        <v>0</v>
      </c>
      <c r="L826" s="218">
        <v>0</v>
      </c>
      <c r="M826" s="218">
        <v>0</v>
      </c>
      <c r="N826" s="218">
        <v>0</v>
      </c>
      <c r="O826" s="218">
        <v>0</v>
      </c>
      <c r="P826" s="218">
        <v>0</v>
      </c>
      <c r="Q826" s="218">
        <v>0</v>
      </c>
      <c r="R826" s="218">
        <v>0</v>
      </c>
      <c r="S826" s="218">
        <v>0</v>
      </c>
      <c r="T826" s="218">
        <v>0</v>
      </c>
      <c r="U826" s="218">
        <v>0</v>
      </c>
      <c r="V826" s="218">
        <v>0</v>
      </c>
      <c r="W826" s="218">
        <v>0</v>
      </c>
      <c r="X826" s="218">
        <v>0</v>
      </c>
      <c r="Y826" s="218">
        <v>0</v>
      </c>
      <c r="Z826" s="218">
        <v>0</v>
      </c>
      <c r="AA826" s="218">
        <v>0</v>
      </c>
      <c r="AB826" s="218">
        <v>0</v>
      </c>
      <c r="AC826" s="218">
        <v>0</v>
      </c>
      <c r="AD826" s="218">
        <v>0</v>
      </c>
      <c r="AE826" s="218">
        <v>0</v>
      </c>
      <c r="AF826" s="218">
        <v>0</v>
      </c>
      <c r="AG826" s="218">
        <v>0</v>
      </c>
      <c r="AH826" s="218">
        <v>0</v>
      </c>
      <c r="AI826" s="218">
        <v>0</v>
      </c>
      <c r="AJ826" s="218">
        <v>0</v>
      </c>
      <c r="AK826" s="218">
        <v>0</v>
      </c>
      <c r="AL826" s="218">
        <v>0</v>
      </c>
      <c r="AM826" s="218">
        <v>0</v>
      </c>
      <c r="AN826" s="218">
        <v>0</v>
      </c>
      <c r="AO826" s="218">
        <v>0</v>
      </c>
      <c r="AP826" s="218">
        <v>0</v>
      </c>
    </row>
    <row r="827" spans="1:42" ht="14.45" customHeight="1" x14ac:dyDescent="0.25">
      <c r="A827" s="99" t="s">
        <v>744</v>
      </c>
      <c r="B827" s="127"/>
      <c r="C827" s="218">
        <v>0</v>
      </c>
      <c r="D827" s="218">
        <v>0</v>
      </c>
      <c r="E827" s="218">
        <v>0</v>
      </c>
      <c r="F827" s="218">
        <v>0</v>
      </c>
      <c r="G827" s="218">
        <v>0</v>
      </c>
      <c r="H827" s="218">
        <v>0</v>
      </c>
      <c r="I827" s="218">
        <v>0</v>
      </c>
      <c r="J827" s="218">
        <v>0</v>
      </c>
      <c r="K827" s="218">
        <v>0</v>
      </c>
      <c r="L827" s="218">
        <v>0</v>
      </c>
      <c r="M827" s="218">
        <v>0</v>
      </c>
      <c r="N827" s="218">
        <v>0</v>
      </c>
      <c r="O827" s="218">
        <v>0</v>
      </c>
      <c r="P827" s="218">
        <v>0</v>
      </c>
      <c r="Q827" s="218">
        <v>0</v>
      </c>
      <c r="R827" s="218">
        <v>0</v>
      </c>
      <c r="S827" s="218">
        <v>0</v>
      </c>
      <c r="T827" s="218">
        <v>0</v>
      </c>
      <c r="U827" s="218">
        <v>0</v>
      </c>
      <c r="V827" s="218">
        <v>0</v>
      </c>
      <c r="W827" s="218">
        <v>0</v>
      </c>
      <c r="X827" s="218">
        <v>0</v>
      </c>
      <c r="Y827" s="218">
        <v>0</v>
      </c>
      <c r="Z827" s="218">
        <v>0</v>
      </c>
      <c r="AA827" s="218">
        <v>0</v>
      </c>
      <c r="AB827" s="218">
        <v>0</v>
      </c>
      <c r="AC827" s="218">
        <v>0</v>
      </c>
      <c r="AD827" s="218">
        <v>0</v>
      </c>
      <c r="AE827" s="218">
        <v>0</v>
      </c>
      <c r="AF827" s="218">
        <v>0</v>
      </c>
      <c r="AG827" s="218">
        <v>0</v>
      </c>
      <c r="AH827" s="218">
        <v>0</v>
      </c>
      <c r="AI827" s="218">
        <v>0</v>
      </c>
      <c r="AJ827" s="218">
        <v>0</v>
      </c>
      <c r="AK827" s="218">
        <v>0</v>
      </c>
      <c r="AL827" s="218">
        <v>0</v>
      </c>
      <c r="AM827" s="218">
        <v>0</v>
      </c>
      <c r="AN827" s="218">
        <v>0</v>
      </c>
      <c r="AO827" s="218">
        <v>0</v>
      </c>
      <c r="AP827" s="218">
        <v>0</v>
      </c>
    </row>
    <row r="828" spans="1:42" ht="14.45" customHeight="1" x14ac:dyDescent="0.25">
      <c r="A828" s="99" t="s">
        <v>745</v>
      </c>
      <c r="B828" s="127"/>
      <c r="C828" s="218">
        <v>0</v>
      </c>
      <c r="D828" s="218">
        <v>0</v>
      </c>
      <c r="E828" s="218">
        <v>0</v>
      </c>
      <c r="F828" s="218">
        <v>0</v>
      </c>
      <c r="G828" s="218">
        <v>0</v>
      </c>
      <c r="H828" s="218">
        <v>0</v>
      </c>
      <c r="I828" s="218">
        <v>0</v>
      </c>
      <c r="J828" s="218">
        <v>0</v>
      </c>
      <c r="K828" s="218">
        <v>0</v>
      </c>
      <c r="L828" s="218">
        <v>0</v>
      </c>
      <c r="M828" s="218">
        <v>0</v>
      </c>
      <c r="N828" s="218">
        <v>0</v>
      </c>
      <c r="O828" s="218" t="s">
        <v>746</v>
      </c>
      <c r="P828" s="218" t="s">
        <v>746</v>
      </c>
      <c r="Q828" s="218" t="s">
        <v>746</v>
      </c>
      <c r="R828" s="218" t="s">
        <v>746</v>
      </c>
      <c r="S828" s="218" t="s">
        <v>746</v>
      </c>
      <c r="T828" s="218" t="s">
        <v>746</v>
      </c>
      <c r="U828" s="218" t="s">
        <v>746</v>
      </c>
      <c r="V828" s="218">
        <v>0</v>
      </c>
      <c r="W828" s="218" t="s">
        <v>746</v>
      </c>
      <c r="X828" s="218" t="s">
        <v>746</v>
      </c>
      <c r="Y828" s="218" t="s">
        <v>746</v>
      </c>
      <c r="Z828" s="218">
        <v>0</v>
      </c>
      <c r="AA828" s="218" t="s">
        <v>746</v>
      </c>
      <c r="AB828" s="218" t="s">
        <v>746</v>
      </c>
      <c r="AC828" s="218" t="s">
        <v>746</v>
      </c>
      <c r="AD828" s="218">
        <v>0</v>
      </c>
      <c r="AE828" s="218" t="s">
        <v>746</v>
      </c>
      <c r="AF828" s="218" t="s">
        <v>746</v>
      </c>
      <c r="AG828" s="218" t="s">
        <v>746</v>
      </c>
      <c r="AH828" s="218" t="s">
        <v>746</v>
      </c>
      <c r="AI828" s="218" t="s">
        <v>746</v>
      </c>
      <c r="AJ828" s="218" t="s">
        <v>746</v>
      </c>
      <c r="AK828" s="218" t="s">
        <v>746</v>
      </c>
      <c r="AL828" s="218" t="s">
        <v>746</v>
      </c>
      <c r="AM828" s="218" t="s">
        <v>746</v>
      </c>
      <c r="AN828" s="218" t="s">
        <v>746</v>
      </c>
      <c r="AO828" s="218" t="s">
        <v>746</v>
      </c>
      <c r="AP828" s="218" t="s">
        <v>746</v>
      </c>
    </row>
    <row r="829" spans="1:42" ht="14.45" customHeight="1" x14ac:dyDescent="0.25">
      <c r="A829" s="99" t="s">
        <v>747</v>
      </c>
      <c r="B829" s="127"/>
      <c r="C829" s="218">
        <v>0</v>
      </c>
      <c r="D829" s="218">
        <v>0</v>
      </c>
      <c r="E829" s="218">
        <v>0</v>
      </c>
      <c r="F829" s="218">
        <v>0</v>
      </c>
      <c r="G829" s="218">
        <v>0</v>
      </c>
      <c r="H829" s="218">
        <v>0</v>
      </c>
      <c r="I829" s="218">
        <v>0</v>
      </c>
      <c r="J829" s="218">
        <v>0</v>
      </c>
      <c r="K829" s="218">
        <v>0</v>
      </c>
      <c r="L829" s="218">
        <v>0</v>
      </c>
      <c r="M829" s="218">
        <v>0</v>
      </c>
      <c r="N829" s="218">
        <v>0</v>
      </c>
      <c r="O829" s="218">
        <v>0</v>
      </c>
      <c r="P829" s="218">
        <v>0</v>
      </c>
      <c r="Q829" s="218">
        <v>0</v>
      </c>
      <c r="R829" s="218">
        <v>0</v>
      </c>
      <c r="S829" s="218">
        <v>0</v>
      </c>
      <c r="T829" s="218">
        <v>0</v>
      </c>
      <c r="U829" s="218">
        <v>0</v>
      </c>
      <c r="V829" s="218">
        <v>0</v>
      </c>
      <c r="W829" s="218">
        <v>0</v>
      </c>
      <c r="X829" s="218">
        <v>0</v>
      </c>
      <c r="Y829" s="218">
        <v>0</v>
      </c>
      <c r="Z829" s="218">
        <v>0</v>
      </c>
      <c r="AA829" s="218">
        <v>0</v>
      </c>
      <c r="AB829" s="218">
        <v>0</v>
      </c>
      <c r="AC829" s="218">
        <v>0</v>
      </c>
      <c r="AD829" s="218">
        <v>0</v>
      </c>
      <c r="AE829" s="218">
        <v>0</v>
      </c>
      <c r="AF829" s="218">
        <v>0</v>
      </c>
      <c r="AG829" s="218">
        <v>0</v>
      </c>
      <c r="AH829" s="218">
        <v>0</v>
      </c>
      <c r="AI829" s="218">
        <v>0</v>
      </c>
      <c r="AJ829" s="218">
        <v>0</v>
      </c>
      <c r="AK829" s="218">
        <v>0</v>
      </c>
      <c r="AL829" s="218">
        <v>0</v>
      </c>
      <c r="AM829" s="218">
        <v>0</v>
      </c>
      <c r="AN829" s="218">
        <v>0</v>
      </c>
      <c r="AO829" s="218">
        <v>0</v>
      </c>
      <c r="AP829" s="218">
        <v>0</v>
      </c>
    </row>
    <row r="830" spans="1:42" ht="14.45" customHeight="1" x14ac:dyDescent="0.25">
      <c r="A830" s="99" t="s">
        <v>748</v>
      </c>
      <c r="B830" s="127"/>
      <c r="C830" s="218">
        <v>0</v>
      </c>
      <c r="D830" s="218">
        <v>0</v>
      </c>
      <c r="E830" s="218">
        <v>0</v>
      </c>
      <c r="F830" s="218">
        <v>0</v>
      </c>
      <c r="G830" s="218">
        <v>0</v>
      </c>
      <c r="H830" s="218">
        <v>0</v>
      </c>
      <c r="I830" s="218">
        <v>0</v>
      </c>
      <c r="J830" s="218">
        <v>0</v>
      </c>
      <c r="K830" s="218">
        <v>0</v>
      </c>
      <c r="L830" s="218">
        <v>0</v>
      </c>
      <c r="M830" s="218">
        <v>0</v>
      </c>
      <c r="N830" s="218">
        <v>0</v>
      </c>
      <c r="O830" s="218">
        <v>0</v>
      </c>
      <c r="P830" s="218">
        <v>0</v>
      </c>
      <c r="Q830" s="218">
        <v>0</v>
      </c>
      <c r="R830" s="218">
        <v>0</v>
      </c>
      <c r="S830" s="218">
        <v>0</v>
      </c>
      <c r="T830" s="218">
        <v>0</v>
      </c>
      <c r="U830" s="218">
        <v>0</v>
      </c>
      <c r="V830" s="218">
        <v>0</v>
      </c>
      <c r="W830" s="218">
        <v>0</v>
      </c>
      <c r="X830" s="218">
        <v>0</v>
      </c>
      <c r="Y830" s="218">
        <v>0</v>
      </c>
      <c r="Z830" s="218">
        <v>0</v>
      </c>
      <c r="AA830" s="218">
        <v>0</v>
      </c>
      <c r="AB830" s="218">
        <v>0</v>
      </c>
      <c r="AC830" s="218">
        <v>0</v>
      </c>
      <c r="AD830" s="218">
        <v>0</v>
      </c>
      <c r="AE830" s="218">
        <v>0</v>
      </c>
      <c r="AF830" s="218">
        <v>0</v>
      </c>
      <c r="AG830" s="218">
        <v>0</v>
      </c>
      <c r="AH830" s="218">
        <v>0</v>
      </c>
      <c r="AI830" s="218">
        <v>0</v>
      </c>
      <c r="AJ830" s="218">
        <v>0</v>
      </c>
      <c r="AK830" s="218">
        <v>0</v>
      </c>
      <c r="AL830" s="218">
        <v>0</v>
      </c>
      <c r="AM830" s="218">
        <v>0</v>
      </c>
      <c r="AN830" s="218">
        <v>0</v>
      </c>
      <c r="AO830" s="218">
        <v>0</v>
      </c>
      <c r="AP830" s="218">
        <v>0</v>
      </c>
    </row>
    <row r="831" spans="1:42" ht="14.45" customHeight="1" x14ac:dyDescent="0.25">
      <c r="A831" s="99" t="s">
        <v>749</v>
      </c>
      <c r="B831" s="127"/>
      <c r="C831" s="218">
        <v>0</v>
      </c>
      <c r="D831" s="218">
        <v>0</v>
      </c>
      <c r="E831" s="218">
        <v>0</v>
      </c>
      <c r="F831" s="218">
        <v>0</v>
      </c>
      <c r="G831" s="218">
        <v>0</v>
      </c>
      <c r="H831" s="218">
        <v>0</v>
      </c>
      <c r="I831" s="218">
        <v>0</v>
      </c>
      <c r="J831" s="218">
        <v>0</v>
      </c>
      <c r="K831" s="218">
        <v>0</v>
      </c>
      <c r="L831" s="218">
        <v>0</v>
      </c>
      <c r="M831" s="218">
        <v>0</v>
      </c>
      <c r="N831" s="218">
        <v>0</v>
      </c>
      <c r="O831" s="218">
        <v>0</v>
      </c>
      <c r="P831" s="218">
        <v>0</v>
      </c>
      <c r="Q831" s="218">
        <v>0</v>
      </c>
      <c r="R831" s="218">
        <v>0</v>
      </c>
      <c r="S831" s="218">
        <v>0</v>
      </c>
      <c r="T831" s="218">
        <v>0</v>
      </c>
      <c r="U831" s="218">
        <v>0</v>
      </c>
      <c r="V831" s="218">
        <v>0</v>
      </c>
      <c r="W831" s="218">
        <v>0</v>
      </c>
      <c r="X831" s="218">
        <v>0</v>
      </c>
      <c r="Y831" s="218">
        <v>0</v>
      </c>
      <c r="Z831" s="218">
        <v>0</v>
      </c>
      <c r="AA831" s="218">
        <v>0</v>
      </c>
      <c r="AB831" s="218">
        <v>0</v>
      </c>
      <c r="AC831" s="218">
        <v>0</v>
      </c>
      <c r="AD831" s="218">
        <v>0</v>
      </c>
      <c r="AE831" s="218">
        <v>0</v>
      </c>
      <c r="AF831" s="218">
        <v>0</v>
      </c>
      <c r="AG831" s="218">
        <v>0</v>
      </c>
      <c r="AH831" s="218">
        <v>0</v>
      </c>
      <c r="AI831" s="218">
        <v>0</v>
      </c>
      <c r="AJ831" s="218">
        <v>0</v>
      </c>
      <c r="AK831" s="218">
        <v>0</v>
      </c>
      <c r="AL831" s="218">
        <v>0</v>
      </c>
      <c r="AM831" s="218">
        <v>0</v>
      </c>
      <c r="AN831" s="218">
        <v>0</v>
      </c>
      <c r="AO831" s="218">
        <v>0</v>
      </c>
      <c r="AP831" s="218">
        <v>0</v>
      </c>
    </row>
    <row r="832" spans="1:42" ht="14.45" customHeight="1" x14ac:dyDescent="0.25">
      <c r="A832" s="99" t="s">
        <v>750</v>
      </c>
      <c r="B832" s="127"/>
      <c r="C832" s="218">
        <v>0</v>
      </c>
      <c r="D832" s="218">
        <v>0</v>
      </c>
      <c r="E832" s="218">
        <v>0</v>
      </c>
      <c r="F832" s="218">
        <v>0</v>
      </c>
      <c r="G832" s="218">
        <v>0</v>
      </c>
      <c r="H832" s="218">
        <v>0</v>
      </c>
      <c r="I832" s="218">
        <v>0</v>
      </c>
      <c r="J832" s="218">
        <v>0</v>
      </c>
      <c r="K832" s="218">
        <v>0</v>
      </c>
      <c r="L832" s="218">
        <v>0</v>
      </c>
      <c r="M832" s="218">
        <v>0</v>
      </c>
      <c r="N832" s="218">
        <v>0</v>
      </c>
      <c r="O832" s="218">
        <v>0</v>
      </c>
      <c r="P832" s="218">
        <v>0</v>
      </c>
      <c r="Q832" s="218">
        <v>0</v>
      </c>
      <c r="R832" s="218">
        <v>0</v>
      </c>
      <c r="S832" s="218">
        <v>0</v>
      </c>
      <c r="T832" s="218">
        <v>0</v>
      </c>
      <c r="U832" s="218">
        <v>0</v>
      </c>
      <c r="V832" s="218">
        <v>0</v>
      </c>
      <c r="W832" s="218">
        <v>0</v>
      </c>
      <c r="X832" s="218">
        <v>0</v>
      </c>
      <c r="Y832" s="218">
        <v>0</v>
      </c>
      <c r="Z832" s="218">
        <v>0</v>
      </c>
      <c r="AA832" s="218">
        <v>0</v>
      </c>
      <c r="AB832" s="218">
        <v>0</v>
      </c>
      <c r="AC832" s="218">
        <v>0</v>
      </c>
      <c r="AD832" s="218">
        <v>0</v>
      </c>
      <c r="AE832" s="218">
        <v>0</v>
      </c>
      <c r="AF832" s="218">
        <v>0</v>
      </c>
      <c r="AG832" s="218">
        <v>0</v>
      </c>
      <c r="AH832" s="218">
        <v>0</v>
      </c>
      <c r="AI832" s="218">
        <v>0</v>
      </c>
      <c r="AJ832" s="218">
        <v>0</v>
      </c>
      <c r="AK832" s="218">
        <v>0</v>
      </c>
      <c r="AL832" s="218">
        <v>0</v>
      </c>
      <c r="AM832" s="218">
        <v>0</v>
      </c>
      <c r="AN832" s="218">
        <v>0</v>
      </c>
      <c r="AO832" s="218">
        <v>0</v>
      </c>
      <c r="AP832" s="218">
        <v>0</v>
      </c>
    </row>
    <row r="833" spans="1:42" ht="14.45" customHeight="1" x14ac:dyDescent="0.25">
      <c r="A833" s="99" t="s">
        <v>751</v>
      </c>
      <c r="B833" s="127"/>
      <c r="C833" s="218">
        <v>0</v>
      </c>
      <c r="D833" s="218">
        <v>0</v>
      </c>
      <c r="E833" s="218">
        <v>0</v>
      </c>
      <c r="F833" s="218">
        <v>0</v>
      </c>
      <c r="G833" s="218">
        <v>0</v>
      </c>
      <c r="H833" s="218">
        <v>0</v>
      </c>
      <c r="I833" s="218">
        <v>0</v>
      </c>
      <c r="J833" s="218">
        <v>0</v>
      </c>
      <c r="K833" s="218">
        <v>0</v>
      </c>
      <c r="L833" s="218">
        <v>0</v>
      </c>
      <c r="M833" s="218">
        <v>0</v>
      </c>
      <c r="N833" s="218">
        <v>0</v>
      </c>
      <c r="O833" s="218">
        <v>0</v>
      </c>
      <c r="P833" s="218">
        <v>0</v>
      </c>
      <c r="Q833" s="218">
        <v>0</v>
      </c>
      <c r="R833" s="218">
        <v>0</v>
      </c>
      <c r="S833" s="218">
        <v>0</v>
      </c>
      <c r="T833" s="218">
        <v>0</v>
      </c>
      <c r="U833" s="218">
        <v>0</v>
      </c>
      <c r="V833" s="218">
        <v>0</v>
      </c>
      <c r="W833" s="218">
        <v>0</v>
      </c>
      <c r="X833" s="218">
        <v>0</v>
      </c>
      <c r="Y833" s="218">
        <v>0</v>
      </c>
      <c r="Z833" s="218">
        <v>0</v>
      </c>
      <c r="AA833" s="218">
        <v>0</v>
      </c>
      <c r="AB833" s="218">
        <v>0</v>
      </c>
      <c r="AC833" s="218">
        <v>0</v>
      </c>
      <c r="AD833" s="218">
        <v>0</v>
      </c>
      <c r="AE833" s="218">
        <v>0</v>
      </c>
      <c r="AF833" s="218">
        <v>0</v>
      </c>
      <c r="AG833" s="218">
        <v>0</v>
      </c>
      <c r="AH833" s="218">
        <v>0</v>
      </c>
      <c r="AI833" s="218">
        <v>0</v>
      </c>
      <c r="AJ833" s="218">
        <v>0</v>
      </c>
      <c r="AK833" s="218">
        <v>0</v>
      </c>
      <c r="AL833" s="218">
        <v>0</v>
      </c>
      <c r="AM833" s="218">
        <v>0</v>
      </c>
      <c r="AN833" s="218">
        <v>0</v>
      </c>
      <c r="AO833" s="218">
        <v>0</v>
      </c>
      <c r="AP833" s="218">
        <v>0</v>
      </c>
    </row>
    <row r="834" spans="1:42" ht="14.45" customHeight="1" x14ac:dyDescent="0.25">
      <c r="A834" s="99" t="s">
        <v>752</v>
      </c>
      <c r="B834" s="127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  <c r="AD834" s="218"/>
      <c r="AE834" s="218"/>
      <c r="AF834" s="218"/>
      <c r="AG834" s="218"/>
      <c r="AH834" s="218"/>
      <c r="AI834" s="218"/>
      <c r="AJ834" s="218"/>
      <c r="AK834" s="218"/>
      <c r="AL834" s="218"/>
      <c r="AM834" s="218"/>
      <c r="AN834" s="218"/>
      <c r="AO834" s="218"/>
      <c r="AP834" s="218"/>
    </row>
    <row r="835" spans="1:42" ht="14.45" customHeight="1" x14ac:dyDescent="0.25">
      <c r="A835" s="99" t="s">
        <v>753</v>
      </c>
      <c r="B835" s="127"/>
      <c r="C835" s="218">
        <v>0</v>
      </c>
      <c r="D835" s="218">
        <v>0</v>
      </c>
      <c r="E835" s="218">
        <v>0</v>
      </c>
      <c r="F835" s="218">
        <v>0</v>
      </c>
      <c r="G835" s="218">
        <v>0</v>
      </c>
      <c r="H835" s="218">
        <v>0</v>
      </c>
      <c r="I835" s="218">
        <v>0</v>
      </c>
      <c r="J835" s="218">
        <v>0</v>
      </c>
      <c r="K835" s="218">
        <v>0</v>
      </c>
      <c r="L835" s="218">
        <v>0</v>
      </c>
      <c r="M835" s="218">
        <v>0</v>
      </c>
      <c r="N835" s="218">
        <v>0</v>
      </c>
      <c r="O835" s="218">
        <v>0</v>
      </c>
      <c r="P835" s="218">
        <v>0</v>
      </c>
      <c r="Q835" s="218">
        <v>0</v>
      </c>
      <c r="R835" s="218">
        <v>0</v>
      </c>
      <c r="S835" s="218">
        <v>0</v>
      </c>
      <c r="T835" s="218">
        <v>0</v>
      </c>
      <c r="U835" s="218">
        <v>0</v>
      </c>
      <c r="V835" s="218">
        <v>0</v>
      </c>
      <c r="W835" s="218">
        <v>0</v>
      </c>
      <c r="X835" s="218">
        <v>0</v>
      </c>
      <c r="Y835" s="218">
        <v>0</v>
      </c>
      <c r="Z835" s="218">
        <v>0</v>
      </c>
      <c r="AA835" s="218">
        <v>0</v>
      </c>
      <c r="AB835" s="218">
        <v>0</v>
      </c>
      <c r="AC835" s="218">
        <v>0</v>
      </c>
      <c r="AD835" s="218">
        <v>0</v>
      </c>
      <c r="AE835" s="218">
        <v>0</v>
      </c>
      <c r="AF835" s="218">
        <v>0</v>
      </c>
      <c r="AG835" s="218">
        <v>0</v>
      </c>
      <c r="AH835" s="218">
        <v>0</v>
      </c>
      <c r="AI835" s="218">
        <v>0</v>
      </c>
      <c r="AJ835" s="218">
        <v>0</v>
      </c>
      <c r="AK835" s="218">
        <v>0</v>
      </c>
      <c r="AL835" s="218">
        <v>0</v>
      </c>
      <c r="AM835" s="218">
        <v>0</v>
      </c>
      <c r="AN835" s="218">
        <v>0</v>
      </c>
      <c r="AO835" s="218">
        <v>0</v>
      </c>
      <c r="AP835" s="218">
        <v>0</v>
      </c>
    </row>
    <row r="836" spans="1:42" ht="14.45" customHeight="1" x14ac:dyDescent="0.25">
      <c r="A836" s="99" t="s">
        <v>754</v>
      </c>
      <c r="B836" s="127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  <c r="AD836" s="218"/>
      <c r="AE836" s="218"/>
      <c r="AF836" s="218"/>
      <c r="AG836" s="218"/>
      <c r="AH836" s="218"/>
      <c r="AI836" s="218"/>
      <c r="AJ836" s="218"/>
      <c r="AK836" s="218"/>
      <c r="AL836" s="218"/>
      <c r="AM836" s="218"/>
      <c r="AN836" s="218"/>
      <c r="AO836" s="218"/>
      <c r="AP836" s="218"/>
    </row>
    <row r="837" spans="1:42" ht="14.45" customHeight="1" x14ac:dyDescent="0.25">
      <c r="A837" s="99" t="s">
        <v>755</v>
      </c>
      <c r="B837" s="127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  <c r="AG837" s="218"/>
      <c r="AH837" s="218"/>
      <c r="AI837" s="218"/>
      <c r="AJ837" s="218"/>
      <c r="AK837" s="218"/>
      <c r="AL837" s="218"/>
      <c r="AM837" s="218"/>
      <c r="AN837" s="218"/>
      <c r="AO837" s="218"/>
      <c r="AP837" s="218"/>
    </row>
    <row r="838" spans="1:42" ht="14.45" customHeight="1" x14ac:dyDescent="0.25">
      <c r="A838" s="99" t="s">
        <v>756</v>
      </c>
      <c r="B838" s="127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  <c r="AD838" s="218"/>
      <c r="AE838" s="218"/>
      <c r="AF838" s="218"/>
      <c r="AG838" s="218"/>
      <c r="AH838" s="218"/>
      <c r="AI838" s="218"/>
      <c r="AJ838" s="218"/>
      <c r="AK838" s="218"/>
      <c r="AL838" s="218"/>
      <c r="AM838" s="218"/>
      <c r="AN838" s="218"/>
      <c r="AO838" s="218"/>
      <c r="AP838" s="218"/>
    </row>
    <row r="839" spans="1:42" ht="14.45" customHeight="1" x14ac:dyDescent="0.25">
      <c r="A839" s="99" t="s">
        <v>757</v>
      </c>
      <c r="B839" s="127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  <c r="AD839" s="218"/>
      <c r="AE839" s="218"/>
      <c r="AF839" s="218"/>
      <c r="AG839" s="218"/>
      <c r="AH839" s="218"/>
      <c r="AI839" s="218"/>
      <c r="AJ839" s="218"/>
      <c r="AK839" s="218"/>
      <c r="AL839" s="218"/>
      <c r="AM839" s="218"/>
      <c r="AN839" s="218"/>
      <c r="AO839" s="218"/>
      <c r="AP839" s="218"/>
    </row>
    <row r="840" spans="1:42" ht="14.45" customHeight="1" x14ac:dyDescent="0.25">
      <c r="A840" s="99" t="s">
        <v>758</v>
      </c>
      <c r="B840" s="127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  <c r="AD840" s="218"/>
      <c r="AE840" s="218"/>
      <c r="AF840" s="218"/>
      <c r="AG840" s="218"/>
      <c r="AH840" s="218"/>
      <c r="AI840" s="218"/>
      <c r="AJ840" s="218"/>
      <c r="AK840" s="218"/>
      <c r="AL840" s="218"/>
      <c r="AM840" s="218"/>
      <c r="AN840" s="218"/>
      <c r="AO840" s="218"/>
      <c r="AP840" s="218"/>
    </row>
    <row r="841" spans="1:42" ht="14.45" customHeight="1" x14ac:dyDescent="0.25">
      <c r="A841" s="99" t="s">
        <v>759</v>
      </c>
      <c r="B841" s="127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  <c r="AD841" s="218"/>
      <c r="AE841" s="218"/>
      <c r="AF841" s="218"/>
      <c r="AG841" s="218"/>
      <c r="AH841" s="218"/>
      <c r="AI841" s="218"/>
      <c r="AJ841" s="218"/>
      <c r="AK841" s="218"/>
      <c r="AL841" s="218"/>
      <c r="AM841" s="218"/>
      <c r="AN841" s="218"/>
      <c r="AO841" s="218"/>
      <c r="AP841" s="218"/>
    </row>
    <row r="842" spans="1:42" ht="14.45" customHeight="1" x14ac:dyDescent="0.25">
      <c r="A842" s="99" t="s">
        <v>760</v>
      </c>
      <c r="B842" s="127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  <c r="AD842" s="218"/>
      <c r="AE842" s="218"/>
      <c r="AF842" s="218"/>
      <c r="AG842" s="218"/>
      <c r="AH842" s="218"/>
      <c r="AI842" s="218"/>
      <c r="AJ842" s="218"/>
      <c r="AK842" s="218"/>
      <c r="AL842" s="218"/>
      <c r="AM842" s="218"/>
      <c r="AN842" s="218"/>
      <c r="AO842" s="218"/>
      <c r="AP842" s="218"/>
    </row>
    <row r="843" spans="1:42" ht="14.45" customHeight="1" x14ac:dyDescent="0.2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</row>
    <row r="844" spans="1:42" ht="14.45" customHeight="1" x14ac:dyDescent="0.25">
      <c r="A844" s="313" t="s">
        <v>761</v>
      </c>
      <c r="B844" s="313"/>
      <c r="C844" s="313"/>
      <c r="D844" s="313"/>
      <c r="E844" s="313"/>
      <c r="F844" s="313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3"/>
      <c r="S844" s="313"/>
      <c r="T844" s="313"/>
      <c r="U844" s="313"/>
      <c r="V844" s="313"/>
      <c r="W844" s="313"/>
      <c r="X844" s="313"/>
      <c r="Y844" s="313"/>
      <c r="Z844" s="313"/>
      <c r="AA844" s="313"/>
      <c r="AB844" s="313"/>
      <c r="AC844" s="313"/>
      <c r="AD844" s="313"/>
      <c r="AE844" s="313"/>
      <c r="AF844" s="313"/>
      <c r="AG844" s="313"/>
      <c r="AH844" s="313"/>
      <c r="AI844" s="313"/>
      <c r="AJ844" s="313"/>
      <c r="AK844" s="313"/>
      <c r="AL844" s="313"/>
      <c r="AM844" s="313"/>
      <c r="AN844" s="313"/>
      <c r="AO844" s="313"/>
      <c r="AP844" s="313"/>
    </row>
    <row r="845" spans="1:42" ht="14.45" customHeight="1" x14ac:dyDescent="0.25">
      <c r="A845" s="314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</row>
    <row r="846" spans="1:42" ht="14.45" customHeight="1" x14ac:dyDescent="0.25">
      <c r="A846" s="315" t="s">
        <v>762</v>
      </c>
      <c r="B846" s="316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  <c r="AN846" s="179"/>
      <c r="AO846" s="179"/>
      <c r="AP846" s="179"/>
    </row>
    <row r="847" spans="1:42" ht="14.45" customHeight="1" x14ac:dyDescent="0.25">
      <c r="A847" s="317" t="s">
        <v>763</v>
      </c>
      <c r="B847" s="318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</row>
    <row r="848" spans="1:42" ht="14.45" customHeight="1" x14ac:dyDescent="0.25">
      <c r="A848" s="319" t="s">
        <v>119</v>
      </c>
      <c r="B848" s="318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</row>
    <row r="849" spans="1:42" ht="14.45" customHeight="1" x14ac:dyDescent="0.25">
      <c r="A849" s="320" t="s">
        <v>764</v>
      </c>
      <c r="B849" s="318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</row>
    <row r="850" spans="1:42" ht="14.45" customHeight="1" x14ac:dyDescent="0.25">
      <c r="A850" s="321" t="s">
        <v>765</v>
      </c>
      <c r="B850" s="318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</row>
    <row r="851" spans="1:42" ht="14.45" customHeight="1" x14ac:dyDescent="0.25">
      <c r="A851" s="322" t="s">
        <v>766</v>
      </c>
      <c r="B851" s="318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</row>
    <row r="852" spans="1:42" ht="14.45" customHeight="1" x14ac:dyDescent="0.25">
      <c r="A852" s="323"/>
      <c r="B852" s="324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</row>
    <row r="853" spans="1:42" ht="14.45" customHeight="1" x14ac:dyDescent="0.25">
      <c r="A853" s="325" t="s">
        <v>767</v>
      </c>
      <c r="B853" s="326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  <c r="V853" s="327"/>
      <c r="W853" s="327"/>
      <c r="X853" s="327"/>
      <c r="Y853" s="327"/>
      <c r="Z853" s="327"/>
      <c r="AA853" s="327"/>
      <c r="AB853" s="327"/>
      <c r="AC853" s="327"/>
      <c r="AD853" s="327"/>
      <c r="AE853" s="327"/>
      <c r="AF853" s="327"/>
      <c r="AG853" s="327"/>
      <c r="AH853" s="327"/>
      <c r="AI853" s="327"/>
      <c r="AJ853" s="327"/>
      <c r="AK853" s="327"/>
      <c r="AL853" s="327"/>
      <c r="AM853" s="327"/>
      <c r="AN853" s="327"/>
      <c r="AO853" s="327"/>
      <c r="AP853" s="327"/>
    </row>
    <row r="854" spans="1:42" ht="14.45" customHeight="1" x14ac:dyDescent="0.25">
      <c r="A854" s="328" t="s">
        <v>768</v>
      </c>
      <c r="B854" s="329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</row>
    <row r="855" spans="1:42" ht="14.45" customHeight="1" x14ac:dyDescent="0.25">
      <c r="A855" s="328" t="s">
        <v>769</v>
      </c>
      <c r="B855" s="329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</row>
    <row r="856" spans="1:42" ht="14.45" customHeight="1" x14ac:dyDescent="0.25">
      <c r="A856" s="328" t="s">
        <v>770</v>
      </c>
      <c r="B856" s="329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</row>
    <row r="857" spans="1:42" ht="14.45" customHeight="1" x14ac:dyDescent="0.25">
      <c r="A857" s="330" t="s">
        <v>771</v>
      </c>
      <c r="B857" s="331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</row>
    <row r="858" spans="1:42" ht="14.45" customHeight="1" x14ac:dyDescent="0.25">
      <c r="A858" s="332"/>
      <c r="B858" s="33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</row>
    <row r="859" spans="1:42" ht="14.45" customHeight="1" x14ac:dyDescent="0.25">
      <c r="A859" s="334" t="s">
        <v>772</v>
      </c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</row>
    <row r="860" spans="1:42" ht="14.45" customHeight="1" x14ac:dyDescent="0.25">
      <c r="A860" s="335" t="s">
        <v>473</v>
      </c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</row>
    <row r="861" spans="1:42" ht="14.45" customHeight="1" x14ac:dyDescent="0.25">
      <c r="A861" s="335" t="s">
        <v>480</v>
      </c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</row>
    <row r="862" spans="1:42" ht="14.45" customHeight="1" x14ac:dyDescent="0.25">
      <c r="A862" s="335" t="s">
        <v>475</v>
      </c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</row>
    <row r="863" spans="1:42" ht="14.45" customHeight="1" x14ac:dyDescent="0.25">
      <c r="A863" s="335" t="s">
        <v>501</v>
      </c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</row>
    <row r="864" spans="1:42" ht="14.45" customHeight="1" x14ac:dyDescent="0.25">
      <c r="A864" s="335" t="s">
        <v>567</v>
      </c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</row>
    <row r="865" spans="1:42" ht="14.45" customHeight="1" x14ac:dyDescent="0.25">
      <c r="A865" s="335" t="s">
        <v>566</v>
      </c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</row>
    <row r="866" spans="1:42" ht="14.45" customHeight="1" x14ac:dyDescent="0.25">
      <c r="A866" s="336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</row>
    <row r="867" spans="1:42" ht="14.45" customHeight="1" x14ac:dyDescent="0.25">
      <c r="A867" s="337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</row>
    <row r="868" spans="1:42" ht="14.45" customHeight="1" x14ac:dyDescent="0.25">
      <c r="A868" s="338" t="s">
        <v>773</v>
      </c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</row>
    <row r="869" spans="1:42" ht="14.45" customHeight="1" x14ac:dyDescent="0.25">
      <c r="A869" s="339" t="s">
        <v>774</v>
      </c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</row>
    <row r="870" spans="1:42" ht="14.45" customHeight="1" x14ac:dyDescent="0.25">
      <c r="A870" s="339" t="s">
        <v>775</v>
      </c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</row>
    <row r="871" spans="1:42" ht="14.45" customHeight="1" x14ac:dyDescent="0.25">
      <c r="A871" s="339" t="s">
        <v>776</v>
      </c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</row>
    <row r="872" spans="1:42" ht="14.45" customHeight="1" x14ac:dyDescent="0.25">
      <c r="A872" s="339" t="s">
        <v>777</v>
      </c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</row>
    <row r="873" spans="1:42" ht="14.45" customHeight="1" x14ac:dyDescent="0.25">
      <c r="A873" s="339" t="s">
        <v>778</v>
      </c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</row>
    <row r="874" spans="1:42" ht="14.45" customHeight="1" x14ac:dyDescent="0.25">
      <c r="A874" s="339" t="s">
        <v>779</v>
      </c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</row>
    <row r="875" spans="1:42" ht="14.45" customHeight="1" x14ac:dyDescent="0.25">
      <c r="A875" s="336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</row>
    <row r="876" spans="1:42" ht="14.45" customHeight="1" x14ac:dyDescent="0.25">
      <c r="A876" s="31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  <c r="AF876" s="324"/>
      <c r="AG876" s="324"/>
      <c r="AH876" s="324"/>
      <c r="AI876" s="324"/>
      <c r="AJ876" s="324"/>
      <c r="AK876" s="324"/>
      <c r="AL876" s="324"/>
      <c r="AM876" s="324"/>
      <c r="AN876" s="324"/>
      <c r="AO876" s="324"/>
      <c r="AP876" s="324"/>
    </row>
    <row r="877" spans="1:42" ht="14.45" customHeight="1" x14ac:dyDescent="0.25">
      <c r="A877" s="340" t="s">
        <v>780</v>
      </c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</row>
    <row r="878" spans="1:42" ht="14.45" customHeight="1" x14ac:dyDescent="0.25">
      <c r="A878" s="342" t="s">
        <v>781</v>
      </c>
      <c r="B878" s="173"/>
      <c r="C878" s="343"/>
      <c r="D878" s="343"/>
      <c r="E878" s="343"/>
      <c r="F878" s="343"/>
      <c r="G878" s="343"/>
      <c r="H878" s="343"/>
      <c r="I878" s="343"/>
      <c r="J878" s="343"/>
      <c r="K878" s="343"/>
      <c r="L878" s="343"/>
      <c r="M878" s="343"/>
      <c r="N878" s="344">
        <v>43529</v>
      </c>
      <c r="O878" s="344">
        <v>43599</v>
      </c>
      <c r="P878" s="344">
        <v>43683</v>
      </c>
      <c r="Q878" s="344">
        <v>43774</v>
      </c>
      <c r="R878" s="344">
        <v>43886</v>
      </c>
      <c r="S878" s="343"/>
      <c r="T878" s="343"/>
      <c r="U878" s="343"/>
      <c r="V878" s="343"/>
      <c r="W878" s="343"/>
      <c r="X878" s="343"/>
      <c r="Y878" s="343"/>
      <c r="Z878" s="344">
        <v>44614</v>
      </c>
      <c r="AA878" s="344">
        <v>44684</v>
      </c>
      <c r="AB878" s="343"/>
      <c r="AC878" s="343"/>
      <c r="AD878" s="344">
        <v>44979</v>
      </c>
      <c r="AE878" s="344">
        <v>45049</v>
      </c>
      <c r="AF878" s="344">
        <v>45140</v>
      </c>
      <c r="AG878" s="344">
        <v>45231</v>
      </c>
      <c r="AH878" s="344">
        <v>45343</v>
      </c>
      <c r="AI878" s="344">
        <v>45418</v>
      </c>
      <c r="AJ878" s="344">
        <v>45504</v>
      </c>
      <c r="AK878" s="344">
        <v>45595</v>
      </c>
      <c r="AL878" s="344">
        <v>45708</v>
      </c>
      <c r="AM878" s="344">
        <v>45777</v>
      </c>
      <c r="AN878" s="344">
        <v>45862</v>
      </c>
      <c r="AO878" s="344">
        <v>45959</v>
      </c>
      <c r="AP878" s="344">
        <v>46071</v>
      </c>
    </row>
    <row r="879" spans="1:42" ht="14.45" customHeight="1" x14ac:dyDescent="0.25">
      <c r="A879" s="342" t="s">
        <v>782</v>
      </c>
      <c r="B879" s="173"/>
      <c r="C879" s="345"/>
      <c r="D879" s="345"/>
      <c r="E879" s="345"/>
      <c r="F879" s="345"/>
      <c r="G879" s="345"/>
      <c r="H879" s="345"/>
      <c r="I879" s="345"/>
      <c r="J879" s="345"/>
      <c r="K879" s="345"/>
      <c r="L879" s="345"/>
      <c r="M879" s="345"/>
      <c r="N879" s="345" t="s">
        <v>136</v>
      </c>
      <c r="O879" s="345" t="s">
        <v>137</v>
      </c>
      <c r="P879" s="345" t="s">
        <v>138</v>
      </c>
      <c r="Q879" s="345" t="s">
        <v>139</v>
      </c>
      <c r="R879" s="345" t="s">
        <v>140</v>
      </c>
      <c r="S879" s="345" t="s">
        <v>141</v>
      </c>
      <c r="T879" s="345" t="s">
        <v>142</v>
      </c>
      <c r="U879" s="345" t="s">
        <v>143</v>
      </c>
      <c r="V879" s="345" t="s">
        <v>144</v>
      </c>
      <c r="W879" s="345" t="s">
        <v>145</v>
      </c>
      <c r="X879" s="345" t="s">
        <v>146</v>
      </c>
      <c r="Y879" s="345" t="s">
        <v>147</v>
      </c>
      <c r="Z879" s="345" t="s">
        <v>148</v>
      </c>
      <c r="AA879" s="345" t="s">
        <v>149</v>
      </c>
      <c r="AB879" s="345" t="s">
        <v>150</v>
      </c>
      <c r="AC879" s="345" t="s">
        <v>151</v>
      </c>
      <c r="AD879" s="345" t="s">
        <v>152</v>
      </c>
      <c r="AE879" s="345" t="s">
        <v>153</v>
      </c>
      <c r="AF879" s="345" t="s">
        <v>154</v>
      </c>
      <c r="AG879" s="345" t="s">
        <v>155</v>
      </c>
      <c r="AH879" s="345" t="s">
        <v>156</v>
      </c>
      <c r="AI879" s="345" t="s">
        <v>157</v>
      </c>
      <c r="AJ879" s="345" t="s">
        <v>158</v>
      </c>
      <c r="AK879" s="345" t="s">
        <v>159</v>
      </c>
      <c r="AL879" s="345" t="s">
        <v>160</v>
      </c>
      <c r="AM879" s="345" t="s">
        <v>161</v>
      </c>
      <c r="AN879" s="345" t="s">
        <v>162</v>
      </c>
      <c r="AO879" s="345" t="s">
        <v>163</v>
      </c>
      <c r="AP879" s="345" t="s">
        <v>783</v>
      </c>
    </row>
    <row r="880" spans="1:42" ht="14.45" customHeight="1" x14ac:dyDescent="0.25">
      <c r="A880" s="34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  <c r="AA880" s="176"/>
      <c r="AB880" s="176"/>
      <c r="AC880" s="176"/>
      <c r="AD880" s="176"/>
      <c r="AE880" s="176"/>
      <c r="AF880" s="176"/>
      <c r="AG880" s="176"/>
      <c r="AH880" s="176"/>
      <c r="AI880" s="176"/>
      <c r="AJ880" s="176"/>
      <c r="AK880" s="176"/>
      <c r="AL880" s="176"/>
      <c r="AM880" s="176"/>
      <c r="AN880" s="176"/>
      <c r="AO880" s="176"/>
      <c r="AP880" s="176"/>
    </row>
    <row r="881" spans="1:42" ht="14.45" customHeight="1" x14ac:dyDescent="0.25">
      <c r="A881" s="31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  <c r="AF881" s="324"/>
      <c r="AG881" s="324"/>
      <c r="AH881" s="324"/>
      <c r="AI881" s="324"/>
      <c r="AJ881" s="324"/>
      <c r="AK881" s="324"/>
      <c r="AL881" s="324"/>
      <c r="AM881" s="324"/>
      <c r="AN881" s="324"/>
      <c r="AO881" s="324"/>
      <c r="AP881" s="324"/>
    </row>
    <row r="882" spans="1:42" ht="14.45" customHeight="1" x14ac:dyDescent="0.25">
      <c r="A882" s="340" t="s">
        <v>784</v>
      </c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</row>
    <row r="883" spans="1:42" ht="14.45" customHeight="1" x14ac:dyDescent="0.25">
      <c r="A883" s="342" t="s">
        <v>781</v>
      </c>
      <c r="B883" s="173"/>
      <c r="C883" s="343"/>
      <c r="D883" s="343"/>
      <c r="E883" s="343"/>
      <c r="F883" s="343"/>
      <c r="G883" s="343"/>
      <c r="H883" s="343"/>
      <c r="I883" s="343"/>
      <c r="J883" s="343"/>
      <c r="K883" s="343"/>
      <c r="L883" s="343"/>
      <c r="M883" s="343"/>
      <c r="N883" s="343">
        <v>43529</v>
      </c>
      <c r="O883" s="343">
        <v>43599</v>
      </c>
      <c r="P883" s="343">
        <v>43683</v>
      </c>
      <c r="Q883" s="343">
        <v>43774</v>
      </c>
      <c r="R883" s="343">
        <v>43886</v>
      </c>
      <c r="S883" s="343"/>
      <c r="T883" s="343"/>
      <c r="U883" s="343"/>
      <c r="V883" s="343"/>
      <c r="W883" s="343"/>
      <c r="X883" s="343"/>
      <c r="Y883" s="343"/>
      <c r="Z883" s="343">
        <v>44614</v>
      </c>
      <c r="AA883" s="343">
        <v>44684</v>
      </c>
      <c r="AB883" s="343"/>
      <c r="AC883" s="343"/>
      <c r="AD883" s="343">
        <v>44979</v>
      </c>
      <c r="AE883" s="343">
        <v>45049</v>
      </c>
      <c r="AF883" s="343">
        <v>45140</v>
      </c>
      <c r="AG883" s="343">
        <v>45231</v>
      </c>
      <c r="AH883" s="343">
        <v>45343</v>
      </c>
      <c r="AI883" s="343">
        <v>45418</v>
      </c>
      <c r="AJ883" s="343">
        <v>45504</v>
      </c>
      <c r="AK883" s="343">
        <v>45595</v>
      </c>
      <c r="AL883" s="343">
        <v>45708</v>
      </c>
      <c r="AM883" s="343">
        <v>45777</v>
      </c>
      <c r="AN883" s="343">
        <v>45862</v>
      </c>
      <c r="AO883" s="343">
        <v>45959</v>
      </c>
      <c r="AP883" s="343">
        <v>46071</v>
      </c>
    </row>
    <row r="884" spans="1:42" ht="14.45" customHeight="1" x14ac:dyDescent="0.25">
      <c r="A884" s="342" t="s">
        <v>785</v>
      </c>
      <c r="B884" s="173"/>
      <c r="C884" s="345"/>
      <c r="D884" s="345"/>
      <c r="E884" s="345"/>
      <c r="F884" s="345"/>
      <c r="G884" s="345"/>
      <c r="H884" s="345"/>
      <c r="I884" s="345"/>
      <c r="J884" s="345"/>
      <c r="K884" s="345"/>
      <c r="L884" s="345"/>
      <c r="M884" s="345"/>
      <c r="N884" s="345"/>
      <c r="O884" s="345"/>
      <c r="P884" s="345"/>
      <c r="Q884" s="345" t="s">
        <v>786</v>
      </c>
      <c r="R884" s="345"/>
      <c r="S884" s="345"/>
      <c r="T884" s="345"/>
      <c r="U884" s="345" t="s">
        <v>787</v>
      </c>
      <c r="V884" s="345"/>
      <c r="W884" s="345"/>
      <c r="X884" s="345"/>
      <c r="Y884" s="345" t="s">
        <v>788</v>
      </c>
      <c r="Z884" s="345"/>
      <c r="AA884" s="345"/>
      <c r="AB884" s="345"/>
      <c r="AC884" s="345" t="s">
        <v>789</v>
      </c>
      <c r="AD884" s="345"/>
      <c r="AE884" s="345"/>
      <c r="AF884" s="345"/>
      <c r="AG884" s="345" t="s">
        <v>790</v>
      </c>
      <c r="AH884" s="345"/>
      <c r="AI884" s="345"/>
      <c r="AJ884" s="345"/>
      <c r="AK884" s="345" t="s">
        <v>791</v>
      </c>
      <c r="AL884" s="345"/>
      <c r="AM884" s="345"/>
      <c r="AN884" s="345"/>
      <c r="AO884" s="345" t="s">
        <v>792</v>
      </c>
      <c r="AP884" s="345"/>
    </row>
    <row r="885" spans="1:42" ht="14.45" customHeight="1" x14ac:dyDescent="0.25">
      <c r="A885" s="342" t="s">
        <v>782</v>
      </c>
      <c r="B885" s="173"/>
      <c r="C885" s="345"/>
      <c r="D885" s="345"/>
      <c r="E885" s="345"/>
      <c r="F885" s="345"/>
      <c r="G885" s="345"/>
      <c r="H885" s="345"/>
      <c r="I885" s="345"/>
      <c r="J885" s="345"/>
      <c r="K885" s="345"/>
      <c r="L885" s="345"/>
      <c r="M885" s="345"/>
      <c r="N885" s="345" t="s">
        <v>786</v>
      </c>
      <c r="O885" s="345" t="s">
        <v>786</v>
      </c>
      <c r="P885" s="345" t="s">
        <v>786</v>
      </c>
      <c r="Q885" s="345" t="s">
        <v>786</v>
      </c>
      <c r="R885" s="345" t="s">
        <v>787</v>
      </c>
      <c r="S885" s="345" t="s">
        <v>787</v>
      </c>
      <c r="T885" s="345" t="s">
        <v>787</v>
      </c>
      <c r="U885" s="345" t="s">
        <v>787</v>
      </c>
      <c r="V885" s="345" t="s">
        <v>788</v>
      </c>
      <c r="W885" s="345" t="s">
        <v>788</v>
      </c>
      <c r="X885" s="345" t="s">
        <v>788</v>
      </c>
      <c r="Y885" s="345" t="s">
        <v>788</v>
      </c>
      <c r="Z885" s="345" t="s">
        <v>789</v>
      </c>
      <c r="AA885" s="345" t="s">
        <v>789</v>
      </c>
      <c r="AB885" s="345" t="s">
        <v>789</v>
      </c>
      <c r="AC885" s="345" t="s">
        <v>789</v>
      </c>
      <c r="AD885" s="345" t="s">
        <v>790</v>
      </c>
      <c r="AE885" s="345" t="s">
        <v>790</v>
      </c>
      <c r="AF885" s="345" t="s">
        <v>790</v>
      </c>
      <c r="AG885" s="345" t="s">
        <v>790</v>
      </c>
      <c r="AH885" s="345" t="s">
        <v>791</v>
      </c>
      <c r="AI885" s="345" t="s">
        <v>791</v>
      </c>
      <c r="AJ885" s="345" t="s">
        <v>791</v>
      </c>
      <c r="AK885" s="345" t="s">
        <v>791</v>
      </c>
      <c r="AL885" s="345" t="s">
        <v>792</v>
      </c>
      <c r="AM885" s="345" t="s">
        <v>792</v>
      </c>
      <c r="AN885" s="345" t="s">
        <v>792</v>
      </c>
      <c r="AO885" s="345" t="s">
        <v>792</v>
      </c>
      <c r="AP885" s="345" t="s">
        <v>793</v>
      </c>
    </row>
    <row r="886" spans="1:42" ht="14.45" customHeight="1" x14ac:dyDescent="0.25">
      <c r="A886" s="34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  <c r="AF886" s="176"/>
      <c r="AG886" s="176"/>
      <c r="AH886" s="176"/>
      <c r="AI886" s="176"/>
      <c r="AJ886" s="176"/>
      <c r="AK886" s="176"/>
      <c r="AL886" s="176"/>
      <c r="AM886" s="176"/>
      <c r="AN886" s="176"/>
      <c r="AO886" s="176"/>
      <c r="AP886" s="176"/>
    </row>
    <row r="887" spans="1:42" ht="14.45" customHeight="1" x14ac:dyDescent="0.25">
      <c r="A887" s="31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  <c r="AF887" s="324"/>
      <c r="AG887" s="324"/>
      <c r="AH887" s="324"/>
      <c r="AI887" s="324"/>
      <c r="AJ887" s="324"/>
      <c r="AK887" s="324"/>
      <c r="AL887" s="324"/>
      <c r="AM887" s="324"/>
      <c r="AN887" s="324"/>
      <c r="AO887" s="324"/>
      <c r="AP887" s="324"/>
    </row>
    <row r="888" spans="1:42" ht="14.45" customHeight="1" x14ac:dyDescent="0.25">
      <c r="A888" s="347" t="s">
        <v>794</v>
      </c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  <c r="AN888" s="159"/>
      <c r="AO888" s="159"/>
      <c r="AP888" s="159"/>
    </row>
    <row r="889" spans="1:42" ht="14.45" customHeight="1" x14ac:dyDescent="0.25">
      <c r="A889" s="348" t="s">
        <v>795</v>
      </c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</row>
    <row r="890" spans="1:42" ht="14.45" customHeight="1" x14ac:dyDescent="0.25">
      <c r="A890" s="348" t="s">
        <v>796</v>
      </c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</row>
    <row r="891" spans="1:42" ht="14.45" customHeight="1" x14ac:dyDescent="0.25">
      <c r="A891" s="328" t="s">
        <v>379</v>
      </c>
      <c r="B891" s="63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</row>
    <row r="892" spans="1:42" ht="14.45" customHeight="1" x14ac:dyDescent="0.25">
      <c r="A892" s="328" t="s">
        <v>474</v>
      </c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</row>
    <row r="893" spans="1:42" ht="14.45" customHeight="1" x14ac:dyDescent="0.25">
      <c r="A893" s="328" t="s">
        <v>481</v>
      </c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</row>
    <row r="894" spans="1:42" ht="14.45" customHeight="1" x14ac:dyDescent="0.25">
      <c r="A894" s="328" t="s">
        <v>476</v>
      </c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</row>
    <row r="895" spans="1:42" ht="14.45" customHeight="1" x14ac:dyDescent="0.25">
      <c r="A895" s="328" t="s">
        <v>502</v>
      </c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</row>
    <row r="896" spans="1:42" ht="14.45" customHeight="1" x14ac:dyDescent="0.25">
      <c r="A896" s="328" t="s">
        <v>534</v>
      </c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</row>
    <row r="897" spans="1:42" ht="14.45" customHeight="1" x14ac:dyDescent="0.25">
      <c r="A897" s="328" t="s">
        <v>535</v>
      </c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</row>
    <row r="898" spans="1:42" ht="14.45" customHeight="1" x14ac:dyDescent="0.25">
      <c r="A898" s="330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</row>
    <row r="899" spans="1:42" ht="14.45" customHeight="1" x14ac:dyDescent="0.25">
      <c r="A899" s="323"/>
      <c r="B899" s="349"/>
      <c r="C899" s="349"/>
      <c r="D899" s="349"/>
      <c r="E899" s="349"/>
      <c r="F899" s="349"/>
      <c r="G899" s="349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  <c r="R899" s="349"/>
      <c r="S899" s="349"/>
      <c r="T899" s="349"/>
      <c r="U899" s="349"/>
      <c r="V899" s="349"/>
      <c r="W899" s="349"/>
      <c r="X899" s="349"/>
      <c r="Y899" s="349"/>
      <c r="Z899" s="349"/>
      <c r="AA899" s="349"/>
      <c r="AB899" s="349"/>
      <c r="AC899" s="349"/>
      <c r="AD899" s="349"/>
      <c r="AE899" s="349"/>
      <c r="AF899" s="349"/>
      <c r="AG899" s="349"/>
      <c r="AH899" s="349"/>
      <c r="AI899" s="349"/>
      <c r="AJ899" s="349"/>
      <c r="AK899" s="349"/>
      <c r="AL899" s="349"/>
      <c r="AM899" s="349"/>
      <c r="AN899" s="349"/>
      <c r="AO899" s="349"/>
      <c r="AP899" s="349"/>
    </row>
    <row r="900" spans="1:42" ht="14.45" customHeight="1" x14ac:dyDescent="0.25">
      <c r="A900" s="350" t="s">
        <v>797</v>
      </c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  <c r="AD900" s="254"/>
      <c r="AE900" s="254"/>
      <c r="AF900" s="254"/>
      <c r="AG900" s="254"/>
      <c r="AH900" s="254"/>
      <c r="AI900" s="254"/>
      <c r="AJ900" s="254"/>
      <c r="AK900" s="254"/>
      <c r="AL900" s="254"/>
      <c r="AM900" s="254"/>
      <c r="AN900" s="254"/>
      <c r="AO900" s="254"/>
      <c r="AP900" s="254"/>
    </row>
    <row r="901" spans="1:42" ht="14.45" customHeight="1" x14ac:dyDescent="0.25">
      <c r="A901" s="351" t="s">
        <v>798</v>
      </c>
      <c r="B901" s="63"/>
      <c r="C901" s="352">
        <v>42373</v>
      </c>
      <c r="D901" s="352">
        <v>42464</v>
      </c>
      <c r="E901" s="352">
        <v>42555</v>
      </c>
      <c r="F901" s="352">
        <v>42646</v>
      </c>
      <c r="G901" s="352">
        <v>42737</v>
      </c>
      <c r="H901" s="352">
        <v>42828</v>
      </c>
      <c r="I901" s="352">
        <v>42919</v>
      </c>
      <c r="J901" s="352">
        <v>43010</v>
      </c>
      <c r="K901" s="352">
        <v>43101</v>
      </c>
      <c r="L901" s="352">
        <v>43192</v>
      </c>
      <c r="M901" s="352">
        <v>43283</v>
      </c>
      <c r="N901" s="352">
        <v>43374</v>
      </c>
      <c r="O901" s="352">
        <v>43465</v>
      </c>
      <c r="P901" s="352">
        <v>43556</v>
      </c>
      <c r="Q901" s="352">
        <v>43647</v>
      </c>
      <c r="R901" s="352">
        <v>43738</v>
      </c>
      <c r="S901" s="352">
        <v>43829</v>
      </c>
      <c r="T901" s="352">
        <v>43920</v>
      </c>
      <c r="U901" s="352">
        <v>44011</v>
      </c>
      <c r="V901" s="352">
        <v>44102</v>
      </c>
      <c r="W901" s="352">
        <v>44197</v>
      </c>
      <c r="X901" s="352">
        <v>44289</v>
      </c>
      <c r="Y901" s="352">
        <v>44380</v>
      </c>
      <c r="Z901" s="352">
        <v>44471</v>
      </c>
      <c r="AA901" s="352">
        <v>44562</v>
      </c>
      <c r="AB901" s="352">
        <v>44653</v>
      </c>
      <c r="AC901" s="352">
        <v>44745</v>
      </c>
      <c r="AD901" s="352">
        <v>44835</v>
      </c>
      <c r="AE901" s="352">
        <v>44927</v>
      </c>
      <c r="AF901" s="352">
        <v>45017</v>
      </c>
      <c r="AG901" s="352">
        <v>45108</v>
      </c>
      <c r="AH901" s="352">
        <v>45199</v>
      </c>
      <c r="AI901" s="352">
        <v>45292</v>
      </c>
      <c r="AJ901" s="352">
        <v>45381</v>
      </c>
      <c r="AK901" s="352">
        <v>45472</v>
      </c>
      <c r="AL901" s="352">
        <v>45563</v>
      </c>
      <c r="AM901" s="352">
        <v>45658</v>
      </c>
      <c r="AN901" s="352">
        <v>45745</v>
      </c>
      <c r="AO901" s="352">
        <v>45836</v>
      </c>
      <c r="AP901" s="352">
        <v>45927</v>
      </c>
    </row>
    <row r="902" spans="1:42" ht="14.45" customHeight="1" x14ac:dyDescent="0.25">
      <c r="A902" s="351" t="s">
        <v>799</v>
      </c>
      <c r="B902" s="63"/>
      <c r="C902" s="352" t="b">
        <v>1</v>
      </c>
      <c r="D902" s="352" t="b">
        <v>1</v>
      </c>
      <c r="E902" s="352" t="b">
        <v>1</v>
      </c>
      <c r="F902" s="352" t="b">
        <v>1</v>
      </c>
      <c r="G902" s="352" t="b">
        <v>1</v>
      </c>
      <c r="H902" s="352" t="b">
        <v>1</v>
      </c>
      <c r="I902" s="352" t="b">
        <v>1</v>
      </c>
      <c r="J902" s="352" t="b">
        <v>1</v>
      </c>
      <c r="K902" s="352" t="b">
        <v>1</v>
      </c>
      <c r="L902" s="352" t="b">
        <v>1</v>
      </c>
      <c r="M902" s="352" t="b">
        <v>1</v>
      </c>
      <c r="N902" s="352" t="b">
        <v>1</v>
      </c>
      <c r="O902" s="352" t="b">
        <v>1</v>
      </c>
      <c r="P902" s="352" t="b">
        <v>1</v>
      </c>
      <c r="Q902" s="352" t="b">
        <v>1</v>
      </c>
      <c r="R902" s="352" t="b">
        <v>1</v>
      </c>
      <c r="S902" s="352" t="b">
        <v>1</v>
      </c>
      <c r="T902" s="352" t="b">
        <v>1</v>
      </c>
      <c r="U902" s="352" t="b">
        <v>1</v>
      </c>
      <c r="V902" s="352" t="b">
        <v>1</v>
      </c>
      <c r="W902" s="352" t="b">
        <v>1</v>
      </c>
      <c r="X902" s="352" t="b">
        <v>1</v>
      </c>
      <c r="Y902" s="352" t="b">
        <v>1</v>
      </c>
      <c r="Z902" s="352" t="b">
        <v>1</v>
      </c>
      <c r="AA902" s="352" t="b">
        <v>1</v>
      </c>
      <c r="AB902" s="352" t="b">
        <v>1</v>
      </c>
      <c r="AC902" s="352" t="b">
        <v>1</v>
      </c>
      <c r="AD902" s="352" t="b">
        <v>1</v>
      </c>
      <c r="AE902" s="352" t="b">
        <v>1</v>
      </c>
      <c r="AF902" s="352" t="b">
        <v>1</v>
      </c>
      <c r="AG902" s="352" t="b">
        <v>1</v>
      </c>
      <c r="AH902" s="352" t="b">
        <v>1</v>
      </c>
      <c r="AI902" s="352" t="b">
        <v>1</v>
      </c>
      <c r="AJ902" s="352" t="b">
        <v>1</v>
      </c>
      <c r="AK902" s="352" t="b">
        <v>1</v>
      </c>
      <c r="AL902" s="352" t="b">
        <v>1</v>
      </c>
      <c r="AM902" s="352" t="b">
        <v>1</v>
      </c>
      <c r="AN902" s="352" t="b">
        <v>1</v>
      </c>
      <c r="AO902" s="352" t="b">
        <v>1</v>
      </c>
      <c r="AP902" s="352" t="b">
        <v>1</v>
      </c>
    </row>
    <row r="903" spans="1:42" ht="14.45" customHeight="1" x14ac:dyDescent="0.25">
      <c r="A903" s="353" t="s">
        <v>800</v>
      </c>
      <c r="B903" s="354"/>
      <c r="C903" s="354">
        <v>17.559982999999999</v>
      </c>
      <c r="D903" s="354">
        <v>16.295313</v>
      </c>
      <c r="E903" s="354">
        <v>15.418044999999999</v>
      </c>
      <c r="F903" s="354">
        <v>17.475086000000001</v>
      </c>
      <c r="G903" s="354">
        <v>20.103960000000001</v>
      </c>
      <c r="H903" s="354">
        <v>23.309546999999998</v>
      </c>
      <c r="I903" s="354">
        <v>23.814049000000001</v>
      </c>
      <c r="J903" s="354">
        <v>22.201985000000001</v>
      </c>
      <c r="K903" s="354">
        <v>20.617243999999999</v>
      </c>
      <c r="L903" s="354">
        <v>17.346277000000001</v>
      </c>
      <c r="M903" s="354">
        <v>18.224519999999998</v>
      </c>
      <c r="N903" s="354">
        <v>21.365703</v>
      </c>
      <c r="O903" s="354">
        <v>28.08719</v>
      </c>
      <c r="P903" s="354">
        <v>39.019365000000001</v>
      </c>
      <c r="Q903" s="354">
        <v>35.999184</v>
      </c>
      <c r="R903" s="354">
        <v>29.977364000000001</v>
      </c>
      <c r="S903" s="354">
        <v>28.201360999999999</v>
      </c>
      <c r="T903" s="354">
        <v>24.704978000000001</v>
      </c>
      <c r="U903" s="354">
        <v>27.597325000000001</v>
      </c>
      <c r="V903" s="354">
        <v>26.596128</v>
      </c>
      <c r="W903" s="354">
        <v>30.172529000000001</v>
      </c>
      <c r="X903" s="354">
        <v>44.005834</v>
      </c>
      <c r="Y903" s="354">
        <v>40.737794000000001</v>
      </c>
      <c r="Z903" s="354">
        <v>60.422148999999997</v>
      </c>
      <c r="AA903" s="354">
        <v>61.064242</v>
      </c>
      <c r="AB903" s="354">
        <v>62.040067999999998</v>
      </c>
      <c r="AC903" s="354">
        <v>56.961871000000002</v>
      </c>
      <c r="AD903" s="354">
        <v>52.833153000000003</v>
      </c>
      <c r="AE903" s="354">
        <v>56.875314000000003</v>
      </c>
      <c r="AF903" s="354">
        <v>67.955673000000004</v>
      </c>
      <c r="AG903" s="354">
        <v>72.802287000000007</v>
      </c>
      <c r="AH903" s="354">
        <v>93.162581000000003</v>
      </c>
      <c r="AI903" s="354">
        <v>91.784284999999997</v>
      </c>
      <c r="AJ903" s="354">
        <v>108.5</v>
      </c>
      <c r="AK903" s="354">
        <v>135.59899999999999</v>
      </c>
      <c r="AL903" s="354">
        <v>134.49600000000001</v>
      </c>
      <c r="AM903" s="354">
        <v>145.846</v>
      </c>
      <c r="AN903" s="354">
        <v>141.6</v>
      </c>
      <c r="AO903" s="354">
        <v>124.15</v>
      </c>
      <c r="AP903" s="354">
        <v>168.08</v>
      </c>
    </row>
    <row r="904" spans="1:42" ht="14.45" customHeight="1" x14ac:dyDescent="0.25">
      <c r="A904" s="355" t="s">
        <v>801</v>
      </c>
      <c r="B904" s="354"/>
      <c r="C904" s="356">
        <v>17.559982999999999</v>
      </c>
      <c r="D904" s="356">
        <v>16.295313</v>
      </c>
      <c r="E904" s="356">
        <v>15.418044999999999</v>
      </c>
      <c r="F904" s="356">
        <v>17.475086000000001</v>
      </c>
      <c r="G904" s="356">
        <v>20.103960000000001</v>
      </c>
      <c r="H904" s="356">
        <v>23.309546999999998</v>
      </c>
      <c r="I904" s="356">
        <v>23.814049000000001</v>
      </c>
      <c r="J904" s="356">
        <v>22.201985000000001</v>
      </c>
      <c r="K904" s="356">
        <v>20.617243999999999</v>
      </c>
      <c r="L904" s="356">
        <v>17.346277000000001</v>
      </c>
      <c r="M904" s="356">
        <v>18.224519999999998</v>
      </c>
      <c r="N904" s="356">
        <v>21.365703</v>
      </c>
      <c r="O904" s="356">
        <v>28.08719</v>
      </c>
      <c r="P904" s="356">
        <v>39.019365000000001</v>
      </c>
      <c r="Q904" s="356">
        <v>35.999184</v>
      </c>
      <c r="R904" s="356">
        <v>29.977364000000001</v>
      </c>
      <c r="S904" s="356">
        <v>28.201360999999999</v>
      </c>
      <c r="T904" s="356">
        <v>24.704978000000001</v>
      </c>
      <c r="U904" s="356">
        <v>27.597325000000001</v>
      </c>
      <c r="V904" s="356">
        <v>26.596128</v>
      </c>
      <c r="W904" s="356">
        <v>30.172529000000001</v>
      </c>
      <c r="X904" s="356">
        <v>44.005834</v>
      </c>
      <c r="Y904" s="356">
        <v>40.737794000000001</v>
      </c>
      <c r="Z904" s="356">
        <v>60.422148999999997</v>
      </c>
      <c r="AA904" s="356">
        <v>61.064242</v>
      </c>
      <c r="AB904" s="356">
        <v>62.040067999999998</v>
      </c>
      <c r="AC904" s="356">
        <v>56.961871000000002</v>
      </c>
      <c r="AD904" s="356">
        <v>52.833153000000003</v>
      </c>
      <c r="AE904" s="356">
        <v>56.875314000000003</v>
      </c>
      <c r="AF904" s="356">
        <v>67.955673000000004</v>
      </c>
      <c r="AG904" s="356">
        <v>72.802287000000007</v>
      </c>
      <c r="AH904" s="356">
        <v>93.162581000000003</v>
      </c>
      <c r="AI904" s="356">
        <v>91.784284999999997</v>
      </c>
      <c r="AJ904" s="356">
        <v>108.5</v>
      </c>
      <c r="AK904" s="356">
        <v>135.59899999999999</v>
      </c>
      <c r="AL904" s="356">
        <v>134.49600000000001</v>
      </c>
      <c r="AM904" s="356">
        <v>145.846</v>
      </c>
      <c r="AN904" s="356">
        <v>141.6</v>
      </c>
      <c r="AO904" s="356">
        <v>124.15</v>
      </c>
      <c r="AP904" s="356">
        <v>168.08</v>
      </c>
    </row>
    <row r="905" spans="1:42" ht="14.45" customHeight="1" x14ac:dyDescent="0.25">
      <c r="A905" s="355" t="s">
        <v>123</v>
      </c>
      <c r="B905" s="354"/>
      <c r="C905" s="354">
        <v>17.995000000000001</v>
      </c>
      <c r="D905" s="354">
        <v>16.699000000000002</v>
      </c>
      <c r="E905" s="354">
        <v>15.8</v>
      </c>
      <c r="F905" s="354">
        <v>17.908000000000001</v>
      </c>
      <c r="G905" s="354">
        <v>20.602</v>
      </c>
      <c r="H905" s="354">
        <v>23.887</v>
      </c>
      <c r="I905" s="354">
        <v>24.404</v>
      </c>
      <c r="J905" s="354">
        <v>22.751999999999999</v>
      </c>
      <c r="K905" s="354">
        <v>21.128</v>
      </c>
      <c r="L905" s="354">
        <v>17.776</v>
      </c>
      <c r="M905" s="354">
        <v>18.675999999999998</v>
      </c>
      <c r="N905" s="354">
        <v>21.895</v>
      </c>
      <c r="O905" s="354">
        <v>28.783000000000001</v>
      </c>
      <c r="P905" s="354">
        <v>39.985999999999997</v>
      </c>
      <c r="Q905" s="354">
        <v>36.891000000000012</v>
      </c>
      <c r="R905" s="354">
        <v>30.72</v>
      </c>
      <c r="S905" s="354">
        <v>28.9</v>
      </c>
      <c r="T905" s="354">
        <v>25.317</v>
      </c>
      <c r="U905" s="354">
        <v>28.280999999999999</v>
      </c>
      <c r="V905" s="354">
        <v>27.254999999999999</v>
      </c>
      <c r="W905" s="354">
        <v>30.92</v>
      </c>
      <c r="X905" s="354">
        <v>45.095999999999997</v>
      </c>
      <c r="Y905" s="354">
        <v>41.747</v>
      </c>
      <c r="Z905" s="354">
        <v>61.918999999999997</v>
      </c>
      <c r="AA905" s="354">
        <v>62.576999999999998</v>
      </c>
      <c r="AB905" s="354">
        <v>63.576999999999998</v>
      </c>
      <c r="AC905" s="354">
        <v>58.372999999999998</v>
      </c>
      <c r="AD905" s="354">
        <v>54.142000000000003</v>
      </c>
      <c r="AE905" s="354">
        <v>57.936</v>
      </c>
      <c r="AF905" s="354">
        <v>69.222999999999999</v>
      </c>
      <c r="AG905" s="354">
        <v>74.16</v>
      </c>
      <c r="AH905" s="354">
        <v>94.9</v>
      </c>
      <c r="AI905" s="354">
        <v>93.496000000000009</v>
      </c>
      <c r="AJ905" s="354">
        <v>108.5</v>
      </c>
      <c r="AK905" s="354">
        <v>135.59899999999999</v>
      </c>
      <c r="AL905" s="354">
        <v>134.49600000000001</v>
      </c>
      <c r="AM905" s="354">
        <v>145.846</v>
      </c>
      <c r="AN905" s="354">
        <v>141.6</v>
      </c>
      <c r="AO905" s="354">
        <v>124.15</v>
      </c>
      <c r="AP905" s="354">
        <v>168.08</v>
      </c>
    </row>
    <row r="906" spans="1:42" ht="14.45" customHeight="1" x14ac:dyDescent="0.25">
      <c r="A906" s="355" t="s">
        <v>802</v>
      </c>
      <c r="B906" s="354"/>
      <c r="C906" s="354" t="s">
        <v>803</v>
      </c>
      <c r="D906" s="354" t="s">
        <v>803</v>
      </c>
      <c r="E906" s="354" t="s">
        <v>803</v>
      </c>
      <c r="F906" s="354" t="s">
        <v>803</v>
      </c>
      <c r="G906" s="354" t="s">
        <v>803</v>
      </c>
      <c r="H906" s="354" t="s">
        <v>803</v>
      </c>
      <c r="I906" s="354" t="s">
        <v>803</v>
      </c>
      <c r="J906" s="354" t="s">
        <v>803</v>
      </c>
      <c r="K906" s="354" t="s">
        <v>803</v>
      </c>
      <c r="L906" s="354" t="s">
        <v>803</v>
      </c>
      <c r="M906" s="354" t="s">
        <v>803</v>
      </c>
      <c r="N906" s="354" t="s">
        <v>803</v>
      </c>
      <c r="O906" s="354" t="s">
        <v>803</v>
      </c>
      <c r="P906" s="354" t="s">
        <v>803</v>
      </c>
      <c r="Q906" s="354" t="s">
        <v>803</v>
      </c>
      <c r="R906" s="354" t="s">
        <v>803</v>
      </c>
      <c r="S906" s="354" t="s">
        <v>803</v>
      </c>
      <c r="T906" s="354" t="s">
        <v>803</v>
      </c>
      <c r="U906" s="354" t="s">
        <v>803</v>
      </c>
      <c r="V906" s="354" t="s">
        <v>803</v>
      </c>
      <c r="W906" s="354" t="s">
        <v>803</v>
      </c>
      <c r="X906" s="354" t="s">
        <v>803</v>
      </c>
      <c r="Y906" s="354" t="s">
        <v>803</v>
      </c>
      <c r="Z906" s="354" t="s">
        <v>803</v>
      </c>
      <c r="AA906" s="354" t="s">
        <v>803</v>
      </c>
      <c r="AB906" s="354" t="s">
        <v>803</v>
      </c>
      <c r="AC906" s="354" t="s">
        <v>803</v>
      </c>
      <c r="AD906" s="354" t="s">
        <v>803</v>
      </c>
      <c r="AE906" s="354" t="s">
        <v>803</v>
      </c>
      <c r="AF906" s="354" t="s">
        <v>803</v>
      </c>
      <c r="AG906" s="354" t="s">
        <v>803</v>
      </c>
      <c r="AH906" s="354" t="s">
        <v>803</v>
      </c>
      <c r="AI906" s="354" t="s">
        <v>803</v>
      </c>
      <c r="AJ906" s="354" t="s">
        <v>803</v>
      </c>
      <c r="AK906" s="354" t="s">
        <v>803</v>
      </c>
      <c r="AL906" s="354" t="s">
        <v>803</v>
      </c>
      <c r="AM906" s="354" t="s">
        <v>803</v>
      </c>
      <c r="AN906" s="354" t="s">
        <v>803</v>
      </c>
      <c r="AO906" s="354" t="s">
        <v>803</v>
      </c>
      <c r="AP906" s="354" t="s">
        <v>803</v>
      </c>
    </row>
    <row r="907" spans="1:42" ht="14.45" customHeight="1" x14ac:dyDescent="0.25">
      <c r="A907" s="355" t="s">
        <v>804</v>
      </c>
      <c r="B907" s="354"/>
      <c r="C907" s="354" t="s">
        <v>803</v>
      </c>
      <c r="D907" s="354" t="s">
        <v>803</v>
      </c>
      <c r="E907" s="354" t="s">
        <v>803</v>
      </c>
      <c r="F907" s="354" t="s">
        <v>803</v>
      </c>
      <c r="G907" s="354" t="s">
        <v>803</v>
      </c>
      <c r="H907" s="354" t="s">
        <v>803</v>
      </c>
      <c r="I907" s="354" t="s">
        <v>803</v>
      </c>
      <c r="J907" s="354" t="s">
        <v>803</v>
      </c>
      <c r="K907" s="354" t="s">
        <v>803</v>
      </c>
      <c r="L907" s="354" t="s">
        <v>803</v>
      </c>
      <c r="M907" s="354" t="s">
        <v>803</v>
      </c>
      <c r="N907" s="354" t="s">
        <v>803</v>
      </c>
      <c r="O907" s="354" t="s">
        <v>803</v>
      </c>
      <c r="P907" s="354" t="s">
        <v>803</v>
      </c>
      <c r="Q907" s="354" t="s">
        <v>803</v>
      </c>
      <c r="R907" s="354" t="s">
        <v>803</v>
      </c>
      <c r="S907" s="354" t="s">
        <v>803</v>
      </c>
      <c r="T907" s="354" t="s">
        <v>803</v>
      </c>
      <c r="U907" s="354" t="s">
        <v>803</v>
      </c>
      <c r="V907" s="354" t="s">
        <v>803</v>
      </c>
      <c r="W907" s="354" t="s">
        <v>803</v>
      </c>
      <c r="X907" s="354" t="s">
        <v>803</v>
      </c>
      <c r="Y907" s="354" t="s">
        <v>803</v>
      </c>
      <c r="Z907" s="354" t="s">
        <v>803</v>
      </c>
      <c r="AA907" s="354" t="s">
        <v>803</v>
      </c>
      <c r="AB907" s="354" t="s">
        <v>803</v>
      </c>
      <c r="AC907" s="354" t="s">
        <v>803</v>
      </c>
      <c r="AD907" s="354" t="s">
        <v>803</v>
      </c>
      <c r="AE907" s="354" t="s">
        <v>803</v>
      </c>
      <c r="AF907" s="354" t="s">
        <v>803</v>
      </c>
      <c r="AG907" s="354" t="s">
        <v>803</v>
      </c>
      <c r="AH907" s="354" t="s">
        <v>803</v>
      </c>
      <c r="AI907" s="354" t="s">
        <v>803</v>
      </c>
      <c r="AJ907" s="354" t="s">
        <v>803</v>
      </c>
      <c r="AK907" s="354" t="s">
        <v>803</v>
      </c>
      <c r="AL907" s="354" t="s">
        <v>803</v>
      </c>
      <c r="AM907" s="354" t="s">
        <v>803</v>
      </c>
      <c r="AN907" s="354" t="s">
        <v>803</v>
      </c>
      <c r="AO907" s="354" t="s">
        <v>803</v>
      </c>
      <c r="AP907" s="354" t="s">
        <v>803</v>
      </c>
    </row>
    <row r="908" spans="1:42" ht="14.45" customHeight="1" x14ac:dyDescent="0.25">
      <c r="A908" s="355" t="s">
        <v>805</v>
      </c>
      <c r="B908" s="354"/>
      <c r="C908" s="354" t="s">
        <v>803</v>
      </c>
      <c r="D908" s="354" t="s">
        <v>803</v>
      </c>
      <c r="E908" s="354" t="s">
        <v>803</v>
      </c>
      <c r="F908" s="354" t="s">
        <v>803</v>
      </c>
      <c r="G908" s="354" t="s">
        <v>803</v>
      </c>
      <c r="H908" s="354" t="s">
        <v>803</v>
      </c>
      <c r="I908" s="354" t="s">
        <v>803</v>
      </c>
      <c r="J908" s="354" t="s">
        <v>803</v>
      </c>
      <c r="K908" s="354" t="s">
        <v>803</v>
      </c>
      <c r="L908" s="354" t="s">
        <v>803</v>
      </c>
      <c r="M908" s="354" t="s">
        <v>803</v>
      </c>
      <c r="N908" s="354" t="s">
        <v>803</v>
      </c>
      <c r="O908" s="354" t="s">
        <v>803</v>
      </c>
      <c r="P908" s="354" t="s">
        <v>803</v>
      </c>
      <c r="Q908" s="354" t="s">
        <v>803</v>
      </c>
      <c r="R908" s="354" t="s">
        <v>803</v>
      </c>
      <c r="S908" s="354" t="s">
        <v>803</v>
      </c>
      <c r="T908" s="354" t="s">
        <v>803</v>
      </c>
      <c r="U908" s="354" t="s">
        <v>803</v>
      </c>
      <c r="V908" s="354" t="s">
        <v>803</v>
      </c>
      <c r="W908" s="354" t="s">
        <v>803</v>
      </c>
      <c r="X908" s="354" t="s">
        <v>803</v>
      </c>
      <c r="Y908" s="354" t="s">
        <v>803</v>
      </c>
      <c r="Z908" s="354" t="s">
        <v>803</v>
      </c>
      <c r="AA908" s="354" t="s">
        <v>803</v>
      </c>
      <c r="AB908" s="354" t="s">
        <v>803</v>
      </c>
      <c r="AC908" s="354" t="s">
        <v>803</v>
      </c>
      <c r="AD908" s="354" t="s">
        <v>803</v>
      </c>
      <c r="AE908" s="354" t="s">
        <v>803</v>
      </c>
      <c r="AF908" s="354" t="s">
        <v>803</v>
      </c>
      <c r="AG908" s="354" t="s">
        <v>803</v>
      </c>
      <c r="AH908" s="354" t="s">
        <v>803</v>
      </c>
      <c r="AI908" s="354" t="s">
        <v>803</v>
      </c>
      <c r="AJ908" s="354" t="s">
        <v>803</v>
      </c>
      <c r="AK908" s="354" t="s">
        <v>803</v>
      </c>
      <c r="AL908" s="354" t="s">
        <v>803</v>
      </c>
      <c r="AM908" s="354" t="s">
        <v>803</v>
      </c>
      <c r="AN908" s="354" t="s">
        <v>803</v>
      </c>
      <c r="AO908" s="354" t="s">
        <v>803</v>
      </c>
      <c r="AP908" s="354" t="s">
        <v>803</v>
      </c>
    </row>
    <row r="909" spans="1:42" ht="14.45" customHeight="1" x14ac:dyDescent="0.25">
      <c r="A909" s="357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</row>
    <row r="910" spans="1:42" ht="14.45" customHeight="1" x14ac:dyDescent="0.25">
      <c r="A910" s="353" t="s">
        <v>806</v>
      </c>
      <c r="B910" s="354"/>
      <c r="C910" s="354">
        <v>15.174089</v>
      </c>
      <c r="D910" s="354">
        <v>11.883604999999999</v>
      </c>
      <c r="E910" s="354">
        <v>13.81086</v>
      </c>
      <c r="F910" s="354">
        <v>13.690834000000001</v>
      </c>
      <c r="G910" s="354">
        <v>16.052332</v>
      </c>
      <c r="H910" s="354">
        <v>19.386728000000002</v>
      </c>
      <c r="I910" s="354">
        <v>19.774131000000001</v>
      </c>
      <c r="J910" s="354">
        <v>19.113496999999999</v>
      </c>
      <c r="K910" s="354">
        <v>16.549026999999999</v>
      </c>
      <c r="L910" s="354">
        <v>12.342243</v>
      </c>
      <c r="M910" s="354">
        <v>12.955061000000001</v>
      </c>
      <c r="N910" s="354">
        <v>15.721527</v>
      </c>
      <c r="O910" s="354">
        <v>17.309194999999999</v>
      </c>
      <c r="P910" s="354">
        <v>27.401184000000001</v>
      </c>
      <c r="Q910" s="354">
        <v>27.350441</v>
      </c>
      <c r="R910" s="354">
        <v>25.57639</v>
      </c>
      <c r="S910" s="354">
        <v>18.791474999999998</v>
      </c>
      <c r="T910" s="354">
        <v>18.939800000000002</v>
      </c>
      <c r="U910" s="354">
        <v>21.760912000000001</v>
      </c>
      <c r="V910" s="354">
        <v>22.089765</v>
      </c>
      <c r="W910" s="354">
        <v>24.825005000000001</v>
      </c>
      <c r="X910" s="354">
        <v>27.919347999999999</v>
      </c>
      <c r="Y910" s="354">
        <v>37.253120000000003</v>
      </c>
      <c r="Z910" s="354">
        <v>38.058176000000003</v>
      </c>
      <c r="AA910" s="354">
        <v>43.170527</v>
      </c>
      <c r="AB910" s="354">
        <v>43.082703000000002</v>
      </c>
      <c r="AC910" s="354">
        <v>39.984456000000002</v>
      </c>
      <c r="AD910" s="354">
        <v>41.862921</v>
      </c>
      <c r="AE910" s="354">
        <v>46.513705999999999</v>
      </c>
      <c r="AF910" s="354">
        <v>51.033264000000003</v>
      </c>
      <c r="AG910" s="354">
        <v>60.372101000000001</v>
      </c>
      <c r="AH910" s="354">
        <v>61.01511</v>
      </c>
      <c r="AI910" s="354">
        <v>81.022000000000006</v>
      </c>
      <c r="AJ910" s="354">
        <v>80.102000000000004</v>
      </c>
      <c r="AK910" s="354">
        <v>106.63200000000001</v>
      </c>
      <c r="AL910" s="354">
        <v>112.426</v>
      </c>
      <c r="AM910" s="354">
        <v>122.76</v>
      </c>
      <c r="AN910" s="354">
        <v>105.72</v>
      </c>
      <c r="AO910" s="354">
        <v>109.55</v>
      </c>
      <c r="AP910" s="354">
        <v>116.34</v>
      </c>
    </row>
    <row r="911" spans="1:42" ht="14.45" customHeight="1" x14ac:dyDescent="0.25">
      <c r="A911" s="355" t="s">
        <v>801</v>
      </c>
      <c r="B911" s="354"/>
      <c r="C911" s="356">
        <v>15.174089</v>
      </c>
      <c r="D911" s="356">
        <v>11.883604999999999</v>
      </c>
      <c r="E911" s="356">
        <v>13.81086</v>
      </c>
      <c r="F911" s="356">
        <v>13.690834000000001</v>
      </c>
      <c r="G911" s="356">
        <v>16.052332</v>
      </c>
      <c r="H911" s="356">
        <v>19.386728000000002</v>
      </c>
      <c r="I911" s="356">
        <v>19.774131000000001</v>
      </c>
      <c r="J911" s="356">
        <v>19.113496999999999</v>
      </c>
      <c r="K911" s="356">
        <v>16.549026999999999</v>
      </c>
      <c r="L911" s="356">
        <v>12.342243</v>
      </c>
      <c r="M911" s="356">
        <v>12.955061000000001</v>
      </c>
      <c r="N911" s="356">
        <v>15.721527</v>
      </c>
      <c r="O911" s="356">
        <v>17.309194999999999</v>
      </c>
      <c r="P911" s="356">
        <v>27.401184000000001</v>
      </c>
      <c r="Q911" s="356">
        <v>27.350441</v>
      </c>
      <c r="R911" s="356">
        <v>25.57639</v>
      </c>
      <c r="S911" s="356">
        <v>18.791474999999998</v>
      </c>
      <c r="T911" s="356">
        <v>18.939800000000002</v>
      </c>
      <c r="U911" s="356">
        <v>21.760912000000001</v>
      </c>
      <c r="V911" s="356">
        <v>22.089765</v>
      </c>
      <c r="W911" s="356">
        <v>24.825005000000001</v>
      </c>
      <c r="X911" s="356">
        <v>27.919347999999999</v>
      </c>
      <c r="Y911" s="356">
        <v>37.253120000000003</v>
      </c>
      <c r="Z911" s="356">
        <v>38.058176000000003</v>
      </c>
      <c r="AA911" s="356">
        <v>43.170527</v>
      </c>
      <c r="AB911" s="356">
        <v>43.082703000000002</v>
      </c>
      <c r="AC911" s="356">
        <v>39.984456000000002</v>
      </c>
      <c r="AD911" s="356">
        <v>41.862921</v>
      </c>
      <c r="AE911" s="356">
        <v>46.513705999999999</v>
      </c>
      <c r="AF911" s="356">
        <v>51.033264000000003</v>
      </c>
      <c r="AG911" s="356">
        <v>60.372101000000001</v>
      </c>
      <c r="AH911" s="356">
        <v>61.01511</v>
      </c>
      <c r="AI911" s="356">
        <v>81.022000000000006</v>
      </c>
      <c r="AJ911" s="356">
        <v>80.102000000000004</v>
      </c>
      <c r="AK911" s="356">
        <v>106.63200000000001</v>
      </c>
      <c r="AL911" s="356">
        <v>112.426</v>
      </c>
      <c r="AM911" s="356">
        <v>122.76</v>
      </c>
      <c r="AN911" s="356">
        <v>105.72</v>
      </c>
      <c r="AO911" s="356">
        <v>109.55</v>
      </c>
      <c r="AP911" s="356">
        <v>116.34</v>
      </c>
    </row>
    <row r="912" spans="1:42" ht="14.45" customHeight="1" x14ac:dyDescent="0.25">
      <c r="A912" s="355" t="s">
        <v>123</v>
      </c>
      <c r="B912" s="354"/>
      <c r="C912" s="354">
        <v>15.55</v>
      </c>
      <c r="D912" s="354">
        <v>12.178000000000001</v>
      </c>
      <c r="E912" s="354">
        <v>14.153</v>
      </c>
      <c r="F912" s="354">
        <v>14.03</v>
      </c>
      <c r="G912" s="354">
        <v>16.45</v>
      </c>
      <c r="H912" s="354">
        <v>19.867000000000001</v>
      </c>
      <c r="I912" s="354">
        <v>20.263999999999999</v>
      </c>
      <c r="J912" s="354">
        <v>19.587</v>
      </c>
      <c r="K912" s="354">
        <v>16.959</v>
      </c>
      <c r="L912" s="354">
        <v>12.648</v>
      </c>
      <c r="M912" s="354">
        <v>13.276</v>
      </c>
      <c r="N912" s="354">
        <v>16.111000000000001</v>
      </c>
      <c r="O912" s="354">
        <v>17.738</v>
      </c>
      <c r="P912" s="354">
        <v>28.08</v>
      </c>
      <c r="Q912" s="354">
        <v>28.027999999999999</v>
      </c>
      <c r="R912" s="354">
        <v>26.21</v>
      </c>
      <c r="S912" s="354">
        <v>19.257000000000001</v>
      </c>
      <c r="T912" s="354">
        <v>19.408999999999999</v>
      </c>
      <c r="U912" s="354">
        <v>22.3</v>
      </c>
      <c r="V912" s="354">
        <v>22.637</v>
      </c>
      <c r="W912" s="354">
        <v>25.44</v>
      </c>
      <c r="X912" s="354">
        <v>28.611000000000001</v>
      </c>
      <c r="Y912" s="354">
        <v>38.176000000000002</v>
      </c>
      <c r="Z912" s="354">
        <v>39.000999999999998</v>
      </c>
      <c r="AA912" s="354">
        <v>44.239999999999988</v>
      </c>
      <c r="AB912" s="354">
        <v>44.15</v>
      </c>
      <c r="AC912" s="354">
        <v>40.975000000000001</v>
      </c>
      <c r="AD912" s="354">
        <v>42.9</v>
      </c>
      <c r="AE912" s="354">
        <v>47.665999999999997</v>
      </c>
      <c r="AF912" s="354">
        <v>51.984999999999999</v>
      </c>
      <c r="AG912" s="354">
        <v>61.497999999999998</v>
      </c>
      <c r="AH912" s="354">
        <v>62.152999999999999</v>
      </c>
      <c r="AI912" s="354">
        <v>81.022000000000006</v>
      </c>
      <c r="AJ912" s="354">
        <v>80.102000000000004</v>
      </c>
      <c r="AK912" s="354">
        <v>106.63200000000001</v>
      </c>
      <c r="AL912" s="354">
        <v>112.426</v>
      </c>
      <c r="AM912" s="354">
        <v>122.76</v>
      </c>
      <c r="AN912" s="354">
        <v>105.72</v>
      </c>
      <c r="AO912" s="354">
        <v>109.55</v>
      </c>
      <c r="AP912" s="354">
        <v>116.34</v>
      </c>
    </row>
    <row r="913" spans="1:42" ht="14.45" customHeight="1" x14ac:dyDescent="0.25">
      <c r="A913" s="355" t="s">
        <v>802</v>
      </c>
      <c r="B913" s="354"/>
      <c r="C913" s="354" t="s">
        <v>803</v>
      </c>
      <c r="D913" s="354" t="s">
        <v>803</v>
      </c>
      <c r="E913" s="354" t="s">
        <v>803</v>
      </c>
      <c r="F913" s="354" t="s">
        <v>803</v>
      </c>
      <c r="G913" s="354" t="s">
        <v>803</v>
      </c>
      <c r="H913" s="354" t="s">
        <v>803</v>
      </c>
      <c r="I913" s="354" t="s">
        <v>803</v>
      </c>
      <c r="J913" s="354" t="s">
        <v>803</v>
      </c>
      <c r="K913" s="354" t="s">
        <v>803</v>
      </c>
      <c r="L913" s="354" t="s">
        <v>803</v>
      </c>
      <c r="M913" s="354" t="s">
        <v>803</v>
      </c>
      <c r="N913" s="354" t="s">
        <v>803</v>
      </c>
      <c r="O913" s="354" t="s">
        <v>803</v>
      </c>
      <c r="P913" s="354" t="s">
        <v>803</v>
      </c>
      <c r="Q913" s="354" t="s">
        <v>803</v>
      </c>
      <c r="R913" s="354" t="s">
        <v>803</v>
      </c>
      <c r="S913" s="354" t="s">
        <v>803</v>
      </c>
      <c r="T913" s="354" t="s">
        <v>803</v>
      </c>
      <c r="U913" s="354" t="s">
        <v>803</v>
      </c>
      <c r="V913" s="354" t="s">
        <v>803</v>
      </c>
      <c r="W913" s="354" t="s">
        <v>803</v>
      </c>
      <c r="X913" s="354" t="s">
        <v>803</v>
      </c>
      <c r="Y913" s="354" t="s">
        <v>803</v>
      </c>
      <c r="Z913" s="354" t="s">
        <v>803</v>
      </c>
      <c r="AA913" s="354" t="s">
        <v>803</v>
      </c>
      <c r="AB913" s="354" t="s">
        <v>803</v>
      </c>
      <c r="AC913" s="354" t="s">
        <v>803</v>
      </c>
      <c r="AD913" s="354" t="s">
        <v>803</v>
      </c>
      <c r="AE913" s="354" t="s">
        <v>803</v>
      </c>
      <c r="AF913" s="354" t="s">
        <v>803</v>
      </c>
      <c r="AG913" s="354" t="s">
        <v>803</v>
      </c>
      <c r="AH913" s="354" t="s">
        <v>803</v>
      </c>
      <c r="AI913" s="354" t="s">
        <v>803</v>
      </c>
      <c r="AJ913" s="354" t="s">
        <v>803</v>
      </c>
      <c r="AK913" s="354" t="s">
        <v>803</v>
      </c>
      <c r="AL913" s="354" t="s">
        <v>803</v>
      </c>
      <c r="AM913" s="354" t="s">
        <v>803</v>
      </c>
      <c r="AN913" s="354" t="s">
        <v>803</v>
      </c>
      <c r="AO913" s="354" t="s">
        <v>803</v>
      </c>
      <c r="AP913" s="354" t="s">
        <v>803</v>
      </c>
    </row>
    <row r="914" spans="1:42" ht="14.45" customHeight="1" x14ac:dyDescent="0.25">
      <c r="A914" s="355" t="s">
        <v>804</v>
      </c>
      <c r="B914" s="354"/>
      <c r="C914" s="354" t="s">
        <v>803</v>
      </c>
      <c r="D914" s="354" t="s">
        <v>803</v>
      </c>
      <c r="E914" s="354" t="s">
        <v>803</v>
      </c>
      <c r="F914" s="354" t="s">
        <v>803</v>
      </c>
      <c r="G914" s="354" t="s">
        <v>803</v>
      </c>
      <c r="H914" s="354" t="s">
        <v>803</v>
      </c>
      <c r="I914" s="354" t="s">
        <v>803</v>
      </c>
      <c r="J914" s="354" t="s">
        <v>803</v>
      </c>
      <c r="K914" s="354" t="s">
        <v>803</v>
      </c>
      <c r="L914" s="354" t="s">
        <v>803</v>
      </c>
      <c r="M914" s="354" t="s">
        <v>803</v>
      </c>
      <c r="N914" s="354" t="s">
        <v>803</v>
      </c>
      <c r="O914" s="354" t="s">
        <v>803</v>
      </c>
      <c r="P914" s="354" t="s">
        <v>803</v>
      </c>
      <c r="Q914" s="354" t="s">
        <v>803</v>
      </c>
      <c r="R914" s="354" t="s">
        <v>803</v>
      </c>
      <c r="S914" s="354" t="s">
        <v>803</v>
      </c>
      <c r="T914" s="354" t="s">
        <v>803</v>
      </c>
      <c r="U914" s="354" t="s">
        <v>803</v>
      </c>
      <c r="V914" s="354" t="s">
        <v>803</v>
      </c>
      <c r="W914" s="354" t="s">
        <v>803</v>
      </c>
      <c r="X914" s="354" t="s">
        <v>803</v>
      </c>
      <c r="Y914" s="354" t="s">
        <v>803</v>
      </c>
      <c r="Z914" s="354" t="s">
        <v>803</v>
      </c>
      <c r="AA914" s="354" t="s">
        <v>803</v>
      </c>
      <c r="AB914" s="354" t="s">
        <v>803</v>
      </c>
      <c r="AC914" s="354" t="s">
        <v>803</v>
      </c>
      <c r="AD914" s="354" t="s">
        <v>803</v>
      </c>
      <c r="AE914" s="354" t="s">
        <v>803</v>
      </c>
      <c r="AF914" s="354" t="s">
        <v>803</v>
      </c>
      <c r="AG914" s="354" t="s">
        <v>803</v>
      </c>
      <c r="AH914" s="354" t="s">
        <v>803</v>
      </c>
      <c r="AI914" s="354" t="s">
        <v>803</v>
      </c>
      <c r="AJ914" s="354" t="s">
        <v>803</v>
      </c>
      <c r="AK914" s="354" t="s">
        <v>803</v>
      </c>
      <c r="AL914" s="354" t="s">
        <v>803</v>
      </c>
      <c r="AM914" s="354" t="s">
        <v>803</v>
      </c>
      <c r="AN914" s="354" t="s">
        <v>803</v>
      </c>
      <c r="AO914" s="354" t="s">
        <v>803</v>
      </c>
      <c r="AP914" s="354" t="s">
        <v>803</v>
      </c>
    </row>
    <row r="915" spans="1:42" ht="14.45" customHeight="1" x14ac:dyDescent="0.25">
      <c r="A915" s="355" t="s">
        <v>805</v>
      </c>
      <c r="B915" s="354"/>
      <c r="C915" s="354" t="s">
        <v>803</v>
      </c>
      <c r="D915" s="354" t="s">
        <v>803</v>
      </c>
      <c r="E915" s="354" t="s">
        <v>803</v>
      </c>
      <c r="F915" s="354" t="s">
        <v>803</v>
      </c>
      <c r="G915" s="354" t="s">
        <v>803</v>
      </c>
      <c r="H915" s="354" t="s">
        <v>803</v>
      </c>
      <c r="I915" s="354" t="s">
        <v>803</v>
      </c>
      <c r="J915" s="354" t="s">
        <v>803</v>
      </c>
      <c r="K915" s="354" t="s">
        <v>803</v>
      </c>
      <c r="L915" s="354" t="s">
        <v>803</v>
      </c>
      <c r="M915" s="354" t="s">
        <v>803</v>
      </c>
      <c r="N915" s="354" t="s">
        <v>803</v>
      </c>
      <c r="O915" s="354" t="s">
        <v>803</v>
      </c>
      <c r="P915" s="354" t="s">
        <v>803</v>
      </c>
      <c r="Q915" s="354" t="s">
        <v>803</v>
      </c>
      <c r="R915" s="354" t="s">
        <v>803</v>
      </c>
      <c r="S915" s="354" t="s">
        <v>803</v>
      </c>
      <c r="T915" s="354" t="s">
        <v>803</v>
      </c>
      <c r="U915" s="354" t="s">
        <v>803</v>
      </c>
      <c r="V915" s="354" t="s">
        <v>803</v>
      </c>
      <c r="W915" s="354" t="s">
        <v>803</v>
      </c>
      <c r="X915" s="354" t="s">
        <v>803</v>
      </c>
      <c r="Y915" s="354" t="s">
        <v>803</v>
      </c>
      <c r="Z915" s="354" t="s">
        <v>803</v>
      </c>
      <c r="AA915" s="354" t="s">
        <v>803</v>
      </c>
      <c r="AB915" s="354" t="s">
        <v>803</v>
      </c>
      <c r="AC915" s="354" t="s">
        <v>803</v>
      </c>
      <c r="AD915" s="354" t="s">
        <v>803</v>
      </c>
      <c r="AE915" s="354" t="s">
        <v>803</v>
      </c>
      <c r="AF915" s="354" t="s">
        <v>803</v>
      </c>
      <c r="AG915" s="354" t="s">
        <v>803</v>
      </c>
      <c r="AH915" s="354" t="s">
        <v>803</v>
      </c>
      <c r="AI915" s="354" t="s">
        <v>803</v>
      </c>
      <c r="AJ915" s="354" t="s">
        <v>803</v>
      </c>
      <c r="AK915" s="354" t="s">
        <v>803</v>
      </c>
      <c r="AL915" s="354" t="s">
        <v>803</v>
      </c>
      <c r="AM915" s="354" t="s">
        <v>803</v>
      </c>
      <c r="AN915" s="354" t="s">
        <v>803</v>
      </c>
      <c r="AO915" s="354" t="s">
        <v>803</v>
      </c>
      <c r="AP915" s="354" t="s">
        <v>803</v>
      </c>
    </row>
    <row r="916" spans="1:42" ht="14.45" customHeight="1" x14ac:dyDescent="0.25">
      <c r="A916" s="357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</row>
    <row r="917" spans="1:42" ht="14.45" customHeight="1" x14ac:dyDescent="0.25">
      <c r="A917" s="353" t="s">
        <v>807</v>
      </c>
      <c r="B917" s="354"/>
      <c r="C917" s="354">
        <v>16.5839838709677</v>
      </c>
      <c r="D917" s="354">
        <v>14.240673546875</v>
      </c>
      <c r="E917" s="354">
        <v>14.438269904761899</v>
      </c>
      <c r="F917" s="354">
        <v>15.3046946984127</v>
      </c>
      <c r="G917" s="354">
        <v>17.3983733225806</v>
      </c>
      <c r="H917" s="354">
        <v>21.077245523809498</v>
      </c>
      <c r="I917" s="354">
        <v>21.5454946984127</v>
      </c>
      <c r="J917" s="354">
        <v>21.247031507936502</v>
      </c>
      <c r="K917" s="354">
        <v>18.6431011311475</v>
      </c>
      <c r="L917" s="354">
        <v>14.391766437499999</v>
      </c>
      <c r="M917" s="354">
        <v>15.6329128412698</v>
      </c>
      <c r="N917" s="354">
        <v>18.080554177419401</v>
      </c>
      <c r="O917" s="354">
        <v>22.2207935967742</v>
      </c>
      <c r="P917" s="354">
        <v>30.567645682539698</v>
      </c>
      <c r="Q917" s="354">
        <v>30.528117015873001</v>
      </c>
      <c r="R917" s="354">
        <v>27.3193543968254</v>
      </c>
      <c r="S917" s="354">
        <v>24.5656082096774</v>
      </c>
      <c r="T917" s="354">
        <v>22.7812695079365</v>
      </c>
      <c r="U917" s="354">
        <v>24.441489666666701</v>
      </c>
      <c r="V917" s="354">
        <v>24.750317567164199</v>
      </c>
      <c r="W917" s="354">
        <v>26.840966000000002</v>
      </c>
      <c r="X917" s="354">
        <v>34.62371228125</v>
      </c>
      <c r="Y917" s="354">
        <v>38.820807396825401</v>
      </c>
      <c r="Z917" s="354">
        <v>48.329221603174602</v>
      </c>
      <c r="AA917" s="354">
        <v>52.521074206349198</v>
      </c>
      <c r="AB917" s="354">
        <v>51.068749677419397</v>
      </c>
      <c r="AC917" s="354">
        <v>47.883640888888898</v>
      </c>
      <c r="AD917" s="354">
        <v>46.661427063491999</v>
      </c>
      <c r="AE917" s="354">
        <v>50.623219499999998</v>
      </c>
      <c r="AF917" s="354">
        <v>60.7168809516129</v>
      </c>
      <c r="AG917" s="354">
        <v>65.258637301587299</v>
      </c>
      <c r="AH917" s="354">
        <v>71.078933952380893</v>
      </c>
      <c r="AI917" s="354">
        <v>85.751637131147504</v>
      </c>
      <c r="AJ917" s="354">
        <v>92.554817460317494</v>
      </c>
      <c r="AK917" s="354">
        <v>122.383746031746</v>
      </c>
      <c r="AL917" s="354">
        <v>125.294461538462</v>
      </c>
      <c r="AM917" s="354">
        <v>134.40906779661</v>
      </c>
      <c r="AN917" s="354">
        <v>121.137</v>
      </c>
      <c r="AO917" s="354">
        <v>115.77412698412699</v>
      </c>
      <c r="AP917" s="354">
        <v>145.79303030303001</v>
      </c>
    </row>
    <row r="918" spans="1:42" ht="14.45" customHeight="1" x14ac:dyDescent="0.25">
      <c r="A918" s="355" t="s">
        <v>801</v>
      </c>
      <c r="B918" s="354"/>
      <c r="C918" s="356">
        <v>16.5839838709677</v>
      </c>
      <c r="D918" s="356">
        <v>14.240673546875</v>
      </c>
      <c r="E918" s="356">
        <v>14.438269904761899</v>
      </c>
      <c r="F918" s="356">
        <v>15.3046946984127</v>
      </c>
      <c r="G918" s="356">
        <v>17.3983733225806</v>
      </c>
      <c r="H918" s="356">
        <v>21.077245523809498</v>
      </c>
      <c r="I918" s="356">
        <v>21.5454946984127</v>
      </c>
      <c r="J918" s="356">
        <v>21.247031507936502</v>
      </c>
      <c r="K918" s="356">
        <v>18.6431011311475</v>
      </c>
      <c r="L918" s="356">
        <v>14.391766437499999</v>
      </c>
      <c r="M918" s="356">
        <v>15.6329128412698</v>
      </c>
      <c r="N918" s="356">
        <v>18.080554177419401</v>
      </c>
      <c r="O918" s="356">
        <v>22.2207935967742</v>
      </c>
      <c r="P918" s="356">
        <v>30.567645682539698</v>
      </c>
      <c r="Q918" s="356">
        <v>30.528117015873001</v>
      </c>
      <c r="R918" s="356">
        <v>27.3193543968254</v>
      </c>
      <c r="S918" s="356">
        <v>24.5656082096774</v>
      </c>
      <c r="T918" s="356">
        <v>22.7812695079365</v>
      </c>
      <c r="U918" s="356">
        <v>24.441489666666701</v>
      </c>
      <c r="V918" s="356">
        <v>24.750317567164199</v>
      </c>
      <c r="W918" s="356">
        <v>26.840966000000002</v>
      </c>
      <c r="X918" s="356">
        <v>34.62371228125</v>
      </c>
      <c r="Y918" s="356">
        <v>38.820807396825401</v>
      </c>
      <c r="Z918" s="356">
        <v>48.329221603174602</v>
      </c>
      <c r="AA918" s="356">
        <v>52.521074206349198</v>
      </c>
      <c r="AB918" s="356">
        <v>51.068749677419397</v>
      </c>
      <c r="AC918" s="356">
        <v>47.883640888888898</v>
      </c>
      <c r="AD918" s="356">
        <v>46.661427063491999</v>
      </c>
      <c r="AE918" s="356">
        <v>50.623219499999998</v>
      </c>
      <c r="AF918" s="356">
        <v>60.7168809516129</v>
      </c>
      <c r="AG918" s="356">
        <v>65.258637301587299</v>
      </c>
      <c r="AH918" s="356">
        <v>71.078933952380893</v>
      </c>
      <c r="AI918" s="356">
        <v>85.751637131147504</v>
      </c>
      <c r="AJ918" s="356">
        <v>92.554817460317494</v>
      </c>
      <c r="AK918" s="356">
        <v>122.383746031746</v>
      </c>
      <c r="AL918" s="356">
        <v>125.294461538462</v>
      </c>
      <c r="AM918" s="356">
        <v>134.40906779661</v>
      </c>
      <c r="AN918" s="356">
        <v>121.137</v>
      </c>
      <c r="AO918" s="356">
        <v>115.77412698412699</v>
      </c>
      <c r="AP918" s="356">
        <v>145.79303030303001</v>
      </c>
    </row>
    <row r="919" spans="1:42" ht="14.45" customHeight="1" x14ac:dyDescent="0.25">
      <c r="A919" s="355" t="s">
        <v>123</v>
      </c>
      <c r="B919" s="354"/>
      <c r="C919" s="354">
        <v>16.99482258064516</v>
      </c>
      <c r="D919" s="354">
        <v>14.5934609375</v>
      </c>
      <c r="E919" s="354">
        <v>14.795952380952381</v>
      </c>
      <c r="F919" s="354">
        <v>15.68384126984127</v>
      </c>
      <c r="G919" s="354">
        <v>17.829387096774191</v>
      </c>
      <c r="H919" s="354">
        <v>21.59939682539682</v>
      </c>
      <c r="I919" s="354">
        <v>22.079246031746031</v>
      </c>
      <c r="J919" s="354">
        <v>21.773388888888881</v>
      </c>
      <c r="K919" s="354">
        <v>19.10495081967214</v>
      </c>
      <c r="L919" s="354">
        <v>14.748296874999999</v>
      </c>
      <c r="M919" s="354">
        <v>16.020190476190479</v>
      </c>
      <c r="N919" s="354">
        <v>18.528467741935479</v>
      </c>
      <c r="O919" s="354">
        <v>22.771274193548379</v>
      </c>
      <c r="P919" s="354">
        <v>31.324904761904762</v>
      </c>
      <c r="Q919" s="354">
        <v>31.284396825396829</v>
      </c>
      <c r="R919" s="354">
        <v>27.99614285714285</v>
      </c>
      <c r="S919" s="354">
        <v>25.174177419354841</v>
      </c>
      <c r="T919" s="354">
        <v>23.345634920634929</v>
      </c>
      <c r="U919" s="354">
        <v>25.046984126984121</v>
      </c>
      <c r="V919" s="354">
        <v>25.363462686567161</v>
      </c>
      <c r="W919" s="354">
        <v>27.505903225806449</v>
      </c>
      <c r="X919" s="354">
        <v>35.481453125000002</v>
      </c>
      <c r="Y919" s="354">
        <v>39.782523809523788</v>
      </c>
      <c r="Z919" s="354">
        <v>49.526492063492057</v>
      </c>
      <c r="AA919" s="354">
        <v>53.822190476190457</v>
      </c>
      <c r="AB919" s="354">
        <v>52.333887096774177</v>
      </c>
      <c r="AC919" s="354">
        <v>49.069873015873029</v>
      </c>
      <c r="AD919" s="354">
        <v>47.817380952380937</v>
      </c>
      <c r="AE919" s="354">
        <v>51.642774193548377</v>
      </c>
      <c r="AF919" s="354">
        <v>61.849209677419353</v>
      </c>
      <c r="AG919" s="354">
        <v>66.475666666666655</v>
      </c>
      <c r="AH919" s="354">
        <v>72.404507936507954</v>
      </c>
      <c r="AI919" s="354">
        <v>86.18296721311475</v>
      </c>
      <c r="AJ919" s="354">
        <v>92.55481746031748</v>
      </c>
      <c r="AK919" s="354">
        <v>122.383746031746</v>
      </c>
      <c r="AL919" s="354">
        <v>125.2944615384615</v>
      </c>
      <c r="AM919" s="354">
        <v>134.40906779661029</v>
      </c>
      <c r="AN919" s="354">
        <v>121.137</v>
      </c>
      <c r="AO919" s="354">
        <v>115.77412698412699</v>
      </c>
      <c r="AP919" s="354">
        <v>145.79303030303029</v>
      </c>
    </row>
    <row r="920" spans="1:42" ht="14.45" customHeight="1" x14ac:dyDescent="0.25">
      <c r="A920" s="355" t="s">
        <v>802</v>
      </c>
      <c r="B920" s="354"/>
      <c r="C920" s="354" t="s">
        <v>803</v>
      </c>
      <c r="D920" s="354" t="s">
        <v>803</v>
      </c>
      <c r="E920" s="354" t="s">
        <v>803</v>
      </c>
      <c r="F920" s="354" t="s">
        <v>803</v>
      </c>
      <c r="G920" s="354" t="s">
        <v>803</v>
      </c>
      <c r="H920" s="354" t="s">
        <v>803</v>
      </c>
      <c r="I920" s="354" t="s">
        <v>803</v>
      </c>
      <c r="J920" s="354" t="s">
        <v>803</v>
      </c>
      <c r="K920" s="354" t="s">
        <v>803</v>
      </c>
      <c r="L920" s="354" t="s">
        <v>803</v>
      </c>
      <c r="M920" s="354" t="s">
        <v>803</v>
      </c>
      <c r="N920" s="354" t="s">
        <v>803</v>
      </c>
      <c r="O920" s="354" t="s">
        <v>803</v>
      </c>
      <c r="P920" s="354" t="s">
        <v>803</v>
      </c>
      <c r="Q920" s="354" t="s">
        <v>803</v>
      </c>
      <c r="R920" s="354" t="s">
        <v>803</v>
      </c>
      <c r="S920" s="354" t="s">
        <v>803</v>
      </c>
      <c r="T920" s="354" t="s">
        <v>803</v>
      </c>
      <c r="U920" s="354" t="s">
        <v>803</v>
      </c>
      <c r="V920" s="354" t="s">
        <v>803</v>
      </c>
      <c r="W920" s="354" t="s">
        <v>803</v>
      </c>
      <c r="X920" s="354" t="s">
        <v>803</v>
      </c>
      <c r="Y920" s="354" t="s">
        <v>803</v>
      </c>
      <c r="Z920" s="354" t="s">
        <v>803</v>
      </c>
      <c r="AA920" s="354" t="s">
        <v>803</v>
      </c>
      <c r="AB920" s="354" t="s">
        <v>803</v>
      </c>
      <c r="AC920" s="354" t="s">
        <v>803</v>
      </c>
      <c r="AD920" s="354" t="s">
        <v>803</v>
      </c>
      <c r="AE920" s="354" t="s">
        <v>803</v>
      </c>
      <c r="AF920" s="354" t="s">
        <v>803</v>
      </c>
      <c r="AG920" s="354" t="s">
        <v>803</v>
      </c>
      <c r="AH920" s="354" t="s">
        <v>803</v>
      </c>
      <c r="AI920" s="354" t="s">
        <v>803</v>
      </c>
      <c r="AJ920" s="354" t="s">
        <v>803</v>
      </c>
      <c r="AK920" s="354" t="s">
        <v>803</v>
      </c>
      <c r="AL920" s="354" t="s">
        <v>803</v>
      </c>
      <c r="AM920" s="354" t="s">
        <v>803</v>
      </c>
      <c r="AN920" s="354" t="s">
        <v>803</v>
      </c>
      <c r="AO920" s="354" t="s">
        <v>803</v>
      </c>
      <c r="AP920" s="354" t="s">
        <v>803</v>
      </c>
    </row>
    <row r="921" spans="1:42" ht="14.45" customHeight="1" x14ac:dyDescent="0.25">
      <c r="A921" s="355" t="s">
        <v>804</v>
      </c>
      <c r="B921" s="354"/>
      <c r="C921" s="354" t="s">
        <v>803</v>
      </c>
      <c r="D921" s="354" t="s">
        <v>803</v>
      </c>
      <c r="E921" s="354" t="s">
        <v>803</v>
      </c>
      <c r="F921" s="354" t="s">
        <v>803</v>
      </c>
      <c r="G921" s="354" t="s">
        <v>803</v>
      </c>
      <c r="H921" s="354" t="s">
        <v>803</v>
      </c>
      <c r="I921" s="354" t="s">
        <v>803</v>
      </c>
      <c r="J921" s="354" t="s">
        <v>803</v>
      </c>
      <c r="K921" s="354" t="s">
        <v>803</v>
      </c>
      <c r="L921" s="354" t="s">
        <v>803</v>
      </c>
      <c r="M921" s="354" t="s">
        <v>803</v>
      </c>
      <c r="N921" s="354" t="s">
        <v>803</v>
      </c>
      <c r="O921" s="354" t="s">
        <v>803</v>
      </c>
      <c r="P921" s="354" t="s">
        <v>803</v>
      </c>
      <c r="Q921" s="354" t="s">
        <v>803</v>
      </c>
      <c r="R921" s="354" t="s">
        <v>803</v>
      </c>
      <c r="S921" s="354" t="s">
        <v>803</v>
      </c>
      <c r="T921" s="354" t="s">
        <v>803</v>
      </c>
      <c r="U921" s="354" t="s">
        <v>803</v>
      </c>
      <c r="V921" s="354" t="s">
        <v>803</v>
      </c>
      <c r="W921" s="354" t="s">
        <v>803</v>
      </c>
      <c r="X921" s="354" t="s">
        <v>803</v>
      </c>
      <c r="Y921" s="354" t="s">
        <v>803</v>
      </c>
      <c r="Z921" s="354" t="s">
        <v>803</v>
      </c>
      <c r="AA921" s="354" t="s">
        <v>803</v>
      </c>
      <c r="AB921" s="354" t="s">
        <v>803</v>
      </c>
      <c r="AC921" s="354" t="s">
        <v>803</v>
      </c>
      <c r="AD921" s="354" t="s">
        <v>803</v>
      </c>
      <c r="AE921" s="354" t="s">
        <v>803</v>
      </c>
      <c r="AF921" s="354" t="s">
        <v>803</v>
      </c>
      <c r="AG921" s="354" t="s">
        <v>803</v>
      </c>
      <c r="AH921" s="354" t="s">
        <v>803</v>
      </c>
      <c r="AI921" s="354" t="s">
        <v>803</v>
      </c>
      <c r="AJ921" s="354" t="s">
        <v>803</v>
      </c>
      <c r="AK921" s="354" t="s">
        <v>803</v>
      </c>
      <c r="AL921" s="354" t="s">
        <v>803</v>
      </c>
      <c r="AM921" s="354" t="s">
        <v>803</v>
      </c>
      <c r="AN921" s="354" t="s">
        <v>803</v>
      </c>
      <c r="AO921" s="354" t="s">
        <v>803</v>
      </c>
      <c r="AP921" s="354" t="s">
        <v>803</v>
      </c>
    </row>
    <row r="922" spans="1:42" ht="14.45" customHeight="1" x14ac:dyDescent="0.25">
      <c r="A922" s="355" t="s">
        <v>805</v>
      </c>
      <c r="B922" s="354"/>
      <c r="C922" s="354" t="s">
        <v>803</v>
      </c>
      <c r="D922" s="354" t="s">
        <v>803</v>
      </c>
      <c r="E922" s="354" t="s">
        <v>803</v>
      </c>
      <c r="F922" s="354" t="s">
        <v>803</v>
      </c>
      <c r="G922" s="354" t="s">
        <v>803</v>
      </c>
      <c r="H922" s="354" t="s">
        <v>803</v>
      </c>
      <c r="I922" s="354" t="s">
        <v>803</v>
      </c>
      <c r="J922" s="354" t="s">
        <v>803</v>
      </c>
      <c r="K922" s="354" t="s">
        <v>803</v>
      </c>
      <c r="L922" s="354" t="s">
        <v>803</v>
      </c>
      <c r="M922" s="354" t="s">
        <v>803</v>
      </c>
      <c r="N922" s="354" t="s">
        <v>803</v>
      </c>
      <c r="O922" s="354" t="s">
        <v>803</v>
      </c>
      <c r="P922" s="354" t="s">
        <v>803</v>
      </c>
      <c r="Q922" s="354" t="s">
        <v>803</v>
      </c>
      <c r="R922" s="354" t="s">
        <v>803</v>
      </c>
      <c r="S922" s="354" t="s">
        <v>803</v>
      </c>
      <c r="T922" s="354" t="s">
        <v>803</v>
      </c>
      <c r="U922" s="354" t="s">
        <v>803</v>
      </c>
      <c r="V922" s="354" t="s">
        <v>803</v>
      </c>
      <c r="W922" s="354" t="s">
        <v>803</v>
      </c>
      <c r="X922" s="354" t="s">
        <v>803</v>
      </c>
      <c r="Y922" s="354" t="s">
        <v>803</v>
      </c>
      <c r="Z922" s="354" t="s">
        <v>803</v>
      </c>
      <c r="AA922" s="354" t="s">
        <v>803</v>
      </c>
      <c r="AB922" s="354" t="s">
        <v>803</v>
      </c>
      <c r="AC922" s="354" t="s">
        <v>803</v>
      </c>
      <c r="AD922" s="354" t="s">
        <v>803</v>
      </c>
      <c r="AE922" s="354" t="s">
        <v>803</v>
      </c>
      <c r="AF922" s="354" t="s">
        <v>803</v>
      </c>
      <c r="AG922" s="354" t="s">
        <v>803</v>
      </c>
      <c r="AH922" s="354" t="s">
        <v>803</v>
      </c>
      <c r="AI922" s="354" t="s">
        <v>803</v>
      </c>
      <c r="AJ922" s="354" t="s">
        <v>803</v>
      </c>
      <c r="AK922" s="354" t="s">
        <v>803</v>
      </c>
      <c r="AL922" s="354" t="s">
        <v>803</v>
      </c>
      <c r="AM922" s="354" t="s">
        <v>803</v>
      </c>
      <c r="AN922" s="354" t="s">
        <v>803</v>
      </c>
      <c r="AO922" s="354" t="s">
        <v>803</v>
      </c>
      <c r="AP922" s="354" t="s">
        <v>803</v>
      </c>
    </row>
    <row r="923" spans="1:42" ht="14.45" customHeight="1" x14ac:dyDescent="0.25">
      <c r="A923" s="357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</row>
    <row r="924" spans="1:42" ht="14.45" customHeight="1" x14ac:dyDescent="0.25">
      <c r="A924" s="358" t="s">
        <v>808</v>
      </c>
      <c r="B924" s="359"/>
      <c r="C924" s="359">
        <v>1</v>
      </c>
      <c r="D924" s="359">
        <v>1</v>
      </c>
      <c r="E924" s="359">
        <v>1</v>
      </c>
      <c r="F924" s="359">
        <v>1</v>
      </c>
      <c r="G924" s="359">
        <v>1</v>
      </c>
      <c r="H924" s="359">
        <v>1</v>
      </c>
      <c r="I924" s="359">
        <v>1</v>
      </c>
      <c r="J924" s="359">
        <v>1</v>
      </c>
      <c r="K924" s="359">
        <v>1</v>
      </c>
      <c r="L924" s="359">
        <v>1</v>
      </c>
      <c r="M924" s="359">
        <v>1</v>
      </c>
      <c r="N924" s="359">
        <v>1</v>
      </c>
      <c r="O924" s="359">
        <v>1</v>
      </c>
      <c r="P924" s="359">
        <v>1</v>
      </c>
      <c r="Q924" s="359">
        <v>1</v>
      </c>
      <c r="R924" s="359">
        <v>1</v>
      </c>
      <c r="S924" s="359">
        <v>1</v>
      </c>
      <c r="T924" s="359">
        <v>1</v>
      </c>
      <c r="U924" s="359">
        <v>1</v>
      </c>
      <c r="V924" s="359">
        <v>1</v>
      </c>
      <c r="W924" s="359">
        <v>1</v>
      </c>
      <c r="X924" s="359">
        <v>1</v>
      </c>
      <c r="Y924" s="359">
        <v>1</v>
      </c>
      <c r="Z924" s="359">
        <v>1</v>
      </c>
      <c r="AA924" s="359">
        <v>1</v>
      </c>
      <c r="AB924" s="359">
        <v>1</v>
      </c>
      <c r="AC924" s="359">
        <v>1</v>
      </c>
      <c r="AD924" s="359">
        <v>1</v>
      </c>
      <c r="AE924" s="359">
        <v>1</v>
      </c>
      <c r="AF924" s="359">
        <v>1</v>
      </c>
      <c r="AG924" s="359">
        <v>1</v>
      </c>
      <c r="AH924" s="359">
        <v>1</v>
      </c>
      <c r="AI924" s="359">
        <v>1</v>
      </c>
      <c r="AJ924" s="359">
        <v>1</v>
      </c>
      <c r="AK924" s="359">
        <v>1</v>
      </c>
      <c r="AL924" s="359">
        <v>1</v>
      </c>
      <c r="AM924" s="359">
        <v>1</v>
      </c>
      <c r="AN924" s="359">
        <v>1</v>
      </c>
      <c r="AO924" s="359">
        <v>1</v>
      </c>
      <c r="AP924" s="359">
        <v>1</v>
      </c>
    </row>
    <row r="925" spans="1:42" ht="14.45" customHeight="1" x14ac:dyDescent="0.25">
      <c r="A925" s="360" t="s">
        <v>801</v>
      </c>
      <c r="B925" s="359"/>
      <c r="C925" s="361">
        <v>1</v>
      </c>
      <c r="D925" s="361">
        <v>1</v>
      </c>
      <c r="E925" s="361">
        <v>1</v>
      </c>
      <c r="F925" s="361">
        <v>1</v>
      </c>
      <c r="G925" s="361">
        <v>1</v>
      </c>
      <c r="H925" s="361">
        <v>1</v>
      </c>
      <c r="I925" s="361">
        <v>1</v>
      </c>
      <c r="J925" s="361">
        <v>1</v>
      </c>
      <c r="K925" s="361">
        <v>1</v>
      </c>
      <c r="L925" s="361">
        <v>1</v>
      </c>
      <c r="M925" s="361">
        <v>1</v>
      </c>
      <c r="N925" s="361">
        <v>1</v>
      </c>
      <c r="O925" s="361">
        <v>1</v>
      </c>
      <c r="P925" s="361">
        <v>1</v>
      </c>
      <c r="Q925" s="361">
        <v>1</v>
      </c>
      <c r="R925" s="361">
        <v>1</v>
      </c>
      <c r="S925" s="361">
        <v>1</v>
      </c>
      <c r="T925" s="361">
        <v>1</v>
      </c>
      <c r="U925" s="361">
        <v>1</v>
      </c>
      <c r="V925" s="361">
        <v>1</v>
      </c>
      <c r="W925" s="361">
        <v>1</v>
      </c>
      <c r="X925" s="361">
        <v>1</v>
      </c>
      <c r="Y925" s="361">
        <v>1</v>
      </c>
      <c r="Z925" s="361">
        <v>1</v>
      </c>
      <c r="AA925" s="361">
        <v>1</v>
      </c>
      <c r="AB925" s="361">
        <v>1</v>
      </c>
      <c r="AC925" s="361">
        <v>1</v>
      </c>
      <c r="AD925" s="361">
        <v>1</v>
      </c>
      <c r="AE925" s="361">
        <v>1</v>
      </c>
      <c r="AF925" s="361">
        <v>1</v>
      </c>
      <c r="AG925" s="361">
        <v>1</v>
      </c>
      <c r="AH925" s="361">
        <v>1</v>
      </c>
      <c r="AI925" s="361">
        <v>1</v>
      </c>
      <c r="AJ925" s="361">
        <v>1</v>
      </c>
      <c r="AK925" s="361">
        <v>1</v>
      </c>
      <c r="AL925" s="361">
        <v>1</v>
      </c>
      <c r="AM925" s="361">
        <v>1</v>
      </c>
      <c r="AN925" s="361">
        <v>1</v>
      </c>
      <c r="AO925" s="361">
        <v>1</v>
      </c>
      <c r="AP925" s="361">
        <v>1</v>
      </c>
    </row>
    <row r="926" spans="1:42" ht="14.45" customHeight="1" x14ac:dyDescent="0.25">
      <c r="A926" s="360" t="s">
        <v>123</v>
      </c>
      <c r="B926" s="359"/>
      <c r="C926" s="359" t="s">
        <v>809</v>
      </c>
      <c r="D926" s="359" t="s">
        <v>809</v>
      </c>
      <c r="E926" s="359" t="s">
        <v>809</v>
      </c>
      <c r="F926" s="359" t="s">
        <v>809</v>
      </c>
      <c r="G926" s="359" t="s">
        <v>809</v>
      </c>
      <c r="H926" s="359" t="s">
        <v>809</v>
      </c>
      <c r="I926" s="359" t="s">
        <v>809</v>
      </c>
      <c r="J926" s="359" t="s">
        <v>809</v>
      </c>
      <c r="K926" s="359" t="s">
        <v>809</v>
      </c>
      <c r="L926" s="359" t="s">
        <v>809</v>
      </c>
      <c r="M926" s="359" t="s">
        <v>809</v>
      </c>
      <c r="N926" s="359" t="s">
        <v>809</v>
      </c>
      <c r="O926" s="359" t="s">
        <v>809</v>
      </c>
      <c r="P926" s="359" t="s">
        <v>809</v>
      </c>
      <c r="Q926" s="359" t="s">
        <v>809</v>
      </c>
      <c r="R926" s="359" t="s">
        <v>809</v>
      </c>
      <c r="S926" s="359" t="s">
        <v>809</v>
      </c>
      <c r="T926" s="359" t="s">
        <v>809</v>
      </c>
      <c r="U926" s="359" t="s">
        <v>809</v>
      </c>
      <c r="V926" s="359" t="s">
        <v>809</v>
      </c>
      <c r="W926" s="359" t="s">
        <v>809</v>
      </c>
      <c r="X926" s="359" t="s">
        <v>809</v>
      </c>
      <c r="Y926" s="359" t="s">
        <v>809</v>
      </c>
      <c r="Z926" s="359" t="s">
        <v>809</v>
      </c>
      <c r="AA926" s="359" t="s">
        <v>809</v>
      </c>
      <c r="AB926" s="359" t="s">
        <v>809</v>
      </c>
      <c r="AC926" s="359" t="s">
        <v>809</v>
      </c>
      <c r="AD926" s="359" t="s">
        <v>809</v>
      </c>
      <c r="AE926" s="359" t="s">
        <v>809</v>
      </c>
      <c r="AF926" s="359" t="s">
        <v>809</v>
      </c>
      <c r="AG926" s="359" t="s">
        <v>809</v>
      </c>
      <c r="AH926" s="359" t="s">
        <v>809</v>
      </c>
      <c r="AI926" s="359" t="s">
        <v>809</v>
      </c>
      <c r="AJ926" s="359" t="s">
        <v>809</v>
      </c>
      <c r="AK926" s="359" t="s">
        <v>809</v>
      </c>
      <c r="AL926" s="359" t="s">
        <v>809</v>
      </c>
      <c r="AM926" s="359" t="s">
        <v>809</v>
      </c>
      <c r="AN926" s="359" t="s">
        <v>809</v>
      </c>
      <c r="AO926" s="359" t="s">
        <v>809</v>
      </c>
      <c r="AP926" s="359" t="s">
        <v>809</v>
      </c>
    </row>
    <row r="927" spans="1:42" ht="14.45" customHeight="1" x14ac:dyDescent="0.25">
      <c r="A927" s="360" t="s">
        <v>802</v>
      </c>
      <c r="B927" s="359"/>
      <c r="C927" s="359" t="s">
        <v>803</v>
      </c>
      <c r="D927" s="359" t="s">
        <v>803</v>
      </c>
      <c r="E927" s="359" t="s">
        <v>803</v>
      </c>
      <c r="F927" s="359" t="s">
        <v>803</v>
      </c>
      <c r="G927" s="359" t="s">
        <v>803</v>
      </c>
      <c r="H927" s="359" t="s">
        <v>803</v>
      </c>
      <c r="I927" s="359" t="s">
        <v>803</v>
      </c>
      <c r="J927" s="359" t="s">
        <v>803</v>
      </c>
      <c r="K927" s="359" t="s">
        <v>803</v>
      </c>
      <c r="L927" s="359" t="s">
        <v>803</v>
      </c>
      <c r="M927" s="359" t="s">
        <v>803</v>
      </c>
      <c r="N927" s="359" t="s">
        <v>803</v>
      </c>
      <c r="O927" s="359" t="s">
        <v>803</v>
      </c>
      <c r="P927" s="359" t="s">
        <v>803</v>
      </c>
      <c r="Q927" s="359" t="s">
        <v>803</v>
      </c>
      <c r="R927" s="359" t="s">
        <v>803</v>
      </c>
      <c r="S927" s="359" t="s">
        <v>803</v>
      </c>
      <c r="T927" s="359" t="s">
        <v>803</v>
      </c>
      <c r="U927" s="359" t="s">
        <v>803</v>
      </c>
      <c r="V927" s="359" t="s">
        <v>803</v>
      </c>
      <c r="W927" s="359" t="s">
        <v>803</v>
      </c>
      <c r="X927" s="359" t="s">
        <v>803</v>
      </c>
      <c r="Y927" s="359" t="s">
        <v>803</v>
      </c>
      <c r="Z927" s="359" t="s">
        <v>803</v>
      </c>
      <c r="AA927" s="359" t="s">
        <v>803</v>
      </c>
      <c r="AB927" s="359" t="s">
        <v>803</v>
      </c>
      <c r="AC927" s="359" t="s">
        <v>803</v>
      </c>
      <c r="AD927" s="359" t="s">
        <v>803</v>
      </c>
      <c r="AE927" s="359" t="s">
        <v>803</v>
      </c>
      <c r="AF927" s="359" t="s">
        <v>803</v>
      </c>
      <c r="AG927" s="359" t="s">
        <v>803</v>
      </c>
      <c r="AH927" s="359" t="s">
        <v>803</v>
      </c>
      <c r="AI927" s="359" t="s">
        <v>803</v>
      </c>
      <c r="AJ927" s="359" t="s">
        <v>803</v>
      </c>
      <c r="AK927" s="359" t="s">
        <v>803</v>
      </c>
      <c r="AL927" s="359" t="s">
        <v>803</v>
      </c>
      <c r="AM927" s="359" t="s">
        <v>803</v>
      </c>
      <c r="AN927" s="359" t="s">
        <v>803</v>
      </c>
      <c r="AO927" s="359" t="s">
        <v>803</v>
      </c>
      <c r="AP927" s="359" t="s">
        <v>803</v>
      </c>
    </row>
    <row r="928" spans="1:42" ht="14.45" customHeight="1" x14ac:dyDescent="0.25">
      <c r="A928" s="360" t="s">
        <v>804</v>
      </c>
      <c r="B928" s="359"/>
      <c r="C928" s="359" t="s">
        <v>803</v>
      </c>
      <c r="D928" s="359" t="s">
        <v>803</v>
      </c>
      <c r="E928" s="359" t="s">
        <v>803</v>
      </c>
      <c r="F928" s="359" t="s">
        <v>803</v>
      </c>
      <c r="G928" s="359" t="s">
        <v>803</v>
      </c>
      <c r="H928" s="359" t="s">
        <v>803</v>
      </c>
      <c r="I928" s="359" t="s">
        <v>803</v>
      </c>
      <c r="J928" s="359" t="s">
        <v>803</v>
      </c>
      <c r="K928" s="359" t="s">
        <v>803</v>
      </c>
      <c r="L928" s="359" t="s">
        <v>803</v>
      </c>
      <c r="M928" s="359" t="s">
        <v>803</v>
      </c>
      <c r="N928" s="359" t="s">
        <v>803</v>
      </c>
      <c r="O928" s="359" t="s">
        <v>803</v>
      </c>
      <c r="P928" s="359" t="s">
        <v>803</v>
      </c>
      <c r="Q928" s="359" t="s">
        <v>803</v>
      </c>
      <c r="R928" s="359" t="s">
        <v>803</v>
      </c>
      <c r="S928" s="359" t="s">
        <v>803</v>
      </c>
      <c r="T928" s="359" t="s">
        <v>803</v>
      </c>
      <c r="U928" s="359" t="s">
        <v>803</v>
      </c>
      <c r="V928" s="359" t="s">
        <v>803</v>
      </c>
      <c r="W928" s="359" t="s">
        <v>803</v>
      </c>
      <c r="X928" s="359" t="s">
        <v>803</v>
      </c>
      <c r="Y928" s="359" t="s">
        <v>803</v>
      </c>
      <c r="Z928" s="359" t="s">
        <v>803</v>
      </c>
      <c r="AA928" s="359" t="s">
        <v>803</v>
      </c>
      <c r="AB928" s="359" t="s">
        <v>803</v>
      </c>
      <c r="AC928" s="359" t="s">
        <v>803</v>
      </c>
      <c r="AD928" s="359" t="s">
        <v>803</v>
      </c>
      <c r="AE928" s="359" t="s">
        <v>803</v>
      </c>
      <c r="AF928" s="359" t="s">
        <v>803</v>
      </c>
      <c r="AG928" s="359" t="s">
        <v>803</v>
      </c>
      <c r="AH928" s="359" t="s">
        <v>803</v>
      </c>
      <c r="AI928" s="359" t="s">
        <v>803</v>
      </c>
      <c r="AJ928" s="359" t="s">
        <v>803</v>
      </c>
      <c r="AK928" s="359" t="s">
        <v>803</v>
      </c>
      <c r="AL928" s="359" t="s">
        <v>803</v>
      </c>
      <c r="AM928" s="359" t="s">
        <v>803</v>
      </c>
      <c r="AN928" s="359" t="s">
        <v>803</v>
      </c>
      <c r="AO928" s="359" t="s">
        <v>803</v>
      </c>
      <c r="AP928" s="359" t="s">
        <v>803</v>
      </c>
    </row>
    <row r="929" spans="1:42" ht="14.45" customHeight="1" x14ac:dyDescent="0.25">
      <c r="A929" s="360" t="s">
        <v>805</v>
      </c>
      <c r="B929" s="359"/>
      <c r="C929" s="359" t="s">
        <v>803</v>
      </c>
      <c r="D929" s="359" t="s">
        <v>803</v>
      </c>
      <c r="E929" s="359" t="s">
        <v>803</v>
      </c>
      <c r="F929" s="359" t="s">
        <v>803</v>
      </c>
      <c r="G929" s="359" t="s">
        <v>803</v>
      </c>
      <c r="H929" s="359" t="s">
        <v>803</v>
      </c>
      <c r="I929" s="359" t="s">
        <v>803</v>
      </c>
      <c r="J929" s="359" t="s">
        <v>803</v>
      </c>
      <c r="K929" s="359" t="s">
        <v>803</v>
      </c>
      <c r="L929" s="359" t="s">
        <v>803</v>
      </c>
      <c r="M929" s="359" t="s">
        <v>803</v>
      </c>
      <c r="N929" s="359" t="s">
        <v>803</v>
      </c>
      <c r="O929" s="359" t="s">
        <v>803</v>
      </c>
      <c r="P929" s="359" t="s">
        <v>803</v>
      </c>
      <c r="Q929" s="359" t="s">
        <v>803</v>
      </c>
      <c r="R929" s="359" t="s">
        <v>803</v>
      </c>
      <c r="S929" s="359" t="s">
        <v>803</v>
      </c>
      <c r="T929" s="359" t="s">
        <v>803</v>
      </c>
      <c r="U929" s="359" t="s">
        <v>803</v>
      </c>
      <c r="V929" s="359" t="s">
        <v>803</v>
      </c>
      <c r="W929" s="359" t="s">
        <v>803</v>
      </c>
      <c r="X929" s="359" t="s">
        <v>803</v>
      </c>
      <c r="Y929" s="359" t="s">
        <v>803</v>
      </c>
      <c r="Z929" s="359" t="s">
        <v>803</v>
      </c>
      <c r="AA929" s="359" t="s">
        <v>803</v>
      </c>
      <c r="AB929" s="359" t="s">
        <v>803</v>
      </c>
      <c r="AC929" s="359" t="s">
        <v>803</v>
      </c>
      <c r="AD929" s="359" t="s">
        <v>803</v>
      </c>
      <c r="AE929" s="359" t="s">
        <v>803</v>
      </c>
      <c r="AF929" s="359" t="s">
        <v>803</v>
      </c>
      <c r="AG929" s="359" t="s">
        <v>803</v>
      </c>
      <c r="AH929" s="359" t="s">
        <v>803</v>
      </c>
      <c r="AI929" s="359" t="s">
        <v>803</v>
      </c>
      <c r="AJ929" s="359" t="s">
        <v>803</v>
      </c>
      <c r="AK929" s="359" t="s">
        <v>803</v>
      </c>
      <c r="AL929" s="359" t="s">
        <v>803</v>
      </c>
      <c r="AM929" s="359" t="s">
        <v>803</v>
      </c>
      <c r="AN929" s="359" t="s">
        <v>803</v>
      </c>
      <c r="AO929" s="359" t="s">
        <v>803</v>
      </c>
      <c r="AP929" s="359" t="s">
        <v>803</v>
      </c>
    </row>
    <row r="930" spans="1:42" ht="14.45" customHeight="1" x14ac:dyDescent="0.25">
      <c r="A930" s="357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</row>
    <row r="931" spans="1:42" ht="14.45" customHeight="1" x14ac:dyDescent="0.25">
      <c r="A931" s="357" t="s">
        <v>810</v>
      </c>
      <c r="B931" s="63"/>
      <c r="C931" s="352">
        <v>42461</v>
      </c>
      <c r="D931" s="352">
        <v>42552</v>
      </c>
      <c r="E931" s="352">
        <v>42643</v>
      </c>
      <c r="F931" s="352">
        <v>42734</v>
      </c>
      <c r="G931" s="352">
        <v>42825</v>
      </c>
      <c r="H931" s="352">
        <v>42916</v>
      </c>
      <c r="I931" s="352">
        <v>43007</v>
      </c>
      <c r="J931" s="352">
        <v>43098</v>
      </c>
      <c r="K931" s="352">
        <v>43189</v>
      </c>
      <c r="L931" s="352">
        <v>43280</v>
      </c>
      <c r="M931" s="352">
        <v>43371</v>
      </c>
      <c r="N931" s="352">
        <v>43462</v>
      </c>
      <c r="O931" s="352">
        <v>43553</v>
      </c>
      <c r="P931" s="352">
        <v>43644</v>
      </c>
      <c r="Q931" s="352">
        <v>43735</v>
      </c>
      <c r="R931" s="352">
        <v>43826</v>
      </c>
      <c r="S931" s="352">
        <v>43917</v>
      </c>
      <c r="T931" s="352">
        <v>44008</v>
      </c>
      <c r="U931" s="352">
        <v>44099</v>
      </c>
      <c r="V931" s="352">
        <v>44195</v>
      </c>
      <c r="W931" s="352">
        <v>44287</v>
      </c>
      <c r="X931" s="352">
        <v>44378</v>
      </c>
      <c r="Y931" s="352">
        <v>44469</v>
      </c>
      <c r="Z931" s="352">
        <v>44560</v>
      </c>
      <c r="AA931" s="352">
        <v>44651</v>
      </c>
      <c r="AB931" s="352">
        <v>44743</v>
      </c>
      <c r="AC931" s="352">
        <v>44833</v>
      </c>
      <c r="AD931" s="352">
        <v>44925</v>
      </c>
      <c r="AE931" s="352">
        <v>45015</v>
      </c>
      <c r="AF931" s="352">
        <v>45106</v>
      </c>
      <c r="AG931" s="352">
        <v>45197</v>
      </c>
      <c r="AH931" s="352">
        <v>45289</v>
      </c>
      <c r="AI931" s="352">
        <v>45379</v>
      </c>
      <c r="AJ931" s="352">
        <v>45470</v>
      </c>
      <c r="AK931" s="352">
        <v>45561</v>
      </c>
      <c r="AL931" s="352">
        <v>45656</v>
      </c>
      <c r="AM931" s="352">
        <v>45743</v>
      </c>
      <c r="AN931" s="352">
        <v>45834</v>
      </c>
      <c r="AO931" s="352">
        <v>45925</v>
      </c>
      <c r="AP931" s="352">
        <v>46021</v>
      </c>
    </row>
    <row r="932" spans="1:42" ht="14.45" customHeight="1" x14ac:dyDescent="0.25">
      <c r="A932" s="357" t="s">
        <v>811</v>
      </c>
      <c r="B932" s="63"/>
      <c r="C932" s="362">
        <v>15.875707999999999</v>
      </c>
      <c r="D932" s="362">
        <v>14.131907</v>
      </c>
      <c r="E932" s="362">
        <v>14.457833000000001</v>
      </c>
      <c r="F932" s="362">
        <v>17.452642000000001</v>
      </c>
      <c r="G932" s="362">
        <v>20.103960000000001</v>
      </c>
      <c r="H932" s="362">
        <v>22.333722000000002</v>
      </c>
      <c r="I932" s="362">
        <v>21.053439000000001</v>
      </c>
      <c r="J932" s="362">
        <v>21.005623</v>
      </c>
      <c r="K932" s="362">
        <v>16.849582000000002</v>
      </c>
      <c r="L932" s="362">
        <v>13.186332</v>
      </c>
      <c r="M932" s="362">
        <v>17.78735</v>
      </c>
      <c r="N932" s="362">
        <v>17.520949999999999</v>
      </c>
      <c r="O932" s="362">
        <v>28.08719</v>
      </c>
      <c r="P932" s="362">
        <v>29.201582999999999</v>
      </c>
      <c r="Q932" s="362">
        <v>29.387965000000001</v>
      </c>
      <c r="R932" s="362">
        <v>28.65512</v>
      </c>
      <c r="S932" s="362">
        <v>19.625806000000001</v>
      </c>
      <c r="T932" s="362">
        <v>21.592093999999999</v>
      </c>
      <c r="U932" s="362">
        <v>23.435428999999999</v>
      </c>
      <c r="V932" s="362">
        <v>26.005754</v>
      </c>
      <c r="W932" s="362">
        <v>28.217949999999998</v>
      </c>
      <c r="X932" s="362">
        <v>38.755892000000003</v>
      </c>
      <c r="Y932" s="362">
        <v>38.465096000000003</v>
      </c>
      <c r="Z932" s="362">
        <v>60.198684999999998</v>
      </c>
      <c r="AA932" s="362">
        <v>48.483898000000003</v>
      </c>
      <c r="AB932" s="362">
        <v>56.115830000000003</v>
      </c>
      <c r="AC932" s="362">
        <v>40.881239999999998</v>
      </c>
      <c r="AD932" s="362">
        <v>49.997402999999998</v>
      </c>
      <c r="AE932" s="362">
        <v>52.341859999999997</v>
      </c>
      <c r="AF932" s="362">
        <v>62.766447999999997</v>
      </c>
      <c r="AG932" s="362">
        <v>63.165014999999997</v>
      </c>
      <c r="AH932" s="362">
        <v>91.140294999999995</v>
      </c>
      <c r="AI932" s="362">
        <v>84.641000000000005</v>
      </c>
      <c r="AJ932" s="362">
        <v>107.08799999999999</v>
      </c>
      <c r="AK932" s="362">
        <v>128.64099999999999</v>
      </c>
      <c r="AL932" s="362">
        <v>124</v>
      </c>
      <c r="AM932" s="362">
        <v>131.5</v>
      </c>
      <c r="AN932" s="362">
        <v>110.88</v>
      </c>
      <c r="AO932" s="362">
        <v>113.93</v>
      </c>
      <c r="AP932" s="362">
        <v>154.66</v>
      </c>
    </row>
    <row r="933" spans="1:42" ht="14.45" customHeight="1" x14ac:dyDescent="0.25">
      <c r="A933" s="357" t="s">
        <v>812</v>
      </c>
      <c r="B933" s="63"/>
      <c r="C933" s="361">
        <v>1</v>
      </c>
      <c r="D933" s="361">
        <v>1</v>
      </c>
      <c r="E933" s="361">
        <v>1</v>
      </c>
      <c r="F933" s="361">
        <v>1</v>
      </c>
      <c r="G933" s="361">
        <v>1</v>
      </c>
      <c r="H933" s="361">
        <v>1</v>
      </c>
      <c r="I933" s="361">
        <v>1</v>
      </c>
      <c r="J933" s="361">
        <v>1</v>
      </c>
      <c r="K933" s="361">
        <v>1</v>
      </c>
      <c r="L933" s="361">
        <v>1</v>
      </c>
      <c r="M933" s="361">
        <v>1</v>
      </c>
      <c r="N933" s="361">
        <v>1</v>
      </c>
      <c r="O933" s="361">
        <v>1</v>
      </c>
      <c r="P933" s="361">
        <v>1</v>
      </c>
      <c r="Q933" s="361">
        <v>1</v>
      </c>
      <c r="R933" s="361">
        <v>1</v>
      </c>
      <c r="S933" s="361">
        <v>1</v>
      </c>
      <c r="T933" s="361">
        <v>1</v>
      </c>
      <c r="U933" s="361">
        <v>1</v>
      </c>
      <c r="V933" s="361">
        <v>1</v>
      </c>
      <c r="W933" s="361">
        <v>1</v>
      </c>
      <c r="X933" s="361">
        <v>1</v>
      </c>
      <c r="Y933" s="361">
        <v>1</v>
      </c>
      <c r="Z933" s="361">
        <v>1</v>
      </c>
      <c r="AA933" s="361">
        <v>1</v>
      </c>
      <c r="AB933" s="361">
        <v>1</v>
      </c>
      <c r="AC933" s="361">
        <v>1</v>
      </c>
      <c r="AD933" s="361">
        <v>1</v>
      </c>
      <c r="AE933" s="361">
        <v>1</v>
      </c>
      <c r="AF933" s="361">
        <v>1</v>
      </c>
      <c r="AG933" s="361">
        <v>1</v>
      </c>
      <c r="AH933" s="361">
        <v>1</v>
      </c>
      <c r="AI933" s="361">
        <v>1</v>
      </c>
      <c r="AJ933" s="361">
        <v>1</v>
      </c>
      <c r="AK933" s="361">
        <v>1</v>
      </c>
      <c r="AL933" s="361">
        <v>1</v>
      </c>
      <c r="AM933" s="361">
        <v>1</v>
      </c>
      <c r="AN933" s="361">
        <v>1</v>
      </c>
      <c r="AO933" s="361">
        <v>1</v>
      </c>
      <c r="AP933" s="361">
        <v>1</v>
      </c>
    </row>
    <row r="934" spans="1:42" ht="14.45" customHeight="1" x14ac:dyDescent="0.25">
      <c r="A934" s="363"/>
      <c r="B934" s="158"/>
      <c r="C934" s="364"/>
      <c r="D934" s="364"/>
      <c r="E934" s="364"/>
      <c r="F934" s="364"/>
      <c r="G934" s="364"/>
      <c r="H934" s="364"/>
      <c r="I934" s="364"/>
      <c r="J934" s="364"/>
      <c r="K934" s="364"/>
      <c r="L934" s="364"/>
      <c r="M934" s="364"/>
      <c r="N934" s="364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  <c r="AA934" s="364"/>
      <c r="AB934" s="364"/>
      <c r="AC934" s="364"/>
      <c r="AD934" s="364"/>
      <c r="AE934" s="364"/>
      <c r="AF934" s="364"/>
      <c r="AG934" s="364"/>
      <c r="AH934" s="364"/>
      <c r="AI934" s="364"/>
      <c r="AJ934" s="364"/>
      <c r="AK934" s="364"/>
      <c r="AL934" s="364"/>
      <c r="AM934" s="364"/>
      <c r="AN934" s="364"/>
      <c r="AO934" s="364"/>
      <c r="AP934" s="364"/>
    </row>
    <row r="935" spans="1:42" ht="14.45" customHeight="1" x14ac:dyDescent="0.25">
      <c r="A935" s="323"/>
      <c r="B935" s="349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4"/>
      <c r="AD935" s="254"/>
      <c r="AE935" s="254"/>
      <c r="AF935" s="254"/>
      <c r="AG935" s="254"/>
      <c r="AH935" s="254"/>
      <c r="AI935" s="254"/>
      <c r="AJ935" s="254"/>
      <c r="AK935" s="254"/>
      <c r="AL935" s="254"/>
      <c r="AM935" s="254"/>
      <c r="AN935" s="254"/>
      <c r="AO935" s="254"/>
      <c r="AP935" s="254"/>
    </row>
    <row r="936" spans="1:42" ht="14.45" customHeight="1" x14ac:dyDescent="0.25">
      <c r="A936" s="365" t="s">
        <v>813</v>
      </c>
      <c r="B936" s="25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</row>
    <row r="937" spans="1:42" ht="14.45" customHeight="1" x14ac:dyDescent="0.25">
      <c r="A937" s="289" t="s">
        <v>814</v>
      </c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  <c r="AB937" s="354"/>
      <c r="AC937" s="354"/>
      <c r="AD937" s="354"/>
      <c r="AE937" s="354"/>
      <c r="AF937" s="354"/>
      <c r="AG937" s="354"/>
      <c r="AH937" s="354"/>
      <c r="AI937" s="354"/>
      <c r="AJ937" s="354"/>
      <c r="AK937" s="354"/>
      <c r="AL937" s="354"/>
      <c r="AM937" s="354"/>
      <c r="AN937" s="354"/>
      <c r="AO937" s="354"/>
      <c r="AP937" s="354"/>
    </row>
    <row r="938" spans="1:42" ht="14.45" customHeight="1" x14ac:dyDescent="0.25">
      <c r="A938" s="125" t="s">
        <v>815</v>
      </c>
      <c r="B938" s="3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</row>
    <row r="939" spans="1:42" ht="14.45" customHeight="1" x14ac:dyDescent="0.25">
      <c r="A939" s="125" t="s">
        <v>816</v>
      </c>
      <c r="B939" s="367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</row>
    <row r="940" spans="1:42" ht="14.45" customHeight="1" x14ac:dyDescent="0.25">
      <c r="A940" s="289" t="s">
        <v>817</v>
      </c>
      <c r="B940" s="368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  <c r="AB940" s="354"/>
      <c r="AC940" s="354"/>
      <c r="AD940" s="354"/>
      <c r="AE940" s="354"/>
      <c r="AF940" s="354"/>
      <c r="AG940" s="354"/>
      <c r="AH940" s="354"/>
      <c r="AI940" s="354"/>
      <c r="AJ940" s="354"/>
      <c r="AK940" s="354"/>
      <c r="AL940" s="354"/>
      <c r="AM940" s="354"/>
      <c r="AN940" s="354"/>
      <c r="AO940" s="354"/>
      <c r="AP940" s="354"/>
    </row>
    <row r="941" spans="1:42" ht="14.45" customHeight="1" x14ac:dyDescent="0.25">
      <c r="A941" s="289" t="s">
        <v>818</v>
      </c>
      <c r="B941" s="368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  <c r="AB941" s="354"/>
      <c r="AC941" s="354"/>
      <c r="AD941" s="354"/>
      <c r="AE941" s="354"/>
      <c r="AF941" s="354"/>
      <c r="AG941" s="354"/>
      <c r="AH941" s="354"/>
      <c r="AI941" s="354"/>
      <c r="AJ941" s="354"/>
      <c r="AK941" s="354"/>
      <c r="AL941" s="354"/>
      <c r="AM941" s="354"/>
      <c r="AN941" s="354"/>
      <c r="AO941" s="354"/>
      <c r="AP941" s="354"/>
    </row>
    <row r="942" spans="1:42" ht="14.45" customHeight="1" x14ac:dyDescent="0.25">
      <c r="A942" s="289" t="s">
        <v>819</v>
      </c>
      <c r="B942" s="368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  <c r="AB942" s="354"/>
      <c r="AC942" s="354"/>
      <c r="AD942" s="354"/>
      <c r="AE942" s="354"/>
      <c r="AF942" s="354"/>
      <c r="AG942" s="354"/>
      <c r="AH942" s="354"/>
      <c r="AI942" s="354"/>
      <c r="AJ942" s="354"/>
      <c r="AK942" s="354"/>
      <c r="AL942" s="354"/>
      <c r="AM942" s="354"/>
      <c r="AN942" s="354"/>
      <c r="AO942" s="354"/>
      <c r="AP942" s="354"/>
    </row>
    <row r="943" spans="1:42" ht="14.45" customHeight="1" x14ac:dyDescent="0.25">
      <c r="A943" s="289" t="s">
        <v>820</v>
      </c>
      <c r="B943" s="356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  <c r="AB943" s="354"/>
      <c r="AC943" s="354"/>
      <c r="AD943" s="354"/>
      <c r="AE943" s="354"/>
      <c r="AF943" s="354"/>
      <c r="AG943" s="354"/>
      <c r="AH943" s="354"/>
      <c r="AI943" s="354"/>
      <c r="AJ943" s="354"/>
      <c r="AK943" s="354"/>
      <c r="AL943" s="354"/>
      <c r="AM943" s="354"/>
      <c r="AN943" s="354"/>
      <c r="AO943" s="354"/>
      <c r="AP943" s="354"/>
    </row>
    <row r="944" spans="1:42" ht="14.45" customHeight="1" x14ac:dyDescent="0.25">
      <c r="A944" s="289" t="s">
        <v>821</v>
      </c>
      <c r="B944" s="356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  <c r="AB944" s="354"/>
      <c r="AC944" s="354"/>
      <c r="AD944" s="354"/>
      <c r="AE944" s="354"/>
      <c r="AF944" s="354"/>
      <c r="AG944" s="354"/>
      <c r="AH944" s="354"/>
      <c r="AI944" s="354"/>
      <c r="AJ944" s="354"/>
      <c r="AK944" s="354"/>
      <c r="AL944" s="354"/>
      <c r="AM944" s="354"/>
      <c r="AN944" s="354"/>
      <c r="AO944" s="354"/>
      <c r="AP944" s="354"/>
    </row>
    <row r="945" spans="1:42" ht="14.45" customHeight="1" x14ac:dyDescent="0.25">
      <c r="A945" s="289" t="s">
        <v>822</v>
      </c>
      <c r="B945" s="369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  <c r="AB945" s="354"/>
      <c r="AC945" s="354"/>
      <c r="AD945" s="354"/>
      <c r="AE945" s="354"/>
      <c r="AF945" s="354"/>
      <c r="AG945" s="354"/>
      <c r="AH945" s="354"/>
      <c r="AI945" s="354"/>
      <c r="AJ945" s="354"/>
      <c r="AK945" s="354"/>
      <c r="AL945" s="354"/>
      <c r="AM945" s="354"/>
      <c r="AN945" s="354"/>
      <c r="AO945" s="354"/>
      <c r="AP945" s="354"/>
    </row>
    <row r="946" spans="1:42" ht="14.45" customHeight="1" x14ac:dyDescent="0.25">
      <c r="A946" s="289" t="s">
        <v>823</v>
      </c>
      <c r="B946" s="361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  <c r="AB946" s="354"/>
      <c r="AC946" s="354"/>
      <c r="AD946" s="354"/>
      <c r="AE946" s="354"/>
      <c r="AF946" s="354"/>
      <c r="AG946" s="354"/>
      <c r="AH946" s="354"/>
      <c r="AI946" s="354"/>
      <c r="AJ946" s="354"/>
      <c r="AK946" s="354"/>
      <c r="AL946" s="354"/>
      <c r="AM946" s="354"/>
      <c r="AN946" s="354"/>
      <c r="AO946" s="354"/>
      <c r="AP946" s="354"/>
    </row>
    <row r="947" spans="1:42" ht="14.45" customHeight="1" x14ac:dyDescent="0.25">
      <c r="A947" s="171" t="s">
        <v>824</v>
      </c>
      <c r="B947" s="370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</row>
    <row r="948" spans="1:42" ht="14.45" customHeight="1" x14ac:dyDescent="0.25">
      <c r="A948" s="171" t="s">
        <v>825</v>
      </c>
      <c r="B948" s="371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</row>
    <row r="949" spans="1:42" ht="14.45" customHeight="1" x14ac:dyDescent="0.25">
      <c r="A949" s="171" t="s">
        <v>826</v>
      </c>
      <c r="B949" s="370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</row>
    <row r="950" spans="1:42" ht="14.45" customHeight="1" x14ac:dyDescent="0.25">
      <c r="A950" s="171" t="s">
        <v>827</v>
      </c>
      <c r="B950" s="370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</row>
    <row r="951" spans="1:42" ht="14.45" customHeight="1" x14ac:dyDescent="0.25">
      <c r="A951" s="171" t="s">
        <v>828</v>
      </c>
      <c r="B951" s="370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</row>
    <row r="952" spans="1:42" ht="14.45" customHeight="1" x14ac:dyDescent="0.25">
      <c r="A952" s="372" t="s">
        <v>829</v>
      </c>
      <c r="B952" s="3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</row>
    <row r="953" spans="1:42" ht="14.45" customHeight="1" x14ac:dyDescent="0.25">
      <c r="A953" s="374"/>
      <c r="B953" s="374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</row>
    <row r="954" spans="1:42" ht="14.45" customHeight="1" x14ac:dyDescent="0.25">
      <c r="A954" s="243" t="s">
        <v>830</v>
      </c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  <c r="AA954" s="375"/>
      <c r="AB954" s="375"/>
      <c r="AC954" s="375"/>
      <c r="AD954" s="375"/>
      <c r="AE954" s="375"/>
      <c r="AF954" s="375"/>
      <c r="AG954" s="375"/>
      <c r="AH954" s="375"/>
      <c r="AI954" s="375"/>
      <c r="AJ954" s="375"/>
      <c r="AK954" s="375"/>
      <c r="AL954" s="375"/>
      <c r="AM954" s="375"/>
      <c r="AN954" s="375"/>
      <c r="AO954" s="375"/>
      <c r="AP954" s="375"/>
    </row>
    <row r="955" spans="1:42" ht="14.45" customHeight="1" x14ac:dyDescent="0.25">
      <c r="A955" s="367"/>
      <c r="B955" s="367"/>
      <c r="C955" s="367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  <c r="AA955" s="367"/>
      <c r="AB955" s="367"/>
      <c r="AC955" s="367"/>
      <c r="AD955" s="367"/>
      <c r="AE955" s="367"/>
      <c r="AF955" s="367"/>
      <c r="AG955" s="367"/>
      <c r="AH955" s="367"/>
      <c r="AI955" s="367"/>
      <c r="AJ955" s="367"/>
      <c r="AK955" s="367"/>
      <c r="AL955" s="367"/>
      <c r="AM955" s="367"/>
      <c r="AN955" s="367"/>
      <c r="AO955" s="367"/>
      <c r="AP955" s="36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955"/>
  <sheetViews>
    <sheetView workbookViewId="0">
      <selection activeCell="B1" sqref="B1"/>
    </sheetView>
  </sheetViews>
  <sheetFormatPr defaultColWidth="8.85546875" defaultRowHeight="15" x14ac:dyDescent="0.25"/>
  <cols>
    <col min="1" max="1" width="50.7109375" customWidth="1"/>
    <col min="2" max="2" width="10.7109375" customWidth="1"/>
    <col min="3" max="3" width="9.7109375" customWidth="1"/>
    <col min="7" max="7" width="9.7109375" hidden="1" customWidth="1"/>
    <col min="11" max="11" width="9.7109375" customWidth="1"/>
    <col min="12" max="12" width="9.7109375" hidden="1" customWidth="1"/>
    <col min="16" max="16" width="9.7109375" customWidth="1"/>
    <col min="17" max="17" width="9.7109375" hidden="1" customWidth="1"/>
    <col min="21" max="21" width="9.7109375" customWidth="1"/>
    <col min="22" max="22" width="9.7109375" hidden="1" customWidth="1"/>
    <col min="26" max="26" width="9.7109375" customWidth="1"/>
    <col min="27" max="27" width="9.7109375" hidden="1" customWidth="1"/>
    <col min="31" max="32" width="9.7109375" customWidth="1"/>
    <col min="36" max="36" width="9.7109375" customWidth="1"/>
    <col min="37" max="37" width="9.7109375" hidden="1" customWidth="1"/>
    <col min="41" max="41" width="9.7109375" customWidth="1"/>
    <col min="42" max="42" width="9.7109375" hidden="1" customWidth="1"/>
    <col min="46" max="46" width="9.7109375" customWidth="1"/>
    <col min="47" max="47" width="9.7109375" hidden="1" customWidth="1"/>
    <col min="51" max="51" width="9.7109375" customWidth="1"/>
    <col min="52" max="52" width="9.7109375" hidden="1" customWidth="1"/>
    <col min="56" max="56" width="9.7109375" customWidth="1"/>
    <col min="57" max="57" width="9.7109375" hidden="1" customWidth="1"/>
    <col min="61" max="61" width="9.7109375" customWidth="1"/>
    <col min="62" max="62" width="9.7109375" hidden="1" customWidth="1"/>
    <col min="66" max="67" width="9.7109375" customWidth="1"/>
    <col min="71" max="72" width="9.7109375" customWidth="1"/>
    <col min="76" max="77" width="9.7109375" customWidth="1"/>
    <col min="81" max="81" width="9.7109375" customWidth="1"/>
    <col min="85" max="85" width="9.28515625" customWidth="1"/>
  </cols>
  <sheetData>
    <row r="1" spans="1:85" ht="28.5" customHeight="1" x14ac:dyDescent="0.4">
      <c r="A1" s="62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376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99"/>
    </row>
    <row r="2" spans="1:85" ht="14.45" customHeight="1" x14ac:dyDescent="0.25">
      <c r="A2" s="64" t="e">
        <f>CHOOSE(MO.DataSourceIndex,MO.Ticker.Bloomberg,MO.Ticker.CapIQ,MO.Ticker.FactSet,MO.Ticker.Thomson)</f>
        <v>#NAME?</v>
      </c>
      <c r="B2" s="65"/>
      <c r="C2" s="377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7" t="s">
        <v>120</v>
      </c>
      <c r="AB2" s="67" t="s">
        <v>120</v>
      </c>
      <c r="AC2" s="67" t="s">
        <v>120</v>
      </c>
      <c r="AD2" s="67" t="s">
        <v>120</v>
      </c>
      <c r="AE2" s="67" t="s">
        <v>120</v>
      </c>
      <c r="AF2" s="67" t="s">
        <v>121</v>
      </c>
      <c r="AG2" s="67" t="s">
        <v>121</v>
      </c>
      <c r="AH2" s="67" t="s">
        <v>121</v>
      </c>
      <c r="AI2" s="66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37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379"/>
    </row>
    <row r="3" spans="1:85" ht="14.45" customHeight="1" x14ac:dyDescent="0.25">
      <c r="A3" s="69" t="e">
        <f>HP.TradeCurrency</f>
        <v>#NAME?</v>
      </c>
      <c r="B3" s="70" t="e">
        <f>IF(MO.RealTime="OFF",MO.LastPriceHardcoded,MO.LastPriceFormula)</f>
        <v>#NAME?</v>
      </c>
      <c r="C3" s="380">
        <v>371</v>
      </c>
      <c r="D3" s="381">
        <f t="shared" ref="D3:J3" si="0">D4-C4</f>
        <v>364</v>
      </c>
      <c r="E3" s="381">
        <f t="shared" si="0"/>
        <v>364</v>
      </c>
      <c r="F3" s="381">
        <f t="shared" si="0"/>
        <v>364</v>
      </c>
      <c r="G3" s="71">
        <f t="shared" si="0"/>
        <v>91</v>
      </c>
      <c r="H3" s="71">
        <f t="shared" si="0"/>
        <v>91</v>
      </c>
      <c r="I3" s="71">
        <f t="shared" si="0"/>
        <v>91</v>
      </c>
      <c r="J3" s="71">
        <f t="shared" si="0"/>
        <v>91</v>
      </c>
      <c r="K3" s="381">
        <f>K4-F4</f>
        <v>364</v>
      </c>
      <c r="L3" s="71">
        <f>L4-K4</f>
        <v>91</v>
      </c>
      <c r="M3" s="71">
        <f>M4-L4</f>
        <v>91</v>
      </c>
      <c r="N3" s="71">
        <f>N4-M4</f>
        <v>91</v>
      </c>
      <c r="O3" s="71">
        <f>O4-N4</f>
        <v>91</v>
      </c>
      <c r="P3" s="381">
        <f>P4-K4</f>
        <v>364</v>
      </c>
      <c r="Q3" s="71">
        <f>Q4-P4</f>
        <v>91</v>
      </c>
      <c r="R3" s="71">
        <f>R4-Q4</f>
        <v>91</v>
      </c>
      <c r="S3" s="71">
        <f>S4-R4</f>
        <v>91</v>
      </c>
      <c r="T3" s="71">
        <f>T4-S4</f>
        <v>98</v>
      </c>
      <c r="U3" s="381">
        <f>U4-P4</f>
        <v>371</v>
      </c>
      <c r="V3" s="71">
        <f>V4-U4</f>
        <v>91</v>
      </c>
      <c r="W3" s="71">
        <f>W4-V4</f>
        <v>91</v>
      </c>
      <c r="X3" s="71">
        <f>X4-W4</f>
        <v>91</v>
      </c>
      <c r="Y3" s="71">
        <f>Y4-X4</f>
        <v>91</v>
      </c>
      <c r="Z3" s="381">
        <f>Z4-U4</f>
        <v>364</v>
      </c>
      <c r="AA3" s="71">
        <f>AA4-Z4</f>
        <v>91</v>
      </c>
      <c r="AB3" s="71">
        <f>AB4-AA4</f>
        <v>91</v>
      </c>
      <c r="AC3" s="71">
        <f>AC4-AB4</f>
        <v>91</v>
      </c>
      <c r="AD3" s="71">
        <f>AD4-AC4</f>
        <v>91</v>
      </c>
      <c r="AE3" s="381">
        <f>AE4-Z4</f>
        <v>364</v>
      </c>
      <c r="AF3" s="71">
        <f>AF4-AE4</f>
        <v>91</v>
      </c>
      <c r="AG3" s="71">
        <f>AG4-AF4</f>
        <v>91</v>
      </c>
      <c r="AH3" s="71">
        <f>AH4-AG4</f>
        <v>91</v>
      </c>
      <c r="AI3" s="71">
        <f>AI4-AH4</f>
        <v>91</v>
      </c>
      <c r="AJ3" s="381">
        <f>AJ4-AE4</f>
        <v>364</v>
      </c>
      <c r="AK3" s="71">
        <f>AK4-AJ4</f>
        <v>91</v>
      </c>
      <c r="AL3" s="71">
        <f>AL4-AK4</f>
        <v>91</v>
      </c>
      <c r="AM3" s="71">
        <f>AM4-AL4</f>
        <v>91</v>
      </c>
      <c r="AN3" s="71">
        <f>AN4-AM4</f>
        <v>91</v>
      </c>
      <c r="AO3" s="381">
        <f>AO4-AJ4</f>
        <v>364</v>
      </c>
      <c r="AP3" s="71">
        <f>AP4-AO4</f>
        <v>91</v>
      </c>
      <c r="AQ3" s="71">
        <f>AQ4-AP4</f>
        <v>91</v>
      </c>
      <c r="AR3" s="71">
        <f>AR4-AQ4</f>
        <v>91</v>
      </c>
      <c r="AS3" s="71">
        <f>AS4-AR4</f>
        <v>95</v>
      </c>
      <c r="AT3" s="381">
        <f>AT4-AO4</f>
        <v>368</v>
      </c>
      <c r="AU3" s="71">
        <f>AU4-AT4</f>
        <v>92</v>
      </c>
      <c r="AV3" s="71">
        <f>AV4-AU4</f>
        <v>91</v>
      </c>
      <c r="AW3" s="71">
        <f>AW4-AV4</f>
        <v>91</v>
      </c>
      <c r="AX3" s="71">
        <f>AX4-AW4</f>
        <v>91</v>
      </c>
      <c r="AY3" s="381">
        <f>AY4-AT4</f>
        <v>365</v>
      </c>
      <c r="AZ3" s="71">
        <f>AZ4-AY4</f>
        <v>91</v>
      </c>
      <c r="BA3" s="71">
        <f>BA4-AZ4</f>
        <v>92</v>
      </c>
      <c r="BB3" s="71">
        <f>BB4-BA4</f>
        <v>90</v>
      </c>
      <c r="BC3" s="71">
        <f>BC4-BB4</f>
        <v>92</v>
      </c>
      <c r="BD3" s="381">
        <f>BD4-AY4</f>
        <v>365</v>
      </c>
      <c r="BE3" s="71">
        <f>BE4-BD4</f>
        <v>90</v>
      </c>
      <c r="BF3" s="71">
        <f>BF4-BE4</f>
        <v>91</v>
      </c>
      <c r="BG3" s="71">
        <f>BG4-BF4</f>
        <v>91</v>
      </c>
      <c r="BH3" s="71">
        <f>BH4-BG4</f>
        <v>93</v>
      </c>
      <c r="BI3" s="381">
        <f>BI4-BD4</f>
        <v>365</v>
      </c>
      <c r="BJ3" s="71">
        <f>BJ4-BI4</f>
        <v>89</v>
      </c>
      <c r="BK3" s="71">
        <f>BK4-BJ4</f>
        <v>91</v>
      </c>
      <c r="BL3" s="71">
        <f>BL4-BK4</f>
        <v>91</v>
      </c>
      <c r="BM3" s="71">
        <f>BM4-BL4</f>
        <v>95</v>
      </c>
      <c r="BN3" s="381">
        <f>BN4-BI4</f>
        <v>366</v>
      </c>
      <c r="BO3" s="71">
        <f>BO4-BN4</f>
        <v>87</v>
      </c>
      <c r="BP3" s="71">
        <f>BP4-BO4</f>
        <v>91</v>
      </c>
      <c r="BQ3" s="71">
        <f>BQ4-BP4</f>
        <v>91</v>
      </c>
      <c r="BR3" s="71">
        <f>BR4-BQ4</f>
        <v>96</v>
      </c>
      <c r="BS3" s="382">
        <f>BS4-BN4</f>
        <v>365</v>
      </c>
      <c r="BT3" s="383">
        <v>91</v>
      </c>
      <c r="BU3" s="383">
        <v>91</v>
      </c>
      <c r="BV3" s="383">
        <v>91</v>
      </c>
      <c r="BW3" s="383">
        <v>92</v>
      </c>
      <c r="BX3" s="381">
        <f>BX4-BS4</f>
        <v>365</v>
      </c>
      <c r="BY3" s="383">
        <v>91</v>
      </c>
      <c r="BZ3" s="383">
        <v>91</v>
      </c>
      <c r="CA3" s="383">
        <v>91</v>
      </c>
      <c r="CB3" s="383">
        <v>92</v>
      </c>
      <c r="CC3" s="381">
        <f>CC4-BX4</f>
        <v>365</v>
      </c>
      <c r="CD3" s="380">
        <v>366</v>
      </c>
      <c r="CE3" s="380">
        <v>365</v>
      </c>
      <c r="CF3" s="380">
        <v>365</v>
      </c>
      <c r="CG3" s="384"/>
    </row>
    <row r="4" spans="1:85" ht="14.45" customHeight="1" x14ac:dyDescent="0.25">
      <c r="A4" s="72" t="e">
        <f>FP.DataSourceName</f>
        <v>#NAME?</v>
      </c>
      <c r="B4" s="73" t="e">
        <f>IF(AND(MO.RealTimeStockPriceToggle,MO.LastPriceFormula&lt;&gt;"N/A"),"ON","OFF")</f>
        <v>#NAME?</v>
      </c>
      <c r="C4" s="385">
        <v>40181</v>
      </c>
      <c r="D4" s="386">
        <v>40545</v>
      </c>
      <c r="E4" s="386">
        <v>40909</v>
      </c>
      <c r="F4" s="386">
        <v>41273</v>
      </c>
      <c r="G4" s="74">
        <v>41364</v>
      </c>
      <c r="H4" s="74">
        <v>41455</v>
      </c>
      <c r="I4" s="74">
        <v>41546</v>
      </c>
      <c r="J4" s="74">
        <v>41637</v>
      </c>
      <c r="K4" s="387">
        <f>J4</f>
        <v>41637</v>
      </c>
      <c r="L4" s="74">
        <v>41728</v>
      </c>
      <c r="M4" s="74">
        <v>41819</v>
      </c>
      <c r="N4" s="74">
        <v>41910</v>
      </c>
      <c r="O4" s="74">
        <v>42001</v>
      </c>
      <c r="P4" s="387">
        <f>O4</f>
        <v>42001</v>
      </c>
      <c r="Q4" s="74">
        <v>42092</v>
      </c>
      <c r="R4" s="74">
        <v>42183</v>
      </c>
      <c r="S4" s="74">
        <v>42274</v>
      </c>
      <c r="T4" s="74">
        <v>42372</v>
      </c>
      <c r="U4" s="387">
        <f>T4</f>
        <v>42372</v>
      </c>
      <c r="V4" s="74">
        <v>42463</v>
      </c>
      <c r="W4" s="74">
        <v>42554</v>
      </c>
      <c r="X4" s="74">
        <v>42645</v>
      </c>
      <c r="Y4" s="74">
        <v>42736</v>
      </c>
      <c r="Z4" s="387">
        <f>Y4</f>
        <v>42736</v>
      </c>
      <c r="AA4" s="74">
        <v>42827</v>
      </c>
      <c r="AB4" s="74">
        <v>42918</v>
      </c>
      <c r="AC4" s="74">
        <v>43009</v>
      </c>
      <c r="AD4" s="74">
        <v>43100</v>
      </c>
      <c r="AE4" s="387">
        <f>AD4</f>
        <v>43100</v>
      </c>
      <c r="AF4" s="74">
        <v>43191</v>
      </c>
      <c r="AG4" s="74">
        <v>43282</v>
      </c>
      <c r="AH4" s="74">
        <v>43373</v>
      </c>
      <c r="AI4" s="74">
        <v>43464</v>
      </c>
      <c r="AJ4" s="387">
        <f>AI4</f>
        <v>43464</v>
      </c>
      <c r="AK4" s="74">
        <v>43555</v>
      </c>
      <c r="AL4" s="74">
        <v>43646</v>
      </c>
      <c r="AM4" s="74">
        <v>43737</v>
      </c>
      <c r="AN4" s="74">
        <v>43828</v>
      </c>
      <c r="AO4" s="387">
        <f>AN4</f>
        <v>43828</v>
      </c>
      <c r="AP4" s="74">
        <v>43919</v>
      </c>
      <c r="AQ4" s="74">
        <v>44010</v>
      </c>
      <c r="AR4" s="74">
        <v>44101</v>
      </c>
      <c r="AS4" s="74">
        <v>44196</v>
      </c>
      <c r="AT4" s="387">
        <f>AS4</f>
        <v>44196</v>
      </c>
      <c r="AU4" s="74">
        <v>44288</v>
      </c>
      <c r="AV4" s="74">
        <v>44379</v>
      </c>
      <c r="AW4" s="74">
        <v>44470</v>
      </c>
      <c r="AX4" s="74">
        <v>44561</v>
      </c>
      <c r="AY4" s="387">
        <f>AX4</f>
        <v>44561</v>
      </c>
      <c r="AZ4" s="74">
        <v>44652</v>
      </c>
      <c r="BA4" s="74">
        <v>44744</v>
      </c>
      <c r="BB4" s="74">
        <v>44834</v>
      </c>
      <c r="BC4" s="74">
        <v>44926</v>
      </c>
      <c r="BD4" s="387">
        <f>BC4</f>
        <v>44926</v>
      </c>
      <c r="BE4" s="74">
        <v>45016</v>
      </c>
      <c r="BF4" s="74">
        <v>45107</v>
      </c>
      <c r="BG4" s="74">
        <v>45198</v>
      </c>
      <c r="BH4" s="74">
        <v>45291</v>
      </c>
      <c r="BI4" s="387">
        <f>BH4</f>
        <v>45291</v>
      </c>
      <c r="BJ4" s="74">
        <v>45380</v>
      </c>
      <c r="BK4" s="74">
        <v>45471</v>
      </c>
      <c r="BL4" s="74">
        <v>45562</v>
      </c>
      <c r="BM4" s="74">
        <v>45657</v>
      </c>
      <c r="BN4" s="387">
        <f>BM4</f>
        <v>45657</v>
      </c>
      <c r="BO4" s="74">
        <v>45744</v>
      </c>
      <c r="BP4" s="74">
        <v>45835</v>
      </c>
      <c r="BQ4" s="74">
        <v>45926</v>
      </c>
      <c r="BR4" s="74">
        <v>46022</v>
      </c>
      <c r="BS4" s="388">
        <f>BR4</f>
        <v>46022</v>
      </c>
      <c r="BT4" s="389">
        <f>BT3+BS4</f>
        <v>46113</v>
      </c>
      <c r="BU4" s="389">
        <f>BU3+BT4</f>
        <v>46204</v>
      </c>
      <c r="BV4" s="389">
        <f>BV3+BU4</f>
        <v>46295</v>
      </c>
      <c r="BW4" s="389">
        <f>BW3+BV4</f>
        <v>46387</v>
      </c>
      <c r="BX4" s="387">
        <f>BW4</f>
        <v>46387</v>
      </c>
      <c r="BY4" s="389">
        <f>BY3+BX4</f>
        <v>46478</v>
      </c>
      <c r="BZ4" s="389">
        <f>BZ3+BY4</f>
        <v>46569</v>
      </c>
      <c r="CA4" s="389">
        <f>CA3+BZ4</f>
        <v>46660</v>
      </c>
      <c r="CB4" s="389">
        <f>CB3+CA4</f>
        <v>46752</v>
      </c>
      <c r="CC4" s="387">
        <f>CB4</f>
        <v>46752</v>
      </c>
      <c r="CD4" s="387">
        <f>CD3+CC4</f>
        <v>47118</v>
      </c>
      <c r="CE4" s="387">
        <f>CE3+CD4</f>
        <v>47483</v>
      </c>
      <c r="CF4" s="387">
        <f>CF3+CE4</f>
        <v>47848</v>
      </c>
      <c r="CG4" s="367"/>
    </row>
    <row r="5" spans="1:85" ht="14.45" customHeight="1" x14ac:dyDescent="0.25">
      <c r="A5" s="75" t="e">
        <f>MO.ReportCurrency</f>
        <v>#NAME?</v>
      </c>
      <c r="B5" s="76"/>
      <c r="C5" s="390" t="s">
        <v>831</v>
      </c>
      <c r="D5" s="391" t="str">
        <f>CONCATENATE("FY",RIGHT(C5,4)+1)</f>
        <v>FY2010</v>
      </c>
      <c r="E5" s="391" t="str">
        <f>CONCATENATE("FY",RIGHT(D5,4)+1)</f>
        <v>FY2011</v>
      </c>
      <c r="F5" s="391" t="str">
        <f>CONCATENATE("FY",RIGHT(E5,4)+1)</f>
        <v>FY2012</v>
      </c>
      <c r="G5" s="76" t="str">
        <f>CONCATENATE("Q1","-",RIGHT(F5,4)+1)</f>
        <v>Q1-2013</v>
      </c>
      <c r="H5" s="76" t="str">
        <f>CONCATENATE("Q2","-",RIGHT(G5,4))</f>
        <v>Q2-2013</v>
      </c>
      <c r="I5" s="76" t="str">
        <f>CONCATENATE("Q3","-",RIGHT(H5,4))</f>
        <v>Q3-2013</v>
      </c>
      <c r="J5" s="76" t="str">
        <f>CONCATENATE("Q4","-",RIGHT(I5,4))</f>
        <v>Q4-2013</v>
      </c>
      <c r="K5" s="391" t="str">
        <f>CONCATENATE("FY",RIGHT(F5,4)+1)</f>
        <v>FY2013</v>
      </c>
      <c r="L5" s="76" t="str">
        <f>CONCATENATE("Q1","-",RIGHT(K5,4)+1)</f>
        <v>Q1-2014</v>
      </c>
      <c r="M5" s="76" t="str">
        <f>CONCATENATE("Q2","-",RIGHT(L5,4))</f>
        <v>Q2-2014</v>
      </c>
      <c r="N5" s="76" t="str">
        <f>CONCATENATE("Q3","-",RIGHT(M5,4))</f>
        <v>Q3-2014</v>
      </c>
      <c r="O5" s="76" t="str">
        <f>CONCATENATE("Q4","-",RIGHT(N5,4))</f>
        <v>Q4-2014</v>
      </c>
      <c r="P5" s="391" t="str">
        <f>CONCATENATE("FY",RIGHT(K5,4)+1)</f>
        <v>FY2014</v>
      </c>
      <c r="Q5" s="76" t="str">
        <f>CONCATENATE("Q1","-",RIGHT(P5,4)+1)</f>
        <v>Q1-2015</v>
      </c>
      <c r="R5" s="76" t="str">
        <f>CONCATENATE("Q2","-",RIGHT(Q5,4))</f>
        <v>Q2-2015</v>
      </c>
      <c r="S5" s="76" t="str">
        <f>CONCATENATE("Q3","-",RIGHT(R5,4))</f>
        <v>Q3-2015</v>
      </c>
      <c r="T5" s="76" t="str">
        <f>CONCATENATE("Q4","-",RIGHT(S5,4))</f>
        <v>Q4-2015</v>
      </c>
      <c r="U5" s="391" t="str">
        <f>CONCATENATE("FY",RIGHT(P5,4)+1)</f>
        <v>FY2015</v>
      </c>
      <c r="V5" s="76" t="str">
        <f>CONCATENATE("Q1","-",RIGHT(U5,4)+1)</f>
        <v>Q1-2016</v>
      </c>
      <c r="W5" s="76" t="str">
        <f>CONCATENATE("Q2","-",RIGHT(V5,4))</f>
        <v>Q2-2016</v>
      </c>
      <c r="X5" s="76" t="str">
        <f>CONCATENATE("Q3","-",RIGHT(W5,4))</f>
        <v>Q3-2016</v>
      </c>
      <c r="Y5" s="76" t="str">
        <f>CONCATENATE("Q4","-",RIGHT(X5,4))</f>
        <v>Q4-2016</v>
      </c>
      <c r="Z5" s="391" t="str">
        <f>CONCATENATE("FY",RIGHT(U5,4)+1)</f>
        <v>FY2016</v>
      </c>
      <c r="AA5" s="77" t="str">
        <f>CONCATENATE("Q1","-",RIGHT(Z5,4)+1)</f>
        <v>Q1-2017</v>
      </c>
      <c r="AB5" s="76" t="str">
        <f>CONCATENATE("Q2","-",RIGHT(AA5,4))</f>
        <v>Q2-2017</v>
      </c>
      <c r="AC5" s="76" t="str">
        <f>CONCATENATE("Q3","-",RIGHT(AB5,4))</f>
        <v>Q3-2017</v>
      </c>
      <c r="AD5" s="76" t="str">
        <f>CONCATENATE("Q4","-",RIGHT(AC5,4))</f>
        <v>Q4-2017</v>
      </c>
      <c r="AE5" s="391" t="str">
        <f>CONCATENATE("FY",RIGHT(Z5,4)+1)</f>
        <v>FY2017</v>
      </c>
      <c r="AF5" s="77" t="str">
        <f>CONCATENATE("Q1","-",RIGHT(AE5,4)+1)</f>
        <v>Q1-2018</v>
      </c>
      <c r="AG5" s="76" t="str">
        <f>CONCATENATE("Q2","-",RIGHT(AF5,4))</f>
        <v>Q2-2018</v>
      </c>
      <c r="AH5" s="76" t="str">
        <f>CONCATENATE("Q3","-",RIGHT(AG5,4))</f>
        <v>Q3-2018</v>
      </c>
      <c r="AI5" s="76" t="str">
        <f>CONCATENATE("Q4","-",RIGHT(AH5,4))</f>
        <v>Q4-2018</v>
      </c>
      <c r="AJ5" s="391" t="str">
        <f>CONCATENATE("FY",RIGHT(AE5,4)+1)</f>
        <v>FY2018</v>
      </c>
      <c r="AK5" s="77" t="str">
        <f>CONCATENATE("Q1","-",RIGHT(AJ5,4)+1)</f>
        <v>Q1-2019</v>
      </c>
      <c r="AL5" s="76" t="str">
        <f>CONCATENATE("Q2","-",RIGHT(AK5,4))</f>
        <v>Q2-2019</v>
      </c>
      <c r="AM5" s="76" t="str">
        <f>CONCATENATE("Q3","-",RIGHT(AL5,4))</f>
        <v>Q3-2019</v>
      </c>
      <c r="AN5" s="76" t="str">
        <f>CONCATENATE("Q4","-",RIGHT(AM5,4))</f>
        <v>Q4-2019</v>
      </c>
      <c r="AO5" s="391" t="str">
        <f>CONCATENATE("FY",RIGHT(AJ5,4)+1)</f>
        <v>FY2019</v>
      </c>
      <c r="AP5" s="77" t="str">
        <f>CONCATENATE("Q1","-",RIGHT(AO5,4)+1)</f>
        <v>Q1-2020</v>
      </c>
      <c r="AQ5" s="76" t="str">
        <f>CONCATENATE("Q2","-",RIGHT(AP5,4))</f>
        <v>Q2-2020</v>
      </c>
      <c r="AR5" s="76" t="str">
        <f>CONCATENATE("Q3","-",RIGHT(AQ5,4))</f>
        <v>Q3-2020</v>
      </c>
      <c r="AS5" s="76" t="str">
        <f>CONCATENATE("Q4","-",RIGHT(AR5,4))</f>
        <v>Q4-2020</v>
      </c>
      <c r="AT5" s="391" t="str">
        <f>CONCATENATE("FY",RIGHT(AO5,4)+1)</f>
        <v>FY2020</v>
      </c>
      <c r="AU5" s="77" t="str">
        <f>CONCATENATE("Q1","-",RIGHT(AT5,4)+1)</f>
        <v>Q1-2021</v>
      </c>
      <c r="AV5" s="76" t="str">
        <f>CONCATENATE("Q2","-",RIGHT(AU5,4))</f>
        <v>Q2-2021</v>
      </c>
      <c r="AW5" s="76" t="str">
        <f>CONCATENATE("Q3","-",RIGHT(AV5,4))</f>
        <v>Q3-2021</v>
      </c>
      <c r="AX5" s="76" t="str">
        <f>CONCATENATE("Q4","-",RIGHT(AW5,4))</f>
        <v>Q4-2021</v>
      </c>
      <c r="AY5" s="391" t="str">
        <f>CONCATENATE("FY",RIGHT(AT5,4)+1)</f>
        <v>FY2021</v>
      </c>
      <c r="AZ5" s="77" t="str">
        <f>CONCATENATE("Q1","-",RIGHT(AY5,4)+1)</f>
        <v>Q1-2022</v>
      </c>
      <c r="BA5" s="76" t="str">
        <f>CONCATENATE("Q2","-",RIGHT(AZ5,4))</f>
        <v>Q2-2022</v>
      </c>
      <c r="BB5" s="76" t="str">
        <f>CONCATENATE("Q3","-",RIGHT(BA5,4))</f>
        <v>Q3-2022</v>
      </c>
      <c r="BC5" s="76" t="str">
        <f>CONCATENATE("Q4","-",RIGHT(BB5,4))</f>
        <v>Q4-2022</v>
      </c>
      <c r="BD5" s="391" t="str">
        <f>CONCATENATE("FY",RIGHT(AY5,4)+1)</f>
        <v>FY2022</v>
      </c>
      <c r="BE5" s="77" t="str">
        <f>CONCATENATE("Q1","-",RIGHT(BD5,4)+1)</f>
        <v>Q1-2023</v>
      </c>
      <c r="BF5" s="76" t="str">
        <f>CONCATENATE("Q2","-",RIGHT(BE5,4))</f>
        <v>Q2-2023</v>
      </c>
      <c r="BG5" s="76" t="str">
        <f>CONCATENATE("Q3","-",RIGHT(BF5,4))</f>
        <v>Q3-2023</v>
      </c>
      <c r="BH5" s="76" t="str">
        <f>CONCATENATE("Q4","-",RIGHT(BG5,4))</f>
        <v>Q4-2023</v>
      </c>
      <c r="BI5" s="391" t="str">
        <f>CONCATENATE("FY",RIGHT(BD5,4)+1)</f>
        <v>FY2023</v>
      </c>
      <c r="BJ5" s="77" t="str">
        <f>CONCATENATE("Q1","-",RIGHT(BI5,4)+1)</f>
        <v>Q1-2024</v>
      </c>
      <c r="BK5" s="76" t="str">
        <f>CONCATENATE("Q2","-",RIGHT(BJ5,4))</f>
        <v>Q2-2024</v>
      </c>
      <c r="BL5" s="76" t="str">
        <f>CONCATENATE("Q3","-",RIGHT(BK5,4))</f>
        <v>Q3-2024</v>
      </c>
      <c r="BM5" s="76" t="str">
        <f>CONCATENATE("Q4","-",RIGHT(BL5,4))</f>
        <v>Q4-2024</v>
      </c>
      <c r="BN5" s="391" t="str">
        <f>CONCATENATE("FY",RIGHT(BI5,4)+1)</f>
        <v>FY2024</v>
      </c>
      <c r="BO5" s="77" t="str">
        <f>CONCATENATE("Q1","-",RIGHT(BN5,4)+1)</f>
        <v>Q1-2025</v>
      </c>
      <c r="BP5" s="76" t="str">
        <f>CONCATENATE("Q2","-",RIGHT(BO5,4))</f>
        <v>Q2-2025</v>
      </c>
      <c r="BQ5" s="76" t="str">
        <f>CONCATENATE("Q3","-",RIGHT(BP5,4))</f>
        <v>Q3-2025</v>
      </c>
      <c r="BR5" s="76" t="str">
        <f>CONCATENATE("Q4","-",RIGHT(BQ5,4))</f>
        <v>Q4-2025</v>
      </c>
      <c r="BS5" s="392" t="str">
        <f>CONCATENATE("FY",RIGHT(BN5,4)+1)</f>
        <v>FY2025</v>
      </c>
      <c r="BT5" s="76" t="str">
        <f>CONCATENATE("Q1","-",RIGHT(BS5,4)+1)</f>
        <v>Q1-2026</v>
      </c>
      <c r="BU5" s="76" t="str">
        <f>CONCATENATE("Q2","-",RIGHT(BT5,4))</f>
        <v>Q2-2026</v>
      </c>
      <c r="BV5" s="76" t="str">
        <f>CONCATENATE("Q3","-",RIGHT(BU5,4))</f>
        <v>Q3-2026</v>
      </c>
      <c r="BW5" s="76" t="str">
        <f>CONCATENATE("Q4","-",RIGHT(BV5,4))</f>
        <v>Q4-2026</v>
      </c>
      <c r="BX5" s="391" t="str">
        <f>CONCATENATE("FY",RIGHT(BS5,4)+1)</f>
        <v>FY2026</v>
      </c>
      <c r="BY5" s="76" t="str">
        <f>CONCATENATE("Q1","-",RIGHT(BX5,4)+1)</f>
        <v>Q1-2027</v>
      </c>
      <c r="BZ5" s="76" t="str">
        <f>CONCATENATE("Q2","-",RIGHT(BY5,4))</f>
        <v>Q2-2027</v>
      </c>
      <c r="CA5" s="76" t="str">
        <f>CONCATENATE("Q3","-",RIGHT(BZ5,4))</f>
        <v>Q3-2027</v>
      </c>
      <c r="CB5" s="76" t="str">
        <f>CONCATENATE("Q4","-",RIGHT(CA5,4))</f>
        <v>Q4-2027</v>
      </c>
      <c r="CC5" s="391" t="str">
        <f>CONCATENATE("FY",RIGHT(BX5,4)+1)</f>
        <v>FY2027</v>
      </c>
      <c r="CD5" s="391" t="str">
        <f>CONCATENATE("FY",RIGHT(CC5,4)+1)</f>
        <v>FY2028</v>
      </c>
      <c r="CE5" s="391" t="str">
        <f>CONCATENATE("FY",RIGHT(CD5,4)+1)</f>
        <v>FY2029</v>
      </c>
      <c r="CF5" s="391" t="str">
        <f>CONCATENATE("FY",RIGHT(CE5,4)+1)</f>
        <v>FY2030</v>
      </c>
      <c r="CG5" s="379"/>
    </row>
    <row r="6" spans="1:85" ht="14.45" customHeight="1" x14ac:dyDescent="0.25">
      <c r="A6" s="78" t="s">
        <v>164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393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236"/>
    </row>
    <row r="7" spans="1:85" ht="14.45" customHeight="1" x14ac:dyDescent="0.25">
      <c r="A7" s="79" t="s">
        <v>165</v>
      </c>
      <c r="B7" s="80"/>
      <c r="C7" s="394"/>
      <c r="D7" s="395">
        <f t="shared" ref="D7:F12" si="1">D19/C19-1</f>
        <v>2.4908680427204732E-2</v>
      </c>
      <c r="E7" s="395">
        <f t="shared" si="1"/>
        <v>2.0109111392706991E-2</v>
      </c>
      <c r="F7" s="395">
        <f t="shared" si="1"/>
        <v>1.9870476465645881E-2</v>
      </c>
      <c r="G7" s="123"/>
      <c r="H7" s="123"/>
      <c r="I7" s="123"/>
      <c r="J7" s="123"/>
      <c r="K7" s="395">
        <f t="shared" ref="K7:T9" si="2">K19/F19-1</f>
        <v>-9.2416997570523574E-3</v>
      </c>
      <c r="L7" s="81">
        <f t="shared" si="2"/>
        <v>1.9569856134049601E-3</v>
      </c>
      <c r="M7" s="81">
        <f t="shared" si="2"/>
        <v>6.6426324506378753E-2</v>
      </c>
      <c r="N7" s="81">
        <f t="shared" si="2"/>
        <v>4.7187893612748999E-2</v>
      </c>
      <c r="O7" s="81">
        <f t="shared" si="2"/>
        <v>0.11437880120656962</v>
      </c>
      <c r="P7" s="395">
        <f t="shared" si="2"/>
        <v>5.7985954998052813E-2</v>
      </c>
      <c r="Q7" s="81">
        <f t="shared" si="2"/>
        <v>0.16805048417270996</v>
      </c>
      <c r="R7" s="81">
        <f t="shared" si="2"/>
        <v>0.37756452795313744</v>
      </c>
      <c r="S7" s="81">
        <f t="shared" si="2"/>
        <v>0.35256075027019484</v>
      </c>
      <c r="T7" s="81">
        <f t="shared" si="2"/>
        <v>0.42766108814960413</v>
      </c>
      <c r="U7" s="395">
        <f t="shared" ref="U7:AD9" si="3">U19/P19-1</f>
        <v>0.33684239537269689</v>
      </c>
      <c r="V7" s="81">
        <f t="shared" si="3"/>
        <v>0.18417562344914185</v>
      </c>
      <c r="W7" s="81">
        <f t="shared" si="3"/>
        <v>0.17242970854393014</v>
      </c>
      <c r="X7" s="81">
        <f t="shared" si="3"/>
        <v>0.17474449356239763</v>
      </c>
      <c r="Y7" s="81">
        <f t="shared" si="3"/>
        <v>0.1657835350733361</v>
      </c>
      <c r="Z7" s="395">
        <f t="shared" si="3"/>
        <v>0.17349068919446453</v>
      </c>
      <c r="AA7" s="81">
        <f t="shared" si="3"/>
        <v>0.36036521393937671</v>
      </c>
      <c r="AB7" s="81">
        <f t="shared" si="3"/>
        <v>0.30711247926790719</v>
      </c>
      <c r="AC7" s="81">
        <f t="shared" si="3"/>
        <v>0.2785793903648508</v>
      </c>
      <c r="AD7" s="81">
        <f t="shared" si="3"/>
        <v>0.25290414243579562</v>
      </c>
      <c r="AE7" s="395">
        <f t="shared" ref="AE7:AN9" si="4">AE19/Z19-1</f>
        <v>0.29529377895200959</v>
      </c>
      <c r="AF7" s="81">
        <f t="shared" si="4"/>
        <v>0.16746915124228789</v>
      </c>
      <c r="AG7" s="81">
        <f t="shared" si="4"/>
        <v>4.8701250610987401E-2</v>
      </c>
      <c r="AH7" s="81">
        <f t="shared" si="4"/>
        <v>6.3487841293267566E-2</v>
      </c>
      <c r="AI7" s="81">
        <f t="shared" si="4"/>
        <v>-6.0663365435853267E-2</v>
      </c>
      <c r="AJ7" s="395">
        <f t="shared" si="4"/>
        <v>4.794845689639704E-2</v>
      </c>
      <c r="AK7" s="81">
        <f t="shared" si="4"/>
        <v>4.6184197605805943E-2</v>
      </c>
      <c r="AL7" s="81">
        <f t="shared" si="4"/>
        <v>5.3999042709289569E-2</v>
      </c>
      <c r="AM7" s="81">
        <f t="shared" si="4"/>
        <v>6.0999991931644848E-2</v>
      </c>
      <c r="AN7" s="81">
        <f t="shared" si="4"/>
        <v>0.15425086650016984</v>
      </c>
      <c r="AO7" s="395">
        <f t="shared" ref="AO7:AX9" si="5">AO19/AJ19-1</f>
        <v>7.8183025893730385E-2</v>
      </c>
      <c r="AP7" s="81">
        <f t="shared" si="5"/>
        <v>7.7034266083932268E-2</v>
      </c>
      <c r="AQ7" s="81">
        <f t="shared" si="5"/>
        <v>3.3557466677784031E-2</v>
      </c>
      <c r="AR7" s="81">
        <f t="shared" si="5"/>
        <v>7.0025109998828938E-2</v>
      </c>
      <c r="AS7" s="81">
        <f t="shared" si="5"/>
        <v>9.6840751962167904E-2</v>
      </c>
      <c r="AT7" s="395">
        <f t="shared" si="5"/>
        <v>6.9061188517385297E-2</v>
      </c>
      <c r="AU7" s="81">
        <f t="shared" si="5"/>
        <v>9.9928222045814197E-2</v>
      </c>
      <c r="AV7" s="81">
        <f t="shared" si="5"/>
        <v>8.7185700167972335E-2</v>
      </c>
      <c r="AW7" s="81">
        <f t="shared" si="5"/>
        <v>9.9410275616907962E-2</v>
      </c>
      <c r="AX7" s="81">
        <f t="shared" si="5"/>
        <v>9.0891703995748419E-2</v>
      </c>
      <c r="AY7" s="395">
        <f t="shared" ref="AY7:BH9" si="6">AY19/AT19-1</f>
        <v>9.4196412886428549E-2</v>
      </c>
      <c r="AZ7" s="81">
        <f t="shared" si="6"/>
        <v>0.1172680245296962</v>
      </c>
      <c r="BA7" s="81">
        <f t="shared" si="6"/>
        <v>0.16596637263592795</v>
      </c>
      <c r="BB7" s="81">
        <f t="shared" si="6"/>
        <v>0.18574666220204805</v>
      </c>
      <c r="BC7" s="81">
        <f t="shared" si="6"/>
        <v>0.18779867156897123</v>
      </c>
      <c r="BD7" s="395">
        <f t="shared" si="6"/>
        <v>0.165642077972463</v>
      </c>
      <c r="BE7" s="81">
        <f t="shared" si="6"/>
        <v>0.18692752815942582</v>
      </c>
      <c r="BF7" s="81">
        <f t="shared" si="6"/>
        <v>0.1414911328677686</v>
      </c>
      <c r="BG7" s="81">
        <f t="shared" si="6"/>
        <v>6.5965445581042337E-2</v>
      </c>
      <c r="BH7" s="81">
        <f t="shared" si="6"/>
        <v>6.072746441750132E-2</v>
      </c>
      <c r="BI7" s="395">
        <f t="shared" ref="BI7:BR9" si="7">BI19/BD19-1</f>
        <v>0.10531986585533115</v>
      </c>
      <c r="BJ7" s="81">
        <f t="shared" si="7"/>
        <v>3.4142187055298701E-2</v>
      </c>
      <c r="BK7" s="81">
        <f t="shared" si="7"/>
        <v>4.4239664369527976E-2</v>
      </c>
      <c r="BL7" s="81">
        <f t="shared" si="7"/>
        <v>5.832991531846865E-2</v>
      </c>
      <c r="BM7" s="81">
        <f t="shared" si="7"/>
        <v>7.6930722592187584E-2</v>
      </c>
      <c r="BN7" s="395">
        <f t="shared" si="7"/>
        <v>5.4967289144538523E-2</v>
      </c>
      <c r="BO7" s="81">
        <f t="shared" si="7"/>
        <v>-1.9070538407885751E-2</v>
      </c>
      <c r="BP7" s="81">
        <f t="shared" si="7"/>
        <v>2.963368335948835E-2</v>
      </c>
      <c r="BQ7" s="81">
        <f t="shared" si="7"/>
        <v>4.6824652794556609E-2</v>
      </c>
      <c r="BR7" s="81">
        <f t="shared" si="7"/>
        <v>6.4051684356252858E-2</v>
      </c>
      <c r="BS7" s="396">
        <f t="shared" ref="BS7:CB9" si="8">BS19/BN19-1</f>
        <v>3.5014964419775252E-2</v>
      </c>
      <c r="BT7" s="123">
        <f t="shared" si="8"/>
        <v>3.2394363256114111E-3</v>
      </c>
      <c r="BU7" s="123">
        <f t="shared" si="8"/>
        <v>-1.4329134705487467E-3</v>
      </c>
      <c r="BV7" s="123">
        <f t="shared" si="8"/>
        <v>-1.2987691330477169E-3</v>
      </c>
      <c r="BW7" s="123">
        <f t="shared" si="8"/>
        <v>1.0940039032006688E-2</v>
      </c>
      <c r="BX7" s="394">
        <f t="shared" si="8"/>
        <v>2.980965079448783E-3</v>
      </c>
      <c r="BY7" s="123">
        <f t="shared" si="8"/>
        <v>4.9999999999998934E-3</v>
      </c>
      <c r="BZ7" s="123">
        <f t="shared" si="8"/>
        <v>4.9999999999996714E-3</v>
      </c>
      <c r="CA7" s="123">
        <f t="shared" si="8"/>
        <v>4.9999999999998934E-3</v>
      </c>
      <c r="CB7" s="123">
        <f t="shared" si="8"/>
        <v>5.0000000000001155E-3</v>
      </c>
      <c r="CC7" s="394">
        <f t="shared" ref="CC7:CC9" si="9">CC19/BX19-1</f>
        <v>5.0000000000001155E-3</v>
      </c>
      <c r="CD7" s="394">
        <f t="shared" ref="CD7:CF9" si="10">CD19/CC19-1</f>
        <v>5.0000000000001155E-3</v>
      </c>
      <c r="CE7" s="394">
        <f t="shared" si="10"/>
        <v>5.0000000000001155E-3</v>
      </c>
      <c r="CF7" s="394">
        <f t="shared" si="10"/>
        <v>4.9999999999996714E-3</v>
      </c>
      <c r="CG7" s="115"/>
    </row>
    <row r="8" spans="1:85" ht="14.45" customHeight="1" x14ac:dyDescent="0.25">
      <c r="A8" s="79" t="s">
        <v>166</v>
      </c>
      <c r="B8" s="80"/>
      <c r="C8" s="394"/>
      <c r="D8" s="395">
        <f t="shared" si="1"/>
        <v>5.6863899761974146E-2</v>
      </c>
      <c r="E8" s="395">
        <f t="shared" si="1"/>
        <v>2.8365407126468956E-2</v>
      </c>
      <c r="F8" s="395">
        <f t="shared" si="1"/>
        <v>6.4959841186005507E-2</v>
      </c>
      <c r="G8" s="123"/>
      <c r="H8" s="123"/>
      <c r="I8" s="123"/>
      <c r="J8" s="123"/>
      <c r="K8" s="395">
        <f t="shared" si="2"/>
        <v>5.8427927061288187E-2</v>
      </c>
      <c r="L8" s="81">
        <f t="shared" si="2"/>
        <v>8.6027022404651987E-2</v>
      </c>
      <c r="M8" s="81">
        <f t="shared" si="2"/>
        <v>0.12494140042333757</v>
      </c>
      <c r="N8" s="81">
        <f t="shared" si="2"/>
        <v>0.11186865932147927</v>
      </c>
      <c r="O8" s="81">
        <f t="shared" si="2"/>
        <v>0.19627409244468663</v>
      </c>
      <c r="P8" s="395">
        <f t="shared" si="2"/>
        <v>0.12755240122636424</v>
      </c>
      <c r="Q8" s="81">
        <f t="shared" si="2"/>
        <v>0.23513560804899369</v>
      </c>
      <c r="R8" s="81">
        <f t="shared" si="2"/>
        <v>0.40762489266050417</v>
      </c>
      <c r="S8" s="81">
        <f t="shared" si="2"/>
        <v>0.47623252391464299</v>
      </c>
      <c r="T8" s="81">
        <f t="shared" si="2"/>
        <v>0.55850473392099254</v>
      </c>
      <c r="U8" s="395">
        <f t="shared" si="3"/>
        <v>0.42546339086759977</v>
      </c>
      <c r="V8" s="81">
        <f t="shared" si="3"/>
        <v>1.354366181220604</v>
      </c>
      <c r="W8" s="81">
        <f t="shared" si="3"/>
        <v>1.2102595386975517</v>
      </c>
      <c r="X8" s="81">
        <f t="shared" si="3"/>
        <v>1.1724985877114276</v>
      </c>
      <c r="Y8" s="81">
        <f t="shared" si="3"/>
        <v>1.2839307036470671</v>
      </c>
      <c r="Z8" s="395">
        <f t="shared" si="3"/>
        <v>1.2420778032726734</v>
      </c>
      <c r="AA8" s="81">
        <f t="shared" si="3"/>
        <v>0.54075455803598294</v>
      </c>
      <c r="AB8" s="81">
        <f t="shared" si="3"/>
        <v>0.49755856005779897</v>
      </c>
      <c r="AC8" s="81">
        <f t="shared" si="3"/>
        <v>0.47029918778775426</v>
      </c>
      <c r="AD8" s="81">
        <f t="shared" si="3"/>
        <v>0.45128315662031793</v>
      </c>
      <c r="AE8" s="395">
        <f t="shared" si="4"/>
        <v>0.48630404932044291</v>
      </c>
      <c r="AF8" s="81">
        <f t="shared" si="4"/>
        <v>0.25329808090354522</v>
      </c>
      <c r="AG8" s="81">
        <f t="shared" si="4"/>
        <v>6.5211204618449425E-2</v>
      </c>
      <c r="AH8" s="81">
        <f t="shared" si="4"/>
        <v>4.2393269093226271E-2</v>
      </c>
      <c r="AI8" s="81">
        <f t="shared" si="4"/>
        <v>0.1273553455244083</v>
      </c>
      <c r="AJ8" s="395">
        <f t="shared" si="4"/>
        <v>0.10974766378399492</v>
      </c>
      <c r="AK8" s="81">
        <f t="shared" si="4"/>
        <v>7.0977854086882397E-2</v>
      </c>
      <c r="AL8" s="81">
        <f t="shared" si="4"/>
        <v>7.2350928081625465E-2</v>
      </c>
      <c r="AM8" s="81">
        <f t="shared" si="4"/>
        <v>9.41004753053305E-2</v>
      </c>
      <c r="AN8" s="81">
        <f t="shared" si="4"/>
        <v>-4.1343857564101194E-3</v>
      </c>
      <c r="AO8" s="395">
        <f t="shared" si="5"/>
        <v>5.9431556156306797E-2</v>
      </c>
      <c r="AP8" s="81">
        <f t="shared" si="5"/>
        <v>8.6073408108933824E-2</v>
      </c>
      <c r="AQ8" s="81">
        <f t="shared" si="5"/>
        <v>-5.790722505635304E-2</v>
      </c>
      <c r="AR8" s="81">
        <f t="shared" si="5"/>
        <v>6.0228957150350038E-2</v>
      </c>
      <c r="AS8" s="81">
        <f t="shared" si="5"/>
        <v>0.1440601876219072</v>
      </c>
      <c r="AT8" s="395">
        <f t="shared" si="5"/>
        <v>5.3094915532565512E-2</v>
      </c>
      <c r="AU8" s="81">
        <f t="shared" si="5"/>
        <v>0.1253167880239392</v>
      </c>
      <c r="AV8" s="81">
        <f t="shared" si="5"/>
        <v>0.25675930939817904</v>
      </c>
      <c r="AW8" s="81">
        <f t="shared" si="5"/>
        <v>8.4033631520193719E-2</v>
      </c>
      <c r="AX8" s="81">
        <f t="shared" si="5"/>
        <v>7.7874982778642243E-2</v>
      </c>
      <c r="AY8" s="395">
        <f t="shared" si="6"/>
        <v>0.13366867350991285</v>
      </c>
      <c r="AZ8" s="81">
        <f t="shared" si="6"/>
        <v>0.11397766012150767</v>
      </c>
      <c r="BA8" s="81">
        <f t="shared" si="6"/>
        <v>8.1362351950940992E-2</v>
      </c>
      <c r="BB8" s="81">
        <f t="shared" si="6"/>
        <v>8.7983888569217461E-2</v>
      </c>
      <c r="BC8" s="81">
        <f t="shared" si="6"/>
        <v>6.841410918320312E-2</v>
      </c>
      <c r="BD8" s="395">
        <f t="shared" si="6"/>
        <v>8.5397187348548842E-2</v>
      </c>
      <c r="BE8" s="81">
        <f t="shared" si="6"/>
        <v>8.9104636774922863E-2</v>
      </c>
      <c r="BF8" s="81">
        <f t="shared" si="6"/>
        <v>6.3107290919570014E-2</v>
      </c>
      <c r="BG8" s="81">
        <f t="shared" si="6"/>
        <v>5.0372674998586664E-2</v>
      </c>
      <c r="BH8" s="81">
        <f t="shared" si="6"/>
        <v>4.3794061098056059E-2</v>
      </c>
      <c r="BI8" s="395">
        <f t="shared" si="7"/>
        <v>6.4125043314687602E-2</v>
      </c>
      <c r="BJ8" s="81">
        <f t="shared" si="7"/>
        <v>3.9519021717802083E-3</v>
      </c>
      <c r="BK8" s="81">
        <f t="shared" si="7"/>
        <v>4.1566066581712358E-2</v>
      </c>
      <c r="BL8" s="81">
        <f t="shared" si="7"/>
        <v>1.6621119047701916E-2</v>
      </c>
      <c r="BM8" s="81">
        <f t="shared" si="7"/>
        <v>8.7392550143266412E-2</v>
      </c>
      <c r="BN8" s="395">
        <f t="shared" si="7"/>
        <v>3.6100945321516642E-2</v>
      </c>
      <c r="BO8" s="81">
        <f t="shared" si="7"/>
        <v>-4.8569116687058322E-3</v>
      </c>
      <c r="BP8" s="81">
        <f t="shared" si="7"/>
        <v>4.7855594701122106E-2</v>
      </c>
      <c r="BQ8" s="81">
        <f t="shared" si="7"/>
        <v>9.8646176862894341E-2</v>
      </c>
      <c r="BR8" s="81">
        <f t="shared" si="7"/>
        <v>9.9943534726143479E-2</v>
      </c>
      <c r="BS8" s="396">
        <f t="shared" si="8"/>
        <v>6.0895914814863117E-2</v>
      </c>
      <c r="BT8" s="123">
        <f t="shared" si="8"/>
        <v>1.7405346484482997E-2</v>
      </c>
      <c r="BU8" s="123">
        <f t="shared" si="8"/>
        <v>6.1524980912921245E-2</v>
      </c>
      <c r="BV8" s="123">
        <f t="shared" si="8"/>
        <v>0.11780123957113986</v>
      </c>
      <c r="BW8" s="123">
        <f t="shared" si="8"/>
        <v>2.1690246406571578E-2</v>
      </c>
      <c r="BX8" s="394">
        <f t="shared" si="8"/>
        <v>5.7508921131182333E-2</v>
      </c>
      <c r="BY8" s="123">
        <f t="shared" si="8"/>
        <v>1.5000000000000124E-2</v>
      </c>
      <c r="BZ8" s="123">
        <f t="shared" si="8"/>
        <v>1.4999999999999902E-2</v>
      </c>
      <c r="CA8" s="123">
        <f t="shared" si="8"/>
        <v>1.4999999999999902E-2</v>
      </c>
      <c r="CB8" s="123">
        <f t="shared" si="8"/>
        <v>1.4999999999999902E-2</v>
      </c>
      <c r="CC8" s="394">
        <f t="shared" si="9"/>
        <v>1.4999999999999902E-2</v>
      </c>
      <c r="CD8" s="394">
        <f t="shared" si="10"/>
        <v>1.9999999999999796E-2</v>
      </c>
      <c r="CE8" s="394">
        <f t="shared" si="10"/>
        <v>2.0000000000000018E-2</v>
      </c>
      <c r="CF8" s="394">
        <f t="shared" si="10"/>
        <v>2.0000000000000018E-2</v>
      </c>
      <c r="CG8" s="115"/>
    </row>
    <row r="9" spans="1:85" ht="14.45" customHeight="1" x14ac:dyDescent="0.25">
      <c r="A9" s="82" t="s">
        <v>167</v>
      </c>
      <c r="B9" s="83"/>
      <c r="C9" s="397"/>
      <c r="D9" s="398">
        <f t="shared" si="1"/>
        <v>3.0252351181486725E-2</v>
      </c>
      <c r="E9" s="398">
        <f t="shared" si="1"/>
        <v>2.1525422231289726E-2</v>
      </c>
      <c r="F9" s="398">
        <f t="shared" si="1"/>
        <v>2.7657038257828281E-2</v>
      </c>
      <c r="G9" s="124"/>
      <c r="H9" s="124"/>
      <c r="I9" s="124"/>
      <c r="J9" s="124"/>
      <c r="K9" s="398">
        <f t="shared" si="2"/>
        <v>2.8684755380017357E-3</v>
      </c>
      <c r="L9" s="84">
        <f t="shared" si="2"/>
        <v>1.6362961419230437E-2</v>
      </c>
      <c r="M9" s="84">
        <f t="shared" si="2"/>
        <v>7.8531000393786687E-2</v>
      </c>
      <c r="N9" s="84">
        <f t="shared" si="2"/>
        <v>6.0848229327757908E-2</v>
      </c>
      <c r="O9" s="84">
        <f t="shared" si="2"/>
        <v>0.12764638143325269</v>
      </c>
      <c r="P9" s="398">
        <f t="shared" si="2"/>
        <v>7.1125301839072508E-2</v>
      </c>
      <c r="Q9" s="84">
        <f t="shared" si="2"/>
        <v>0.18033390896479262</v>
      </c>
      <c r="R9" s="84">
        <f t="shared" si="2"/>
        <v>0.38405052737126333</v>
      </c>
      <c r="S9" s="84">
        <f t="shared" si="2"/>
        <v>0.37993593397942282</v>
      </c>
      <c r="T9" s="84">
        <f t="shared" si="2"/>
        <v>0.45014869262709034</v>
      </c>
      <c r="U9" s="398">
        <f t="shared" si="3"/>
        <v>0.3544624414148756</v>
      </c>
      <c r="V9" s="84">
        <f t="shared" si="3"/>
        <v>0.40838800565678701</v>
      </c>
      <c r="W9" s="84">
        <f t="shared" si="3"/>
        <v>0.40017206113091808</v>
      </c>
      <c r="X9" s="84">
        <f t="shared" si="3"/>
        <v>0.41101298967003519</v>
      </c>
      <c r="Y9" s="84">
        <f t="shared" si="3"/>
        <v>0.372314472490332</v>
      </c>
      <c r="Z9" s="398">
        <f t="shared" si="3"/>
        <v>0.39708947908690861</v>
      </c>
      <c r="AA9" s="84">
        <f t="shared" si="3"/>
        <v>0.41814362255714443</v>
      </c>
      <c r="AB9" s="84">
        <f t="shared" si="3"/>
        <v>0.37308325014411636</v>
      </c>
      <c r="AC9" s="84">
        <f t="shared" si="3"/>
        <v>0.34847948291823294</v>
      </c>
      <c r="AD9" s="84">
        <f t="shared" si="3"/>
        <v>0.31388747520572058</v>
      </c>
      <c r="AE9" s="398">
        <f t="shared" si="4"/>
        <v>0.35943580773468264</v>
      </c>
      <c r="AF9" s="84">
        <f t="shared" si="4"/>
        <v>0.19733684144720565</v>
      </c>
      <c r="AG9" s="84">
        <f t="shared" si="4"/>
        <v>5.4938776011747237E-2</v>
      </c>
      <c r="AH9" s="84">
        <f t="shared" si="4"/>
        <v>5.5102072466540086E-2</v>
      </c>
      <c r="AI9" s="84">
        <f t="shared" si="4"/>
        <v>3.1792220723634301E-3</v>
      </c>
      <c r="AJ9" s="398">
        <f t="shared" si="4"/>
        <v>7.0637586215489545E-2</v>
      </c>
      <c r="AK9" s="84">
        <f t="shared" si="4"/>
        <v>5.521542027327353E-2</v>
      </c>
      <c r="AL9" s="84">
        <f t="shared" si="4"/>
        <v>6.0999970880288856E-2</v>
      </c>
      <c r="AM9" s="84">
        <f t="shared" si="4"/>
        <v>7.3999999999999844E-2</v>
      </c>
      <c r="AN9" s="84">
        <f t="shared" si="4"/>
        <v>9.3813372237291581E-2</v>
      </c>
      <c r="AO9" s="398">
        <f t="shared" si="5"/>
        <v>7.1047072648953824E-2</v>
      </c>
      <c r="AP9" s="84">
        <f t="shared" si="5"/>
        <v>8.0376005197554612E-2</v>
      </c>
      <c r="AQ9" s="84">
        <f t="shared" si="5"/>
        <v>-1.7080270869126446E-3</v>
      </c>
      <c r="AR9" s="84">
        <f t="shared" si="5"/>
        <v>6.6105726462272196E-2</v>
      </c>
      <c r="AS9" s="84">
        <f t="shared" si="5"/>
        <v>0.11324551685159201</v>
      </c>
      <c r="AT9" s="398">
        <f t="shared" si="5"/>
        <v>6.3051048649473307E-2</v>
      </c>
      <c r="AU9" s="84">
        <f t="shared" si="5"/>
        <v>0.10936378362609767</v>
      </c>
      <c r="AV9" s="84">
        <f t="shared" si="5"/>
        <v>0.14888650824270733</v>
      </c>
      <c r="AW9" s="84">
        <f t="shared" si="5"/>
        <v>9.3292082809143695E-2</v>
      </c>
      <c r="AX9" s="84">
        <f t="shared" si="5"/>
        <v>8.6244318057050018E-2</v>
      </c>
      <c r="AY9" s="398">
        <f t="shared" si="6"/>
        <v>0.10891568804665863</v>
      </c>
      <c r="AZ9" s="84">
        <f t="shared" si="6"/>
        <v>0.11602758843511451</v>
      </c>
      <c r="BA9" s="84">
        <f t="shared" si="6"/>
        <v>0.13229207297277679</v>
      </c>
      <c r="BB9" s="84">
        <f t="shared" si="6"/>
        <v>0.14717737043035539</v>
      </c>
      <c r="BC9" s="84">
        <f t="shared" si="6"/>
        <v>0.14246010631846051</v>
      </c>
      <c r="BD9" s="398">
        <f t="shared" si="6"/>
        <v>0.13505067237137514</v>
      </c>
      <c r="BE9" s="84">
        <f t="shared" si="6"/>
        <v>0.15011696663576002</v>
      </c>
      <c r="BF9" s="84">
        <f t="shared" si="6"/>
        <v>0.11169589242591194</v>
      </c>
      <c r="BG9" s="84">
        <f t="shared" si="6"/>
        <v>6.0131218462021518E-2</v>
      </c>
      <c r="BH9" s="84">
        <f t="shared" si="6"/>
        <v>4.7456996100753823E-2</v>
      </c>
      <c r="BI9" s="398">
        <f t="shared" si="7"/>
        <v>9.0302349255320102E-2</v>
      </c>
      <c r="BJ9" s="84">
        <f t="shared" si="7"/>
        <v>2.3384305581775733E-2</v>
      </c>
      <c r="BK9" s="84">
        <f t="shared" si="7"/>
        <v>4.3267795845455037E-2</v>
      </c>
      <c r="BL9" s="84">
        <f t="shared" si="7"/>
        <v>4.2867708064471488E-2</v>
      </c>
      <c r="BM9" s="84">
        <f t="shared" si="7"/>
        <v>8.3263170271223652E-2</v>
      </c>
      <c r="BN9" s="398">
        <f t="shared" si="7"/>
        <v>4.8254717324652585E-2</v>
      </c>
      <c r="BO9" s="84">
        <f t="shared" si="7"/>
        <v>-1.4101886127269592E-2</v>
      </c>
      <c r="BP9" s="84">
        <f t="shared" si="7"/>
        <v>3.6246650943080994E-2</v>
      </c>
      <c r="BQ9" s="84">
        <f t="shared" si="7"/>
        <v>6.5552330335998166E-2</v>
      </c>
      <c r="BR9" s="84">
        <f t="shared" si="7"/>
        <v>8.3687541559946288E-2</v>
      </c>
      <c r="BS9" s="399">
        <f t="shared" si="8"/>
        <v>4.4116541792640573E-2</v>
      </c>
      <c r="BT9" s="124">
        <f t="shared" si="8"/>
        <v>8.23784402429939E-3</v>
      </c>
      <c r="BU9" s="124">
        <f t="shared" si="8"/>
        <v>2.1671287617949009E-2</v>
      </c>
      <c r="BV9" s="124">
        <f t="shared" si="8"/>
        <v>4.3079320225714701E-2</v>
      </c>
      <c r="BW9" s="124">
        <f t="shared" si="8"/>
        <v>1.4576093125635792E-2</v>
      </c>
      <c r="BX9" s="397">
        <f t="shared" si="8"/>
        <v>2.2465025360214996E-2</v>
      </c>
      <c r="BY9" s="124">
        <f t="shared" si="8"/>
        <v>8.5605592293052091E-3</v>
      </c>
      <c r="BZ9" s="124">
        <f t="shared" si="8"/>
        <v>8.8129384220716478E-3</v>
      </c>
      <c r="CA9" s="124">
        <f t="shared" si="8"/>
        <v>8.9930436588414597E-3</v>
      </c>
      <c r="CB9" s="124">
        <f t="shared" si="8"/>
        <v>8.3874938065451321E-3</v>
      </c>
      <c r="CC9" s="397">
        <f t="shared" si="9"/>
        <v>8.6956924627996646E-3</v>
      </c>
      <c r="CD9" s="397">
        <f t="shared" si="10"/>
        <v>1.0578185588236755E-2</v>
      </c>
      <c r="CE9" s="397">
        <f t="shared" si="10"/>
        <v>1.0630192083247669E-2</v>
      </c>
      <c r="CF9" s="397">
        <f t="shared" si="10"/>
        <v>1.0682391016910486E-2</v>
      </c>
      <c r="CG9" s="236"/>
    </row>
    <row r="10" spans="1:85" ht="14.45" customHeight="1" x14ac:dyDescent="0.25">
      <c r="A10" s="79" t="s">
        <v>168</v>
      </c>
      <c r="B10" s="80"/>
      <c r="C10" s="394"/>
      <c r="D10" s="395">
        <f t="shared" si="1"/>
        <v>7.3608686038443727E-2</v>
      </c>
      <c r="E10" s="395">
        <f t="shared" si="1"/>
        <v>6.7233873315957426E-2</v>
      </c>
      <c r="F10" s="395">
        <f t="shared" si="1"/>
        <v>1.4154145094960047E-2</v>
      </c>
      <c r="G10" s="123"/>
      <c r="H10" s="123"/>
      <c r="I10" s="123"/>
      <c r="J10" s="123"/>
      <c r="K10" s="395">
        <f t="shared" ref="K10:T12" si="11">K22/F22-1</f>
        <v>9.2355037040439347E-2</v>
      </c>
      <c r="L10" s="81">
        <f t="shared" si="11"/>
        <v>-7.4935207336523035E-2</v>
      </c>
      <c r="M10" s="81">
        <f t="shared" si="11"/>
        <v>1.8104941187054413E-2</v>
      </c>
      <c r="N10" s="81">
        <f t="shared" si="11"/>
        <v>-1.7582679038781968E-2</v>
      </c>
      <c r="O10" s="81">
        <f t="shared" si="11"/>
        <v>-2.9833145151172857E-2</v>
      </c>
      <c r="P10" s="395">
        <f t="shared" si="11"/>
        <v>-2.4808380787621043E-2</v>
      </c>
      <c r="Q10" s="81">
        <f t="shared" si="11"/>
        <v>1.9530723849034093E-2</v>
      </c>
      <c r="R10" s="81">
        <f t="shared" si="11"/>
        <v>7.2722452946894167E-2</v>
      </c>
      <c r="S10" s="81">
        <f t="shared" si="11"/>
        <v>0.12901116466057982</v>
      </c>
      <c r="T10" s="81">
        <f t="shared" si="11"/>
        <v>0.18328764289039445</v>
      </c>
      <c r="U10" s="395">
        <f t="shared" ref="U10:AD12" si="12">U22/P22-1</f>
        <v>0.10120976186663033</v>
      </c>
      <c r="V10" s="81">
        <f t="shared" si="12"/>
        <v>0.32669238492839425</v>
      </c>
      <c r="W10" s="81">
        <f t="shared" si="12"/>
        <v>0.25710461285008246</v>
      </c>
      <c r="X10" s="81">
        <f t="shared" si="12"/>
        <v>0.25880561156634774</v>
      </c>
      <c r="Y10" s="81">
        <f t="shared" si="12"/>
        <v>0.49157432299521386</v>
      </c>
      <c r="Z10" s="395">
        <f t="shared" si="12"/>
        <v>0.33228547296352451</v>
      </c>
      <c r="AA10" s="81">
        <f t="shared" si="12"/>
        <v>0.28918542123083046</v>
      </c>
      <c r="AB10" s="81">
        <f t="shared" si="12"/>
        <v>0.71951838807437141</v>
      </c>
      <c r="AC10" s="81">
        <f t="shared" si="12"/>
        <v>0.7827820663565257</v>
      </c>
      <c r="AD10" s="81">
        <f t="shared" si="12"/>
        <v>0.59351737881718525</v>
      </c>
      <c r="AE10" s="395">
        <f t="shared" ref="AE10:AN12" si="13">AE22/Z22-1</f>
        <v>0.608286940238977</v>
      </c>
      <c r="AF10" s="81">
        <f t="shared" si="13"/>
        <v>0.57166692414645426</v>
      </c>
      <c r="AG10" s="81">
        <f t="shared" si="13"/>
        <v>1.8843838122094336E-2</v>
      </c>
      <c r="AH10" s="81">
        <f t="shared" si="13"/>
        <v>-0.11928999512516847</v>
      </c>
      <c r="AI10" s="81">
        <f t="shared" si="13"/>
        <v>-0.20093243094125868</v>
      </c>
      <c r="AJ10" s="395">
        <f t="shared" si="13"/>
        <v>1.2141542558051555E-2</v>
      </c>
      <c r="AK10" s="81">
        <f t="shared" si="13"/>
        <v>-0.19719071303595648</v>
      </c>
      <c r="AL10" s="81">
        <f t="shared" si="13"/>
        <v>-0.16520486974734905</v>
      </c>
      <c r="AM10" s="81">
        <f t="shared" si="13"/>
        <v>-9.6473805880246122E-2</v>
      </c>
      <c r="AN10" s="81">
        <f t="shared" si="13"/>
        <v>1.1093593564795112E-2</v>
      </c>
      <c r="AO10" s="395">
        <f t="shared" ref="AO10:AX12" si="14">AO22/AJ22-1</f>
        <v>-0.11775113743049037</v>
      </c>
      <c r="AP10" s="81">
        <f t="shared" si="14"/>
        <v>4.3661920095992679E-2</v>
      </c>
      <c r="AQ10" s="81">
        <f t="shared" si="14"/>
        <v>-0.10499787181612497</v>
      </c>
      <c r="AR10" s="81">
        <f t="shared" si="14"/>
        <v>1.9243243243243224E-2</v>
      </c>
      <c r="AS10" s="81">
        <f t="shared" si="14"/>
        <v>-9.4262528311764959E-2</v>
      </c>
      <c r="AT10" s="395">
        <f t="shared" si="14"/>
        <v>-3.6508001473417151E-2</v>
      </c>
      <c r="AU10" s="81">
        <f t="shared" si="14"/>
        <v>-4.2011285913724938E-2</v>
      </c>
      <c r="AV10" s="81">
        <f t="shared" si="14"/>
        <v>0.10750400480576694</v>
      </c>
      <c r="AW10" s="81">
        <f t="shared" si="14"/>
        <v>5.6168387309668555E-2</v>
      </c>
      <c r="AX10" s="81">
        <f t="shared" si="14"/>
        <v>9.8468188843790605E-2</v>
      </c>
      <c r="AY10" s="395">
        <f t="shared" ref="AY10:BH12" si="15">AY22/AT22-1</f>
        <v>5.3435647229453709E-2</v>
      </c>
      <c r="AZ10" s="81">
        <f t="shared" si="15"/>
        <v>3.2305469151828525E-2</v>
      </c>
      <c r="BA10" s="81">
        <f t="shared" si="15"/>
        <v>6.4004339277239142E-2</v>
      </c>
      <c r="BB10" s="81">
        <f t="shared" si="15"/>
        <v>-6.6660715481264843E-2</v>
      </c>
      <c r="BC10" s="81">
        <f t="shared" si="15"/>
        <v>3.7064577017669187E-3</v>
      </c>
      <c r="BD10" s="395">
        <f t="shared" si="15"/>
        <v>7.6385788556532219E-3</v>
      </c>
      <c r="BE10" s="81">
        <f t="shared" si="15"/>
        <v>2.5493499098415029E-2</v>
      </c>
      <c r="BF10" s="81">
        <f t="shared" si="15"/>
        <v>-1.0100044605875325E-2</v>
      </c>
      <c r="BG10" s="81">
        <f t="shared" si="15"/>
        <v>4.8610779015828776E-2</v>
      </c>
      <c r="BH10" s="81">
        <f t="shared" si="15"/>
        <v>-1.4611518252999556E-2</v>
      </c>
      <c r="BI10" s="395">
        <f t="shared" ref="BI10:BR12" si="16">BI22/BD22-1</f>
        <v>1.1382443823838129E-2</v>
      </c>
      <c r="BJ10" s="81">
        <f t="shared" si="16"/>
        <v>-8.9559835733703408E-2</v>
      </c>
      <c r="BK10" s="81">
        <f t="shared" si="16"/>
        <v>-8.7332496486314248E-3</v>
      </c>
      <c r="BL10" s="81">
        <f t="shared" si="16"/>
        <v>7.4449891688519454E-3</v>
      </c>
      <c r="BM10" s="81">
        <f t="shared" si="16"/>
        <v>-3.8169263333222014E-3</v>
      </c>
      <c r="BN10" s="395">
        <f t="shared" si="16"/>
        <v>-2.3268959552765645E-2</v>
      </c>
      <c r="BO10" s="81">
        <f t="shared" si="16"/>
        <v>9.1902468775014956E-2</v>
      </c>
      <c r="BP10" s="81">
        <f t="shared" si="16"/>
        <v>3.2253525699998953E-2</v>
      </c>
      <c r="BQ10" s="81">
        <f t="shared" si="16"/>
        <v>0.10478367642565334</v>
      </c>
      <c r="BR10" s="81">
        <f t="shared" si="16"/>
        <v>0.2159601518687515</v>
      </c>
      <c r="BS10" s="396">
        <f t="shared" ref="BS10:BS12" si="17">BS22/BN22-1</f>
        <v>0.1101664998003391</v>
      </c>
      <c r="BT10" s="144">
        <v>0.02</v>
      </c>
      <c r="BU10" s="144">
        <v>0.02</v>
      </c>
      <c r="BV10" s="144">
        <v>0.02</v>
      </c>
      <c r="BW10" s="144">
        <v>0.02</v>
      </c>
      <c r="BX10" s="394">
        <f>BX22/BS22-1</f>
        <v>1.9999999999999796E-2</v>
      </c>
      <c r="BY10" s="144">
        <v>0.02</v>
      </c>
      <c r="BZ10" s="144">
        <v>0.02</v>
      </c>
      <c r="CA10" s="144">
        <v>0.02</v>
      </c>
      <c r="CB10" s="144">
        <v>0.02</v>
      </c>
      <c r="CC10" s="394">
        <f>CC22/BX22-1</f>
        <v>2.000000000000024E-2</v>
      </c>
      <c r="CD10" s="400">
        <v>0.02</v>
      </c>
      <c r="CE10" s="400">
        <v>0.02</v>
      </c>
      <c r="CF10" s="400">
        <v>0.02</v>
      </c>
      <c r="CG10" s="115"/>
    </row>
    <row r="11" spans="1:85" ht="14.45" customHeight="1" x14ac:dyDescent="0.25">
      <c r="A11" s="85" t="s">
        <v>169</v>
      </c>
      <c r="B11" s="86"/>
      <c r="C11" s="401"/>
      <c r="D11" s="402">
        <f t="shared" si="1"/>
        <v>0.24566239192247452</v>
      </c>
      <c r="E11" s="402">
        <f t="shared" si="1"/>
        <v>8.0544103603288786E-2</v>
      </c>
      <c r="F11" s="402">
        <f t="shared" si="1"/>
        <v>0.11419600066104785</v>
      </c>
      <c r="G11" s="146"/>
      <c r="H11" s="146"/>
      <c r="I11" s="146"/>
      <c r="J11" s="146"/>
      <c r="K11" s="402">
        <f t="shared" si="11"/>
        <v>5.8517018559838929E-2</v>
      </c>
      <c r="L11" s="87">
        <f t="shared" si="11"/>
        <v>8.2941063121094727E-2</v>
      </c>
      <c r="M11" s="87">
        <f t="shared" si="11"/>
        <v>6.7058557540131236E-2</v>
      </c>
      <c r="N11" s="87">
        <f t="shared" si="11"/>
        <v>6.2443298740955555E-2</v>
      </c>
      <c r="O11" s="87">
        <f t="shared" si="11"/>
        <v>0.1860380307371714</v>
      </c>
      <c r="P11" s="402">
        <f t="shared" si="11"/>
        <v>9.7130498355062933E-2</v>
      </c>
      <c r="Q11" s="87">
        <f t="shared" si="11"/>
        <v>0.19471276054905928</v>
      </c>
      <c r="R11" s="87">
        <f t="shared" si="11"/>
        <v>0.23239257564200355</v>
      </c>
      <c r="S11" s="87">
        <f t="shared" si="11"/>
        <v>0.33002186816619794</v>
      </c>
      <c r="T11" s="87">
        <f t="shared" si="11"/>
        <v>0.25344812439602893</v>
      </c>
      <c r="U11" s="402">
        <f t="shared" si="12"/>
        <v>0.25551551229155445</v>
      </c>
      <c r="V11" s="87">
        <f t="shared" si="12"/>
        <v>0.19970212765957451</v>
      </c>
      <c r="W11" s="87">
        <f t="shared" si="12"/>
        <v>0.17098205075304307</v>
      </c>
      <c r="X11" s="87">
        <f t="shared" si="12"/>
        <v>0.14450133884530469</v>
      </c>
      <c r="Y11" s="87">
        <f t="shared" si="12"/>
        <v>0.12102256798430022</v>
      </c>
      <c r="Z11" s="402">
        <f t="shared" si="12"/>
        <v>0.15686187786657935</v>
      </c>
      <c r="AA11" s="87">
        <f t="shared" si="12"/>
        <v>0.155499592097329</v>
      </c>
      <c r="AB11" s="87">
        <f t="shared" si="12"/>
        <v>0.28830257381550184</v>
      </c>
      <c r="AC11" s="87">
        <f t="shared" si="12"/>
        <v>0.24098017485531331</v>
      </c>
      <c r="AD11" s="87">
        <f t="shared" si="12"/>
        <v>0.33500054705450233</v>
      </c>
      <c r="AE11" s="402">
        <f t="shared" si="13"/>
        <v>0.25787286428126288</v>
      </c>
      <c r="AF11" s="87">
        <f t="shared" si="13"/>
        <v>0.25857199864935398</v>
      </c>
      <c r="AG11" s="87">
        <f t="shared" si="13"/>
        <v>-5.6048777708131547E-2</v>
      </c>
      <c r="AH11" s="87">
        <f t="shared" si="13"/>
        <v>7.6293797270181596E-3</v>
      </c>
      <c r="AI11" s="87">
        <f t="shared" si="13"/>
        <v>0.34316021167985844</v>
      </c>
      <c r="AJ11" s="402">
        <f t="shared" si="13"/>
        <v>0.12744481221106785</v>
      </c>
      <c r="AK11" s="87">
        <f t="shared" si="13"/>
        <v>0.11670589383056296</v>
      </c>
      <c r="AL11" s="87">
        <f t="shared" si="13"/>
        <v>0.10238207347845507</v>
      </c>
      <c r="AM11" s="87">
        <f t="shared" si="13"/>
        <v>4.0265225288311779E-3</v>
      </c>
      <c r="AN11" s="87">
        <f t="shared" si="13"/>
        <v>-0.4035581666986281</v>
      </c>
      <c r="AO11" s="402">
        <f t="shared" si="14"/>
        <v>-7.5156896997929601E-2</v>
      </c>
      <c r="AP11" s="87">
        <f t="shared" si="14"/>
        <v>-8.9329591246136819E-2</v>
      </c>
      <c r="AQ11" s="87">
        <f t="shared" si="14"/>
        <v>-0.38554546748880159</v>
      </c>
      <c r="AR11" s="87">
        <f t="shared" si="14"/>
        <v>-0.18090277020989076</v>
      </c>
      <c r="AS11" s="87">
        <f t="shared" si="14"/>
        <v>-0.11460723419802721</v>
      </c>
      <c r="AT11" s="402">
        <f t="shared" si="14"/>
        <v>-0.19770305918703446</v>
      </c>
      <c r="AU11" s="87">
        <f t="shared" si="14"/>
        <v>-0.1130457723255508</v>
      </c>
      <c r="AV11" s="87">
        <f t="shared" si="14"/>
        <v>0.62054398973335223</v>
      </c>
      <c r="AW11" s="87">
        <f t="shared" si="14"/>
        <v>0.20187062611425977</v>
      </c>
      <c r="AX11" s="87">
        <f t="shared" si="14"/>
        <v>0.29181453543073244</v>
      </c>
      <c r="AY11" s="402">
        <f t="shared" si="15"/>
        <v>0.21159715157680581</v>
      </c>
      <c r="AZ11" s="87">
        <f t="shared" si="15"/>
        <v>3.4895354496782272E-2</v>
      </c>
      <c r="BA11" s="87">
        <f t="shared" si="15"/>
        <v>-0.10323474741253202</v>
      </c>
      <c r="BB11" s="87">
        <f t="shared" si="15"/>
        <v>-0.12049593180937612</v>
      </c>
      <c r="BC11" s="87">
        <f t="shared" si="15"/>
        <v>-7.7214995783394968E-2</v>
      </c>
      <c r="BD11" s="402">
        <f t="shared" si="15"/>
        <v>-7.1167686218064019E-2</v>
      </c>
      <c r="BE11" s="87">
        <f t="shared" si="15"/>
        <v>-0.28137696779672094</v>
      </c>
      <c r="BF11" s="87">
        <f t="shared" si="15"/>
        <v>-0.1715501698698686</v>
      </c>
      <c r="BG11" s="87">
        <f t="shared" si="15"/>
        <v>-0.10508495909376969</v>
      </c>
      <c r="BH11" s="87">
        <f t="shared" si="15"/>
        <v>-0.10531854498123761</v>
      </c>
      <c r="BI11" s="402">
        <f t="shared" si="16"/>
        <v>-0.1662001569022461</v>
      </c>
      <c r="BJ11" s="87">
        <f t="shared" si="16"/>
        <v>-0.10395040631192387</v>
      </c>
      <c r="BK11" s="87">
        <f t="shared" si="16"/>
        <v>-0.15330293429662756</v>
      </c>
      <c r="BL11" s="87">
        <f t="shared" si="16"/>
        <v>-0.19731086763899242</v>
      </c>
      <c r="BM11" s="87">
        <f t="shared" si="16"/>
        <v>-0.1137696748332383</v>
      </c>
      <c r="BN11" s="402">
        <f t="shared" si="16"/>
        <v>-0.14501659135700651</v>
      </c>
      <c r="BO11" s="87">
        <f t="shared" si="16"/>
        <v>3.5667187404897494E-2</v>
      </c>
      <c r="BP11" s="87">
        <f t="shared" si="16"/>
        <v>-5.3837142207689981E-2</v>
      </c>
      <c r="BQ11" s="87">
        <f t="shared" si="16"/>
        <v>0.12610386879730862</v>
      </c>
      <c r="BR11" s="87">
        <f t="shared" si="16"/>
        <v>8.7090915441305317E-2</v>
      </c>
      <c r="BS11" s="403">
        <f t="shared" si="17"/>
        <v>4.9195250301158344E-2</v>
      </c>
      <c r="BT11" s="404">
        <v>0.02</v>
      </c>
      <c r="BU11" s="404">
        <v>0.02</v>
      </c>
      <c r="BV11" s="404">
        <v>0.02</v>
      </c>
      <c r="BW11" s="404">
        <v>0.02</v>
      </c>
      <c r="BX11" s="401">
        <f>BX23/BS23-1</f>
        <v>2.0000000000000018E-2</v>
      </c>
      <c r="BY11" s="404">
        <v>0.02</v>
      </c>
      <c r="BZ11" s="404">
        <v>0.02</v>
      </c>
      <c r="CA11" s="404">
        <v>0.02</v>
      </c>
      <c r="CB11" s="404">
        <v>0.02</v>
      </c>
      <c r="CC11" s="401">
        <f>CC23/BX23-1</f>
        <v>2.0000000000000018E-2</v>
      </c>
      <c r="CD11" s="405">
        <v>0.02</v>
      </c>
      <c r="CE11" s="405">
        <v>0.02</v>
      </c>
      <c r="CF11" s="405">
        <v>0.02</v>
      </c>
      <c r="CG11" s="115"/>
    </row>
    <row r="12" spans="1:85" ht="14.45" customHeight="1" x14ac:dyDescent="0.25">
      <c r="A12" s="88" t="s">
        <v>170</v>
      </c>
      <c r="B12" s="89"/>
      <c r="C12" s="406"/>
      <c r="D12" s="406">
        <f t="shared" si="1"/>
        <v>0.14945576868143817</v>
      </c>
      <c r="E12" s="406">
        <f t="shared" si="1"/>
        <v>7.3592575832882146E-2</v>
      </c>
      <c r="F12" s="406">
        <f t="shared" si="1"/>
        <v>6.2256648021917549E-2</v>
      </c>
      <c r="G12" s="90"/>
      <c r="H12" s="90"/>
      <c r="I12" s="90"/>
      <c r="J12" s="90"/>
      <c r="K12" s="406">
        <f t="shared" si="11"/>
        <v>7.5289380648980275E-2</v>
      </c>
      <c r="L12" s="90">
        <f t="shared" si="11"/>
        <v>7.8477535805587806E-5</v>
      </c>
      <c r="M12" s="90">
        <f t="shared" si="11"/>
        <v>4.2517447825645815E-2</v>
      </c>
      <c r="N12" s="90">
        <f t="shared" si="11"/>
        <v>2.3881315708012885E-2</v>
      </c>
      <c r="O12" s="90">
        <f t="shared" si="11"/>
        <v>7.608153875647039E-2</v>
      </c>
      <c r="P12" s="406">
        <f t="shared" si="11"/>
        <v>3.57302731870206E-2</v>
      </c>
      <c r="Q12" s="90">
        <f t="shared" si="11"/>
        <v>0.10966375014713359</v>
      </c>
      <c r="R12" s="90">
        <f t="shared" si="11"/>
        <v>0.15422218376881824</v>
      </c>
      <c r="S12" s="90">
        <f t="shared" si="11"/>
        <v>0.23708373457550458</v>
      </c>
      <c r="T12" s="90">
        <f t="shared" si="11"/>
        <v>0.22122853274424537</v>
      </c>
      <c r="U12" s="406">
        <f t="shared" si="12"/>
        <v>0.18235897076474261</v>
      </c>
      <c r="V12" s="90">
        <f t="shared" si="12"/>
        <v>0.25634679301322394</v>
      </c>
      <c r="W12" s="90">
        <f t="shared" si="12"/>
        <v>0.21016828454705583</v>
      </c>
      <c r="X12" s="90">
        <f t="shared" si="12"/>
        <v>0.19273346065768138</v>
      </c>
      <c r="Y12" s="90">
        <f t="shared" si="12"/>
        <v>0.28590323364940429</v>
      </c>
      <c r="Z12" s="406">
        <f t="shared" si="12"/>
        <v>0.23432228298186586</v>
      </c>
      <c r="AA12" s="90">
        <f t="shared" si="12"/>
        <v>0.2184697362002328</v>
      </c>
      <c r="AB12" s="90">
        <f t="shared" si="12"/>
        <v>0.49211793672669857</v>
      </c>
      <c r="AC12" s="90">
        <f t="shared" si="12"/>
        <v>0.48226482105454882</v>
      </c>
      <c r="AD12" s="90">
        <f t="shared" si="12"/>
        <v>0.46842833697616904</v>
      </c>
      <c r="AE12" s="406">
        <f t="shared" si="13"/>
        <v>0.42488269017198754</v>
      </c>
      <c r="AF12" s="90">
        <f t="shared" si="13"/>
        <v>0.41460841982076313</v>
      </c>
      <c r="AG12" s="90">
        <f t="shared" si="13"/>
        <v>-1.5255846777332271E-2</v>
      </c>
      <c r="AH12" s="90">
        <f t="shared" si="13"/>
        <v>-6.0351933483854703E-2</v>
      </c>
      <c r="AI12" s="90">
        <f t="shared" si="13"/>
        <v>3.8416769674495477E-2</v>
      </c>
      <c r="AJ12" s="406">
        <f t="shared" si="13"/>
        <v>6.5416990835273747E-2</v>
      </c>
      <c r="AK12" s="90">
        <f t="shared" si="13"/>
        <v>-5.7098538656216946E-2</v>
      </c>
      <c r="AL12" s="90">
        <f t="shared" si="13"/>
        <v>-4.8415738803728625E-2</v>
      </c>
      <c r="AM12" s="90">
        <f t="shared" si="13"/>
        <v>-4.6427617921572795E-2</v>
      </c>
      <c r="AN12" s="90">
        <f t="shared" si="13"/>
        <v>-0.22484488069080799</v>
      </c>
      <c r="AO12" s="406">
        <f t="shared" si="14"/>
        <v>-9.6924841167321474E-2</v>
      </c>
      <c r="AP12" s="90">
        <f t="shared" si="14"/>
        <v>-2.6632956985523371E-2</v>
      </c>
      <c r="AQ12" s="90">
        <f t="shared" si="14"/>
        <v>-0.24684774482930494</v>
      </c>
      <c r="AR12" s="90">
        <f t="shared" si="14"/>
        <v>-8.5696980778460885E-2</v>
      </c>
      <c r="AS12" s="90">
        <f t="shared" si="14"/>
        <v>-0.10316982967124366</v>
      </c>
      <c r="AT12" s="406">
        <f t="shared" si="14"/>
        <v>-0.11722352206233277</v>
      </c>
      <c r="AU12" s="90">
        <f t="shared" si="14"/>
        <v>-7.7139299057107147E-2</v>
      </c>
      <c r="AV12" s="90">
        <f t="shared" si="14"/>
        <v>0.31913563908005438</v>
      </c>
      <c r="AW12" s="90">
        <f t="shared" si="14"/>
        <v>0.12460784681340353</v>
      </c>
      <c r="AX12" s="90">
        <f t="shared" si="14"/>
        <v>0.18203935446126684</v>
      </c>
      <c r="AY12" s="406">
        <f t="shared" si="15"/>
        <v>0.12541211016940723</v>
      </c>
      <c r="AZ12" s="90">
        <f t="shared" si="15"/>
        <v>3.3536389456503501E-2</v>
      </c>
      <c r="BA12" s="90">
        <f t="shared" si="15"/>
        <v>-2.0745430933098552E-2</v>
      </c>
      <c r="BB12" s="90">
        <f t="shared" si="15"/>
        <v>-9.3685573455291049E-2</v>
      </c>
      <c r="BC12" s="90">
        <f t="shared" si="15"/>
        <v>-3.4518973665627173E-2</v>
      </c>
      <c r="BD12" s="406">
        <f t="shared" si="15"/>
        <v>-3.0971182593492963E-2</v>
      </c>
      <c r="BE12" s="90">
        <f t="shared" si="15"/>
        <v>-0.12054762156415344</v>
      </c>
      <c r="BF12" s="90">
        <f t="shared" si="15"/>
        <v>-8.502427557473069E-2</v>
      </c>
      <c r="BG12" s="90">
        <f t="shared" si="15"/>
        <v>-2.6260929280047196E-2</v>
      </c>
      <c r="BH12" s="90">
        <f t="shared" si="15"/>
        <v>-5.5564585703746783E-2</v>
      </c>
      <c r="BI12" s="406">
        <f t="shared" si="16"/>
        <v>-7.2012056083834763E-2</v>
      </c>
      <c r="BJ12" s="90">
        <f t="shared" si="16"/>
        <v>-9.5155953963181772E-2</v>
      </c>
      <c r="BK12" s="90">
        <f t="shared" si="16"/>
        <v>-6.9479263217482656E-2</v>
      </c>
      <c r="BL12" s="90">
        <f t="shared" si="16"/>
        <v>-8.4225903747221387E-2</v>
      </c>
      <c r="BM12" s="90">
        <f t="shared" si="16"/>
        <v>-5.0843979612100743E-2</v>
      </c>
      <c r="BN12" s="406">
        <f t="shared" si="16"/>
        <v>-7.4639838192672281E-2</v>
      </c>
      <c r="BO12" s="90">
        <f t="shared" si="16"/>
        <v>7.0246577911119434E-2</v>
      </c>
      <c r="BP12" s="90">
        <f t="shared" si="16"/>
        <v>-6.6183549042675427E-4</v>
      </c>
      <c r="BQ12" s="90">
        <f t="shared" si="16"/>
        <v>0.11315020455873759</v>
      </c>
      <c r="BR12" s="90">
        <f t="shared" si="16"/>
        <v>0.1644965792355062</v>
      </c>
      <c r="BS12" s="407">
        <f t="shared" si="17"/>
        <v>8.6396539548022622E-2</v>
      </c>
      <c r="BT12" s="90">
        <f>BT24/BO24-1</f>
        <v>2.0000000000000018E-2</v>
      </c>
      <c r="BU12" s="90">
        <f>BU24/BP24-1</f>
        <v>2.0000000000000018E-2</v>
      </c>
      <c r="BV12" s="90">
        <f>BV24/BQ24-1</f>
        <v>2.0000000000000018E-2</v>
      </c>
      <c r="BW12" s="90">
        <f>BW24/BR24-1</f>
        <v>2.0000000000000018E-2</v>
      </c>
      <c r="BX12" s="406">
        <f>BX24/BS24-1</f>
        <v>1.9999999999999796E-2</v>
      </c>
      <c r="BY12" s="90">
        <f>BY24/BT24-1</f>
        <v>2.0000000000000018E-2</v>
      </c>
      <c r="BZ12" s="90">
        <f>BZ24/BU24-1</f>
        <v>2.0000000000000018E-2</v>
      </c>
      <c r="CA12" s="90">
        <f>CA24/BV24-1</f>
        <v>2.0000000000000018E-2</v>
      </c>
      <c r="CB12" s="90">
        <f>CB24/BW24-1</f>
        <v>2.0000000000000018E-2</v>
      </c>
      <c r="CC12" s="406">
        <f>CC24/BX24-1</f>
        <v>2.0000000000000018E-2</v>
      </c>
      <c r="CD12" s="406">
        <f>CD24/CC24-1</f>
        <v>2.0000000000000018E-2</v>
      </c>
      <c r="CE12" s="406">
        <f>CE24/CD24-1</f>
        <v>2.0000000000000018E-2</v>
      </c>
      <c r="CF12" s="406">
        <f>CF24/CE24-1</f>
        <v>2.0000000000000018E-2</v>
      </c>
      <c r="CG12" s="115"/>
    </row>
    <row r="13" spans="1:85" ht="14.45" customHeight="1" x14ac:dyDescent="0.25">
      <c r="A13" s="91" t="s">
        <v>171</v>
      </c>
      <c r="B13" s="83"/>
      <c r="C13" s="397"/>
      <c r="D13" s="398">
        <f>D401/C401-1</f>
        <v>4.9628340122495951E-2</v>
      </c>
      <c r="E13" s="398">
        <f>E401/D401-1</f>
        <v>3.0793629204825868E-2</v>
      </c>
      <c r="F13" s="398">
        <f>F401/E401-1</f>
        <v>3.4071657190218874E-2</v>
      </c>
      <c r="G13" s="124"/>
      <c r="H13" s="124"/>
      <c r="I13" s="124"/>
      <c r="J13" s="124"/>
      <c r="K13" s="398">
        <f t="shared" ref="K13:AP13" si="18">K401/F401-1</f>
        <v>1.6660957748014349E-2</v>
      </c>
      <c r="L13" s="84">
        <f t="shared" si="18"/>
        <v>1.3116899708252694E-2</v>
      </c>
      <c r="M13" s="84">
        <f t="shared" si="18"/>
        <v>7.1085064770070483E-2</v>
      </c>
      <c r="N13" s="84">
        <f t="shared" si="18"/>
        <v>5.3426751123223148E-2</v>
      </c>
      <c r="O13" s="84">
        <f t="shared" si="18"/>
        <v>0.117414800031445</v>
      </c>
      <c r="P13" s="398">
        <f t="shared" si="18"/>
        <v>6.3995623064452056E-2</v>
      </c>
      <c r="Q13" s="84">
        <f t="shared" si="18"/>
        <v>0.16642819276240273</v>
      </c>
      <c r="R13" s="84">
        <f t="shared" si="18"/>
        <v>0.33780004483397286</v>
      </c>
      <c r="S13" s="84">
        <f t="shared" si="18"/>
        <v>0.35206128352808541</v>
      </c>
      <c r="T13" s="84">
        <f t="shared" si="18"/>
        <v>0.4064061656053275</v>
      </c>
      <c r="U13" s="398">
        <f t="shared" si="18"/>
        <v>0.32071629764385423</v>
      </c>
      <c r="V13" s="84">
        <f t="shared" si="18"/>
        <v>0.3799268841022565</v>
      </c>
      <c r="W13" s="84">
        <f t="shared" si="18"/>
        <v>0.36718275924338251</v>
      </c>
      <c r="X13" s="84">
        <f t="shared" si="18"/>
        <v>0.37204228788990412</v>
      </c>
      <c r="Y13" s="84">
        <f t="shared" si="18"/>
        <v>0.35797687973200554</v>
      </c>
      <c r="Z13" s="398">
        <f t="shared" si="18"/>
        <v>0.36851744102862471</v>
      </c>
      <c r="AA13" s="84">
        <f t="shared" si="18"/>
        <v>0.38411335089918386</v>
      </c>
      <c r="AB13" s="84">
        <f t="shared" si="18"/>
        <v>0.3913770371639631</v>
      </c>
      <c r="AC13" s="84">
        <f t="shared" si="18"/>
        <v>0.36924341717823217</v>
      </c>
      <c r="AD13" s="84">
        <f t="shared" si="18"/>
        <v>0.33816840153999683</v>
      </c>
      <c r="AE13" s="398">
        <f t="shared" si="18"/>
        <v>0.36979775873233911</v>
      </c>
      <c r="AF13" s="84">
        <f t="shared" si="18"/>
        <v>0.22993478125267131</v>
      </c>
      <c r="AG13" s="84">
        <f t="shared" si="18"/>
        <v>4.3369871144137706E-2</v>
      </c>
      <c r="AH13" s="84">
        <f t="shared" si="18"/>
        <v>3.5704147692180443E-2</v>
      </c>
      <c r="AI13" s="84">
        <f t="shared" si="18"/>
        <v>9.2545480216206233E-3</v>
      </c>
      <c r="AJ13" s="398">
        <f t="shared" si="18"/>
        <v>6.977779052415678E-2</v>
      </c>
      <c r="AK13" s="84">
        <f t="shared" si="18"/>
        <v>3.583446739490781E-2</v>
      </c>
      <c r="AL13" s="84">
        <f t="shared" si="18"/>
        <v>4.3980219720771263E-2</v>
      </c>
      <c r="AM13" s="84">
        <f t="shared" si="18"/>
        <v>5.564299317377519E-2</v>
      </c>
      <c r="AN13" s="84">
        <f t="shared" si="18"/>
        <v>3.7285836080632517E-2</v>
      </c>
      <c r="AO13" s="398">
        <f t="shared" si="18"/>
        <v>4.349603620385345E-2</v>
      </c>
      <c r="AP13" s="84">
        <f t="shared" si="18"/>
        <v>6.3567174896999923E-2</v>
      </c>
      <c r="AQ13" s="84">
        <f t="shared" ref="AQ13:BV13" si="19">AQ401/AL401-1</f>
        <v>-3.6465019286952116E-2</v>
      </c>
      <c r="AR13" s="84">
        <f t="shared" si="19"/>
        <v>4.5203531941442554E-2</v>
      </c>
      <c r="AS13" s="84">
        <f t="shared" si="19"/>
        <v>8.4556668693896109E-2</v>
      </c>
      <c r="AT13" s="398">
        <f t="shared" si="19"/>
        <v>3.7461134238977012E-2</v>
      </c>
      <c r="AU13" s="84">
        <f t="shared" si="19"/>
        <v>8.2552656772555633E-2</v>
      </c>
      <c r="AV13" s="84">
        <f t="shared" si="19"/>
        <v>0.16775463142155211</v>
      </c>
      <c r="AW13" s="84">
        <f t="shared" si="19"/>
        <v>9.7064021847459214E-2</v>
      </c>
      <c r="AX13" s="84">
        <f t="shared" si="19"/>
        <v>9.6745206027981201E-2</v>
      </c>
      <c r="AY13" s="398">
        <f t="shared" si="19"/>
        <v>0.11090820966030579</v>
      </c>
      <c r="AZ13" s="84">
        <f t="shared" si="19"/>
        <v>0.10591822543798246</v>
      </c>
      <c r="BA13" s="84">
        <f t="shared" si="19"/>
        <v>0.11313277779561015</v>
      </c>
      <c r="BB13" s="84">
        <f t="shared" si="19"/>
        <v>0.11743738301340989</v>
      </c>
      <c r="BC13" s="84">
        <f t="shared" si="19"/>
        <v>0.12155120837400957</v>
      </c>
      <c r="BD13" s="398">
        <f t="shared" si="19"/>
        <v>0.11473590049749105</v>
      </c>
      <c r="BE13" s="84">
        <f t="shared" si="19"/>
        <v>0.11911777481240549</v>
      </c>
      <c r="BF13" s="84">
        <f t="shared" si="19"/>
        <v>9.0029870581708638E-2</v>
      </c>
      <c r="BG13" s="84">
        <f t="shared" si="19"/>
        <v>5.1479532282239449E-2</v>
      </c>
      <c r="BH13" s="84">
        <f t="shared" si="19"/>
        <v>3.6979390193890627E-2</v>
      </c>
      <c r="BI13" s="398">
        <f t="shared" si="19"/>
        <v>7.3037274730336055E-2</v>
      </c>
      <c r="BJ13" s="84">
        <f t="shared" si="19"/>
        <v>1.2715363931480539E-2</v>
      </c>
      <c r="BK13" s="84">
        <f t="shared" si="19"/>
        <v>3.2844461109526213E-2</v>
      </c>
      <c r="BL13" s="84">
        <f t="shared" si="19"/>
        <v>3.1081014793030715E-2</v>
      </c>
      <c r="BM13" s="84">
        <f t="shared" si="19"/>
        <v>7.0841273461700105E-2</v>
      </c>
      <c r="BN13" s="398">
        <f t="shared" si="19"/>
        <v>3.6949691442167865E-2</v>
      </c>
      <c r="BO13" s="84">
        <f t="shared" si="19"/>
        <v>-7.3189304522544019E-3</v>
      </c>
      <c r="BP13" s="84">
        <f t="shared" si="19"/>
        <v>3.3172545008388399E-2</v>
      </c>
      <c r="BQ13" s="84">
        <f t="shared" si="19"/>
        <v>6.9472919918534215E-2</v>
      </c>
      <c r="BR13" s="84">
        <f t="shared" si="19"/>
        <v>9.0322045010148511E-2</v>
      </c>
      <c r="BS13" s="399">
        <f t="shared" si="19"/>
        <v>4.7587320985385428E-2</v>
      </c>
      <c r="BT13" s="124">
        <f t="shared" si="19"/>
        <v>9.2576154589589787E-3</v>
      </c>
      <c r="BU13" s="124">
        <f t="shared" si="19"/>
        <v>2.1536644733899157E-2</v>
      </c>
      <c r="BV13" s="124">
        <f t="shared" si="19"/>
        <v>4.1100661859210907E-2</v>
      </c>
      <c r="BW13" s="124">
        <f t="shared" ref="BW13:CC13" si="20">BW401/BR401-1</f>
        <v>1.5051695635323936E-2</v>
      </c>
      <c r="BX13" s="397">
        <f t="shared" si="20"/>
        <v>2.2255174109770737E-2</v>
      </c>
      <c r="BY13" s="124">
        <f t="shared" si="20"/>
        <v>9.5629079468035894E-3</v>
      </c>
      <c r="BZ13" s="124">
        <f t="shared" si="20"/>
        <v>9.7128388535672183E-3</v>
      </c>
      <c r="CA13" s="124">
        <f t="shared" si="20"/>
        <v>9.9175768257893093E-3</v>
      </c>
      <c r="CB13" s="124">
        <f t="shared" si="20"/>
        <v>9.410715838365169E-3</v>
      </c>
      <c r="CC13" s="397">
        <f t="shared" si="20"/>
        <v>9.6559218391016888E-3</v>
      </c>
      <c r="CD13" s="397">
        <f>CD401/CC401-1</f>
        <v>1.1386708524231626E-2</v>
      </c>
      <c r="CE13" s="397">
        <f>CE401/CD401-1</f>
        <v>1.1441099769070595E-2</v>
      </c>
      <c r="CF13" s="397">
        <f>CF401/CE401-1</f>
        <v>1.1495604900722434E-2</v>
      </c>
      <c r="CG13" s="236"/>
    </row>
    <row r="14" spans="1:85" ht="14.45" hidden="1" customHeight="1" x14ac:dyDescent="0.25">
      <c r="A14" s="92"/>
      <c r="B14" s="89"/>
      <c r="C14" s="406"/>
      <c r="D14" s="406"/>
      <c r="E14" s="406"/>
      <c r="F14" s="406"/>
      <c r="G14" s="90"/>
      <c r="H14" s="90"/>
      <c r="I14" s="90"/>
      <c r="J14" s="90"/>
      <c r="K14" s="406"/>
      <c r="L14" s="90"/>
      <c r="M14" s="90"/>
      <c r="N14" s="90"/>
      <c r="O14" s="90"/>
      <c r="P14" s="406"/>
      <c r="Q14" s="90"/>
      <c r="R14" s="90"/>
      <c r="S14" s="90"/>
      <c r="T14" s="90"/>
      <c r="U14" s="406"/>
      <c r="V14" s="90"/>
      <c r="W14" s="90"/>
      <c r="X14" s="90"/>
      <c r="Y14" s="90"/>
      <c r="Z14" s="406"/>
      <c r="AA14" s="90"/>
      <c r="AB14" s="90"/>
      <c r="AC14" s="90"/>
      <c r="AD14" s="90"/>
      <c r="AE14" s="406"/>
      <c r="AF14" s="90"/>
      <c r="AG14" s="90"/>
      <c r="AH14" s="90"/>
      <c r="AI14" s="90"/>
      <c r="AJ14" s="406"/>
      <c r="AK14" s="90"/>
      <c r="AL14" s="90"/>
      <c r="AM14" s="90"/>
      <c r="AN14" s="90"/>
      <c r="AO14" s="406"/>
      <c r="AP14" s="90"/>
      <c r="AQ14" s="90"/>
      <c r="AR14" s="90"/>
      <c r="AS14" s="90"/>
      <c r="AT14" s="406"/>
      <c r="AU14" s="90"/>
      <c r="AV14" s="90"/>
      <c r="AW14" s="90"/>
      <c r="AX14" s="90"/>
      <c r="AY14" s="406"/>
      <c r="AZ14" s="90"/>
      <c r="BA14" s="90"/>
      <c r="BB14" s="90"/>
      <c r="BC14" s="90"/>
      <c r="BD14" s="406"/>
      <c r="BE14" s="90"/>
      <c r="BF14" s="90"/>
      <c r="BG14" s="90"/>
      <c r="BH14" s="90"/>
      <c r="BI14" s="406"/>
      <c r="BJ14" s="90"/>
      <c r="BK14" s="90"/>
      <c r="BL14" s="90"/>
      <c r="BM14" s="90"/>
      <c r="BN14" s="406"/>
      <c r="BO14" s="90"/>
      <c r="BP14" s="90"/>
      <c r="BQ14" s="90"/>
      <c r="BR14" s="90"/>
      <c r="BS14" s="407"/>
      <c r="BT14" s="90"/>
      <c r="BU14" s="90"/>
      <c r="BV14" s="90"/>
      <c r="BW14" s="90"/>
      <c r="BX14" s="406"/>
      <c r="BY14" s="90"/>
      <c r="BZ14" s="90"/>
      <c r="CA14" s="90"/>
      <c r="CB14" s="90"/>
      <c r="CC14" s="406"/>
      <c r="CD14" s="406"/>
      <c r="CE14" s="406"/>
      <c r="CF14" s="406"/>
      <c r="CG14" s="236"/>
    </row>
    <row r="15" spans="1:85" ht="14.45" hidden="1" customHeight="1" x14ac:dyDescent="0.25">
      <c r="A15" s="93" t="s">
        <v>172</v>
      </c>
      <c r="B15" s="89"/>
      <c r="C15" s="406"/>
      <c r="D15" s="406"/>
      <c r="E15" s="406"/>
      <c r="F15" s="406"/>
      <c r="G15" s="90"/>
      <c r="H15" s="90"/>
      <c r="I15" s="90"/>
      <c r="J15" s="90"/>
      <c r="K15" s="406"/>
      <c r="L15" s="90"/>
      <c r="M15" s="90"/>
      <c r="N15" s="90"/>
      <c r="O15" s="90"/>
      <c r="P15" s="408">
        <v>3.6999999999999998E-2</v>
      </c>
      <c r="Q15" s="94">
        <v>2.9000000000000001E-2</v>
      </c>
      <c r="R15" s="90"/>
      <c r="S15" s="90"/>
      <c r="T15" s="90"/>
      <c r="U15" s="408">
        <v>0.1</v>
      </c>
      <c r="V15" s="90"/>
      <c r="W15" s="94">
        <v>4.4999999999999998E-2</v>
      </c>
      <c r="X15" s="94">
        <v>4.1000000000000002E-2</v>
      </c>
      <c r="Y15" s="94">
        <v>6.3E-2</v>
      </c>
      <c r="Z15" s="408">
        <v>7.0000000000000007E-2</v>
      </c>
      <c r="AA15" s="94">
        <v>1.7999999999999999E-2</v>
      </c>
      <c r="AB15" s="94">
        <v>2.8000000000000001E-2</v>
      </c>
      <c r="AC15" s="94">
        <v>1.4E-2</v>
      </c>
      <c r="AD15" s="94">
        <v>6.7000000000000004E-2</v>
      </c>
      <c r="AE15" s="408">
        <v>3.1E-2</v>
      </c>
      <c r="AF15" s="90"/>
      <c r="AG15" s="90"/>
      <c r="AH15" s="90"/>
      <c r="AI15" s="90"/>
      <c r="AJ15" s="406"/>
      <c r="AK15" s="90"/>
      <c r="AL15" s="90"/>
      <c r="AM15" s="90"/>
      <c r="AN15" s="90"/>
      <c r="AO15" s="406"/>
      <c r="AP15" s="90"/>
      <c r="AQ15" s="90"/>
      <c r="AR15" s="90"/>
      <c r="AS15" s="94">
        <v>3.5000000000000003E-2</v>
      </c>
      <c r="AT15" s="406"/>
      <c r="AU15" s="90"/>
      <c r="AV15" s="90"/>
      <c r="AW15" s="90"/>
      <c r="AX15" s="94">
        <v>0.15</v>
      </c>
      <c r="AY15" s="406"/>
      <c r="AZ15" s="90"/>
      <c r="BA15" s="90"/>
      <c r="BB15" s="90"/>
      <c r="BC15" s="90"/>
      <c r="BD15" s="406"/>
      <c r="BE15" s="90"/>
      <c r="BF15" s="90"/>
      <c r="BG15" s="90"/>
      <c r="BH15" s="90"/>
      <c r="BI15" s="406"/>
      <c r="BJ15" s="90"/>
      <c r="BK15" s="90"/>
      <c r="BL15" s="90"/>
      <c r="BM15" s="90"/>
      <c r="BN15" s="406"/>
      <c r="BO15" s="90"/>
      <c r="BP15" s="90"/>
      <c r="BQ15" s="90"/>
      <c r="BR15" s="90"/>
      <c r="BS15" s="407"/>
      <c r="BT15" s="90"/>
      <c r="BU15" s="90"/>
      <c r="BV15" s="90"/>
      <c r="BW15" s="90"/>
      <c r="BX15" s="406"/>
      <c r="BY15" s="90"/>
      <c r="BZ15" s="90"/>
      <c r="CA15" s="90"/>
      <c r="CB15" s="90"/>
      <c r="CC15" s="406"/>
      <c r="CD15" s="406"/>
      <c r="CE15" s="406"/>
      <c r="CF15" s="406"/>
      <c r="CG15" s="236"/>
    </row>
    <row r="16" spans="1:85" ht="14.45" hidden="1" customHeight="1" x14ac:dyDescent="0.25">
      <c r="A16" s="93" t="s">
        <v>173</v>
      </c>
      <c r="B16" s="89"/>
      <c r="C16" s="406"/>
      <c r="D16" s="406"/>
      <c r="E16" s="406"/>
      <c r="F16" s="406"/>
      <c r="G16" s="90"/>
      <c r="H16" s="90"/>
      <c r="I16" s="90"/>
      <c r="J16" s="90"/>
      <c r="K16" s="406"/>
      <c r="L16" s="90"/>
      <c r="M16" s="90"/>
      <c r="N16" s="90"/>
      <c r="O16" s="90"/>
      <c r="P16" s="406"/>
      <c r="Q16" s="90"/>
      <c r="R16" s="90"/>
      <c r="S16" s="90"/>
      <c r="T16" s="90"/>
      <c r="U16" s="406"/>
      <c r="V16" s="90"/>
      <c r="W16" s="90"/>
      <c r="X16" s="90"/>
      <c r="Y16" s="90"/>
      <c r="Z16" s="406"/>
      <c r="AA16" s="90"/>
      <c r="AB16" s="90"/>
      <c r="AC16" s="90"/>
      <c r="AD16" s="90"/>
      <c r="AE16" s="406"/>
      <c r="AF16" s="94">
        <v>2.4E-2</v>
      </c>
      <c r="AG16" s="94">
        <v>2.5999999999999999E-2</v>
      </c>
      <c r="AH16" s="94">
        <v>4.2999999999999997E-2</v>
      </c>
      <c r="AI16" s="94">
        <v>2.9000000000000001E-2</v>
      </c>
      <c r="AJ16" s="408">
        <v>3.4000000000000002E-2</v>
      </c>
      <c r="AK16" s="90"/>
      <c r="AL16" s="90"/>
      <c r="AM16" s="90"/>
      <c r="AN16" s="90"/>
      <c r="AO16" s="406"/>
      <c r="AP16" s="90"/>
      <c r="AQ16" s="90"/>
      <c r="AR16" s="90"/>
      <c r="AS16" s="90"/>
      <c r="AT16" s="406"/>
      <c r="AU16" s="90"/>
      <c r="AV16" s="90"/>
      <c r="AW16" s="90"/>
      <c r="AX16" s="90"/>
      <c r="AY16" s="406"/>
      <c r="AZ16" s="90"/>
      <c r="BA16" s="90"/>
      <c r="BB16" s="90"/>
      <c r="BC16" s="90"/>
      <c r="BD16" s="406"/>
      <c r="BE16" s="90"/>
      <c r="BF16" s="90"/>
      <c r="BG16" s="90"/>
      <c r="BH16" s="90"/>
      <c r="BI16" s="406"/>
      <c r="BJ16" s="90"/>
      <c r="BK16" s="90"/>
      <c r="BL16" s="90"/>
      <c r="BM16" s="90"/>
      <c r="BN16" s="406"/>
      <c r="BO16" s="90"/>
      <c r="BP16" s="90"/>
      <c r="BQ16" s="90"/>
      <c r="BR16" s="90"/>
      <c r="BS16" s="407"/>
      <c r="BT16" s="90"/>
      <c r="BU16" s="90"/>
      <c r="BV16" s="90"/>
      <c r="BW16" s="90"/>
      <c r="BX16" s="406"/>
      <c r="BY16" s="90"/>
      <c r="BZ16" s="90"/>
      <c r="CA16" s="90"/>
      <c r="CB16" s="90"/>
      <c r="CC16" s="406"/>
      <c r="CD16" s="406"/>
      <c r="CE16" s="406"/>
      <c r="CF16" s="406"/>
      <c r="CG16" s="236"/>
    </row>
    <row r="17" spans="1:85" ht="14.45" customHeight="1" x14ac:dyDescent="0.25">
      <c r="A17" s="92"/>
      <c r="B17" s="89"/>
      <c r="C17" s="406"/>
      <c r="D17" s="406"/>
      <c r="E17" s="406"/>
      <c r="F17" s="406"/>
      <c r="G17" s="90"/>
      <c r="H17" s="90"/>
      <c r="I17" s="90"/>
      <c r="J17" s="90"/>
      <c r="K17" s="406"/>
      <c r="L17" s="90"/>
      <c r="M17" s="90"/>
      <c r="N17" s="90"/>
      <c r="O17" s="90"/>
      <c r="P17" s="406"/>
      <c r="Q17" s="90"/>
      <c r="R17" s="90"/>
      <c r="S17" s="90"/>
      <c r="T17" s="90"/>
      <c r="U17" s="406"/>
      <c r="V17" s="90"/>
      <c r="W17" s="90"/>
      <c r="X17" s="90"/>
      <c r="Y17" s="90"/>
      <c r="Z17" s="406"/>
      <c r="AA17" s="90"/>
      <c r="AB17" s="90"/>
      <c r="AC17" s="90"/>
      <c r="AD17" s="90"/>
      <c r="AE17" s="406"/>
      <c r="AF17" s="90"/>
      <c r="AG17" s="90"/>
      <c r="AH17" s="90"/>
      <c r="AI17" s="90"/>
      <c r="AJ17" s="406"/>
      <c r="AK17" s="90"/>
      <c r="AL17" s="90"/>
      <c r="AM17" s="90"/>
      <c r="AN17" s="90"/>
      <c r="AO17" s="406"/>
      <c r="AP17" s="90"/>
      <c r="AQ17" s="90"/>
      <c r="AR17" s="90"/>
      <c r="AS17" s="90"/>
      <c r="AT17" s="406"/>
      <c r="AU17" s="90"/>
      <c r="AV17" s="90"/>
      <c r="AW17" s="90"/>
      <c r="AX17" s="90"/>
      <c r="AY17" s="406"/>
      <c r="AZ17" s="90"/>
      <c r="BA17" s="90"/>
      <c r="BB17" s="90"/>
      <c r="BC17" s="90"/>
      <c r="BD17" s="406"/>
      <c r="BE17" s="90"/>
      <c r="BF17" s="90"/>
      <c r="BG17" s="90"/>
      <c r="BH17" s="90"/>
      <c r="BI17" s="406"/>
      <c r="BJ17" s="90"/>
      <c r="BK17" s="90"/>
      <c r="BL17" s="90"/>
      <c r="BM17" s="90"/>
      <c r="BN17" s="406"/>
      <c r="BO17" s="90"/>
      <c r="BP17" s="90"/>
      <c r="BQ17" s="90"/>
      <c r="BR17" s="90"/>
      <c r="BS17" s="407"/>
      <c r="BT17" s="90"/>
      <c r="BU17" s="90"/>
      <c r="BV17" s="90"/>
      <c r="BW17" s="90"/>
      <c r="BX17" s="406"/>
      <c r="BY17" s="90"/>
      <c r="BZ17" s="90"/>
      <c r="CA17" s="90"/>
      <c r="CB17" s="90"/>
      <c r="CC17" s="406"/>
      <c r="CD17" s="406"/>
      <c r="CE17" s="406"/>
      <c r="CF17" s="406"/>
      <c r="CG17" s="236"/>
    </row>
    <row r="18" spans="1:85" ht="14.45" customHeight="1" x14ac:dyDescent="0.25">
      <c r="A18" s="95" t="s">
        <v>174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409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109"/>
    </row>
    <row r="19" spans="1:85" ht="14.45" customHeight="1" x14ac:dyDescent="0.25">
      <c r="A19" s="96" t="s">
        <v>175</v>
      </c>
      <c r="B19" s="97"/>
      <c r="C19" s="410">
        <v>1006.356</v>
      </c>
      <c r="D19" s="410">
        <v>1031.423</v>
      </c>
      <c r="E19" s="410">
        <v>1052.164</v>
      </c>
      <c r="F19" s="410">
        <v>1073.0709999999999</v>
      </c>
      <c r="G19" s="98">
        <v>254.47300000000001</v>
      </c>
      <c r="H19" s="98">
        <v>269.89299999999997</v>
      </c>
      <c r="I19" s="98">
        <v>273.90499999999997</v>
      </c>
      <c r="J19" s="99">
        <f>K19-SUM(G19,H19,I19)</f>
        <v>264.88300000000004</v>
      </c>
      <c r="K19" s="410">
        <v>1063.154</v>
      </c>
      <c r="L19" s="98">
        <v>254.971</v>
      </c>
      <c r="M19" s="98">
        <v>287.82100000000003</v>
      </c>
      <c r="N19" s="98">
        <v>286.83</v>
      </c>
      <c r="O19" s="99">
        <f>P19-SUM(L19,M19,N19)</f>
        <v>295.17999999999984</v>
      </c>
      <c r="P19" s="410">
        <v>1124.8019999999999</v>
      </c>
      <c r="Q19" s="98">
        <v>297.81900000000002</v>
      </c>
      <c r="R19" s="98">
        <v>396.49200000000002</v>
      </c>
      <c r="S19" s="98">
        <v>387.95499999999998</v>
      </c>
      <c r="T19" s="99">
        <f>U19-SUM(Q19,R19,S19)</f>
        <v>421.41699999999992</v>
      </c>
      <c r="U19" s="410">
        <v>1503.683</v>
      </c>
      <c r="V19" s="98">
        <v>352.67</v>
      </c>
      <c r="W19" s="98">
        <v>464.85899999999998</v>
      </c>
      <c r="X19" s="98">
        <v>455.74799999999999</v>
      </c>
      <c r="Y19" s="99">
        <f>Z19-SUM(V19,W19,X19)</f>
        <v>491.28099999999995</v>
      </c>
      <c r="Z19" s="410">
        <v>1764.558</v>
      </c>
      <c r="AA19" s="98">
        <v>479.76</v>
      </c>
      <c r="AB19" s="98">
        <v>607.62300000000005</v>
      </c>
      <c r="AC19" s="98">
        <v>582.71</v>
      </c>
      <c r="AD19" s="99">
        <f>AE19-SUM(AA19,AB19,AC19)</f>
        <v>615.52800000000002</v>
      </c>
      <c r="AE19" s="410">
        <v>2285.6210000000001</v>
      </c>
      <c r="AF19" s="98">
        <v>560.10500000000002</v>
      </c>
      <c r="AG19" s="98">
        <v>637.21500000000003</v>
      </c>
      <c r="AH19" s="98">
        <v>619.70500000000004</v>
      </c>
      <c r="AI19" s="99">
        <f>AJ19-SUM(AF19,AG19,AH19)</f>
        <v>578.1880000000001</v>
      </c>
      <c r="AJ19" s="410">
        <v>2395.2130000000002</v>
      </c>
      <c r="AK19" s="98">
        <v>585.97299999999996</v>
      </c>
      <c r="AL19" s="98">
        <v>671.62400000000002</v>
      </c>
      <c r="AM19" s="98">
        <v>657.50699999999995</v>
      </c>
      <c r="AN19" s="99">
        <f>AO19-SUM(AK19,AL19,AM19)</f>
        <v>667.37400000000025</v>
      </c>
      <c r="AO19" s="411">
        <v>2582.4780000000001</v>
      </c>
      <c r="AP19" s="98">
        <v>631.11300000000006</v>
      </c>
      <c r="AQ19" s="98">
        <v>694.16200000000003</v>
      </c>
      <c r="AR19" s="98">
        <v>703.54899999999998</v>
      </c>
      <c r="AS19" s="99">
        <f>AT19-SUM(AP19,AQ19,AR19)</f>
        <v>732.00300000000016</v>
      </c>
      <c r="AT19" s="411">
        <v>2760.8270000000002</v>
      </c>
      <c r="AU19" s="98">
        <v>694.17899999999997</v>
      </c>
      <c r="AV19" s="98">
        <v>754.68299999999999</v>
      </c>
      <c r="AW19" s="98">
        <v>773.48900000000003</v>
      </c>
      <c r="AX19" s="99">
        <f>AY19-SUM(AU19,AV19,AW19)</f>
        <v>798.53600000000006</v>
      </c>
      <c r="AY19" s="411">
        <v>3020.8870000000002</v>
      </c>
      <c r="AZ19" s="98">
        <v>775.58399999999995</v>
      </c>
      <c r="BA19" s="98">
        <v>879.93499999999995</v>
      </c>
      <c r="BB19" s="98">
        <v>917.16200000000003</v>
      </c>
      <c r="BC19" s="98">
        <v>948.5</v>
      </c>
      <c r="BD19" s="411">
        <v>3521.2730000000001</v>
      </c>
      <c r="BE19" s="98">
        <v>920.56200000000001</v>
      </c>
      <c r="BF19" s="98">
        <v>1004.438</v>
      </c>
      <c r="BG19" s="98">
        <v>977.66300000000001</v>
      </c>
      <c r="BH19" s="98">
        <v>1006.1</v>
      </c>
      <c r="BI19" s="411">
        <v>3892.1329999999998</v>
      </c>
      <c r="BJ19" s="98">
        <v>951.99199999999996</v>
      </c>
      <c r="BK19" s="98">
        <v>1048.874</v>
      </c>
      <c r="BL19" s="98">
        <v>1034.69</v>
      </c>
      <c r="BM19" s="98">
        <v>1083.5</v>
      </c>
      <c r="BN19" s="411">
        <v>4106.0730000000003</v>
      </c>
      <c r="BO19" s="98">
        <v>933.83699999999999</v>
      </c>
      <c r="BP19" s="98">
        <v>1079.9559999999999</v>
      </c>
      <c r="BQ19" s="98">
        <v>1083.1389999999999</v>
      </c>
      <c r="BR19" s="98">
        <v>1152.9000000000001</v>
      </c>
      <c r="BS19" s="412">
        <v>4249.8469999999998</v>
      </c>
      <c r="BT19" s="63">
        <f t="shared" ref="BT19:BW20" si="21">BT57*BT42</f>
        <v>936.86210549999987</v>
      </c>
      <c r="BU19" s="63">
        <f t="shared" si="21"/>
        <v>1078.4085164999999</v>
      </c>
      <c r="BV19" s="63">
        <f t="shared" si="21"/>
        <v>1081.7322524999997</v>
      </c>
      <c r="BW19" s="63">
        <f t="shared" si="21"/>
        <v>1165.5127710000006</v>
      </c>
      <c r="BX19" s="413">
        <f>SUM(BT19,BU19,BV19,BW19)</f>
        <v>4262.5156454999997</v>
      </c>
      <c r="BY19" s="63">
        <f t="shared" ref="BY19:CB20" si="22">BY57*BY42</f>
        <v>941.54641602749973</v>
      </c>
      <c r="BZ19" s="63">
        <f t="shared" si="22"/>
        <v>1083.8005590824996</v>
      </c>
      <c r="CA19" s="63">
        <f t="shared" si="22"/>
        <v>1087.1409137624996</v>
      </c>
      <c r="CB19" s="63">
        <f t="shared" si="22"/>
        <v>1171.3403348550007</v>
      </c>
      <c r="CC19" s="413">
        <f>SUM(BY19,BZ19,CA19,CB19)</f>
        <v>4283.8282237274998</v>
      </c>
      <c r="CD19" s="413">
        <f t="shared" ref="CD19:CF20" si="23">CD57*CD42</f>
        <v>4305.2473648461373</v>
      </c>
      <c r="CE19" s="413">
        <f t="shared" si="23"/>
        <v>4326.7736016703684</v>
      </c>
      <c r="CF19" s="413">
        <f t="shared" si="23"/>
        <v>4348.4074696787193</v>
      </c>
      <c r="CG19" s="99"/>
    </row>
    <row r="20" spans="1:85" ht="14.45" customHeight="1" x14ac:dyDescent="0.25">
      <c r="A20" s="100" t="s">
        <v>176</v>
      </c>
      <c r="B20" s="101"/>
      <c r="C20" s="414">
        <v>202.07900000000001</v>
      </c>
      <c r="D20" s="414">
        <v>213.57</v>
      </c>
      <c r="E20" s="414">
        <v>219.62799999999999</v>
      </c>
      <c r="F20" s="414">
        <v>233.89500000000001</v>
      </c>
      <c r="G20" s="102">
        <v>52.622999999999998</v>
      </c>
      <c r="H20" s="102">
        <v>70.393000000000001</v>
      </c>
      <c r="I20" s="102">
        <v>73.335999999999999</v>
      </c>
      <c r="J20" s="103">
        <f>K20-SUM(G20,H20,I20)</f>
        <v>51.209000000000032</v>
      </c>
      <c r="K20" s="414">
        <v>247.56100000000001</v>
      </c>
      <c r="L20" s="102">
        <v>57.15</v>
      </c>
      <c r="M20" s="102">
        <v>79.188000000000002</v>
      </c>
      <c r="N20" s="102">
        <v>81.540000000000006</v>
      </c>
      <c r="O20" s="103">
        <f>P20-SUM(L20,M20,N20)</f>
        <v>61.259999999999991</v>
      </c>
      <c r="P20" s="414">
        <v>279.13799999999998</v>
      </c>
      <c r="Q20" s="102">
        <v>70.587999999999994</v>
      </c>
      <c r="R20" s="102">
        <v>111.467</v>
      </c>
      <c r="S20" s="102">
        <v>120.372</v>
      </c>
      <c r="T20" s="103">
        <f>U20-SUM(Q20,R20,S20)</f>
        <v>95.47399999999999</v>
      </c>
      <c r="U20" s="414">
        <v>397.90100000000001</v>
      </c>
      <c r="V20" s="102">
        <v>166.19</v>
      </c>
      <c r="W20" s="102">
        <v>246.37100000000001</v>
      </c>
      <c r="X20" s="102">
        <v>261.50799999999998</v>
      </c>
      <c r="Y20" s="103">
        <f>Z20-SUM(V20,W20,X20)</f>
        <v>218.05600000000004</v>
      </c>
      <c r="Z20" s="414">
        <v>892.125</v>
      </c>
      <c r="AA20" s="102">
        <v>256.05799999999999</v>
      </c>
      <c r="AB20" s="102">
        <v>368.95499999999998</v>
      </c>
      <c r="AC20" s="102">
        <v>384.495</v>
      </c>
      <c r="AD20" s="103">
        <f>AE20-SUM(AA20,AB20,AC20)</f>
        <v>316.46100000000013</v>
      </c>
      <c r="AE20" s="414">
        <v>1325.9690000000001</v>
      </c>
      <c r="AF20" s="102">
        <v>320.91699999999997</v>
      </c>
      <c r="AG20" s="102">
        <v>393.01499999999999</v>
      </c>
      <c r="AH20" s="102">
        <v>400.79500000000002</v>
      </c>
      <c r="AI20" s="103">
        <f>AJ20-SUM(AF20,AG20,AH20)</f>
        <v>356.7639999999999</v>
      </c>
      <c r="AJ20" s="414">
        <v>1471.491</v>
      </c>
      <c r="AK20" s="102">
        <v>343.69499999999999</v>
      </c>
      <c r="AL20" s="102">
        <v>421.45</v>
      </c>
      <c r="AM20" s="102">
        <v>438.51</v>
      </c>
      <c r="AN20" s="103">
        <f>AO20-SUM(AK20,AL20,AM20)</f>
        <v>355.28899999999999</v>
      </c>
      <c r="AO20" s="411">
        <v>1558.944</v>
      </c>
      <c r="AP20" s="102">
        <v>373.27800000000002</v>
      </c>
      <c r="AQ20" s="102">
        <v>397.04500000000002</v>
      </c>
      <c r="AR20" s="102">
        <v>464.92099999999999</v>
      </c>
      <c r="AS20" s="103">
        <f>AT20-SUM(AP20,AQ20,AR20)</f>
        <v>406.47199999999975</v>
      </c>
      <c r="AT20" s="411">
        <v>1641.7159999999999</v>
      </c>
      <c r="AU20" s="102">
        <v>420.05599999999998</v>
      </c>
      <c r="AV20" s="102">
        <v>498.99</v>
      </c>
      <c r="AW20" s="102">
        <v>503.99</v>
      </c>
      <c r="AX20" s="103">
        <f>AY20-SUM(AU20,AV20,AW20)</f>
        <v>438.12599999999998</v>
      </c>
      <c r="AY20" s="411">
        <v>1861.162</v>
      </c>
      <c r="AZ20" s="102">
        <v>467.93299999999999</v>
      </c>
      <c r="BA20" s="102">
        <v>539.58900000000006</v>
      </c>
      <c r="BB20" s="102">
        <v>548.33299999999997</v>
      </c>
      <c r="BC20" s="102">
        <v>468.1</v>
      </c>
      <c r="BD20" s="411">
        <v>2020.1</v>
      </c>
      <c r="BE20" s="102">
        <v>509.62799999999999</v>
      </c>
      <c r="BF20" s="102">
        <v>573.64099999999996</v>
      </c>
      <c r="BG20" s="102">
        <v>575.95399999999995</v>
      </c>
      <c r="BH20" s="102">
        <v>488.6</v>
      </c>
      <c r="BI20" s="411">
        <v>2149.6390000000001</v>
      </c>
      <c r="BJ20" s="102">
        <v>511.642</v>
      </c>
      <c r="BK20" s="102">
        <v>597.48500000000001</v>
      </c>
      <c r="BL20" s="102">
        <v>585.52700000000004</v>
      </c>
      <c r="BM20" s="102">
        <v>531.29999999999995</v>
      </c>
      <c r="BN20" s="411">
        <v>2227.2429999999999</v>
      </c>
      <c r="BO20" s="102">
        <v>509.15699999999998</v>
      </c>
      <c r="BP20" s="102">
        <v>626.07799999999997</v>
      </c>
      <c r="BQ20" s="102">
        <v>643.28700000000003</v>
      </c>
      <c r="BR20" s="102">
        <v>584.4</v>
      </c>
      <c r="BS20" s="412">
        <v>2362.873</v>
      </c>
      <c r="BT20" s="158">
        <f t="shared" si="21"/>
        <v>518.01905399999987</v>
      </c>
      <c r="BU20" s="158">
        <f t="shared" si="21"/>
        <v>664.5974369999999</v>
      </c>
      <c r="BV20" s="158">
        <f t="shared" si="21"/>
        <v>719.06700599999988</v>
      </c>
      <c r="BW20" s="158">
        <f t="shared" si="21"/>
        <v>597.07578000000035</v>
      </c>
      <c r="BX20" s="415">
        <f>SUM(BT20,BU20,BV20,BW20)</f>
        <v>2498.7592770000001</v>
      </c>
      <c r="BY20" s="158">
        <f t="shared" si="22"/>
        <v>525.78933980999989</v>
      </c>
      <c r="BZ20" s="158">
        <f t="shared" si="22"/>
        <v>674.56639855499986</v>
      </c>
      <c r="CA20" s="158">
        <f t="shared" si="22"/>
        <v>729.85301108999988</v>
      </c>
      <c r="CB20" s="158">
        <f t="shared" si="22"/>
        <v>606.03191670000024</v>
      </c>
      <c r="CC20" s="415">
        <f>SUM(BY20,BZ20,CA20,CB20)</f>
        <v>2536.2406661549999</v>
      </c>
      <c r="CD20" s="415">
        <f t="shared" si="23"/>
        <v>2586.9654794780995</v>
      </c>
      <c r="CE20" s="415">
        <f t="shared" si="23"/>
        <v>2638.7047890676617</v>
      </c>
      <c r="CF20" s="415">
        <f t="shared" si="23"/>
        <v>2691.4788848490152</v>
      </c>
      <c r="CG20" s="99"/>
    </row>
    <row r="21" spans="1:85" ht="14.45" customHeight="1" x14ac:dyDescent="0.25">
      <c r="A21" s="104" t="s">
        <v>177</v>
      </c>
      <c r="B21" s="105"/>
      <c r="C21" s="416">
        <f t="shared" ref="C21:AH21" si="24">SUM(C19:C20)</f>
        <v>1208.4349999999999</v>
      </c>
      <c r="D21" s="416">
        <f t="shared" si="24"/>
        <v>1244.9929999999999</v>
      </c>
      <c r="E21" s="416">
        <f t="shared" si="24"/>
        <v>1271.7919999999999</v>
      </c>
      <c r="F21" s="416">
        <f t="shared" si="24"/>
        <v>1306.9659999999999</v>
      </c>
      <c r="G21" s="106">
        <f t="shared" si="24"/>
        <v>307.096</v>
      </c>
      <c r="H21" s="106">
        <f t="shared" si="24"/>
        <v>340.28599999999994</v>
      </c>
      <c r="I21" s="106">
        <f t="shared" si="24"/>
        <v>347.24099999999999</v>
      </c>
      <c r="J21" s="106">
        <f t="shared" si="24"/>
        <v>316.0920000000001</v>
      </c>
      <c r="K21" s="416">
        <f t="shared" si="24"/>
        <v>1310.7149999999999</v>
      </c>
      <c r="L21" s="106">
        <f t="shared" si="24"/>
        <v>312.12099999999998</v>
      </c>
      <c r="M21" s="106">
        <f t="shared" si="24"/>
        <v>367.00900000000001</v>
      </c>
      <c r="N21" s="106">
        <f t="shared" si="24"/>
        <v>368.37</v>
      </c>
      <c r="O21" s="106">
        <f t="shared" si="24"/>
        <v>356.43999999999983</v>
      </c>
      <c r="P21" s="416">
        <f t="shared" si="24"/>
        <v>1403.9399999999998</v>
      </c>
      <c r="Q21" s="106">
        <f t="shared" si="24"/>
        <v>368.40700000000004</v>
      </c>
      <c r="R21" s="106">
        <f t="shared" si="24"/>
        <v>507.959</v>
      </c>
      <c r="S21" s="106">
        <f t="shared" si="24"/>
        <v>508.327</v>
      </c>
      <c r="T21" s="106">
        <f t="shared" si="24"/>
        <v>516.89099999999985</v>
      </c>
      <c r="U21" s="416">
        <f t="shared" si="24"/>
        <v>1901.5840000000001</v>
      </c>
      <c r="V21" s="106">
        <f t="shared" si="24"/>
        <v>518.86</v>
      </c>
      <c r="W21" s="106">
        <f t="shared" si="24"/>
        <v>711.23</v>
      </c>
      <c r="X21" s="106">
        <f t="shared" si="24"/>
        <v>717.25599999999997</v>
      </c>
      <c r="Y21" s="106">
        <f t="shared" si="24"/>
        <v>709.33699999999999</v>
      </c>
      <c r="Z21" s="416">
        <f t="shared" si="24"/>
        <v>2656.683</v>
      </c>
      <c r="AA21" s="106">
        <f t="shared" si="24"/>
        <v>735.81799999999998</v>
      </c>
      <c r="AB21" s="106">
        <f t="shared" si="24"/>
        <v>976.57799999999997</v>
      </c>
      <c r="AC21" s="106">
        <f t="shared" si="24"/>
        <v>967.20500000000004</v>
      </c>
      <c r="AD21" s="106">
        <f t="shared" si="24"/>
        <v>931.98900000000015</v>
      </c>
      <c r="AE21" s="416">
        <f t="shared" si="24"/>
        <v>3611.59</v>
      </c>
      <c r="AF21" s="106">
        <f t="shared" si="24"/>
        <v>881.02199999999993</v>
      </c>
      <c r="AG21" s="106">
        <f t="shared" si="24"/>
        <v>1030.23</v>
      </c>
      <c r="AH21" s="106">
        <f t="shared" si="24"/>
        <v>1020.5</v>
      </c>
      <c r="AI21" s="106">
        <f t="shared" ref="AI21:BB21" si="25">SUM(AI19:AI20)</f>
        <v>934.952</v>
      </c>
      <c r="AJ21" s="416">
        <f t="shared" si="25"/>
        <v>3866.7040000000002</v>
      </c>
      <c r="AK21" s="106">
        <f t="shared" si="25"/>
        <v>929.66799999999989</v>
      </c>
      <c r="AL21" s="106">
        <f t="shared" si="25"/>
        <v>1093.0740000000001</v>
      </c>
      <c r="AM21" s="106">
        <f t="shared" si="25"/>
        <v>1096.0169999999998</v>
      </c>
      <c r="AN21" s="106">
        <f t="shared" si="25"/>
        <v>1022.6630000000002</v>
      </c>
      <c r="AO21" s="416">
        <f t="shared" si="25"/>
        <v>4141.4220000000005</v>
      </c>
      <c r="AP21" s="106">
        <f t="shared" si="25"/>
        <v>1004.3910000000001</v>
      </c>
      <c r="AQ21" s="106">
        <f t="shared" si="25"/>
        <v>1091.2070000000001</v>
      </c>
      <c r="AR21" s="106">
        <f t="shared" si="25"/>
        <v>1168.47</v>
      </c>
      <c r="AS21" s="106">
        <f t="shared" si="25"/>
        <v>1138.4749999999999</v>
      </c>
      <c r="AT21" s="416">
        <f t="shared" si="25"/>
        <v>4402.5429999999997</v>
      </c>
      <c r="AU21" s="106">
        <f t="shared" si="25"/>
        <v>1114.2349999999999</v>
      </c>
      <c r="AV21" s="106">
        <f t="shared" si="25"/>
        <v>1253.673</v>
      </c>
      <c r="AW21" s="106">
        <f t="shared" si="25"/>
        <v>1277.479</v>
      </c>
      <c r="AX21" s="106">
        <f t="shared" si="25"/>
        <v>1236.662</v>
      </c>
      <c r="AY21" s="416">
        <f t="shared" si="25"/>
        <v>4882.049</v>
      </c>
      <c r="AZ21" s="106">
        <f t="shared" si="25"/>
        <v>1243.5169999999998</v>
      </c>
      <c r="BA21" s="106">
        <f t="shared" si="25"/>
        <v>1419.5239999999999</v>
      </c>
      <c r="BB21" s="106">
        <f t="shared" si="25"/>
        <v>1465.4949999999999</v>
      </c>
      <c r="BC21" s="106">
        <f>BD21-AZ21-BA21-BB21</f>
        <v>1412.837</v>
      </c>
      <c r="BD21" s="416">
        <f>SUM(BD19:BD20)</f>
        <v>5541.3729999999996</v>
      </c>
      <c r="BE21" s="106">
        <f>SUM(BE19:BE20)</f>
        <v>1430.19</v>
      </c>
      <c r="BF21" s="106">
        <f>SUM(BF19:BF20)</f>
        <v>1578.079</v>
      </c>
      <c r="BG21" s="106">
        <f>SUM(BG19:BG20)</f>
        <v>1553.617</v>
      </c>
      <c r="BH21" s="106">
        <f>BI21-BE21-BF21-BG21</f>
        <v>1479.8860000000006</v>
      </c>
      <c r="BI21" s="416">
        <f>SUM(BI19:BI20)</f>
        <v>6041.7719999999999</v>
      </c>
      <c r="BJ21" s="106">
        <f>SUM(BJ19:BJ20)</f>
        <v>1463.634</v>
      </c>
      <c r="BK21" s="106">
        <f>SUM(BK19:BK20)</f>
        <v>1646.3589999999999</v>
      </c>
      <c r="BL21" s="106">
        <f>SUM(BL19:BL20)</f>
        <v>1620.2170000000001</v>
      </c>
      <c r="BM21" s="106">
        <f>BN21-BJ21-BK21-BL21</f>
        <v>1603.1060000000007</v>
      </c>
      <c r="BN21" s="416">
        <f>SUM(BN19:BN20)</f>
        <v>6333.3160000000007</v>
      </c>
      <c r="BO21" s="106">
        <f>SUM(BO19:BO20)</f>
        <v>1442.9939999999999</v>
      </c>
      <c r="BP21" s="106">
        <f>SUM(BP19:BP20)</f>
        <v>1706.0339999999999</v>
      </c>
      <c r="BQ21" s="106">
        <f>SUM(BQ19:BQ20)</f>
        <v>1726.4259999999999</v>
      </c>
      <c r="BR21" s="106">
        <f>BS21-BO21-BP21-BQ21</f>
        <v>1737.2660000000001</v>
      </c>
      <c r="BS21" s="417">
        <f t="shared" ref="BS21:CF21" si="26">SUM(BS19:BS20)</f>
        <v>6612.7199999999993</v>
      </c>
      <c r="BT21" s="159">
        <f t="shared" si="26"/>
        <v>1454.8811594999997</v>
      </c>
      <c r="BU21" s="159">
        <f t="shared" si="26"/>
        <v>1743.0059534999998</v>
      </c>
      <c r="BV21" s="159">
        <f t="shared" si="26"/>
        <v>1800.7992584999997</v>
      </c>
      <c r="BW21" s="159">
        <f t="shared" si="26"/>
        <v>1762.588551000001</v>
      </c>
      <c r="BX21" s="418">
        <f t="shared" si="26"/>
        <v>6761.2749224999998</v>
      </c>
      <c r="BY21" s="159">
        <f t="shared" si="26"/>
        <v>1467.3357558374996</v>
      </c>
      <c r="BZ21" s="159">
        <f t="shared" si="26"/>
        <v>1758.3669576374996</v>
      </c>
      <c r="CA21" s="159">
        <f t="shared" si="26"/>
        <v>1816.9939248524995</v>
      </c>
      <c r="CB21" s="159">
        <f t="shared" si="26"/>
        <v>1777.372251555001</v>
      </c>
      <c r="CC21" s="418">
        <f t="shared" si="26"/>
        <v>6820.0688898824992</v>
      </c>
      <c r="CD21" s="418">
        <f t="shared" si="26"/>
        <v>6892.2128443242364</v>
      </c>
      <c r="CE21" s="418">
        <f t="shared" si="26"/>
        <v>6965.4783907380297</v>
      </c>
      <c r="CF21" s="418">
        <f t="shared" si="26"/>
        <v>7039.8863545277345</v>
      </c>
      <c r="CG21" s="109"/>
    </row>
    <row r="22" spans="1:85" ht="14.45" customHeight="1" x14ac:dyDescent="0.25">
      <c r="A22" s="96" t="s">
        <v>178</v>
      </c>
      <c r="B22" s="97"/>
      <c r="C22" s="410">
        <v>131.15299999999999</v>
      </c>
      <c r="D22" s="410">
        <v>140.80699999999999</v>
      </c>
      <c r="E22" s="410">
        <v>150.274</v>
      </c>
      <c r="F22" s="410">
        <v>152.40100000000001</v>
      </c>
      <c r="G22" s="98">
        <v>40.128</v>
      </c>
      <c r="H22" s="98">
        <v>44.463000000000001</v>
      </c>
      <c r="I22" s="98">
        <v>42.03</v>
      </c>
      <c r="J22" s="99">
        <f>K22-SUM(G22,H22,I22)</f>
        <v>39.85499999999999</v>
      </c>
      <c r="K22" s="410">
        <v>166.476</v>
      </c>
      <c r="L22" s="98">
        <v>37.121000000000002</v>
      </c>
      <c r="M22" s="98">
        <v>45.268000000000001</v>
      </c>
      <c r="N22" s="98">
        <v>41.290999999999997</v>
      </c>
      <c r="O22" s="99">
        <f>P22-SUM(L22,M22,N22)</f>
        <v>38.665999999999997</v>
      </c>
      <c r="P22" s="410">
        <v>162.346</v>
      </c>
      <c r="Q22" s="98">
        <v>37.845999999999997</v>
      </c>
      <c r="R22" s="98">
        <v>48.56</v>
      </c>
      <c r="S22" s="98">
        <v>46.618000000000002</v>
      </c>
      <c r="T22" s="99">
        <f>U22-SUM(Q22,R22,S22)</f>
        <v>45.752999999999986</v>
      </c>
      <c r="U22" s="410">
        <v>178.77699999999999</v>
      </c>
      <c r="V22" s="98">
        <v>50.21</v>
      </c>
      <c r="W22" s="98">
        <v>61.045000000000002</v>
      </c>
      <c r="X22" s="98">
        <v>58.683</v>
      </c>
      <c r="Y22" s="99">
        <f>Z22-SUM(V22,W22,X22)</f>
        <v>68.244</v>
      </c>
      <c r="Z22" s="410">
        <v>238.18199999999999</v>
      </c>
      <c r="AA22" s="98">
        <v>64.73</v>
      </c>
      <c r="AB22" s="98">
        <v>104.968</v>
      </c>
      <c r="AC22" s="98">
        <v>104.619</v>
      </c>
      <c r="AD22" s="99">
        <f>AE22-SUM(AA22,AB22,AC22)</f>
        <v>108.74799999999999</v>
      </c>
      <c r="AE22" s="410">
        <v>383.065</v>
      </c>
      <c r="AF22" s="98">
        <v>101.73399999999999</v>
      </c>
      <c r="AG22" s="98">
        <v>106.946</v>
      </c>
      <c r="AH22" s="98">
        <v>92.138999999999996</v>
      </c>
      <c r="AI22" s="99">
        <f>AJ22-SUM(AF22,AG22,AH22)</f>
        <v>86.896999999999991</v>
      </c>
      <c r="AJ22" s="410">
        <v>387.71600000000001</v>
      </c>
      <c r="AK22" s="98">
        <v>81.673000000000002</v>
      </c>
      <c r="AL22" s="98">
        <v>89.278000000000006</v>
      </c>
      <c r="AM22" s="98">
        <v>83.25</v>
      </c>
      <c r="AN22" s="99">
        <f>AO22-SUM(AK22,AL22,AM22)</f>
        <v>87.86099999999999</v>
      </c>
      <c r="AO22" s="410">
        <v>342.06200000000001</v>
      </c>
      <c r="AP22" s="98">
        <v>85.239000000000004</v>
      </c>
      <c r="AQ22" s="98">
        <v>79.903999999999996</v>
      </c>
      <c r="AR22" s="98">
        <v>84.852000000000004</v>
      </c>
      <c r="AS22" s="99">
        <f>AT22-SUM(AP22,AQ22,AR22)</f>
        <v>79.579000000000008</v>
      </c>
      <c r="AT22" s="410">
        <v>329.57400000000001</v>
      </c>
      <c r="AU22" s="98">
        <v>81.658000000000001</v>
      </c>
      <c r="AV22" s="98">
        <v>88.494</v>
      </c>
      <c r="AW22" s="98">
        <v>89.617999999999995</v>
      </c>
      <c r="AX22" s="99">
        <f>AY22-SUM(AU22,AV22,AW22)</f>
        <v>87.41500000000002</v>
      </c>
      <c r="AY22" s="410">
        <v>347.185</v>
      </c>
      <c r="AZ22" s="98">
        <v>84.296000000000006</v>
      </c>
      <c r="BA22" s="98">
        <v>94.158000000000001</v>
      </c>
      <c r="BB22" s="98">
        <v>83.644000000000005</v>
      </c>
      <c r="BC22" s="99">
        <f>BD22-SUM(AZ22,BA22,BB22)</f>
        <v>87.738999999999976</v>
      </c>
      <c r="BD22" s="410">
        <v>349.83699999999999</v>
      </c>
      <c r="BE22" s="98">
        <v>86.444999999999993</v>
      </c>
      <c r="BF22" s="98">
        <v>93.206999999999994</v>
      </c>
      <c r="BG22" s="98">
        <v>87.71</v>
      </c>
      <c r="BH22" s="99">
        <f>BI22-SUM(BE22,BF22,BG22)</f>
        <v>86.45700000000005</v>
      </c>
      <c r="BI22" s="410">
        <v>353.81900000000002</v>
      </c>
      <c r="BJ22" s="98">
        <v>78.703000000000003</v>
      </c>
      <c r="BK22" s="98">
        <v>92.393000000000001</v>
      </c>
      <c r="BL22" s="98">
        <v>88.363</v>
      </c>
      <c r="BM22" s="99">
        <f>BN22-SUM(BJ22,BK22,BL22)</f>
        <v>86.12700000000001</v>
      </c>
      <c r="BN22" s="410">
        <v>345.58600000000001</v>
      </c>
      <c r="BO22" s="98">
        <v>85.936000000000007</v>
      </c>
      <c r="BP22" s="98">
        <v>95.373000000000005</v>
      </c>
      <c r="BQ22" s="98">
        <v>97.622</v>
      </c>
      <c r="BR22" s="99">
        <f>BS22-SUM(BO22,BP22,BQ22)</f>
        <v>104.72699999999998</v>
      </c>
      <c r="BS22" s="419">
        <v>383.65800000000002</v>
      </c>
      <c r="BT22" s="63">
        <f t="shared" ref="BT22:BW23" si="27">BO22*(1+BT10)</f>
        <v>87.654720000000012</v>
      </c>
      <c r="BU22" s="63">
        <f t="shared" si="27"/>
        <v>97.280460000000005</v>
      </c>
      <c r="BV22" s="63">
        <f t="shared" si="27"/>
        <v>99.574439999999996</v>
      </c>
      <c r="BW22" s="63">
        <f t="shared" si="27"/>
        <v>106.82153999999997</v>
      </c>
      <c r="BX22" s="413">
        <f>SUM(BT22,BU22,BV22,BW22)</f>
        <v>391.33115999999995</v>
      </c>
      <c r="BY22" s="63">
        <f t="shared" ref="BY22:CB23" si="28">BT22*(1+BY10)</f>
        <v>89.407814400000007</v>
      </c>
      <c r="BZ22" s="63">
        <f t="shared" si="28"/>
        <v>99.226069200000012</v>
      </c>
      <c r="CA22" s="63">
        <f t="shared" si="28"/>
        <v>101.56592879999999</v>
      </c>
      <c r="CB22" s="63">
        <f t="shared" si="28"/>
        <v>108.95797079999997</v>
      </c>
      <c r="CC22" s="413">
        <f>SUM(BY22,BZ22,CA22,CB22)</f>
        <v>399.15778320000004</v>
      </c>
      <c r="CD22" s="413">
        <f t="shared" ref="CD22:CF23" si="29">CC22*(1+CD10)</f>
        <v>407.14093886400002</v>
      </c>
      <c r="CE22" s="413">
        <f t="shared" si="29"/>
        <v>415.28375764128003</v>
      </c>
      <c r="CF22" s="413">
        <f t="shared" si="29"/>
        <v>423.58943279410562</v>
      </c>
      <c r="CG22" s="99"/>
    </row>
    <row r="23" spans="1:85" ht="14.45" customHeight="1" x14ac:dyDescent="0.25">
      <c r="A23" s="100" t="s">
        <v>179</v>
      </c>
      <c r="B23" s="101"/>
      <c r="C23" s="414">
        <v>103.398</v>
      </c>
      <c r="D23" s="414">
        <v>128.79900000000001</v>
      </c>
      <c r="E23" s="414">
        <v>139.173</v>
      </c>
      <c r="F23" s="414">
        <v>155.066</v>
      </c>
      <c r="G23" s="102">
        <v>36.326999999999998</v>
      </c>
      <c r="H23" s="102">
        <v>44.23</v>
      </c>
      <c r="I23" s="102">
        <v>45.192999999999998</v>
      </c>
      <c r="J23" s="103">
        <f>K23-SUM(G23,H23,I23)</f>
        <v>38.39</v>
      </c>
      <c r="K23" s="414">
        <v>164.14</v>
      </c>
      <c r="L23" s="102">
        <v>39.340000000000003</v>
      </c>
      <c r="M23" s="102">
        <v>47.195999999999998</v>
      </c>
      <c r="N23" s="102">
        <v>48.015000000000001</v>
      </c>
      <c r="O23" s="103">
        <f>P23-SUM(L23,M23,N23)</f>
        <v>45.532000000000011</v>
      </c>
      <c r="P23" s="414">
        <v>180.083</v>
      </c>
      <c r="Q23" s="102">
        <v>47</v>
      </c>
      <c r="R23" s="102">
        <v>58.164000000000001</v>
      </c>
      <c r="S23" s="102">
        <v>63.860999999999997</v>
      </c>
      <c r="T23" s="103">
        <f>U23-SUM(Q23,R23,S23)</f>
        <v>57.072000000000003</v>
      </c>
      <c r="U23" s="414">
        <v>226.09700000000001</v>
      </c>
      <c r="V23" s="102">
        <v>56.386000000000003</v>
      </c>
      <c r="W23" s="102">
        <v>68.108999999999995</v>
      </c>
      <c r="X23" s="102">
        <v>73.088999999999999</v>
      </c>
      <c r="Y23" s="103">
        <f>Z23-SUM(V23,W23,X23)</f>
        <v>63.978999999999985</v>
      </c>
      <c r="Z23" s="414">
        <v>261.56299999999999</v>
      </c>
      <c r="AA23" s="102">
        <v>65.153999999999996</v>
      </c>
      <c r="AB23" s="102">
        <v>87.745000000000005</v>
      </c>
      <c r="AC23" s="102">
        <v>90.701999999999998</v>
      </c>
      <c r="AD23" s="103">
        <f>AE23-SUM(AA23,AB23,AC23)</f>
        <v>85.411999999999978</v>
      </c>
      <c r="AE23" s="414">
        <v>329.01299999999998</v>
      </c>
      <c r="AF23" s="102">
        <v>82.001000000000005</v>
      </c>
      <c r="AG23" s="102">
        <v>82.826999999999998</v>
      </c>
      <c r="AH23" s="102">
        <v>91.394000000000005</v>
      </c>
      <c r="AI23" s="103">
        <f>AJ23-SUM(AF23,AG23,AH23)</f>
        <v>114.72200000000004</v>
      </c>
      <c r="AJ23" s="414">
        <v>370.94400000000002</v>
      </c>
      <c r="AK23" s="102">
        <v>91.570999999999998</v>
      </c>
      <c r="AL23" s="102">
        <v>91.307000000000002</v>
      </c>
      <c r="AM23" s="102">
        <v>91.762</v>
      </c>
      <c r="AN23" s="103">
        <f>AO23-SUM(AK23,AL23,AM23)</f>
        <v>68.425000000000011</v>
      </c>
      <c r="AO23" s="414">
        <v>343.065</v>
      </c>
      <c r="AP23" s="102">
        <v>83.391000000000005</v>
      </c>
      <c r="AQ23" s="102">
        <v>56.103999999999999</v>
      </c>
      <c r="AR23" s="102">
        <v>75.162000000000006</v>
      </c>
      <c r="AS23" s="103">
        <f>AT23-SUM(AP23,AQ23,AR23)</f>
        <v>60.582999999999998</v>
      </c>
      <c r="AT23" s="414">
        <v>275.24</v>
      </c>
      <c r="AU23" s="102">
        <v>73.963999999999999</v>
      </c>
      <c r="AV23" s="102">
        <v>90.918999999999997</v>
      </c>
      <c r="AW23" s="102">
        <v>90.334999999999994</v>
      </c>
      <c r="AX23" s="103">
        <f>AY23-SUM(AU23,AV23,AW23)</f>
        <v>78.262000000000057</v>
      </c>
      <c r="AY23" s="414">
        <v>333.48</v>
      </c>
      <c r="AZ23" s="102">
        <v>76.545000000000002</v>
      </c>
      <c r="BA23" s="102">
        <v>81.533000000000001</v>
      </c>
      <c r="BB23" s="102">
        <v>79.45</v>
      </c>
      <c r="BC23" s="103">
        <f>BD23-SUM(AZ23,BA23,BB23)</f>
        <v>72.218999999999994</v>
      </c>
      <c r="BD23" s="414">
        <v>309.74700000000001</v>
      </c>
      <c r="BE23" s="102">
        <v>55.006999999999998</v>
      </c>
      <c r="BF23" s="102">
        <v>67.546000000000006</v>
      </c>
      <c r="BG23" s="102">
        <v>71.100999999999999</v>
      </c>
      <c r="BH23" s="103">
        <f>BI23-SUM(BE23,BF23,BG23)</f>
        <v>64.613</v>
      </c>
      <c r="BI23" s="414">
        <v>258.267</v>
      </c>
      <c r="BJ23" s="102">
        <v>49.289000000000001</v>
      </c>
      <c r="BK23" s="102">
        <v>57.191000000000003</v>
      </c>
      <c r="BL23" s="102">
        <v>57.072000000000003</v>
      </c>
      <c r="BM23" s="103">
        <f>BN23-SUM(BJ23,BK23,BL23)</f>
        <v>57.261999999999972</v>
      </c>
      <c r="BN23" s="414">
        <v>220.81399999999999</v>
      </c>
      <c r="BO23" s="102">
        <v>51.046999999999997</v>
      </c>
      <c r="BP23" s="102">
        <v>54.112000000000002</v>
      </c>
      <c r="BQ23" s="102">
        <v>64.269000000000005</v>
      </c>
      <c r="BR23" s="103">
        <f>BS23-SUM(BO23,BP23,BQ23)</f>
        <v>62.248999999999995</v>
      </c>
      <c r="BS23" s="420">
        <v>231.67699999999999</v>
      </c>
      <c r="BT23" s="158">
        <f t="shared" si="27"/>
        <v>52.06794</v>
      </c>
      <c r="BU23" s="158">
        <f t="shared" si="27"/>
        <v>55.194240000000001</v>
      </c>
      <c r="BV23" s="158">
        <f t="shared" si="27"/>
        <v>65.554380000000009</v>
      </c>
      <c r="BW23" s="158">
        <f t="shared" si="27"/>
        <v>63.493979999999993</v>
      </c>
      <c r="BX23" s="415">
        <f>SUM(BT23,BU23,BV23,BW23)</f>
        <v>236.31054</v>
      </c>
      <c r="BY23" s="158">
        <f t="shared" si="28"/>
        <v>53.109298799999998</v>
      </c>
      <c r="BZ23" s="158">
        <f t="shared" si="28"/>
        <v>56.298124800000004</v>
      </c>
      <c r="CA23" s="158">
        <f t="shared" si="28"/>
        <v>66.865467600000017</v>
      </c>
      <c r="CB23" s="158">
        <f t="shared" si="28"/>
        <v>64.763859599999989</v>
      </c>
      <c r="CC23" s="415">
        <f>SUM(BY23,BZ23,CA23,CB23)</f>
        <v>241.03675079999999</v>
      </c>
      <c r="CD23" s="415">
        <f t="shared" si="29"/>
        <v>245.85748581600001</v>
      </c>
      <c r="CE23" s="415">
        <f t="shared" si="29"/>
        <v>250.77463553232002</v>
      </c>
      <c r="CF23" s="415">
        <f t="shared" si="29"/>
        <v>255.79012824296643</v>
      </c>
      <c r="CG23" s="99"/>
    </row>
    <row r="24" spans="1:85" ht="14.45" customHeight="1" x14ac:dyDescent="0.25">
      <c r="A24" s="107" t="s">
        <v>180</v>
      </c>
      <c r="B24" s="108"/>
      <c r="C24" s="421">
        <f t="shared" ref="C24:AH24" si="30">SUM(C22:C23)</f>
        <v>234.55099999999999</v>
      </c>
      <c r="D24" s="421">
        <f t="shared" si="30"/>
        <v>269.60599999999999</v>
      </c>
      <c r="E24" s="421">
        <f t="shared" si="30"/>
        <v>289.447</v>
      </c>
      <c r="F24" s="421">
        <f t="shared" si="30"/>
        <v>307.46699999999998</v>
      </c>
      <c r="G24" s="109">
        <f t="shared" si="30"/>
        <v>76.454999999999998</v>
      </c>
      <c r="H24" s="109">
        <f t="shared" si="30"/>
        <v>88.692999999999998</v>
      </c>
      <c r="I24" s="109">
        <f t="shared" si="30"/>
        <v>87.222999999999999</v>
      </c>
      <c r="J24" s="109">
        <f t="shared" si="30"/>
        <v>78.24499999999999</v>
      </c>
      <c r="K24" s="421">
        <f t="shared" si="30"/>
        <v>330.61599999999999</v>
      </c>
      <c r="L24" s="109">
        <f t="shared" si="30"/>
        <v>76.461000000000013</v>
      </c>
      <c r="M24" s="109">
        <f t="shared" si="30"/>
        <v>92.463999999999999</v>
      </c>
      <c r="N24" s="109">
        <f t="shared" si="30"/>
        <v>89.305999999999997</v>
      </c>
      <c r="O24" s="109">
        <f t="shared" si="30"/>
        <v>84.198000000000008</v>
      </c>
      <c r="P24" s="421">
        <f t="shared" si="30"/>
        <v>342.42899999999997</v>
      </c>
      <c r="Q24" s="109">
        <f t="shared" si="30"/>
        <v>84.846000000000004</v>
      </c>
      <c r="R24" s="109">
        <f t="shared" si="30"/>
        <v>106.724</v>
      </c>
      <c r="S24" s="109">
        <f t="shared" si="30"/>
        <v>110.479</v>
      </c>
      <c r="T24" s="109">
        <f t="shared" si="30"/>
        <v>102.82499999999999</v>
      </c>
      <c r="U24" s="421">
        <f t="shared" si="30"/>
        <v>404.87400000000002</v>
      </c>
      <c r="V24" s="109">
        <f t="shared" si="30"/>
        <v>106.596</v>
      </c>
      <c r="W24" s="109">
        <f t="shared" si="30"/>
        <v>129.154</v>
      </c>
      <c r="X24" s="109">
        <f t="shared" si="30"/>
        <v>131.77199999999999</v>
      </c>
      <c r="Y24" s="109">
        <f t="shared" si="30"/>
        <v>132.22299999999998</v>
      </c>
      <c r="Z24" s="421">
        <f t="shared" si="30"/>
        <v>499.745</v>
      </c>
      <c r="AA24" s="109">
        <f t="shared" si="30"/>
        <v>129.88400000000001</v>
      </c>
      <c r="AB24" s="109">
        <f t="shared" si="30"/>
        <v>192.71300000000002</v>
      </c>
      <c r="AC24" s="109">
        <f t="shared" si="30"/>
        <v>195.321</v>
      </c>
      <c r="AD24" s="109">
        <f t="shared" si="30"/>
        <v>194.15999999999997</v>
      </c>
      <c r="AE24" s="421">
        <f t="shared" si="30"/>
        <v>712.07799999999997</v>
      </c>
      <c r="AF24" s="109">
        <f t="shared" si="30"/>
        <v>183.73500000000001</v>
      </c>
      <c r="AG24" s="109">
        <f t="shared" si="30"/>
        <v>189.773</v>
      </c>
      <c r="AH24" s="109">
        <f t="shared" si="30"/>
        <v>183.53300000000002</v>
      </c>
      <c r="AI24" s="109">
        <f t="shared" ref="AI24:BN24" si="31">SUM(AI22:AI23)</f>
        <v>201.61900000000003</v>
      </c>
      <c r="AJ24" s="421">
        <f t="shared" si="31"/>
        <v>758.66000000000008</v>
      </c>
      <c r="AK24" s="109">
        <f t="shared" si="31"/>
        <v>173.244</v>
      </c>
      <c r="AL24" s="109">
        <f t="shared" si="31"/>
        <v>180.58500000000001</v>
      </c>
      <c r="AM24" s="109">
        <f t="shared" si="31"/>
        <v>175.012</v>
      </c>
      <c r="AN24" s="109">
        <f t="shared" si="31"/>
        <v>156.286</v>
      </c>
      <c r="AO24" s="421">
        <f t="shared" si="31"/>
        <v>685.12699999999995</v>
      </c>
      <c r="AP24" s="109">
        <f t="shared" si="31"/>
        <v>168.63</v>
      </c>
      <c r="AQ24" s="109">
        <f t="shared" si="31"/>
        <v>136.00799999999998</v>
      </c>
      <c r="AR24" s="106">
        <f t="shared" si="31"/>
        <v>160.01400000000001</v>
      </c>
      <c r="AS24" s="109">
        <f t="shared" si="31"/>
        <v>140.16200000000001</v>
      </c>
      <c r="AT24" s="421">
        <f t="shared" si="31"/>
        <v>604.81400000000008</v>
      </c>
      <c r="AU24" s="109">
        <f t="shared" si="31"/>
        <v>155.62200000000001</v>
      </c>
      <c r="AV24" s="109">
        <f t="shared" si="31"/>
        <v>179.41300000000001</v>
      </c>
      <c r="AW24" s="106">
        <f t="shared" si="31"/>
        <v>179.95299999999997</v>
      </c>
      <c r="AX24" s="109">
        <f t="shared" si="31"/>
        <v>165.67700000000008</v>
      </c>
      <c r="AY24" s="421">
        <f t="shared" si="31"/>
        <v>680.66499999999996</v>
      </c>
      <c r="AZ24" s="109">
        <f t="shared" si="31"/>
        <v>160.84100000000001</v>
      </c>
      <c r="BA24" s="109">
        <f t="shared" si="31"/>
        <v>175.691</v>
      </c>
      <c r="BB24" s="106">
        <f t="shared" si="31"/>
        <v>163.09399999999999</v>
      </c>
      <c r="BC24" s="109">
        <f t="shared" si="31"/>
        <v>159.95799999999997</v>
      </c>
      <c r="BD24" s="421">
        <f t="shared" si="31"/>
        <v>659.58400000000006</v>
      </c>
      <c r="BE24" s="109">
        <f t="shared" si="31"/>
        <v>141.452</v>
      </c>
      <c r="BF24" s="109">
        <f t="shared" si="31"/>
        <v>160.75299999999999</v>
      </c>
      <c r="BG24" s="106">
        <f t="shared" si="31"/>
        <v>158.81099999999998</v>
      </c>
      <c r="BH24" s="109">
        <f t="shared" si="31"/>
        <v>151.07000000000005</v>
      </c>
      <c r="BI24" s="421">
        <f t="shared" si="31"/>
        <v>612.08600000000001</v>
      </c>
      <c r="BJ24" s="109">
        <f t="shared" si="31"/>
        <v>127.992</v>
      </c>
      <c r="BK24" s="109">
        <f t="shared" si="31"/>
        <v>149.584</v>
      </c>
      <c r="BL24" s="106">
        <f t="shared" si="31"/>
        <v>145.435</v>
      </c>
      <c r="BM24" s="109">
        <f t="shared" si="31"/>
        <v>143.38899999999998</v>
      </c>
      <c r="BN24" s="421">
        <f t="shared" si="31"/>
        <v>566.4</v>
      </c>
      <c r="BO24" s="109">
        <f t="shared" ref="BO24:CF24" si="32">SUM(BO22:BO23)</f>
        <v>136.983</v>
      </c>
      <c r="BP24" s="109">
        <f t="shared" si="32"/>
        <v>149.48500000000001</v>
      </c>
      <c r="BQ24" s="109">
        <f t="shared" si="32"/>
        <v>161.89100000000002</v>
      </c>
      <c r="BR24" s="109">
        <f t="shared" si="32"/>
        <v>166.97599999999997</v>
      </c>
      <c r="BS24" s="422">
        <f t="shared" si="32"/>
        <v>615.33500000000004</v>
      </c>
      <c r="BT24" s="112">
        <f t="shared" si="32"/>
        <v>139.72266000000002</v>
      </c>
      <c r="BU24" s="112">
        <f t="shared" si="32"/>
        <v>152.47470000000001</v>
      </c>
      <c r="BV24" s="112">
        <f t="shared" si="32"/>
        <v>165.12882000000002</v>
      </c>
      <c r="BW24" s="112">
        <f t="shared" si="32"/>
        <v>170.31551999999996</v>
      </c>
      <c r="BX24" s="423">
        <f t="shared" si="32"/>
        <v>627.6416999999999</v>
      </c>
      <c r="BY24" s="112">
        <f t="shared" si="32"/>
        <v>142.51711320000001</v>
      </c>
      <c r="BZ24" s="112">
        <f t="shared" si="32"/>
        <v>155.52419400000002</v>
      </c>
      <c r="CA24" s="112">
        <f t="shared" si="32"/>
        <v>168.43139640000001</v>
      </c>
      <c r="CB24" s="112">
        <f t="shared" si="32"/>
        <v>173.72183039999996</v>
      </c>
      <c r="CC24" s="423">
        <f t="shared" si="32"/>
        <v>640.19453399999998</v>
      </c>
      <c r="CD24" s="423">
        <f t="shared" si="32"/>
        <v>652.99842467999997</v>
      </c>
      <c r="CE24" s="423">
        <f t="shared" si="32"/>
        <v>666.05839317360005</v>
      </c>
      <c r="CF24" s="423">
        <f t="shared" si="32"/>
        <v>679.37956103707211</v>
      </c>
      <c r="CG24" s="109"/>
    </row>
    <row r="25" spans="1:85" ht="14.45" customHeight="1" x14ac:dyDescent="0.25">
      <c r="A25" s="110" t="s">
        <v>181</v>
      </c>
      <c r="B25" s="105"/>
      <c r="C25" s="416">
        <f t="shared" ref="C25:AH25" si="33">C21+C24</f>
        <v>1442.9859999999999</v>
      </c>
      <c r="D25" s="416">
        <f t="shared" si="33"/>
        <v>1514.5989999999999</v>
      </c>
      <c r="E25" s="416">
        <f t="shared" si="33"/>
        <v>1561.239</v>
      </c>
      <c r="F25" s="416">
        <f t="shared" si="33"/>
        <v>1614.433</v>
      </c>
      <c r="G25" s="106">
        <f t="shared" si="33"/>
        <v>383.55099999999999</v>
      </c>
      <c r="H25" s="106">
        <f t="shared" si="33"/>
        <v>428.97899999999993</v>
      </c>
      <c r="I25" s="106">
        <f t="shared" si="33"/>
        <v>434.464</v>
      </c>
      <c r="J25" s="106">
        <f t="shared" si="33"/>
        <v>394.3370000000001</v>
      </c>
      <c r="K25" s="416">
        <f t="shared" si="33"/>
        <v>1641.3309999999999</v>
      </c>
      <c r="L25" s="106">
        <f t="shared" si="33"/>
        <v>388.58199999999999</v>
      </c>
      <c r="M25" s="106">
        <f t="shared" si="33"/>
        <v>459.47300000000001</v>
      </c>
      <c r="N25" s="106">
        <f t="shared" si="33"/>
        <v>457.67599999999999</v>
      </c>
      <c r="O25" s="106">
        <f t="shared" si="33"/>
        <v>440.63799999999981</v>
      </c>
      <c r="P25" s="416">
        <f t="shared" si="33"/>
        <v>1746.3689999999997</v>
      </c>
      <c r="Q25" s="106">
        <f t="shared" si="33"/>
        <v>453.25300000000004</v>
      </c>
      <c r="R25" s="106">
        <f t="shared" si="33"/>
        <v>614.68299999999999</v>
      </c>
      <c r="S25" s="106">
        <f t="shared" si="33"/>
        <v>618.80600000000004</v>
      </c>
      <c r="T25" s="106">
        <f t="shared" si="33"/>
        <v>619.71599999999989</v>
      </c>
      <c r="U25" s="416">
        <f t="shared" si="33"/>
        <v>2306.4580000000001</v>
      </c>
      <c r="V25" s="106">
        <f t="shared" si="33"/>
        <v>625.45600000000002</v>
      </c>
      <c r="W25" s="106">
        <f t="shared" si="33"/>
        <v>840.38400000000001</v>
      </c>
      <c r="X25" s="106">
        <f t="shared" si="33"/>
        <v>849.02800000000002</v>
      </c>
      <c r="Y25" s="106">
        <f t="shared" si="33"/>
        <v>841.56</v>
      </c>
      <c r="Z25" s="416">
        <f t="shared" si="33"/>
        <v>3156.4279999999999</v>
      </c>
      <c r="AA25" s="106">
        <f t="shared" si="33"/>
        <v>865.702</v>
      </c>
      <c r="AB25" s="106">
        <f t="shared" si="33"/>
        <v>1169.2909999999999</v>
      </c>
      <c r="AC25" s="106">
        <f t="shared" si="33"/>
        <v>1162.5260000000001</v>
      </c>
      <c r="AD25" s="106">
        <f t="shared" si="33"/>
        <v>1126.1490000000001</v>
      </c>
      <c r="AE25" s="416">
        <f t="shared" si="33"/>
        <v>4323.6679999999997</v>
      </c>
      <c r="AF25" s="106">
        <f t="shared" si="33"/>
        <v>1064.7570000000001</v>
      </c>
      <c r="AG25" s="106">
        <f t="shared" si="33"/>
        <v>1220.0029999999999</v>
      </c>
      <c r="AH25" s="106">
        <f t="shared" si="33"/>
        <v>1204.0329999999999</v>
      </c>
      <c r="AI25" s="106">
        <f t="shared" ref="AI25:BN25" si="34">AI21+AI24</f>
        <v>1136.5709999999999</v>
      </c>
      <c r="AJ25" s="416">
        <f t="shared" si="34"/>
        <v>4625.3640000000005</v>
      </c>
      <c r="AK25" s="106">
        <f t="shared" si="34"/>
        <v>1102.9119999999998</v>
      </c>
      <c r="AL25" s="106">
        <f t="shared" si="34"/>
        <v>1273.6590000000001</v>
      </c>
      <c r="AM25" s="106">
        <f t="shared" si="34"/>
        <v>1271.0289999999998</v>
      </c>
      <c r="AN25" s="106">
        <f t="shared" si="34"/>
        <v>1178.9490000000003</v>
      </c>
      <c r="AO25" s="416">
        <f t="shared" si="34"/>
        <v>4826.5490000000009</v>
      </c>
      <c r="AP25" s="106">
        <f t="shared" si="34"/>
        <v>1173.0210000000002</v>
      </c>
      <c r="AQ25" s="106">
        <f t="shared" si="34"/>
        <v>1227.2150000000001</v>
      </c>
      <c r="AR25" s="106">
        <f t="shared" si="34"/>
        <v>1328.4839999999999</v>
      </c>
      <c r="AS25" s="106">
        <f t="shared" si="34"/>
        <v>1278.6369999999999</v>
      </c>
      <c r="AT25" s="416">
        <f t="shared" si="34"/>
        <v>5007.357</v>
      </c>
      <c r="AU25" s="106">
        <f t="shared" si="34"/>
        <v>1269.857</v>
      </c>
      <c r="AV25" s="106">
        <f t="shared" si="34"/>
        <v>1433.086</v>
      </c>
      <c r="AW25" s="106">
        <f t="shared" si="34"/>
        <v>1457.432</v>
      </c>
      <c r="AX25" s="106">
        <f t="shared" si="34"/>
        <v>1402.3390000000002</v>
      </c>
      <c r="AY25" s="416">
        <f t="shared" si="34"/>
        <v>5562.7139999999999</v>
      </c>
      <c r="AZ25" s="106">
        <f t="shared" si="34"/>
        <v>1404.3579999999997</v>
      </c>
      <c r="BA25" s="106">
        <f t="shared" si="34"/>
        <v>1595.2149999999999</v>
      </c>
      <c r="BB25" s="106">
        <f t="shared" si="34"/>
        <v>1628.5889999999999</v>
      </c>
      <c r="BC25" s="106">
        <f t="shared" si="34"/>
        <v>1572.7950000000001</v>
      </c>
      <c r="BD25" s="416">
        <f t="shared" si="34"/>
        <v>6200.9569999999994</v>
      </c>
      <c r="BE25" s="106">
        <f t="shared" si="34"/>
        <v>1571.6420000000001</v>
      </c>
      <c r="BF25" s="106">
        <f t="shared" si="34"/>
        <v>1738.8319999999999</v>
      </c>
      <c r="BG25" s="106">
        <f t="shared" si="34"/>
        <v>1712.4279999999999</v>
      </c>
      <c r="BH25" s="106">
        <f t="shared" si="34"/>
        <v>1630.9560000000006</v>
      </c>
      <c r="BI25" s="416">
        <f t="shared" si="34"/>
        <v>6653.8580000000002</v>
      </c>
      <c r="BJ25" s="106">
        <f t="shared" si="34"/>
        <v>1591.626</v>
      </c>
      <c r="BK25" s="106">
        <f t="shared" si="34"/>
        <v>1795.943</v>
      </c>
      <c r="BL25" s="106">
        <f t="shared" si="34"/>
        <v>1765.652</v>
      </c>
      <c r="BM25" s="106">
        <f t="shared" si="34"/>
        <v>1746.4950000000006</v>
      </c>
      <c r="BN25" s="416">
        <f t="shared" si="34"/>
        <v>6899.7160000000003</v>
      </c>
      <c r="BO25" s="106">
        <f t="shared" ref="BO25:CF25" si="35">BO21+BO24</f>
        <v>1579.9769999999999</v>
      </c>
      <c r="BP25" s="106">
        <f t="shared" si="35"/>
        <v>1855.5189999999998</v>
      </c>
      <c r="BQ25" s="106">
        <f t="shared" si="35"/>
        <v>1888.317</v>
      </c>
      <c r="BR25" s="106">
        <f t="shared" si="35"/>
        <v>1904.242</v>
      </c>
      <c r="BS25" s="417">
        <f t="shared" si="35"/>
        <v>7228.0549999999994</v>
      </c>
      <c r="BT25" s="159">
        <f t="shared" si="35"/>
        <v>1594.6038194999996</v>
      </c>
      <c r="BU25" s="159">
        <f t="shared" si="35"/>
        <v>1895.4806534999998</v>
      </c>
      <c r="BV25" s="159">
        <f t="shared" si="35"/>
        <v>1965.9280784999996</v>
      </c>
      <c r="BW25" s="159">
        <f t="shared" si="35"/>
        <v>1932.9040710000008</v>
      </c>
      <c r="BX25" s="418">
        <f t="shared" si="35"/>
        <v>7388.9166224999999</v>
      </c>
      <c r="BY25" s="159">
        <f t="shared" si="35"/>
        <v>1609.8528690374997</v>
      </c>
      <c r="BZ25" s="159">
        <f t="shared" si="35"/>
        <v>1913.8911516374997</v>
      </c>
      <c r="CA25" s="159">
        <f t="shared" si="35"/>
        <v>1985.4253212524995</v>
      </c>
      <c r="CB25" s="159">
        <f t="shared" si="35"/>
        <v>1951.094081955001</v>
      </c>
      <c r="CC25" s="418">
        <f t="shared" si="35"/>
        <v>7460.2634238824994</v>
      </c>
      <c r="CD25" s="418">
        <f t="shared" si="35"/>
        <v>7545.2112690042359</v>
      </c>
      <c r="CE25" s="418">
        <f t="shared" si="35"/>
        <v>7631.5367839116298</v>
      </c>
      <c r="CF25" s="418">
        <f t="shared" si="35"/>
        <v>7719.2659155648071</v>
      </c>
      <c r="CG25" s="109"/>
    </row>
    <row r="26" spans="1:85" ht="14.45" hidden="1" customHeight="1" x14ac:dyDescent="0.25">
      <c r="A26" s="111"/>
      <c r="B26" s="108"/>
      <c r="C26" s="423"/>
      <c r="D26" s="423"/>
      <c r="E26" s="423"/>
      <c r="F26" s="423"/>
      <c r="G26" s="112"/>
      <c r="H26" s="112"/>
      <c r="I26" s="112"/>
      <c r="J26" s="112"/>
      <c r="K26" s="423"/>
      <c r="L26" s="112"/>
      <c r="M26" s="112"/>
      <c r="N26" s="112"/>
      <c r="O26" s="112"/>
      <c r="P26" s="423"/>
      <c r="Q26" s="112"/>
      <c r="R26" s="112"/>
      <c r="S26" s="112"/>
      <c r="T26" s="112"/>
      <c r="U26" s="423"/>
      <c r="V26" s="112"/>
      <c r="W26" s="112"/>
      <c r="X26" s="112"/>
      <c r="Y26" s="112"/>
      <c r="Z26" s="423"/>
      <c r="AA26" s="112"/>
      <c r="AB26" s="112"/>
      <c r="AC26" s="112"/>
      <c r="AD26" s="112"/>
      <c r="AE26" s="423"/>
      <c r="AF26" s="112"/>
      <c r="AG26" s="112"/>
      <c r="AH26" s="112"/>
      <c r="AI26" s="112"/>
      <c r="AJ26" s="423"/>
      <c r="AK26" s="112"/>
      <c r="AL26" s="112"/>
      <c r="AM26" s="112"/>
      <c r="AN26" s="112"/>
      <c r="AO26" s="423"/>
      <c r="AP26" s="112"/>
      <c r="AQ26" s="112"/>
      <c r="AR26" s="112"/>
      <c r="AS26" s="112"/>
      <c r="AT26" s="423"/>
      <c r="AU26" s="112"/>
      <c r="AV26" s="112"/>
      <c r="AW26" s="112"/>
      <c r="AX26" s="112"/>
      <c r="AY26" s="423"/>
      <c r="AZ26" s="112"/>
      <c r="BA26" s="112"/>
      <c r="BB26" s="112"/>
      <c r="BC26" s="112"/>
      <c r="BD26" s="423"/>
      <c r="BE26" s="112"/>
      <c r="BF26" s="112"/>
      <c r="BG26" s="112"/>
      <c r="BH26" s="112"/>
      <c r="BI26" s="423"/>
      <c r="BJ26" s="112"/>
      <c r="BK26" s="112"/>
      <c r="BL26" s="112"/>
      <c r="BM26" s="112"/>
      <c r="BN26" s="423"/>
      <c r="BO26" s="112"/>
      <c r="BP26" s="112"/>
      <c r="BQ26" s="112"/>
      <c r="BR26" s="112"/>
      <c r="BS26" s="424"/>
      <c r="BT26" s="112"/>
      <c r="BU26" s="112"/>
      <c r="BV26" s="112"/>
      <c r="BW26" s="112"/>
      <c r="BX26" s="423"/>
      <c r="BY26" s="112"/>
      <c r="BZ26" s="112"/>
      <c r="CA26" s="112"/>
      <c r="CB26" s="112"/>
      <c r="CC26" s="423"/>
      <c r="CD26" s="423"/>
      <c r="CE26" s="423"/>
      <c r="CF26" s="423"/>
      <c r="CG26" s="109"/>
    </row>
    <row r="27" spans="1:85" ht="14.45" hidden="1" customHeight="1" x14ac:dyDescent="0.25">
      <c r="A27" s="113" t="s">
        <v>182</v>
      </c>
      <c r="B27" s="97"/>
      <c r="C27" s="413"/>
      <c r="D27" s="413"/>
      <c r="E27" s="413"/>
      <c r="F27" s="413"/>
      <c r="G27" s="63"/>
      <c r="H27" s="63"/>
      <c r="I27" s="63"/>
      <c r="J27" s="63"/>
      <c r="K27" s="413"/>
      <c r="L27" s="63"/>
      <c r="M27" s="63"/>
      <c r="N27" s="63"/>
      <c r="O27" s="63"/>
      <c r="P27" s="413"/>
      <c r="Q27" s="63"/>
      <c r="R27" s="63"/>
      <c r="S27" s="63"/>
      <c r="T27" s="63"/>
      <c r="U27" s="413"/>
      <c r="V27" s="63"/>
      <c r="W27" s="63"/>
      <c r="X27" s="63"/>
      <c r="Y27" s="63"/>
      <c r="Z27" s="413"/>
      <c r="AA27" s="63"/>
      <c r="AB27" s="63"/>
      <c r="AC27" s="63"/>
      <c r="AD27" s="63"/>
      <c r="AE27" s="413"/>
      <c r="AF27" s="63"/>
      <c r="AG27" s="63"/>
      <c r="AH27" s="63"/>
      <c r="AI27" s="63"/>
      <c r="AJ27" s="413"/>
      <c r="AK27" s="99">
        <f>AO27-AL27-AM27-AN27</f>
        <v>42.79999999999999</v>
      </c>
      <c r="AL27" s="98">
        <v>51.8</v>
      </c>
      <c r="AM27" s="98">
        <v>55.5</v>
      </c>
      <c r="AN27" s="98">
        <v>46.9</v>
      </c>
      <c r="AO27" s="410">
        <v>197</v>
      </c>
      <c r="AP27" s="99">
        <f>AT27-AQ27-AR27-AS27</f>
        <v>40.800000000000011</v>
      </c>
      <c r="AQ27" s="98">
        <v>22.5</v>
      </c>
      <c r="AR27" s="98">
        <v>36</v>
      </c>
      <c r="AS27" s="98">
        <v>32.5</v>
      </c>
      <c r="AT27" s="410">
        <v>131.80000000000001</v>
      </c>
      <c r="AU27" s="98">
        <v>32.6</v>
      </c>
      <c r="AV27" s="98">
        <v>43.3</v>
      </c>
      <c r="AW27" s="98">
        <v>45.3</v>
      </c>
      <c r="AX27" s="63"/>
      <c r="AY27" s="413"/>
      <c r="AZ27" s="63"/>
      <c r="BA27" s="63"/>
      <c r="BB27" s="63"/>
      <c r="BC27" s="63"/>
      <c r="BD27" s="413"/>
      <c r="BE27" s="63"/>
      <c r="BF27" s="63"/>
      <c r="BG27" s="63"/>
      <c r="BH27" s="63"/>
      <c r="BI27" s="413"/>
      <c r="BJ27" s="63"/>
      <c r="BK27" s="63"/>
      <c r="BL27" s="63"/>
      <c r="BM27" s="63"/>
      <c r="BN27" s="413"/>
      <c r="BO27" s="63"/>
      <c r="BP27" s="63"/>
      <c r="BQ27" s="63"/>
      <c r="BR27" s="63"/>
      <c r="BS27" s="425"/>
      <c r="BT27" s="63"/>
      <c r="BU27" s="63"/>
      <c r="BV27" s="63"/>
      <c r="BW27" s="63"/>
      <c r="BX27" s="413"/>
      <c r="BY27" s="63"/>
      <c r="BZ27" s="63"/>
      <c r="CA27" s="63"/>
      <c r="CB27" s="63"/>
      <c r="CC27" s="413"/>
      <c r="CD27" s="413"/>
      <c r="CE27" s="413"/>
      <c r="CF27" s="413"/>
      <c r="CG27" s="99"/>
    </row>
    <row r="28" spans="1:85" ht="14.45" customHeight="1" x14ac:dyDescent="0.25">
      <c r="A28" s="111"/>
      <c r="B28" s="108"/>
      <c r="C28" s="423"/>
      <c r="D28" s="423"/>
      <c r="E28" s="423"/>
      <c r="F28" s="423"/>
      <c r="G28" s="112"/>
      <c r="H28" s="112"/>
      <c r="I28" s="112"/>
      <c r="J28" s="112"/>
      <c r="K28" s="423"/>
      <c r="L28" s="112"/>
      <c r="M28" s="112"/>
      <c r="N28" s="112"/>
      <c r="O28" s="112"/>
      <c r="P28" s="423"/>
      <c r="Q28" s="112"/>
      <c r="R28" s="112"/>
      <c r="S28" s="112"/>
      <c r="T28" s="112"/>
      <c r="U28" s="423"/>
      <c r="V28" s="112"/>
      <c r="W28" s="112"/>
      <c r="X28" s="112"/>
      <c r="Y28" s="112"/>
      <c r="Z28" s="423"/>
      <c r="AA28" s="112"/>
      <c r="AB28" s="112"/>
      <c r="AC28" s="112"/>
      <c r="AD28" s="112"/>
      <c r="AE28" s="423"/>
      <c r="AF28" s="112"/>
      <c r="AG28" s="112"/>
      <c r="AH28" s="112"/>
      <c r="AI28" s="112"/>
      <c r="AJ28" s="423"/>
      <c r="AK28" s="112"/>
      <c r="AL28" s="112"/>
      <c r="AM28" s="112"/>
      <c r="AN28" s="112"/>
      <c r="AO28" s="423"/>
      <c r="AP28" s="112"/>
      <c r="AQ28" s="112"/>
      <c r="AR28" s="112"/>
      <c r="AS28" s="112"/>
      <c r="AT28" s="423"/>
      <c r="AU28" s="112"/>
      <c r="AV28" s="112"/>
      <c r="AW28" s="112"/>
      <c r="AX28" s="112"/>
      <c r="AY28" s="423"/>
      <c r="AZ28" s="112"/>
      <c r="BA28" s="112"/>
      <c r="BB28" s="112"/>
      <c r="BC28" s="112"/>
      <c r="BD28" s="423"/>
      <c r="BE28" s="112"/>
      <c r="BF28" s="112"/>
      <c r="BG28" s="112"/>
      <c r="BH28" s="112"/>
      <c r="BI28" s="423"/>
      <c r="BJ28" s="112"/>
      <c r="BK28" s="112"/>
      <c r="BL28" s="112"/>
      <c r="BM28" s="112"/>
      <c r="BN28" s="423"/>
      <c r="BO28" s="112"/>
      <c r="BP28" s="112"/>
      <c r="BQ28" s="112"/>
      <c r="BR28" s="112"/>
      <c r="BS28" s="424"/>
      <c r="BT28" s="112"/>
      <c r="BU28" s="112"/>
      <c r="BV28" s="112"/>
      <c r="BW28" s="112"/>
      <c r="BX28" s="423"/>
      <c r="BY28" s="112"/>
      <c r="BZ28" s="112"/>
      <c r="CA28" s="112"/>
      <c r="CB28" s="112"/>
      <c r="CC28" s="423"/>
      <c r="CD28" s="423"/>
      <c r="CE28" s="423"/>
      <c r="CF28" s="423"/>
      <c r="CG28" s="109"/>
    </row>
    <row r="29" spans="1:85" ht="14.45" customHeight="1" x14ac:dyDescent="0.25">
      <c r="A29" s="79" t="s">
        <v>183</v>
      </c>
      <c r="B29" s="114"/>
      <c r="C29" s="426">
        <f t="shared" ref="C29:AH29" si="36">C19/C$25</f>
        <v>0.69741217170506165</v>
      </c>
      <c r="D29" s="426">
        <f t="shared" si="36"/>
        <v>0.68098750890499737</v>
      </c>
      <c r="E29" s="426">
        <f t="shared" si="36"/>
        <v>0.67392884753711635</v>
      </c>
      <c r="F29" s="426">
        <f t="shared" si="36"/>
        <v>0.66467360367385941</v>
      </c>
      <c r="G29" s="115">
        <f t="shared" si="36"/>
        <v>0.66346587546375846</v>
      </c>
      <c r="H29" s="115">
        <f t="shared" si="36"/>
        <v>0.62915200977204011</v>
      </c>
      <c r="I29" s="115">
        <f t="shared" si="36"/>
        <v>0.63044348898873093</v>
      </c>
      <c r="J29" s="115">
        <f t="shared" si="36"/>
        <v>0.67171733821578994</v>
      </c>
      <c r="K29" s="426">
        <f t="shared" si="36"/>
        <v>0.64773893870279675</v>
      </c>
      <c r="L29" s="115">
        <f t="shared" si="36"/>
        <v>0.65615751630286534</v>
      </c>
      <c r="M29" s="115">
        <f t="shared" si="36"/>
        <v>0.62641548034378525</v>
      </c>
      <c r="N29" s="115">
        <f t="shared" si="36"/>
        <v>0.62670972478347131</v>
      </c>
      <c r="O29" s="115">
        <f t="shared" si="36"/>
        <v>0.66989229253945404</v>
      </c>
      <c r="P29" s="426">
        <f t="shared" si="36"/>
        <v>0.64408037476615776</v>
      </c>
      <c r="Q29" s="115">
        <f t="shared" si="36"/>
        <v>0.65707011315975838</v>
      </c>
      <c r="R29" s="115">
        <f t="shared" si="36"/>
        <v>0.64503492043866517</v>
      </c>
      <c r="S29" s="115">
        <f t="shared" si="36"/>
        <v>0.6269412384495302</v>
      </c>
      <c r="T29" s="115">
        <f t="shared" si="36"/>
        <v>0.68001633006086659</v>
      </c>
      <c r="U29" s="426">
        <f t="shared" si="36"/>
        <v>0.65194467013923507</v>
      </c>
      <c r="V29" s="115">
        <f t="shared" si="36"/>
        <v>0.56386060730091325</v>
      </c>
      <c r="W29" s="115">
        <f t="shared" si="36"/>
        <v>0.55315070253598353</v>
      </c>
      <c r="X29" s="115">
        <f t="shared" si="36"/>
        <v>0.53678795045628647</v>
      </c>
      <c r="Y29" s="115">
        <f t="shared" si="36"/>
        <v>0.58377418128238034</v>
      </c>
      <c r="Z29" s="426">
        <f t="shared" si="36"/>
        <v>0.55903635375177263</v>
      </c>
      <c r="AA29" s="115">
        <f t="shared" si="36"/>
        <v>0.55418608250876167</v>
      </c>
      <c r="AB29" s="115">
        <f t="shared" si="36"/>
        <v>0.51965079693592109</v>
      </c>
      <c r="AC29" s="115">
        <f t="shared" si="36"/>
        <v>0.50124470334426929</v>
      </c>
      <c r="AD29" s="115">
        <f t="shared" si="36"/>
        <v>0.54657776191249996</v>
      </c>
      <c r="AE29" s="426">
        <f t="shared" si="36"/>
        <v>0.52863008908177045</v>
      </c>
      <c r="AF29" s="115">
        <f t="shared" si="36"/>
        <v>0.52604021387039479</v>
      </c>
      <c r="AG29" s="115">
        <f t="shared" si="36"/>
        <v>0.52230609268993611</v>
      </c>
      <c r="AH29" s="115">
        <f t="shared" si="36"/>
        <v>0.51469104252125986</v>
      </c>
      <c r="AI29" s="115">
        <f t="shared" ref="AI29:BN29" si="37">AI19/AI$25</f>
        <v>0.50871261012290492</v>
      </c>
      <c r="AJ29" s="426">
        <f t="shared" si="37"/>
        <v>0.5178431362374939</v>
      </c>
      <c r="AK29" s="115">
        <f t="shared" si="37"/>
        <v>0.5312962412232346</v>
      </c>
      <c r="AL29" s="115">
        <f t="shared" si="37"/>
        <v>0.52731853659417471</v>
      </c>
      <c r="AM29" s="115">
        <f t="shared" si="37"/>
        <v>0.51730290968970816</v>
      </c>
      <c r="AN29" s="115">
        <f t="shared" si="37"/>
        <v>0.56607537730639756</v>
      </c>
      <c r="AO29" s="426">
        <f t="shared" si="37"/>
        <v>0.5350568283881505</v>
      </c>
      <c r="AP29" s="115">
        <f t="shared" si="37"/>
        <v>0.53802361594549453</v>
      </c>
      <c r="AQ29" s="115">
        <f t="shared" si="37"/>
        <v>0.56564008751522754</v>
      </c>
      <c r="AR29" s="115">
        <f t="shared" si="37"/>
        <v>0.52958786105064115</v>
      </c>
      <c r="AS29" s="115">
        <f t="shared" si="37"/>
        <v>0.57248695290375629</v>
      </c>
      <c r="AT29" s="426">
        <f t="shared" si="37"/>
        <v>0.55135413752205009</v>
      </c>
      <c r="AU29" s="115">
        <f t="shared" si="37"/>
        <v>0.54665919075927449</v>
      </c>
      <c r="AV29" s="115">
        <f t="shared" si="37"/>
        <v>0.52661389476974863</v>
      </c>
      <c r="AW29" s="115">
        <f t="shared" si="37"/>
        <v>0.53072047272188339</v>
      </c>
      <c r="AX29" s="115">
        <f t="shared" si="37"/>
        <v>0.56943149980140317</v>
      </c>
      <c r="AY29" s="426">
        <f t="shared" si="37"/>
        <v>0.54305991643647333</v>
      </c>
      <c r="AZ29" s="115">
        <f t="shared" si="37"/>
        <v>0.55226943557127184</v>
      </c>
      <c r="BA29" s="115">
        <f t="shared" si="37"/>
        <v>0.55160903075760948</v>
      </c>
      <c r="BB29" s="115">
        <f t="shared" si="37"/>
        <v>0.56316357288425756</v>
      </c>
      <c r="BC29" s="115">
        <f t="shared" si="37"/>
        <v>0.60306651534370337</v>
      </c>
      <c r="BD29" s="426">
        <f t="shared" si="37"/>
        <v>0.56785960618659348</v>
      </c>
      <c r="BE29" s="115">
        <f t="shared" si="37"/>
        <v>0.58573262867752329</v>
      </c>
      <c r="BF29" s="115">
        <f t="shared" si="37"/>
        <v>0.57765097490729411</v>
      </c>
      <c r="BG29" s="115">
        <f t="shared" si="37"/>
        <v>0.57092210592211767</v>
      </c>
      <c r="BH29" s="115">
        <f t="shared" si="37"/>
        <v>0.61687746327920534</v>
      </c>
      <c r="BI29" s="426">
        <f t="shared" si="37"/>
        <v>0.58494380252779665</v>
      </c>
      <c r="BJ29" s="115">
        <f t="shared" si="37"/>
        <v>0.59812543901645232</v>
      </c>
      <c r="BK29" s="115">
        <f t="shared" si="37"/>
        <v>0.58402410321485709</v>
      </c>
      <c r="BL29" s="115">
        <f t="shared" si="37"/>
        <v>0.58601015375623289</v>
      </c>
      <c r="BM29" s="115">
        <f t="shared" si="37"/>
        <v>0.62038540047351964</v>
      </c>
      <c r="BN29" s="426">
        <f t="shared" si="37"/>
        <v>0.59510753775952518</v>
      </c>
      <c r="BO29" s="115">
        <f t="shared" ref="BO29:CF29" si="38">BO19/BO$25</f>
        <v>0.59104467976432573</v>
      </c>
      <c r="BP29" s="115">
        <f t="shared" si="38"/>
        <v>0.58202368178391062</v>
      </c>
      <c r="BQ29" s="115">
        <f t="shared" si="38"/>
        <v>0.57360019530619055</v>
      </c>
      <c r="BR29" s="115">
        <f t="shared" si="38"/>
        <v>0.60543775423501855</v>
      </c>
      <c r="BS29" s="427">
        <f t="shared" si="38"/>
        <v>0.58796550385961366</v>
      </c>
      <c r="BT29" s="160">
        <f t="shared" si="38"/>
        <v>0.58752029441003106</v>
      </c>
      <c r="BU29" s="160">
        <f t="shared" si="38"/>
        <v>0.56893670452859624</v>
      </c>
      <c r="BV29" s="160">
        <f t="shared" si="38"/>
        <v>0.55023999317684091</v>
      </c>
      <c r="BW29" s="160">
        <f t="shared" si="38"/>
        <v>0.60298531545697187</v>
      </c>
      <c r="BX29" s="428">
        <f t="shared" si="38"/>
        <v>0.57687965141198205</v>
      </c>
      <c r="BY29" s="160">
        <f t="shared" si="38"/>
        <v>0.58486488680821647</v>
      </c>
      <c r="BZ29" s="160">
        <f t="shared" si="38"/>
        <v>0.56628119010593381</v>
      </c>
      <c r="CA29" s="160">
        <f t="shared" si="38"/>
        <v>0.54756071765856196</v>
      </c>
      <c r="CB29" s="160">
        <f t="shared" si="38"/>
        <v>0.60035051394411221</v>
      </c>
      <c r="CC29" s="428">
        <f t="shared" si="38"/>
        <v>0.5742194317178807</v>
      </c>
      <c r="CD29" s="428">
        <f t="shared" si="38"/>
        <v>0.57059334872863188</v>
      </c>
      <c r="CE29" s="428">
        <f t="shared" si="38"/>
        <v>0.56695967328517971</v>
      </c>
      <c r="CF29" s="428">
        <f t="shared" si="38"/>
        <v>0.56331878150625325</v>
      </c>
      <c r="CG29" s="115"/>
    </row>
    <row r="30" spans="1:85" ht="14.45" customHeight="1" x14ac:dyDescent="0.25">
      <c r="A30" s="79" t="s">
        <v>184</v>
      </c>
      <c r="B30" s="114"/>
      <c r="C30" s="426">
        <f t="shared" ref="C30:AH30" si="39">C20/C$25</f>
        <v>0.14004224573211385</v>
      </c>
      <c r="D30" s="426">
        <f t="shared" si="39"/>
        <v>0.14100761983865037</v>
      </c>
      <c r="E30" s="426">
        <f t="shared" si="39"/>
        <v>0.14067545071574564</v>
      </c>
      <c r="F30" s="426">
        <f t="shared" si="39"/>
        <v>0.14487748949631232</v>
      </c>
      <c r="G30" s="115">
        <f t="shared" si="39"/>
        <v>0.1371994858571611</v>
      </c>
      <c r="H30" s="115">
        <f t="shared" si="39"/>
        <v>0.16409427967336399</v>
      </c>
      <c r="I30" s="115">
        <f t="shared" si="39"/>
        <v>0.16879649407085512</v>
      </c>
      <c r="J30" s="115">
        <f t="shared" si="39"/>
        <v>0.12986100720956953</v>
      </c>
      <c r="K30" s="426">
        <f t="shared" si="39"/>
        <v>0.15082941831964425</v>
      </c>
      <c r="L30" s="115">
        <f t="shared" si="39"/>
        <v>0.14707320462605061</v>
      </c>
      <c r="M30" s="115">
        <f t="shared" si="39"/>
        <v>0.17234527382457729</v>
      </c>
      <c r="N30" s="115">
        <f t="shared" si="39"/>
        <v>0.17816096976900692</v>
      </c>
      <c r="O30" s="115">
        <f t="shared" si="39"/>
        <v>0.13902568548332195</v>
      </c>
      <c r="P30" s="426">
        <f t="shared" si="39"/>
        <v>0.15983907181128387</v>
      </c>
      <c r="Q30" s="115">
        <f t="shared" si="39"/>
        <v>0.15573642093929876</v>
      </c>
      <c r="R30" s="115">
        <f t="shared" si="39"/>
        <v>0.18134062598119682</v>
      </c>
      <c r="S30" s="115">
        <f t="shared" si="39"/>
        <v>0.19452300074659909</v>
      </c>
      <c r="T30" s="115">
        <f t="shared" si="39"/>
        <v>0.15406089240878082</v>
      </c>
      <c r="U30" s="426">
        <f t="shared" si="39"/>
        <v>0.17251603974579202</v>
      </c>
      <c r="V30" s="115">
        <f t="shared" si="39"/>
        <v>0.26571013788340025</v>
      </c>
      <c r="W30" s="115">
        <f t="shared" si="39"/>
        <v>0.29316479133348566</v>
      </c>
      <c r="X30" s="115">
        <f t="shared" si="39"/>
        <v>0.30800868758156386</v>
      </c>
      <c r="Y30" s="115">
        <f t="shared" si="39"/>
        <v>0.25910927325443228</v>
      </c>
      <c r="Z30" s="426">
        <f t="shared" si="39"/>
        <v>0.28263752570944117</v>
      </c>
      <c r="AA30" s="115">
        <f t="shared" si="39"/>
        <v>0.29578076520557883</v>
      </c>
      <c r="AB30" s="115">
        <f t="shared" si="39"/>
        <v>0.31553736409499433</v>
      </c>
      <c r="AC30" s="115">
        <f t="shared" si="39"/>
        <v>0.33074098987893602</v>
      </c>
      <c r="AD30" s="115">
        <f t="shared" si="39"/>
        <v>0.2810116600911603</v>
      </c>
      <c r="AE30" s="426">
        <f t="shared" si="39"/>
        <v>0.30667687713302688</v>
      </c>
      <c r="AF30" s="115">
        <f t="shared" si="39"/>
        <v>0.30139928640995078</v>
      </c>
      <c r="AG30" s="115">
        <f t="shared" si="39"/>
        <v>0.32214265046889229</v>
      </c>
      <c r="AH30" s="115">
        <f t="shared" si="39"/>
        <v>0.33287708891699819</v>
      </c>
      <c r="AI30" s="115">
        <f t="shared" ref="AI30:BN30" si="40">AI20/AI$25</f>
        <v>0.31389504043302169</v>
      </c>
      <c r="AJ30" s="426">
        <f t="shared" si="40"/>
        <v>0.31813517811787351</v>
      </c>
      <c r="AK30" s="115">
        <f t="shared" si="40"/>
        <v>0.31162504352115133</v>
      </c>
      <c r="AL30" s="115">
        <f t="shared" si="40"/>
        <v>0.33089704544151927</v>
      </c>
      <c r="AM30" s="115">
        <f t="shared" si="40"/>
        <v>0.34500392988672962</v>
      </c>
      <c r="AN30" s="115">
        <f t="shared" si="40"/>
        <v>0.30136078829533752</v>
      </c>
      <c r="AO30" s="426">
        <f t="shared" si="40"/>
        <v>0.32299350944121769</v>
      </c>
      <c r="AP30" s="115">
        <f t="shared" si="40"/>
        <v>0.31821936691670477</v>
      </c>
      <c r="AQ30" s="115">
        <f t="shared" si="40"/>
        <v>0.32353336619907674</v>
      </c>
      <c r="AR30" s="115">
        <f t="shared" si="40"/>
        <v>0.34996356749497926</v>
      </c>
      <c r="AS30" s="115">
        <f t="shared" si="40"/>
        <v>0.31789475824647634</v>
      </c>
      <c r="AT30" s="426">
        <f t="shared" si="40"/>
        <v>0.32786078564000926</v>
      </c>
      <c r="AU30" s="115">
        <f t="shared" si="40"/>
        <v>0.33079000233884603</v>
      </c>
      <c r="AV30" s="115">
        <f t="shared" si="40"/>
        <v>0.34819264161397151</v>
      </c>
      <c r="AW30" s="115">
        <f t="shared" si="40"/>
        <v>0.34580687126397663</v>
      </c>
      <c r="AX30" s="115">
        <f t="shared" si="40"/>
        <v>0.31242516966297018</v>
      </c>
      <c r="AY30" s="426">
        <f t="shared" si="40"/>
        <v>0.33457804949166903</v>
      </c>
      <c r="AZ30" s="115">
        <f t="shared" si="40"/>
        <v>0.33320065111602604</v>
      </c>
      <c r="BA30" s="115">
        <f t="shared" si="40"/>
        <v>0.33825471801606682</v>
      </c>
      <c r="BB30" s="115">
        <f t="shared" si="40"/>
        <v>0.33669206902416754</v>
      </c>
      <c r="BC30" s="115">
        <f t="shared" si="40"/>
        <v>0.2976230214363601</v>
      </c>
      <c r="BD30" s="426">
        <f t="shared" si="40"/>
        <v>0.32577229611493841</v>
      </c>
      <c r="BE30" s="115">
        <f t="shared" si="40"/>
        <v>0.32426468623261528</v>
      </c>
      <c r="BF30" s="115">
        <f t="shared" si="40"/>
        <v>0.32990018587189562</v>
      </c>
      <c r="BG30" s="115">
        <f t="shared" si="40"/>
        <v>0.33633764456082238</v>
      </c>
      <c r="BH30" s="115">
        <f t="shared" si="40"/>
        <v>0.2995788972847826</v>
      </c>
      <c r="BI30" s="426">
        <f t="shared" si="40"/>
        <v>0.32306655777745785</v>
      </c>
      <c r="BJ30" s="115">
        <f t="shared" si="40"/>
        <v>0.32145868438942315</v>
      </c>
      <c r="BK30" s="115">
        <f t="shared" si="40"/>
        <v>0.33268594827341402</v>
      </c>
      <c r="BL30" s="115">
        <f t="shared" si="40"/>
        <v>0.3316208403467954</v>
      </c>
      <c r="BM30" s="115">
        <f t="shared" si="40"/>
        <v>0.30420928774488321</v>
      </c>
      <c r="BN30" s="426">
        <f t="shared" si="40"/>
        <v>0.32280212692812282</v>
      </c>
      <c r="BO30" s="115">
        <f t="shared" ref="BO30:CF30" si="41">BO20/BO$25</f>
        <v>0.32225595689051173</v>
      </c>
      <c r="BP30" s="115">
        <f t="shared" si="41"/>
        <v>0.337413952646133</v>
      </c>
      <c r="BQ30" s="115">
        <f t="shared" si="41"/>
        <v>0.34066684778032502</v>
      </c>
      <c r="BR30" s="115">
        <f t="shared" si="41"/>
        <v>0.30689376665360807</v>
      </c>
      <c r="BS30" s="427">
        <f t="shared" si="41"/>
        <v>0.32690301886192069</v>
      </c>
      <c r="BT30" s="160">
        <f t="shared" si="41"/>
        <v>0.32485752740917723</v>
      </c>
      <c r="BU30" s="160">
        <f t="shared" si="41"/>
        <v>0.35062211570074459</v>
      </c>
      <c r="BV30" s="160">
        <f t="shared" si="41"/>
        <v>0.36576465531162616</v>
      </c>
      <c r="BW30" s="160">
        <f t="shared" si="41"/>
        <v>0.3089008859560729</v>
      </c>
      <c r="BX30" s="428">
        <f t="shared" si="41"/>
        <v>0.33817667794369544</v>
      </c>
      <c r="BY30" s="160">
        <f t="shared" si="41"/>
        <v>0.32660707690905899</v>
      </c>
      <c r="BZ30" s="160">
        <f t="shared" si="41"/>
        <v>0.35245807891313458</v>
      </c>
      <c r="CA30" s="160">
        <f t="shared" si="41"/>
        <v>0.36760537063644094</v>
      </c>
      <c r="CB30" s="160">
        <f t="shared" si="41"/>
        <v>0.31061132433591043</v>
      </c>
      <c r="CC30" s="428">
        <f t="shared" si="41"/>
        <v>0.33996663683962514</v>
      </c>
      <c r="CD30" s="428">
        <f t="shared" si="41"/>
        <v>0.34286190104515246</v>
      </c>
      <c r="CE30" s="428">
        <f t="shared" si="41"/>
        <v>0.34576322748393595</v>
      </c>
      <c r="CF30" s="428">
        <f t="shared" si="41"/>
        <v>0.34867031584208402</v>
      </c>
      <c r="CG30" s="115"/>
    </row>
    <row r="31" spans="1:85" ht="14.45" customHeight="1" x14ac:dyDescent="0.25">
      <c r="A31" s="82" t="s">
        <v>185</v>
      </c>
      <c r="B31" s="116"/>
      <c r="C31" s="429">
        <f t="shared" ref="C31:AH31" si="42">SUM(C29:C30)</f>
        <v>0.83745441743717552</v>
      </c>
      <c r="D31" s="429">
        <f t="shared" si="42"/>
        <v>0.82199512874364777</v>
      </c>
      <c r="E31" s="429">
        <f t="shared" si="42"/>
        <v>0.81460429825286196</v>
      </c>
      <c r="F31" s="429">
        <f t="shared" si="42"/>
        <v>0.80955109317017171</v>
      </c>
      <c r="G31" s="117">
        <f t="shared" si="42"/>
        <v>0.80066536132091959</v>
      </c>
      <c r="H31" s="117">
        <f t="shared" si="42"/>
        <v>0.7932462894454041</v>
      </c>
      <c r="I31" s="117">
        <f t="shared" si="42"/>
        <v>0.79923998305958599</v>
      </c>
      <c r="J31" s="117">
        <f t="shared" si="42"/>
        <v>0.80157834542535944</v>
      </c>
      <c r="K31" s="429">
        <f t="shared" si="42"/>
        <v>0.798568357022441</v>
      </c>
      <c r="L31" s="117">
        <f t="shared" si="42"/>
        <v>0.80323072092891601</v>
      </c>
      <c r="M31" s="117">
        <f t="shared" si="42"/>
        <v>0.79876075416836256</v>
      </c>
      <c r="N31" s="117">
        <f t="shared" si="42"/>
        <v>0.80487069455247817</v>
      </c>
      <c r="O31" s="117">
        <f t="shared" si="42"/>
        <v>0.80891797802277599</v>
      </c>
      <c r="P31" s="429">
        <f t="shared" si="42"/>
        <v>0.80391944657744163</v>
      </c>
      <c r="Q31" s="117">
        <f t="shared" si="42"/>
        <v>0.81280653409905712</v>
      </c>
      <c r="R31" s="117">
        <f t="shared" si="42"/>
        <v>0.82637554641986199</v>
      </c>
      <c r="S31" s="117">
        <f t="shared" si="42"/>
        <v>0.82146423919612932</v>
      </c>
      <c r="T31" s="117">
        <f t="shared" si="42"/>
        <v>0.83407722246964744</v>
      </c>
      <c r="U31" s="429">
        <f t="shared" si="42"/>
        <v>0.82446070988502707</v>
      </c>
      <c r="V31" s="117">
        <f t="shared" si="42"/>
        <v>0.82957074518431351</v>
      </c>
      <c r="W31" s="117">
        <f t="shared" si="42"/>
        <v>0.84631549386946925</v>
      </c>
      <c r="X31" s="117">
        <f t="shared" si="42"/>
        <v>0.84479663803785032</v>
      </c>
      <c r="Y31" s="117">
        <f t="shared" si="42"/>
        <v>0.84288345453681268</v>
      </c>
      <c r="Z31" s="429">
        <f t="shared" si="42"/>
        <v>0.84167387946121375</v>
      </c>
      <c r="AA31" s="117">
        <f t="shared" si="42"/>
        <v>0.8499668477143405</v>
      </c>
      <c r="AB31" s="117">
        <f t="shared" si="42"/>
        <v>0.83518816103091542</v>
      </c>
      <c r="AC31" s="117">
        <f t="shared" si="42"/>
        <v>0.83198569322320526</v>
      </c>
      <c r="AD31" s="117">
        <f t="shared" si="42"/>
        <v>0.82758942200366026</v>
      </c>
      <c r="AE31" s="429">
        <f t="shared" si="42"/>
        <v>0.83530696621479739</v>
      </c>
      <c r="AF31" s="117">
        <f t="shared" si="42"/>
        <v>0.82743950028034563</v>
      </c>
      <c r="AG31" s="117">
        <f t="shared" si="42"/>
        <v>0.84444874315882834</v>
      </c>
      <c r="AH31" s="117">
        <f t="shared" si="42"/>
        <v>0.84756813143825804</v>
      </c>
      <c r="AI31" s="117">
        <f t="shared" ref="AI31:BN31" si="43">SUM(AI29:AI30)</f>
        <v>0.82260765055592655</v>
      </c>
      <c r="AJ31" s="429">
        <f t="shared" si="43"/>
        <v>0.8359783143553674</v>
      </c>
      <c r="AK31" s="117">
        <f t="shared" si="43"/>
        <v>0.84292128474438588</v>
      </c>
      <c r="AL31" s="117">
        <f t="shared" si="43"/>
        <v>0.85821558203569404</v>
      </c>
      <c r="AM31" s="117">
        <f t="shared" si="43"/>
        <v>0.86230683957643772</v>
      </c>
      <c r="AN31" s="117">
        <f t="shared" si="43"/>
        <v>0.86743616560173509</v>
      </c>
      <c r="AO31" s="429">
        <f t="shared" si="43"/>
        <v>0.85805033782936824</v>
      </c>
      <c r="AP31" s="117">
        <f t="shared" si="43"/>
        <v>0.85624298286219935</v>
      </c>
      <c r="AQ31" s="117">
        <f t="shared" si="43"/>
        <v>0.88917345371430434</v>
      </c>
      <c r="AR31" s="117">
        <f t="shared" si="43"/>
        <v>0.87955142854562041</v>
      </c>
      <c r="AS31" s="117">
        <f t="shared" si="43"/>
        <v>0.89038171115023257</v>
      </c>
      <c r="AT31" s="429">
        <f t="shared" si="43"/>
        <v>0.8792149231620594</v>
      </c>
      <c r="AU31" s="117">
        <f t="shared" si="43"/>
        <v>0.87744919309812053</v>
      </c>
      <c r="AV31" s="117">
        <f t="shared" si="43"/>
        <v>0.87480653638372008</v>
      </c>
      <c r="AW31" s="117">
        <f t="shared" si="43"/>
        <v>0.87652734398586007</v>
      </c>
      <c r="AX31" s="117">
        <f t="shared" si="43"/>
        <v>0.88185666946437336</v>
      </c>
      <c r="AY31" s="429">
        <f t="shared" si="43"/>
        <v>0.87763796592814236</v>
      </c>
      <c r="AZ31" s="117">
        <f t="shared" si="43"/>
        <v>0.88547008668729787</v>
      </c>
      <c r="BA31" s="117">
        <f t="shared" si="43"/>
        <v>0.88986374877367624</v>
      </c>
      <c r="BB31" s="117">
        <f t="shared" si="43"/>
        <v>0.89985564190842515</v>
      </c>
      <c r="BC31" s="117">
        <f t="shared" si="43"/>
        <v>0.90068953678006347</v>
      </c>
      <c r="BD31" s="429">
        <f t="shared" si="43"/>
        <v>0.89363190230153189</v>
      </c>
      <c r="BE31" s="117">
        <f t="shared" si="43"/>
        <v>0.90999731491013858</v>
      </c>
      <c r="BF31" s="117">
        <f t="shared" si="43"/>
        <v>0.90755116077918974</v>
      </c>
      <c r="BG31" s="117">
        <f t="shared" si="43"/>
        <v>0.90725975048294005</v>
      </c>
      <c r="BH31" s="117">
        <f t="shared" si="43"/>
        <v>0.91645636056398794</v>
      </c>
      <c r="BI31" s="429">
        <f t="shared" si="43"/>
        <v>0.9080103603052545</v>
      </c>
      <c r="BJ31" s="117">
        <f t="shared" si="43"/>
        <v>0.91958412340587548</v>
      </c>
      <c r="BK31" s="117">
        <f t="shared" si="43"/>
        <v>0.91671005148827112</v>
      </c>
      <c r="BL31" s="117">
        <f t="shared" si="43"/>
        <v>0.91763099410302829</v>
      </c>
      <c r="BM31" s="117">
        <f t="shared" si="43"/>
        <v>0.92459468821840285</v>
      </c>
      <c r="BN31" s="429">
        <f t="shared" si="43"/>
        <v>0.91790966468764801</v>
      </c>
      <c r="BO31" s="117">
        <f t="shared" ref="BO31:CF31" si="44">SUM(BO29:BO30)</f>
        <v>0.91330063665483752</v>
      </c>
      <c r="BP31" s="117">
        <f t="shared" si="44"/>
        <v>0.91943763443004367</v>
      </c>
      <c r="BQ31" s="117">
        <f t="shared" si="44"/>
        <v>0.91426704308651563</v>
      </c>
      <c r="BR31" s="117">
        <f t="shared" si="44"/>
        <v>0.91233152088862668</v>
      </c>
      <c r="BS31" s="430">
        <f t="shared" si="44"/>
        <v>0.91486852272153429</v>
      </c>
      <c r="BT31" s="161">
        <f t="shared" si="44"/>
        <v>0.91237782181920823</v>
      </c>
      <c r="BU31" s="161">
        <f t="shared" si="44"/>
        <v>0.91955882022934077</v>
      </c>
      <c r="BV31" s="161">
        <f t="shared" si="44"/>
        <v>0.91600464848846708</v>
      </c>
      <c r="BW31" s="161">
        <f t="shared" si="44"/>
        <v>0.91188620141304477</v>
      </c>
      <c r="BX31" s="431">
        <f t="shared" si="44"/>
        <v>0.91505632935567749</v>
      </c>
      <c r="BY31" s="161">
        <f t="shared" si="44"/>
        <v>0.91147196371727546</v>
      </c>
      <c r="BZ31" s="161">
        <f t="shared" si="44"/>
        <v>0.91873926901906833</v>
      </c>
      <c r="CA31" s="161">
        <f t="shared" si="44"/>
        <v>0.9151660882950029</v>
      </c>
      <c r="CB31" s="161">
        <f t="shared" si="44"/>
        <v>0.91096183828002264</v>
      </c>
      <c r="CC31" s="431">
        <f t="shared" si="44"/>
        <v>0.91418606855750584</v>
      </c>
      <c r="CD31" s="431">
        <f t="shared" si="44"/>
        <v>0.91345524977378434</v>
      </c>
      <c r="CE31" s="431">
        <f t="shared" si="44"/>
        <v>0.91272290076911566</v>
      </c>
      <c r="CF31" s="431">
        <f t="shared" si="44"/>
        <v>0.91198909734833733</v>
      </c>
      <c r="CG31" s="236"/>
    </row>
    <row r="32" spans="1:85" ht="14.45" customHeight="1" x14ac:dyDescent="0.25">
      <c r="A32" s="79" t="s">
        <v>186</v>
      </c>
      <c r="B32" s="114"/>
      <c r="C32" s="426">
        <f t="shared" ref="C32:AH32" si="45">C22/C$25</f>
        <v>9.0890001704798246E-2</v>
      </c>
      <c r="D32" s="426">
        <f t="shared" si="45"/>
        <v>9.2966521171610431E-2</v>
      </c>
      <c r="E32" s="426">
        <f t="shared" si="45"/>
        <v>9.6253040053444733E-2</v>
      </c>
      <c r="F32" s="426">
        <f t="shared" si="45"/>
        <v>9.4399086242662286E-2</v>
      </c>
      <c r="G32" s="115">
        <f t="shared" si="45"/>
        <v>0.10462233184113717</v>
      </c>
      <c r="H32" s="115">
        <f t="shared" si="45"/>
        <v>0.10364843034274407</v>
      </c>
      <c r="I32" s="115">
        <f t="shared" si="45"/>
        <v>9.6739890992119021E-2</v>
      </c>
      <c r="J32" s="115">
        <f t="shared" si="45"/>
        <v>0.10106837552651661</v>
      </c>
      <c r="K32" s="426">
        <f t="shared" si="45"/>
        <v>0.10142743907231387</v>
      </c>
      <c r="L32" s="115">
        <f t="shared" si="45"/>
        <v>9.5529386332871835E-2</v>
      </c>
      <c r="M32" s="115">
        <f t="shared" si="45"/>
        <v>9.8521567099699003E-2</v>
      </c>
      <c r="N32" s="115">
        <f t="shared" si="45"/>
        <v>9.0218844772284312E-2</v>
      </c>
      <c r="O32" s="115">
        <f t="shared" si="45"/>
        <v>8.7750035176267172E-2</v>
      </c>
      <c r="P32" s="426">
        <f t="shared" si="45"/>
        <v>9.2962025780347707E-2</v>
      </c>
      <c r="Q32" s="115">
        <f t="shared" si="45"/>
        <v>8.3498619976039856E-2</v>
      </c>
      <c r="R32" s="115">
        <f t="shared" si="45"/>
        <v>7.9000069954757168E-2</v>
      </c>
      <c r="S32" s="115">
        <f t="shared" si="45"/>
        <v>7.5335403987679503E-2</v>
      </c>
      <c r="T32" s="115">
        <f t="shared" si="45"/>
        <v>7.3828979726197147E-2</v>
      </c>
      <c r="U32" s="426">
        <f t="shared" si="45"/>
        <v>7.7511491646498648E-2</v>
      </c>
      <c r="V32" s="115">
        <f t="shared" si="45"/>
        <v>8.027742958737305E-2</v>
      </c>
      <c r="W32" s="115">
        <f t="shared" si="45"/>
        <v>7.2639412459066327E-2</v>
      </c>
      <c r="X32" s="115">
        <f t="shared" si="45"/>
        <v>6.9117861837301009E-2</v>
      </c>
      <c r="Y32" s="115">
        <f t="shared" si="45"/>
        <v>8.1092257236560675E-2</v>
      </c>
      <c r="Z32" s="426">
        <f t="shared" si="45"/>
        <v>7.5459348351997885E-2</v>
      </c>
      <c r="AA32" s="115">
        <f t="shared" si="45"/>
        <v>7.4771688179073176E-2</v>
      </c>
      <c r="AB32" s="115">
        <f t="shared" si="45"/>
        <v>8.9770638788804508E-2</v>
      </c>
      <c r="AC32" s="115">
        <f t="shared" si="45"/>
        <v>8.9992825966903098E-2</v>
      </c>
      <c r="AD32" s="115">
        <f t="shared" si="45"/>
        <v>9.6566262546075143E-2</v>
      </c>
      <c r="AE32" s="426">
        <f t="shared" si="45"/>
        <v>8.8597228094294017E-2</v>
      </c>
      <c r="AF32" s="115">
        <f t="shared" si="45"/>
        <v>9.5546683421663336E-2</v>
      </c>
      <c r="AG32" s="115">
        <f t="shared" si="45"/>
        <v>8.7660440179245458E-2</v>
      </c>
      <c r="AH32" s="115">
        <f t="shared" si="45"/>
        <v>7.6525311183331363E-2</v>
      </c>
      <c r="AI32" s="115">
        <f t="shared" ref="AI32:BN32" si="46">AI22/AI$25</f>
        <v>7.6455408417072046E-2</v>
      </c>
      <c r="AJ32" s="426">
        <f t="shared" si="46"/>
        <v>8.3823889319845954E-2</v>
      </c>
      <c r="AK32" s="115">
        <f t="shared" si="46"/>
        <v>7.4052145592758092E-2</v>
      </c>
      <c r="AL32" s="115">
        <f t="shared" si="46"/>
        <v>7.009568495178066E-2</v>
      </c>
      <c r="AM32" s="115">
        <f t="shared" si="46"/>
        <v>6.5498112159518007E-2</v>
      </c>
      <c r="AN32" s="115">
        <f t="shared" si="46"/>
        <v>7.4524852220070562E-2</v>
      </c>
      <c r="AO32" s="426">
        <f t="shared" si="46"/>
        <v>7.087092661858399E-2</v>
      </c>
      <c r="AP32" s="115">
        <f t="shared" si="46"/>
        <v>7.2666218251847145E-2</v>
      </c>
      <c r="AQ32" s="115">
        <f t="shared" si="46"/>
        <v>6.511002554564603E-2</v>
      </c>
      <c r="AR32" s="115">
        <f t="shared" si="46"/>
        <v>6.387129991780105E-2</v>
      </c>
      <c r="AS32" s="115">
        <f t="shared" si="46"/>
        <v>6.223736682107589E-2</v>
      </c>
      <c r="AT32" s="426">
        <f t="shared" si="46"/>
        <v>6.581795546033567E-2</v>
      </c>
      <c r="AU32" s="115">
        <f t="shared" si="46"/>
        <v>6.4304878423318529E-2</v>
      </c>
      <c r="AV32" s="115">
        <f t="shared" si="46"/>
        <v>6.1750655578241637E-2</v>
      </c>
      <c r="AW32" s="115">
        <f t="shared" si="46"/>
        <v>6.1490347405573638E-2</v>
      </c>
      <c r="AX32" s="115">
        <f t="shared" si="46"/>
        <v>6.233514150287485E-2</v>
      </c>
      <c r="AY32" s="426">
        <f t="shared" si="46"/>
        <v>6.241287975617657E-2</v>
      </c>
      <c r="AZ32" s="115">
        <f t="shared" si="46"/>
        <v>6.0024580626877211E-2</v>
      </c>
      <c r="BA32" s="115">
        <f t="shared" si="46"/>
        <v>5.9025272455437046E-2</v>
      </c>
      <c r="BB32" s="115">
        <f t="shared" si="46"/>
        <v>5.1359796732017723E-2</v>
      </c>
      <c r="BC32" s="115">
        <f t="shared" si="46"/>
        <v>5.5785401148910042E-2</v>
      </c>
      <c r="BD32" s="426">
        <f t="shared" si="46"/>
        <v>5.6416614403228406E-2</v>
      </c>
      <c r="BE32" s="115">
        <f t="shared" si="46"/>
        <v>5.5002984140154046E-2</v>
      </c>
      <c r="BF32" s="115">
        <f t="shared" si="46"/>
        <v>5.3603223313120535E-2</v>
      </c>
      <c r="BG32" s="115">
        <f t="shared" si="46"/>
        <v>5.1219671717584625E-2</v>
      </c>
      <c r="BH32" s="115">
        <f t="shared" si="46"/>
        <v>5.30100137588016E-2</v>
      </c>
      <c r="BI32" s="426">
        <f t="shared" si="46"/>
        <v>5.3175015156620417E-2</v>
      </c>
      <c r="BJ32" s="115">
        <f t="shared" si="46"/>
        <v>4.9448174382675326E-2</v>
      </c>
      <c r="BK32" s="115">
        <f t="shared" si="46"/>
        <v>5.1445396652343642E-2</v>
      </c>
      <c r="BL32" s="115">
        <f t="shared" si="46"/>
        <v>5.0045535586854033E-2</v>
      </c>
      <c r="BM32" s="115">
        <f t="shared" si="46"/>
        <v>4.9314197864866481E-2</v>
      </c>
      <c r="BN32" s="426">
        <f t="shared" si="46"/>
        <v>5.0086989087666796E-2</v>
      </c>
      <c r="BO32" s="115">
        <f t="shared" ref="BO32:CF32" si="47">BO22/BO$25</f>
        <v>5.4390665180569092E-2</v>
      </c>
      <c r="BP32" s="115">
        <f t="shared" si="47"/>
        <v>5.1399635358085803E-2</v>
      </c>
      <c r="BQ32" s="115">
        <f t="shared" si="47"/>
        <v>5.1697887589848529E-2</v>
      </c>
      <c r="BR32" s="115">
        <f t="shared" si="47"/>
        <v>5.4996686345538004E-2</v>
      </c>
      <c r="BS32" s="427">
        <f t="shared" si="47"/>
        <v>5.3079009498405869E-2</v>
      </c>
      <c r="BT32" s="160">
        <f t="shared" si="47"/>
        <v>5.4969591147401631E-2</v>
      </c>
      <c r="BU32" s="160">
        <f t="shared" si="47"/>
        <v>5.1322317545352894E-2</v>
      </c>
      <c r="BV32" s="160">
        <f t="shared" si="47"/>
        <v>5.0650092996268284E-2</v>
      </c>
      <c r="BW32" s="160">
        <f t="shared" si="47"/>
        <v>5.5264791255126872E-2</v>
      </c>
      <c r="BX32" s="428">
        <f t="shared" si="47"/>
        <v>5.2961913091339657E-2</v>
      </c>
      <c r="BY32" s="160">
        <f t="shared" si="47"/>
        <v>5.5537879342635349E-2</v>
      </c>
      <c r="BZ32" s="160">
        <f t="shared" si="47"/>
        <v>5.1845199825028457E-2</v>
      </c>
      <c r="CA32" s="160">
        <f t="shared" si="47"/>
        <v>5.1155753738411795E-2</v>
      </c>
      <c r="CB32" s="160">
        <f t="shared" si="47"/>
        <v>5.584454989009234E-2</v>
      </c>
      <c r="CC32" s="428">
        <f t="shared" si="47"/>
        <v>5.3504515929314031E-2</v>
      </c>
      <c r="CD32" s="428">
        <f t="shared" si="47"/>
        <v>5.3960177435526155E-2</v>
      </c>
      <c r="CE32" s="428">
        <f t="shared" si="47"/>
        <v>5.4416793026112062E-2</v>
      </c>
      <c r="CF32" s="428">
        <f t="shared" si="47"/>
        <v>5.4874315437170973E-2</v>
      </c>
      <c r="CG32" s="115"/>
    </row>
    <row r="33" spans="1:85" ht="14.45" customHeight="1" x14ac:dyDescent="0.25">
      <c r="A33" s="79" t="s">
        <v>187</v>
      </c>
      <c r="B33" s="114"/>
      <c r="C33" s="426">
        <f t="shared" ref="C33:AH33" si="48">C23/C$25</f>
        <v>7.1655580858026341E-2</v>
      </c>
      <c r="D33" s="426">
        <f t="shared" si="48"/>
        <v>8.5038350084741907E-2</v>
      </c>
      <c r="E33" s="426">
        <f t="shared" si="48"/>
        <v>8.9142661693693281E-2</v>
      </c>
      <c r="F33" s="426">
        <f t="shared" si="48"/>
        <v>9.6049820587165893E-2</v>
      </c>
      <c r="G33" s="115">
        <f t="shared" si="48"/>
        <v>9.4712306837943322E-2</v>
      </c>
      <c r="H33" s="115">
        <f t="shared" si="48"/>
        <v>0.10310528021185188</v>
      </c>
      <c r="I33" s="115">
        <f t="shared" si="48"/>
        <v>0.10402012594829491</v>
      </c>
      <c r="J33" s="115">
        <f t="shared" si="48"/>
        <v>9.7353279048123784E-2</v>
      </c>
      <c r="K33" s="426">
        <f t="shared" si="48"/>
        <v>0.1000042039052452</v>
      </c>
      <c r="L33" s="115">
        <f t="shared" si="48"/>
        <v>0.10123989273821228</v>
      </c>
      <c r="M33" s="115">
        <f t="shared" si="48"/>
        <v>0.10271767873193854</v>
      </c>
      <c r="N33" s="115">
        <f t="shared" si="48"/>
        <v>0.1049104606752375</v>
      </c>
      <c r="O33" s="115">
        <f t="shared" si="48"/>
        <v>0.10333198680095687</v>
      </c>
      <c r="P33" s="426">
        <f t="shared" si="48"/>
        <v>0.1031185276422108</v>
      </c>
      <c r="Q33" s="115">
        <f t="shared" si="48"/>
        <v>0.10369484592490286</v>
      </c>
      <c r="R33" s="115">
        <f t="shared" si="48"/>
        <v>9.4624383625380892E-2</v>
      </c>
      <c r="S33" s="115">
        <f t="shared" si="48"/>
        <v>0.10320035681619116</v>
      </c>
      <c r="T33" s="115">
        <f t="shared" si="48"/>
        <v>9.2093797804155469E-2</v>
      </c>
      <c r="U33" s="426">
        <f t="shared" si="48"/>
        <v>9.8027798468474175E-2</v>
      </c>
      <c r="V33" s="115">
        <f t="shared" si="48"/>
        <v>9.0151825228313429E-2</v>
      </c>
      <c r="W33" s="115">
        <f t="shared" si="48"/>
        <v>8.1045093671464466E-2</v>
      </c>
      <c r="X33" s="115">
        <f t="shared" si="48"/>
        <v>8.6085500124848641E-2</v>
      </c>
      <c r="Y33" s="115">
        <f t="shared" si="48"/>
        <v>7.6024288226626727E-2</v>
      </c>
      <c r="Z33" s="426">
        <f t="shared" si="48"/>
        <v>8.2866772186788354E-2</v>
      </c>
      <c r="AA33" s="115">
        <f t="shared" si="48"/>
        <v>7.5261464106586323E-2</v>
      </c>
      <c r="AB33" s="115">
        <f t="shared" si="48"/>
        <v>7.5041200180280196E-2</v>
      </c>
      <c r="AC33" s="115">
        <f t="shared" si="48"/>
        <v>7.8021480809891561E-2</v>
      </c>
      <c r="AD33" s="115">
        <f t="shared" si="48"/>
        <v>7.5844315450264543E-2</v>
      </c>
      <c r="AE33" s="426">
        <f t="shared" si="48"/>
        <v>7.6095805690908735E-2</v>
      </c>
      <c r="AF33" s="115">
        <f t="shared" si="48"/>
        <v>7.7013816297990992E-2</v>
      </c>
      <c r="AG33" s="115">
        <f t="shared" si="48"/>
        <v>6.7890816661926243E-2</v>
      </c>
      <c r="AH33" s="115">
        <f t="shared" si="48"/>
        <v>7.5906557378410733E-2</v>
      </c>
      <c r="AI33" s="115">
        <f t="shared" ref="AI33:BN33" si="49">AI23/AI$25</f>
        <v>0.10093694102700143</v>
      </c>
      <c r="AJ33" s="426">
        <f t="shared" si="49"/>
        <v>8.0197796324786547E-2</v>
      </c>
      <c r="AK33" s="115">
        <f t="shared" si="49"/>
        <v>8.3026569662856167E-2</v>
      </c>
      <c r="AL33" s="115">
        <f t="shared" si="49"/>
        <v>7.1688733012525332E-2</v>
      </c>
      <c r="AM33" s="115">
        <f t="shared" si="49"/>
        <v>7.219504826404434E-2</v>
      </c>
      <c r="AN33" s="115">
        <f t="shared" si="49"/>
        <v>5.8038982178194302E-2</v>
      </c>
      <c r="AO33" s="426">
        <f t="shared" si="49"/>
        <v>7.1078735552047634E-2</v>
      </c>
      <c r="AP33" s="115">
        <f t="shared" si="49"/>
        <v>7.1090798885953446E-2</v>
      </c>
      <c r="AQ33" s="115">
        <f t="shared" si="49"/>
        <v>4.5716520740049615E-2</v>
      </c>
      <c r="AR33" s="115">
        <f t="shared" si="49"/>
        <v>5.6577271536578544E-2</v>
      </c>
      <c r="AS33" s="115">
        <f t="shared" si="49"/>
        <v>4.7380922028691493E-2</v>
      </c>
      <c r="AT33" s="426">
        <f t="shared" si="49"/>
        <v>5.4967121377604997E-2</v>
      </c>
      <c r="AU33" s="115">
        <f t="shared" si="49"/>
        <v>5.8245928478560971E-2</v>
      </c>
      <c r="AV33" s="115">
        <f t="shared" si="49"/>
        <v>6.3442808038038187E-2</v>
      </c>
      <c r="AW33" s="115">
        <f t="shared" si="49"/>
        <v>6.1982308608566294E-2</v>
      </c>
      <c r="AX33" s="115">
        <f t="shared" si="49"/>
        <v>5.5808189032751747E-2</v>
      </c>
      <c r="AY33" s="426">
        <f t="shared" si="49"/>
        <v>5.9949154315681159E-2</v>
      </c>
      <c r="AZ33" s="115">
        <f t="shared" si="49"/>
        <v>5.4505332685825136E-2</v>
      </c>
      <c r="BA33" s="115">
        <f t="shared" si="49"/>
        <v>5.1110978770886689E-2</v>
      </c>
      <c r="BB33" s="115">
        <f t="shared" si="49"/>
        <v>4.8784561359557263E-2</v>
      </c>
      <c r="BC33" s="115">
        <f t="shared" si="49"/>
        <v>4.5917617998531272E-2</v>
      </c>
      <c r="BD33" s="426">
        <f t="shared" si="49"/>
        <v>4.9951483295239761E-2</v>
      </c>
      <c r="BE33" s="115">
        <f t="shared" si="49"/>
        <v>3.4999700949707377E-2</v>
      </c>
      <c r="BF33" s="115">
        <f t="shared" si="49"/>
        <v>3.8845615907689764E-2</v>
      </c>
      <c r="BG33" s="115">
        <f t="shared" si="49"/>
        <v>4.1520577799475364E-2</v>
      </c>
      <c r="BH33" s="115">
        <f t="shared" si="49"/>
        <v>3.9616642018546165E-2</v>
      </c>
      <c r="BI33" s="426">
        <f t="shared" si="49"/>
        <v>3.8814624538125099E-2</v>
      </c>
      <c r="BJ33" s="115">
        <f t="shared" si="49"/>
        <v>3.0967702211449174E-2</v>
      </c>
      <c r="BK33" s="115">
        <f t="shared" si="49"/>
        <v>3.1844551859385291E-2</v>
      </c>
      <c r="BL33" s="115">
        <f t="shared" si="49"/>
        <v>3.2323470310117737E-2</v>
      </c>
      <c r="BM33" s="115">
        <f t="shared" si="49"/>
        <v>3.2786810154051375E-2</v>
      </c>
      <c r="BN33" s="426">
        <f t="shared" si="49"/>
        <v>3.2003346224685189E-2</v>
      </c>
      <c r="BO33" s="115">
        <f t="shared" ref="BO33:CF33" si="50">BO23/BO$25</f>
        <v>3.2308698164593537E-2</v>
      </c>
      <c r="BP33" s="115">
        <f t="shared" si="50"/>
        <v>2.9162730211870644E-2</v>
      </c>
      <c r="BQ33" s="115">
        <f t="shared" si="50"/>
        <v>3.4035069323635814E-2</v>
      </c>
      <c r="BR33" s="115">
        <f t="shared" si="50"/>
        <v>3.2689647639323152E-2</v>
      </c>
      <c r="BS33" s="427">
        <f t="shared" si="50"/>
        <v>3.2052467780059782E-2</v>
      </c>
      <c r="BT33" s="160">
        <f t="shared" si="50"/>
        <v>3.2652587033390093E-2</v>
      </c>
      <c r="BU33" s="160">
        <f t="shared" si="50"/>
        <v>2.9118862225306276E-2</v>
      </c>
      <c r="BV33" s="160">
        <f t="shared" si="50"/>
        <v>3.334525851526466E-2</v>
      </c>
      <c r="BW33" s="160">
        <f t="shared" si="50"/>
        <v>3.2849007331828405E-2</v>
      </c>
      <c r="BX33" s="428">
        <f t="shared" si="50"/>
        <v>3.198175755298286E-2</v>
      </c>
      <c r="BY33" s="160">
        <f t="shared" si="50"/>
        <v>3.2990156940089214E-2</v>
      </c>
      <c r="BZ33" s="160">
        <f t="shared" si="50"/>
        <v>2.9415531155903032E-2</v>
      </c>
      <c r="CA33" s="160">
        <f t="shared" si="50"/>
        <v>3.3678157966585284E-2</v>
      </c>
      <c r="CB33" s="160">
        <f t="shared" si="50"/>
        <v>3.3193611829884923E-2</v>
      </c>
      <c r="CC33" s="428">
        <f t="shared" si="50"/>
        <v>3.2309415513180194E-2</v>
      </c>
      <c r="CD33" s="428">
        <f t="shared" si="50"/>
        <v>3.2584572790689603E-2</v>
      </c>
      <c r="CE33" s="428">
        <f t="shared" si="50"/>
        <v>3.2860306204772385E-2</v>
      </c>
      <c r="CF33" s="428">
        <f t="shared" si="50"/>
        <v>3.3136587214491711E-2</v>
      </c>
      <c r="CG33" s="115"/>
    </row>
    <row r="34" spans="1:85" ht="14.45" customHeight="1" x14ac:dyDescent="0.25">
      <c r="A34" s="118" t="s">
        <v>188</v>
      </c>
      <c r="B34" s="119"/>
      <c r="C34" s="432">
        <f t="shared" ref="C34:AH34" si="51">C24/C$25</f>
        <v>0.16254558256282459</v>
      </c>
      <c r="D34" s="432">
        <f t="shared" si="51"/>
        <v>0.17800487125635234</v>
      </c>
      <c r="E34" s="432">
        <f t="shared" si="51"/>
        <v>0.18539570174713801</v>
      </c>
      <c r="F34" s="432">
        <f t="shared" si="51"/>
        <v>0.19044890682982818</v>
      </c>
      <c r="G34" s="120">
        <f t="shared" si="51"/>
        <v>0.19933463867908049</v>
      </c>
      <c r="H34" s="120">
        <f t="shared" si="51"/>
        <v>0.20675371055459593</v>
      </c>
      <c r="I34" s="120">
        <f t="shared" si="51"/>
        <v>0.20076001694041393</v>
      </c>
      <c r="J34" s="120">
        <f t="shared" si="51"/>
        <v>0.19842165457464039</v>
      </c>
      <c r="K34" s="432">
        <f t="shared" si="51"/>
        <v>0.20143164297755906</v>
      </c>
      <c r="L34" s="120">
        <f t="shared" si="51"/>
        <v>0.19676927907108413</v>
      </c>
      <c r="M34" s="120">
        <f t="shared" si="51"/>
        <v>0.20123924583163755</v>
      </c>
      <c r="N34" s="120">
        <f t="shared" si="51"/>
        <v>0.19512930544752183</v>
      </c>
      <c r="O34" s="120">
        <f t="shared" si="51"/>
        <v>0.19108202197722404</v>
      </c>
      <c r="P34" s="432">
        <f t="shared" si="51"/>
        <v>0.19608055342255848</v>
      </c>
      <c r="Q34" s="120">
        <f t="shared" si="51"/>
        <v>0.18719346590094274</v>
      </c>
      <c r="R34" s="120">
        <f t="shared" si="51"/>
        <v>0.17362445358013806</v>
      </c>
      <c r="S34" s="120">
        <f t="shared" si="51"/>
        <v>0.17853576080387068</v>
      </c>
      <c r="T34" s="120">
        <f t="shared" si="51"/>
        <v>0.16592277753035262</v>
      </c>
      <c r="U34" s="432">
        <f t="shared" si="51"/>
        <v>0.17553929011497282</v>
      </c>
      <c r="V34" s="120">
        <f t="shared" si="51"/>
        <v>0.17042925481568647</v>
      </c>
      <c r="W34" s="120">
        <f t="shared" si="51"/>
        <v>0.15368450613053081</v>
      </c>
      <c r="X34" s="120">
        <f t="shared" si="51"/>
        <v>0.15520336196214965</v>
      </c>
      <c r="Y34" s="120">
        <f t="shared" si="51"/>
        <v>0.1571165454631874</v>
      </c>
      <c r="Z34" s="432">
        <f t="shared" si="51"/>
        <v>0.15832612053878625</v>
      </c>
      <c r="AA34" s="120">
        <f t="shared" si="51"/>
        <v>0.15003315228565953</v>
      </c>
      <c r="AB34" s="120">
        <f t="shared" si="51"/>
        <v>0.16481183896908472</v>
      </c>
      <c r="AC34" s="120">
        <f t="shared" si="51"/>
        <v>0.16801430677679466</v>
      </c>
      <c r="AD34" s="120">
        <f t="shared" si="51"/>
        <v>0.17241057799633969</v>
      </c>
      <c r="AE34" s="432">
        <f t="shared" si="51"/>
        <v>0.16469303378520275</v>
      </c>
      <c r="AF34" s="120">
        <f t="shared" si="51"/>
        <v>0.17256049971965434</v>
      </c>
      <c r="AG34" s="120">
        <f t="shared" si="51"/>
        <v>0.15555125684117171</v>
      </c>
      <c r="AH34" s="120">
        <f t="shared" si="51"/>
        <v>0.1524318685617421</v>
      </c>
      <c r="AI34" s="120">
        <f t="shared" ref="AI34:BN34" si="52">AI24/AI$25</f>
        <v>0.17739234944407348</v>
      </c>
      <c r="AJ34" s="432">
        <f t="shared" si="52"/>
        <v>0.16402168564463251</v>
      </c>
      <c r="AK34" s="120">
        <f t="shared" si="52"/>
        <v>0.15707871525561426</v>
      </c>
      <c r="AL34" s="120">
        <f t="shared" si="52"/>
        <v>0.14178441796430599</v>
      </c>
      <c r="AM34" s="120">
        <f t="shared" si="52"/>
        <v>0.13769316042356236</v>
      </c>
      <c r="AN34" s="120">
        <f t="shared" si="52"/>
        <v>0.13256383439826486</v>
      </c>
      <c r="AO34" s="432">
        <f t="shared" si="52"/>
        <v>0.1419496621706316</v>
      </c>
      <c r="AP34" s="120">
        <f t="shared" si="52"/>
        <v>0.14375701713780056</v>
      </c>
      <c r="AQ34" s="120">
        <f t="shared" si="52"/>
        <v>0.11082654628569563</v>
      </c>
      <c r="AR34" s="120">
        <f t="shared" si="52"/>
        <v>0.12044857145437959</v>
      </c>
      <c r="AS34" s="120">
        <f t="shared" si="52"/>
        <v>0.10961828884976738</v>
      </c>
      <c r="AT34" s="432">
        <f t="shared" si="52"/>
        <v>0.12078507683794067</v>
      </c>
      <c r="AU34" s="120">
        <f t="shared" si="52"/>
        <v>0.12255080690187951</v>
      </c>
      <c r="AV34" s="120">
        <f t="shared" si="52"/>
        <v>0.12519346361627984</v>
      </c>
      <c r="AW34" s="120">
        <f t="shared" si="52"/>
        <v>0.12347265601413993</v>
      </c>
      <c r="AX34" s="120">
        <f t="shared" si="52"/>
        <v>0.11814333053562659</v>
      </c>
      <c r="AY34" s="432">
        <f t="shared" si="52"/>
        <v>0.12236203407185772</v>
      </c>
      <c r="AZ34" s="120">
        <f t="shared" si="52"/>
        <v>0.11452991331270235</v>
      </c>
      <c r="BA34" s="120">
        <f t="shared" si="52"/>
        <v>0.11013625122632373</v>
      </c>
      <c r="BB34" s="120">
        <f t="shared" si="52"/>
        <v>0.10014435809157497</v>
      </c>
      <c r="BC34" s="120">
        <f t="shared" si="52"/>
        <v>0.10170301914744131</v>
      </c>
      <c r="BD34" s="432">
        <f t="shared" si="52"/>
        <v>0.10636809769846818</v>
      </c>
      <c r="BE34" s="120">
        <f t="shared" si="52"/>
        <v>9.0002685089861423E-2</v>
      </c>
      <c r="BF34" s="120">
        <f t="shared" si="52"/>
        <v>9.2448839220810292E-2</v>
      </c>
      <c r="BG34" s="120">
        <f t="shared" si="52"/>
        <v>9.2740249517059975E-2</v>
      </c>
      <c r="BH34" s="120">
        <f t="shared" si="52"/>
        <v>9.2626655777347758E-2</v>
      </c>
      <c r="BI34" s="432">
        <f t="shared" si="52"/>
        <v>9.1989639694745509E-2</v>
      </c>
      <c r="BJ34" s="120">
        <f t="shared" si="52"/>
        <v>8.0415876594124497E-2</v>
      </c>
      <c r="BK34" s="120">
        <f t="shared" si="52"/>
        <v>8.328994851172894E-2</v>
      </c>
      <c r="BL34" s="120">
        <f t="shared" si="52"/>
        <v>8.236900589697177E-2</v>
      </c>
      <c r="BM34" s="120">
        <f t="shared" si="52"/>
        <v>8.2101008018917856E-2</v>
      </c>
      <c r="BN34" s="432">
        <f t="shared" si="52"/>
        <v>8.2090335312351978E-2</v>
      </c>
      <c r="BO34" s="120">
        <f t="shared" ref="BO34:CF34" si="53">BO24/BO$25</f>
        <v>8.6699363345162636E-2</v>
      </c>
      <c r="BP34" s="120">
        <f t="shared" si="53"/>
        <v>8.0562365569956454E-2</v>
      </c>
      <c r="BQ34" s="120">
        <f t="shared" si="53"/>
        <v>8.5732956913484343E-2</v>
      </c>
      <c r="BR34" s="120">
        <f t="shared" si="53"/>
        <v>8.7686333984861156E-2</v>
      </c>
      <c r="BS34" s="433">
        <f t="shared" si="53"/>
        <v>8.5131477278465664E-2</v>
      </c>
      <c r="BT34" s="434">
        <f t="shared" si="53"/>
        <v>8.7622178180791724E-2</v>
      </c>
      <c r="BU34" s="434">
        <f t="shared" si="53"/>
        <v>8.0441179770659177E-2</v>
      </c>
      <c r="BV34" s="434">
        <f t="shared" si="53"/>
        <v>8.3995351511532951E-2</v>
      </c>
      <c r="BW34" s="434">
        <f t="shared" si="53"/>
        <v>8.8113798586955269E-2</v>
      </c>
      <c r="BX34" s="435">
        <f t="shared" si="53"/>
        <v>8.4943670644322511E-2</v>
      </c>
      <c r="BY34" s="434">
        <f t="shared" si="53"/>
        <v>8.852803628272457E-2</v>
      </c>
      <c r="BZ34" s="434">
        <f t="shared" si="53"/>
        <v>8.1260730980931492E-2</v>
      </c>
      <c r="CA34" s="434">
        <f t="shared" si="53"/>
        <v>8.4833911704997086E-2</v>
      </c>
      <c r="CB34" s="434">
        <f t="shared" si="53"/>
        <v>8.9038161719977263E-2</v>
      </c>
      <c r="CC34" s="435">
        <f t="shared" si="53"/>
        <v>8.5813931442494218E-2</v>
      </c>
      <c r="CD34" s="435">
        <f t="shared" si="53"/>
        <v>8.6544750226215744E-2</v>
      </c>
      <c r="CE34" s="435">
        <f t="shared" si="53"/>
        <v>8.7277099230884447E-2</v>
      </c>
      <c r="CF34" s="435">
        <f t="shared" si="53"/>
        <v>8.8010902651662684E-2</v>
      </c>
      <c r="CG34" s="236"/>
    </row>
    <row r="35" spans="1:85" ht="14.45" customHeight="1" x14ac:dyDescent="0.25">
      <c r="A35" s="91" t="s">
        <v>189</v>
      </c>
      <c r="B35" s="116"/>
      <c r="C35" s="429">
        <f t="shared" ref="C35:AH35" si="54">C31+C34</f>
        <v>1</v>
      </c>
      <c r="D35" s="429">
        <f t="shared" si="54"/>
        <v>1</v>
      </c>
      <c r="E35" s="429">
        <f t="shared" si="54"/>
        <v>1</v>
      </c>
      <c r="F35" s="429">
        <f t="shared" si="54"/>
        <v>0.99999999999999989</v>
      </c>
      <c r="G35" s="117">
        <f t="shared" si="54"/>
        <v>1</v>
      </c>
      <c r="H35" s="117">
        <f t="shared" si="54"/>
        <v>1</v>
      </c>
      <c r="I35" s="117">
        <f t="shared" si="54"/>
        <v>0.99999999999999989</v>
      </c>
      <c r="J35" s="117">
        <f t="shared" si="54"/>
        <v>0.99999999999999978</v>
      </c>
      <c r="K35" s="429">
        <f t="shared" si="54"/>
        <v>1</v>
      </c>
      <c r="L35" s="117">
        <f t="shared" si="54"/>
        <v>1.0000000000000002</v>
      </c>
      <c r="M35" s="117">
        <f t="shared" si="54"/>
        <v>1</v>
      </c>
      <c r="N35" s="117">
        <f t="shared" si="54"/>
        <v>1</v>
      </c>
      <c r="O35" s="117">
        <f t="shared" si="54"/>
        <v>1</v>
      </c>
      <c r="P35" s="429">
        <f t="shared" si="54"/>
        <v>1</v>
      </c>
      <c r="Q35" s="117">
        <f t="shared" si="54"/>
        <v>0.99999999999999989</v>
      </c>
      <c r="R35" s="117">
        <f t="shared" si="54"/>
        <v>1</v>
      </c>
      <c r="S35" s="117">
        <f t="shared" si="54"/>
        <v>1</v>
      </c>
      <c r="T35" s="117">
        <f t="shared" si="54"/>
        <v>1</v>
      </c>
      <c r="U35" s="429">
        <f t="shared" si="54"/>
        <v>0.99999999999999989</v>
      </c>
      <c r="V35" s="117">
        <f t="shared" si="54"/>
        <v>1</v>
      </c>
      <c r="W35" s="117">
        <f t="shared" si="54"/>
        <v>1</v>
      </c>
      <c r="X35" s="117">
        <f t="shared" si="54"/>
        <v>1</v>
      </c>
      <c r="Y35" s="117">
        <f t="shared" si="54"/>
        <v>1</v>
      </c>
      <c r="Z35" s="429">
        <f t="shared" si="54"/>
        <v>1</v>
      </c>
      <c r="AA35" s="117">
        <f t="shared" si="54"/>
        <v>1</v>
      </c>
      <c r="AB35" s="117">
        <f t="shared" si="54"/>
        <v>1.0000000000000002</v>
      </c>
      <c r="AC35" s="117">
        <f t="shared" si="54"/>
        <v>0.99999999999999989</v>
      </c>
      <c r="AD35" s="117">
        <f t="shared" si="54"/>
        <v>1</v>
      </c>
      <c r="AE35" s="429">
        <f t="shared" si="54"/>
        <v>1.0000000000000002</v>
      </c>
      <c r="AF35" s="117">
        <f t="shared" si="54"/>
        <v>1</v>
      </c>
      <c r="AG35" s="117">
        <f t="shared" si="54"/>
        <v>1</v>
      </c>
      <c r="AH35" s="117">
        <f t="shared" si="54"/>
        <v>1.0000000000000002</v>
      </c>
      <c r="AI35" s="117">
        <f t="shared" ref="AI35:BN35" si="55">AI31+AI34</f>
        <v>1</v>
      </c>
      <c r="AJ35" s="429">
        <f t="shared" si="55"/>
        <v>0.99999999999999989</v>
      </c>
      <c r="AK35" s="117">
        <f t="shared" si="55"/>
        <v>1.0000000000000002</v>
      </c>
      <c r="AL35" s="117">
        <f t="shared" si="55"/>
        <v>1</v>
      </c>
      <c r="AM35" s="117">
        <f t="shared" si="55"/>
        <v>1</v>
      </c>
      <c r="AN35" s="117">
        <f t="shared" si="55"/>
        <v>1</v>
      </c>
      <c r="AO35" s="429">
        <f t="shared" si="55"/>
        <v>0.99999999999999978</v>
      </c>
      <c r="AP35" s="117">
        <f t="shared" si="55"/>
        <v>0.99999999999999989</v>
      </c>
      <c r="AQ35" s="117">
        <f t="shared" si="55"/>
        <v>1</v>
      </c>
      <c r="AR35" s="117">
        <f t="shared" si="55"/>
        <v>1</v>
      </c>
      <c r="AS35" s="117">
        <f t="shared" si="55"/>
        <v>1</v>
      </c>
      <c r="AT35" s="429">
        <f t="shared" si="55"/>
        <v>1</v>
      </c>
      <c r="AU35" s="117">
        <f t="shared" si="55"/>
        <v>1</v>
      </c>
      <c r="AV35" s="117">
        <f t="shared" si="55"/>
        <v>0.99999999999999989</v>
      </c>
      <c r="AW35" s="117">
        <f t="shared" si="55"/>
        <v>1</v>
      </c>
      <c r="AX35" s="117">
        <f t="shared" si="55"/>
        <v>1</v>
      </c>
      <c r="AY35" s="429">
        <f t="shared" si="55"/>
        <v>1</v>
      </c>
      <c r="AZ35" s="117">
        <f t="shared" si="55"/>
        <v>1.0000000000000002</v>
      </c>
      <c r="BA35" s="117">
        <f t="shared" si="55"/>
        <v>1</v>
      </c>
      <c r="BB35" s="117">
        <f t="shared" si="55"/>
        <v>1.0000000000000002</v>
      </c>
      <c r="BC35" s="117">
        <f t="shared" si="55"/>
        <v>1.0023925559275049</v>
      </c>
      <c r="BD35" s="429">
        <f t="shared" si="55"/>
        <v>1</v>
      </c>
      <c r="BE35" s="117">
        <f t="shared" si="55"/>
        <v>1</v>
      </c>
      <c r="BF35" s="117">
        <f t="shared" si="55"/>
        <v>1</v>
      </c>
      <c r="BG35" s="117">
        <f t="shared" si="55"/>
        <v>1</v>
      </c>
      <c r="BH35" s="117">
        <f t="shared" si="55"/>
        <v>1.0090830163413358</v>
      </c>
      <c r="BI35" s="429">
        <f t="shared" si="55"/>
        <v>1</v>
      </c>
      <c r="BJ35" s="117">
        <f t="shared" si="55"/>
        <v>1</v>
      </c>
      <c r="BK35" s="117">
        <f t="shared" si="55"/>
        <v>1</v>
      </c>
      <c r="BL35" s="117">
        <f t="shared" si="55"/>
        <v>1</v>
      </c>
      <c r="BM35" s="117">
        <f t="shared" si="55"/>
        <v>1.0066956962373208</v>
      </c>
      <c r="BN35" s="429">
        <f t="shared" si="55"/>
        <v>1</v>
      </c>
      <c r="BO35" s="117">
        <f t="shared" ref="BO35:CF35" si="56">BO31+BO34</f>
        <v>1.0000000000000002</v>
      </c>
      <c r="BP35" s="117">
        <f t="shared" si="56"/>
        <v>1.0000000000000002</v>
      </c>
      <c r="BQ35" s="117">
        <f t="shared" si="56"/>
        <v>1</v>
      </c>
      <c r="BR35" s="117">
        <f t="shared" si="56"/>
        <v>1.0000178548734879</v>
      </c>
      <c r="BS35" s="430">
        <f t="shared" si="56"/>
        <v>1</v>
      </c>
      <c r="BT35" s="161">
        <f t="shared" si="56"/>
        <v>1</v>
      </c>
      <c r="BU35" s="161">
        <f t="shared" si="56"/>
        <v>1</v>
      </c>
      <c r="BV35" s="161">
        <f t="shared" si="56"/>
        <v>1</v>
      </c>
      <c r="BW35" s="161">
        <f t="shared" si="56"/>
        <v>1</v>
      </c>
      <c r="BX35" s="431">
        <f t="shared" si="56"/>
        <v>1</v>
      </c>
      <c r="BY35" s="161">
        <f t="shared" si="56"/>
        <v>1</v>
      </c>
      <c r="BZ35" s="161">
        <f t="shared" si="56"/>
        <v>0.99999999999999978</v>
      </c>
      <c r="CA35" s="161">
        <f t="shared" si="56"/>
        <v>1</v>
      </c>
      <c r="CB35" s="161">
        <f t="shared" si="56"/>
        <v>0.99999999999999989</v>
      </c>
      <c r="CC35" s="431">
        <f t="shared" si="56"/>
        <v>1</v>
      </c>
      <c r="CD35" s="431">
        <f t="shared" si="56"/>
        <v>1</v>
      </c>
      <c r="CE35" s="431">
        <f t="shared" si="56"/>
        <v>1</v>
      </c>
      <c r="CF35" s="431">
        <f t="shared" si="56"/>
        <v>1</v>
      </c>
      <c r="CG35" s="236"/>
    </row>
    <row r="36" spans="1:85" ht="14.45" customHeight="1" x14ac:dyDescent="0.25">
      <c r="A36" s="92"/>
      <c r="B36" s="89"/>
      <c r="C36" s="406"/>
      <c r="D36" s="406"/>
      <c r="E36" s="406"/>
      <c r="F36" s="406"/>
      <c r="G36" s="90"/>
      <c r="H36" s="90"/>
      <c r="I36" s="90"/>
      <c r="J36" s="90"/>
      <c r="K36" s="406"/>
      <c r="L36" s="90"/>
      <c r="M36" s="90"/>
      <c r="N36" s="90"/>
      <c r="O36" s="90"/>
      <c r="P36" s="406"/>
      <c r="Q36" s="90"/>
      <c r="R36" s="90"/>
      <c r="S36" s="90"/>
      <c r="T36" s="90"/>
      <c r="U36" s="406"/>
      <c r="V36" s="90"/>
      <c r="W36" s="90"/>
      <c r="X36" s="90"/>
      <c r="Y36" s="90"/>
      <c r="Z36" s="406"/>
      <c r="AA36" s="90"/>
      <c r="AB36" s="90"/>
      <c r="AC36" s="90"/>
      <c r="AD36" s="90"/>
      <c r="AE36" s="406"/>
      <c r="AF36" s="90"/>
      <c r="AG36" s="90"/>
      <c r="AH36" s="90"/>
      <c r="AI36" s="90"/>
      <c r="AJ36" s="406"/>
      <c r="AK36" s="90"/>
      <c r="AL36" s="90"/>
      <c r="AM36" s="90"/>
      <c r="AN36" s="90"/>
      <c r="AO36" s="406"/>
      <c r="AP36" s="90"/>
      <c r="AQ36" s="90"/>
      <c r="AR36" s="90"/>
      <c r="AS36" s="90"/>
      <c r="AT36" s="406"/>
      <c r="AU36" s="90"/>
      <c r="AV36" s="90"/>
      <c r="AW36" s="90"/>
      <c r="AX36" s="90"/>
      <c r="AY36" s="406"/>
      <c r="AZ36" s="90"/>
      <c r="BA36" s="90"/>
      <c r="BB36" s="90"/>
      <c r="BC36" s="90"/>
      <c r="BD36" s="406"/>
      <c r="BE36" s="90"/>
      <c r="BF36" s="90"/>
      <c r="BG36" s="90"/>
      <c r="BH36" s="90"/>
      <c r="BI36" s="406"/>
      <c r="BJ36" s="90"/>
      <c r="BK36" s="90"/>
      <c r="BL36" s="90"/>
      <c r="BM36" s="90"/>
      <c r="BN36" s="406"/>
      <c r="BO36" s="90"/>
      <c r="BP36" s="90"/>
      <c r="BQ36" s="90"/>
      <c r="BR36" s="90"/>
      <c r="BS36" s="407"/>
      <c r="BT36" s="90"/>
      <c r="BU36" s="90"/>
      <c r="BV36" s="90"/>
      <c r="BW36" s="90"/>
      <c r="BX36" s="406"/>
      <c r="BY36" s="90"/>
      <c r="BZ36" s="90"/>
      <c r="CA36" s="90"/>
      <c r="CB36" s="90"/>
      <c r="CC36" s="406"/>
      <c r="CD36" s="406"/>
      <c r="CE36" s="406"/>
      <c r="CF36" s="406"/>
      <c r="CG36" s="236"/>
    </row>
    <row r="37" spans="1:85" ht="14.45" customHeight="1" x14ac:dyDescent="0.25">
      <c r="A37" s="95" t="s">
        <v>190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121" t="s">
        <v>121</v>
      </c>
      <c r="BA37" s="121" t="s">
        <v>121</v>
      </c>
      <c r="BB37" s="121" t="s">
        <v>121</v>
      </c>
      <c r="BC37" s="121" t="s">
        <v>121</v>
      </c>
      <c r="BD37" s="121" t="s">
        <v>121</v>
      </c>
      <c r="BE37" s="95"/>
      <c r="BF37" s="121"/>
      <c r="BG37" s="121"/>
      <c r="BH37" s="121"/>
      <c r="BI37" s="121"/>
      <c r="BJ37" s="95"/>
      <c r="BK37" s="121"/>
      <c r="BL37" s="121"/>
      <c r="BM37" s="121"/>
      <c r="BN37" s="121"/>
      <c r="BO37" s="95"/>
      <c r="BP37" s="121"/>
      <c r="BQ37" s="121"/>
      <c r="BR37" s="121"/>
      <c r="BS37" s="436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109"/>
    </row>
    <row r="38" spans="1:85" ht="14.45" customHeight="1" x14ac:dyDescent="0.25">
      <c r="A38" s="122" t="s">
        <v>191</v>
      </c>
      <c r="B38" s="80"/>
      <c r="C38" s="394"/>
      <c r="D38" s="394"/>
      <c r="E38" s="394"/>
      <c r="F38" s="394"/>
      <c r="G38" s="123"/>
      <c r="H38" s="123"/>
      <c r="I38" s="123"/>
      <c r="J38" s="123"/>
      <c r="K38" s="394"/>
      <c r="L38" s="123"/>
      <c r="M38" s="123"/>
      <c r="N38" s="123"/>
      <c r="O38" s="123"/>
      <c r="P38" s="394"/>
      <c r="Q38" s="123"/>
      <c r="R38" s="123"/>
      <c r="S38" s="123"/>
      <c r="T38" s="123"/>
      <c r="U38" s="394"/>
      <c r="V38" s="123"/>
      <c r="W38" s="123"/>
      <c r="X38" s="123"/>
      <c r="Y38" s="123"/>
      <c r="Z38" s="394"/>
      <c r="AA38" s="123"/>
      <c r="AB38" s="123"/>
      <c r="AC38" s="123"/>
      <c r="AD38" s="123"/>
      <c r="AE38" s="394"/>
      <c r="AF38" s="123">
        <f t="shared" ref="AF38:AO40" si="57">AF42/AA42-1</f>
        <v>0.20637211939990729</v>
      </c>
      <c r="AG38" s="123">
        <f t="shared" si="57"/>
        <v>5.4064218733098413E-2</v>
      </c>
      <c r="AH38" s="123">
        <f t="shared" si="57"/>
        <v>4.0274798785279176E-2</v>
      </c>
      <c r="AI38" s="123">
        <f t="shared" si="57"/>
        <v>3.7033227034255711E-2</v>
      </c>
      <c r="AJ38" s="394">
        <f t="shared" si="57"/>
        <v>7.7541496318519254E-2</v>
      </c>
      <c r="AK38" s="123">
        <f t="shared" si="57"/>
        <v>9.5263532763534275E-3</v>
      </c>
      <c r="AL38" s="123">
        <f t="shared" si="57"/>
        <v>-2.704439353776289E-3</v>
      </c>
      <c r="AM38" s="123">
        <f t="shared" si="57"/>
        <v>4.344142654458949E-2</v>
      </c>
      <c r="AN38" s="123">
        <f t="shared" si="57"/>
        <v>-3.2563222028553107E-2</v>
      </c>
      <c r="AO38" s="394">
        <f t="shared" si="57"/>
        <v>3.5120921514748549E-3</v>
      </c>
      <c r="AP38" s="123">
        <f t="shared" ref="AP38:AY40" si="58">AP42/AK42-1</f>
        <v>3.5029544051503603E-2</v>
      </c>
      <c r="AQ38" s="123">
        <f t="shared" si="58"/>
        <v>3.8357422153271425E-2</v>
      </c>
      <c r="AR38" s="123">
        <f t="shared" si="58"/>
        <v>3.5563011728799721E-2</v>
      </c>
      <c r="AS38" s="123">
        <f t="shared" si="58"/>
        <v>6.6405499803066759E-2</v>
      </c>
      <c r="AT38" s="394">
        <f t="shared" si="58"/>
        <v>4.397582615404394E-2</v>
      </c>
      <c r="AU38" s="123">
        <f t="shared" si="58"/>
        <v>4.1064399038871269E-2</v>
      </c>
      <c r="AV38" s="123">
        <f t="shared" si="58"/>
        <v>-6.0983046713003475E-4</v>
      </c>
      <c r="AW38" s="123">
        <f t="shared" si="58"/>
        <v>-6.3761955366630207E-3</v>
      </c>
      <c r="AX38" s="123">
        <f t="shared" si="58"/>
        <v>-1.9069843396828046E-2</v>
      </c>
      <c r="AY38" s="394">
        <f t="shared" si="58"/>
        <v>2.8233867376619148E-3</v>
      </c>
      <c r="AZ38" s="123" t="str">
        <f t="shared" ref="AZ38:BD40" si="59">"NMF"</f>
        <v>NMF</v>
      </c>
      <c r="BA38" s="123" t="str">
        <f t="shared" si="59"/>
        <v>NMF</v>
      </c>
      <c r="BB38" s="123" t="str">
        <f t="shared" si="59"/>
        <v>NMF</v>
      </c>
      <c r="BC38" s="123" t="str">
        <f t="shared" si="59"/>
        <v>NMF</v>
      </c>
      <c r="BD38" s="394" t="str">
        <f t="shared" si="59"/>
        <v>NMF</v>
      </c>
      <c r="BE38" s="123">
        <f t="shared" ref="BE38:BS40" si="60">BE42/AZ42-1</f>
        <v>-8.6977608924095895E-3</v>
      </c>
      <c r="BF38" s="123">
        <f t="shared" si="60"/>
        <v>-2.0936670896297138E-2</v>
      </c>
      <c r="BG38" s="123">
        <f t="shared" si="60"/>
        <v>1.7691353917803632E-3</v>
      </c>
      <c r="BH38" s="123">
        <f t="shared" si="60"/>
        <v>1.4986497314300795E-2</v>
      </c>
      <c r="BI38" s="394">
        <f t="shared" si="60"/>
        <v>-3.2598636372220824E-3</v>
      </c>
      <c r="BJ38" s="123">
        <f t="shared" si="60"/>
        <v>7.6324673418464162E-3</v>
      </c>
      <c r="BK38" s="123">
        <f t="shared" si="60"/>
        <v>-3.5051546391752231E-3</v>
      </c>
      <c r="BL38" s="123">
        <f t="shared" si="60"/>
        <v>7.9998792471056568E-3</v>
      </c>
      <c r="BM38" s="123">
        <f t="shared" si="60"/>
        <v>3.0027483772878449E-2</v>
      </c>
      <c r="BN38" s="394">
        <f t="shared" si="60"/>
        <v>1.0664261460101798E-2</v>
      </c>
      <c r="BO38" s="123">
        <f t="shared" si="60"/>
        <v>-5.1080359310512247E-2</v>
      </c>
      <c r="BP38" s="123">
        <f t="shared" si="60"/>
        <v>-2.5863852679496313E-3</v>
      </c>
      <c r="BQ38" s="123">
        <f t="shared" si="60"/>
        <v>1.3686527605156984E-2</v>
      </c>
      <c r="BR38" s="123">
        <f t="shared" si="60"/>
        <v>3.5198274149139674E-2</v>
      </c>
      <c r="BS38" s="437">
        <f t="shared" si="60"/>
        <v>2.3623287311691499E-4</v>
      </c>
      <c r="BT38" s="144">
        <v>5.0000000000000001E-3</v>
      </c>
      <c r="BU38" s="144">
        <v>5.0000000000000001E-3</v>
      </c>
      <c r="BV38" s="144">
        <v>5.0000000000000001E-3</v>
      </c>
      <c r="BW38" s="144">
        <v>5.0000000000000001E-3</v>
      </c>
      <c r="BX38" s="394">
        <f>BX42/BS42-1</f>
        <v>5.0000000000001155E-3</v>
      </c>
      <c r="BY38" s="144">
        <v>5.0000000000000001E-3</v>
      </c>
      <c r="BZ38" s="144">
        <v>5.0000000000000001E-3</v>
      </c>
      <c r="CA38" s="144">
        <v>5.0000000000000001E-3</v>
      </c>
      <c r="CB38" s="144">
        <v>5.0000000000000001E-3</v>
      </c>
      <c r="CC38" s="394">
        <f>CC42/BX42-1</f>
        <v>4.9999999999998934E-3</v>
      </c>
      <c r="CD38" s="400">
        <v>4.9999999999998934E-3</v>
      </c>
      <c r="CE38" s="400">
        <v>4.9999999999998934E-3</v>
      </c>
      <c r="CF38" s="400">
        <v>4.9999999999998934E-3</v>
      </c>
      <c r="CG38" s="115"/>
    </row>
    <row r="39" spans="1:85" ht="14.45" customHeight="1" x14ac:dyDescent="0.25">
      <c r="A39" s="122" t="s">
        <v>193</v>
      </c>
      <c r="B39" s="80"/>
      <c r="C39" s="394"/>
      <c r="D39" s="394"/>
      <c r="E39" s="394"/>
      <c r="F39" s="394"/>
      <c r="G39" s="123"/>
      <c r="H39" s="123"/>
      <c r="I39" s="123"/>
      <c r="J39" s="123"/>
      <c r="K39" s="394"/>
      <c r="L39" s="123"/>
      <c r="M39" s="123"/>
      <c r="N39" s="123"/>
      <c r="O39" s="123"/>
      <c r="P39" s="394"/>
      <c r="Q39" s="123"/>
      <c r="R39" s="123"/>
      <c r="S39" s="123"/>
      <c r="T39" s="123"/>
      <c r="U39" s="394"/>
      <c r="V39" s="123"/>
      <c r="W39" s="123"/>
      <c r="X39" s="123"/>
      <c r="Y39" s="123"/>
      <c r="Z39" s="394"/>
      <c r="AA39" s="123"/>
      <c r="AB39" s="123"/>
      <c r="AC39" s="123"/>
      <c r="AD39" s="123"/>
      <c r="AE39" s="394"/>
      <c r="AF39" s="123">
        <f t="shared" si="57"/>
        <v>0.17122141662018975</v>
      </c>
      <c r="AG39" s="123">
        <f t="shared" si="57"/>
        <v>-5.8038967210517822E-2</v>
      </c>
      <c r="AH39" s="123">
        <f t="shared" si="57"/>
        <v>-7.8426841667436853E-2</v>
      </c>
      <c r="AI39" s="123">
        <f t="shared" si="57"/>
        <v>-0.12095549399982852</v>
      </c>
      <c r="AJ39" s="394">
        <f t="shared" si="57"/>
        <v>-3.520691785052521E-2</v>
      </c>
      <c r="AK39" s="123">
        <f t="shared" si="57"/>
        <v>-1.5338827838827895E-2</v>
      </c>
      <c r="AL39" s="123">
        <f t="shared" si="57"/>
        <v>2.1349267742164502E-2</v>
      </c>
      <c r="AM39" s="123">
        <f t="shared" si="57"/>
        <v>4.822798684691243E-2</v>
      </c>
      <c r="AN39" s="123">
        <f t="shared" si="57"/>
        <v>0.15823349510307017</v>
      </c>
      <c r="AO39" s="394">
        <f t="shared" si="57"/>
        <v>4.8492911868605715E-2</v>
      </c>
      <c r="AP39" s="123">
        <f t="shared" si="58"/>
        <v>0.13085328993257384</v>
      </c>
      <c r="AQ39" s="123">
        <f t="shared" si="58"/>
        <v>-6.6700815923310675E-2</v>
      </c>
      <c r="AR39" s="123">
        <f t="shared" si="58"/>
        <v>4.5062500427148988E-2</v>
      </c>
      <c r="AS39" s="123">
        <f t="shared" si="58"/>
        <v>0.11665880006055862</v>
      </c>
      <c r="AT39" s="394">
        <f t="shared" si="58"/>
        <v>4.9022649705243726E-2</v>
      </c>
      <c r="AU39" s="123">
        <f t="shared" si="58"/>
        <v>6.1281302685143313E-2</v>
      </c>
      <c r="AV39" s="123">
        <f t="shared" si="58"/>
        <v>0.20934608750195993</v>
      </c>
      <c r="AW39" s="123">
        <f t="shared" si="58"/>
        <v>-6.3761955366630207E-3</v>
      </c>
      <c r="AX39" s="123">
        <f t="shared" si="58"/>
        <v>-4.5658094641861657E-3</v>
      </c>
      <c r="AY39" s="394">
        <f t="shared" si="58"/>
        <v>6.181603076012987E-2</v>
      </c>
      <c r="AZ39" s="123" t="str">
        <f t="shared" si="59"/>
        <v>NMF</v>
      </c>
      <c r="BA39" s="123" t="str">
        <f t="shared" si="59"/>
        <v>NMF</v>
      </c>
      <c r="BB39" s="123" t="str">
        <f t="shared" si="59"/>
        <v>NMF</v>
      </c>
      <c r="BC39" s="123" t="str">
        <f t="shared" si="59"/>
        <v>NMF</v>
      </c>
      <c r="BD39" s="394" t="str">
        <f t="shared" si="59"/>
        <v>NMF</v>
      </c>
      <c r="BE39" s="123">
        <f t="shared" si="60"/>
        <v>-8.9057318806253005E-2</v>
      </c>
      <c r="BF39" s="123">
        <f t="shared" si="60"/>
        <v>-8.8741868716735617E-2</v>
      </c>
      <c r="BG39" s="123">
        <f t="shared" si="60"/>
        <v>-5.4097085940682077E-2</v>
      </c>
      <c r="BH39" s="123">
        <f t="shared" si="60"/>
        <v>-1.5367836605191254E-3</v>
      </c>
      <c r="BI39" s="394">
        <f t="shared" si="60"/>
        <v>-6.1166064685601707E-2</v>
      </c>
      <c r="BJ39" s="123">
        <f t="shared" si="60"/>
        <v>-3.9096109298917381E-2</v>
      </c>
      <c r="BK39" s="123">
        <f t="shared" si="60"/>
        <v>-3.5043601703508398E-2</v>
      </c>
      <c r="BL39" s="123">
        <f t="shared" si="60"/>
        <v>-9.6610036796367371E-2</v>
      </c>
      <c r="BM39" s="123">
        <f t="shared" si="60"/>
        <v>-4.5628320341592365E-2</v>
      </c>
      <c r="BN39" s="394">
        <f t="shared" si="60"/>
        <v>-5.5500300562872362E-2</v>
      </c>
      <c r="BO39" s="123">
        <f t="shared" si="60"/>
        <v>-0.10961330315851625</v>
      </c>
      <c r="BP39" s="123">
        <f t="shared" si="60"/>
        <v>-2.4042705224664784E-2</v>
      </c>
      <c r="BQ39" s="123">
        <f t="shared" si="60"/>
        <v>8.8569200103995271E-2</v>
      </c>
      <c r="BR39" s="123">
        <f t="shared" si="60"/>
        <v>8.5214857975237646E-2</v>
      </c>
      <c r="BS39" s="437">
        <f t="shared" si="60"/>
        <v>1.0206325144358264E-2</v>
      </c>
      <c r="BT39" s="144">
        <v>1.4999999999999999E-2</v>
      </c>
      <c r="BU39" s="144">
        <v>1.4999999999999999E-2</v>
      </c>
      <c r="BV39" s="144">
        <v>1.4999999999999999E-2</v>
      </c>
      <c r="BW39" s="144">
        <v>1.4999999999999999E-2</v>
      </c>
      <c r="BX39" s="394">
        <f>BX43/BS43-1</f>
        <v>1.4999999999999902E-2</v>
      </c>
      <c r="BY39" s="144">
        <v>1.4999999999999999E-2</v>
      </c>
      <c r="BZ39" s="144">
        <v>1.4999999999999999E-2</v>
      </c>
      <c r="CA39" s="144">
        <v>1.4999999999999999E-2</v>
      </c>
      <c r="CB39" s="144">
        <v>1.4999999999999999E-2</v>
      </c>
      <c r="CC39" s="394">
        <f>CC43/BX43-1</f>
        <v>1.4999999999999902E-2</v>
      </c>
      <c r="CD39" s="400">
        <v>0.02</v>
      </c>
      <c r="CE39" s="400">
        <v>0.02</v>
      </c>
      <c r="CF39" s="400">
        <v>0.02</v>
      </c>
      <c r="CG39" s="115"/>
    </row>
    <row r="40" spans="1:85" ht="14.45" customHeight="1" x14ac:dyDescent="0.25">
      <c r="A40" s="91" t="s">
        <v>194</v>
      </c>
      <c r="B40" s="83"/>
      <c r="C40" s="397"/>
      <c r="D40" s="397"/>
      <c r="E40" s="397"/>
      <c r="F40" s="397"/>
      <c r="G40" s="124"/>
      <c r="H40" s="124"/>
      <c r="I40" s="124"/>
      <c r="J40" s="124"/>
      <c r="K40" s="397"/>
      <c r="L40" s="124"/>
      <c r="M40" s="124"/>
      <c r="N40" s="124"/>
      <c r="O40" s="124"/>
      <c r="P40" s="397"/>
      <c r="Q40" s="124"/>
      <c r="R40" s="124"/>
      <c r="S40" s="124"/>
      <c r="T40" s="124"/>
      <c r="U40" s="397"/>
      <c r="V40" s="124"/>
      <c r="W40" s="124"/>
      <c r="X40" s="124"/>
      <c r="Y40" s="124"/>
      <c r="Z40" s="397"/>
      <c r="AA40" s="124"/>
      <c r="AB40" s="124"/>
      <c r="AC40" s="124"/>
      <c r="AD40" s="124"/>
      <c r="AE40" s="397"/>
      <c r="AF40" s="84">
        <f t="shared" si="57"/>
        <v>0.19631901840490795</v>
      </c>
      <c r="AG40" s="84">
        <f t="shared" si="57"/>
        <v>1.8079096045197751E-2</v>
      </c>
      <c r="AH40" s="84">
        <f t="shared" si="57"/>
        <v>-1.1520737327188613E-3</v>
      </c>
      <c r="AI40" s="84">
        <f t="shared" si="57"/>
        <v>-4.8019207683075438E-3</v>
      </c>
      <c r="AJ40" s="398">
        <f t="shared" si="57"/>
        <v>4.2927733168622639E-2</v>
      </c>
      <c r="AK40" s="84">
        <f t="shared" si="57"/>
        <v>2.564102564102555E-3</v>
      </c>
      <c r="AL40" s="84">
        <f t="shared" si="57"/>
        <v>4.4395116537181423E-3</v>
      </c>
      <c r="AM40" s="84">
        <f t="shared" si="57"/>
        <v>4.4982698961937517E-2</v>
      </c>
      <c r="AN40" s="84">
        <f t="shared" si="57"/>
        <v>1.2062726176116589E-2</v>
      </c>
      <c r="AO40" s="398">
        <f t="shared" si="57"/>
        <v>1.6286644951140072E-2</v>
      </c>
      <c r="AP40" s="84">
        <f t="shared" si="58"/>
        <v>6.13810741687979E-2</v>
      </c>
      <c r="AQ40" s="84">
        <f t="shared" si="58"/>
        <v>6.6298342541435407E-3</v>
      </c>
      <c r="AR40" s="84">
        <f t="shared" si="58"/>
        <v>3.8631346578366532E-2</v>
      </c>
      <c r="AS40" s="84">
        <f t="shared" si="58"/>
        <v>7.9856972586412223E-2</v>
      </c>
      <c r="AT40" s="398">
        <f t="shared" si="58"/>
        <v>4.5454545454545414E-2</v>
      </c>
      <c r="AU40" s="84">
        <f t="shared" si="58"/>
        <v>4.6987951807228923E-2</v>
      </c>
      <c r="AV40" s="84">
        <f t="shared" si="58"/>
        <v>5.8177826564215218E-2</v>
      </c>
      <c r="AW40" s="84">
        <f t="shared" si="58"/>
        <v>-6.3761955366630207E-3</v>
      </c>
      <c r="AX40" s="84">
        <f t="shared" si="58"/>
        <v>-1.5055187637969425E-2</v>
      </c>
      <c r="AY40" s="398">
        <f t="shared" si="58"/>
        <v>2.0167224080267498E-2</v>
      </c>
      <c r="AZ40" s="84" t="str">
        <f t="shared" si="59"/>
        <v>NMF</v>
      </c>
      <c r="BA40" s="84" t="str">
        <f t="shared" si="59"/>
        <v>NMF</v>
      </c>
      <c r="BB40" s="84" t="str">
        <f t="shared" si="59"/>
        <v>NMF</v>
      </c>
      <c r="BC40" s="84" t="str">
        <f t="shared" si="59"/>
        <v>NMF</v>
      </c>
      <c r="BD40" s="398" t="str">
        <f t="shared" si="59"/>
        <v>NMF</v>
      </c>
      <c r="BE40" s="84">
        <f t="shared" si="60"/>
        <v>-3.063143542244573E-2</v>
      </c>
      <c r="BF40" s="84">
        <f t="shared" si="60"/>
        <v>-3.9965563023815376E-2</v>
      </c>
      <c r="BG40" s="84">
        <f t="shared" si="60"/>
        <v>-1.4429735562212165E-2</v>
      </c>
      <c r="BH40" s="84">
        <f t="shared" si="60"/>
        <v>1.1180138409884854E-2</v>
      </c>
      <c r="BI40" s="398">
        <f t="shared" si="60"/>
        <v>-1.8840887818858065E-2</v>
      </c>
      <c r="BJ40" s="84">
        <f t="shared" si="60"/>
        <v>-4.3530980962775967E-3</v>
      </c>
      <c r="BK40" s="84">
        <f t="shared" si="60"/>
        <v>-1.1906434012209033E-2</v>
      </c>
      <c r="BL40" s="84">
        <f t="shared" si="60"/>
        <v>-2.1111801039249478E-2</v>
      </c>
      <c r="BM40" s="84">
        <f t="shared" si="60"/>
        <v>1.281834095657497E-2</v>
      </c>
      <c r="BN40" s="398">
        <f t="shared" si="60"/>
        <v>-6.3708785565347315E-3</v>
      </c>
      <c r="BO40" s="84">
        <f t="shared" si="60"/>
        <v>-6.5569777496315762E-2</v>
      </c>
      <c r="BP40" s="84">
        <f t="shared" si="60"/>
        <v>-8.1681300777449728E-3</v>
      </c>
      <c r="BQ40" s="84">
        <f t="shared" si="60"/>
        <v>3.2918238573765413E-2</v>
      </c>
      <c r="BR40" s="84">
        <f t="shared" si="60"/>
        <v>4.5918822479929178E-2</v>
      </c>
      <c r="BS40" s="399">
        <f t="shared" si="60"/>
        <v>2.6762729288622999E-3</v>
      </c>
      <c r="BT40" s="124">
        <f>BT44/BO44-1</f>
        <v>7.3587524600204901E-3</v>
      </c>
      <c r="BU40" s="124">
        <f>BU44/BP44-1</f>
        <v>7.5598086124402109E-3</v>
      </c>
      <c r="BV40" s="124">
        <f>BV44/BQ44-1</f>
        <v>7.7066162448686804E-3</v>
      </c>
      <c r="BW40" s="124">
        <f>BW44/BR44-1</f>
        <v>7.2239280155232954E-3</v>
      </c>
      <c r="BX40" s="397">
        <f>BX44/BS44-1</f>
        <v>7.4657391088215341E-3</v>
      </c>
      <c r="BY40" s="124">
        <f>BY44/BT44-1</f>
        <v>7.3766446075680392E-3</v>
      </c>
      <c r="BZ40" s="124">
        <f>BZ44/BU44-1</f>
        <v>7.5787111786491668E-3</v>
      </c>
      <c r="CA40" s="124">
        <f>CA44/BV44-1</f>
        <v>7.7262056676565827E-3</v>
      </c>
      <c r="CB40" s="124">
        <f>CB44/BW44-1</f>
        <v>7.2410974093943814E-3</v>
      </c>
      <c r="CC40" s="397">
        <f>CC44/BX44-1</f>
        <v>7.4841789634132461E-3</v>
      </c>
      <c r="CD40" s="397">
        <f>CD44/CC44-1</f>
        <v>8.7540663672636132E-3</v>
      </c>
      <c r="CE40" s="397">
        <f>CE44/CD44-1</f>
        <v>8.7959179767158613E-3</v>
      </c>
      <c r="CF40" s="397">
        <f>CF44/CE44-1</f>
        <v>8.8380769264169157E-3</v>
      </c>
      <c r="CG40" s="236"/>
    </row>
    <row r="41" spans="1:85" ht="14.45" customHeight="1" x14ac:dyDescent="0.25">
      <c r="A41" s="92"/>
      <c r="B41" s="89"/>
      <c r="C41" s="406"/>
      <c r="D41" s="406"/>
      <c r="E41" s="406"/>
      <c r="F41" s="406"/>
      <c r="G41" s="90"/>
      <c r="H41" s="90"/>
      <c r="I41" s="90"/>
      <c r="J41" s="90"/>
      <c r="K41" s="406"/>
      <c r="L41" s="90"/>
      <c r="M41" s="90"/>
      <c r="N41" s="90"/>
      <c r="O41" s="90"/>
      <c r="P41" s="406"/>
      <c r="Q41" s="90"/>
      <c r="R41" s="90"/>
      <c r="S41" s="90"/>
      <c r="T41" s="90"/>
      <c r="U41" s="406"/>
      <c r="V41" s="90"/>
      <c r="W41" s="90"/>
      <c r="X41" s="90"/>
      <c r="Y41" s="90"/>
      <c r="Z41" s="406"/>
      <c r="AA41" s="90"/>
      <c r="AB41" s="90"/>
      <c r="AC41" s="90"/>
      <c r="AD41" s="90"/>
      <c r="AE41" s="406"/>
      <c r="AF41" s="90"/>
      <c r="AG41" s="90"/>
      <c r="AH41" s="90"/>
      <c r="AI41" s="90"/>
      <c r="AJ41" s="406"/>
      <c r="AK41" s="90"/>
      <c r="AL41" s="90"/>
      <c r="AM41" s="90"/>
      <c r="AN41" s="90"/>
      <c r="AO41" s="406"/>
      <c r="AP41" s="90"/>
      <c r="AQ41" s="90"/>
      <c r="AR41" s="90"/>
      <c r="AS41" s="90"/>
      <c r="AT41" s="406"/>
      <c r="AU41" s="90"/>
      <c r="AV41" s="90"/>
      <c r="AW41" s="90"/>
      <c r="AX41" s="90"/>
      <c r="AY41" s="406"/>
      <c r="AZ41" s="90"/>
      <c r="BA41" s="90"/>
      <c r="BB41" s="90"/>
      <c r="BC41" s="90"/>
      <c r="BD41" s="406"/>
      <c r="BE41" s="90"/>
      <c r="BF41" s="90"/>
      <c r="BG41" s="90"/>
      <c r="BH41" s="90"/>
      <c r="BI41" s="406"/>
      <c r="BJ41" s="90"/>
      <c r="BK41" s="90"/>
      <c r="BL41" s="90"/>
      <c r="BM41" s="90"/>
      <c r="BN41" s="406"/>
      <c r="BO41" s="90"/>
      <c r="BP41" s="90"/>
      <c r="BQ41" s="90"/>
      <c r="BR41" s="90"/>
      <c r="BS41" s="407"/>
      <c r="BT41" s="90"/>
      <c r="BU41" s="90"/>
      <c r="BV41" s="90"/>
      <c r="BW41" s="90"/>
      <c r="BX41" s="406"/>
      <c r="BY41" s="90"/>
      <c r="BZ41" s="90"/>
      <c r="CA41" s="90"/>
      <c r="CB41" s="90"/>
      <c r="CC41" s="406"/>
      <c r="CD41" s="406"/>
      <c r="CE41" s="406"/>
      <c r="CF41" s="406"/>
      <c r="CG41" s="236"/>
    </row>
    <row r="42" spans="1:85" ht="14.45" customHeight="1" x14ac:dyDescent="0.25">
      <c r="A42" s="125" t="s">
        <v>195</v>
      </c>
      <c r="B42" s="126"/>
      <c r="C42" s="438"/>
      <c r="D42" s="438"/>
      <c r="E42" s="438"/>
      <c r="F42" s="438"/>
      <c r="G42" s="127"/>
      <c r="H42" s="127"/>
      <c r="I42" s="127"/>
      <c r="J42" s="127"/>
      <c r="K42" s="438"/>
      <c r="L42" s="127"/>
      <c r="M42" s="127"/>
      <c r="N42" s="127"/>
      <c r="O42" s="127"/>
      <c r="P42" s="438"/>
      <c r="Q42" s="127"/>
      <c r="R42" s="127"/>
      <c r="S42" s="127"/>
      <c r="T42" s="127"/>
      <c r="U42" s="438"/>
      <c r="V42" s="127"/>
      <c r="W42" s="127"/>
      <c r="X42" s="127"/>
      <c r="Y42" s="127"/>
      <c r="Z42" s="438"/>
      <c r="AA42" s="128">
        <f t="shared" ref="AA42:AC43" si="61">AA$44*AA49</f>
        <v>46.552799999999998</v>
      </c>
      <c r="AB42" s="128">
        <f t="shared" si="61"/>
        <v>60.091500000000003</v>
      </c>
      <c r="AC42" s="128">
        <f t="shared" si="61"/>
        <v>56.506799999999998</v>
      </c>
      <c r="AD42" s="128">
        <f>AE42-SUM(AA42,AB42,AC42)</f>
        <v>61.2423</v>
      </c>
      <c r="AE42" s="439">
        <f t="shared" ref="AE42:AH43" si="62">AE$44*AE49</f>
        <v>224.39339999999999</v>
      </c>
      <c r="AF42" s="128">
        <f t="shared" si="62"/>
        <v>56.16</v>
      </c>
      <c r="AG42" s="128">
        <f t="shared" si="62"/>
        <v>63.340299999999992</v>
      </c>
      <c r="AH42" s="128">
        <f t="shared" si="62"/>
        <v>58.782600000000009</v>
      </c>
      <c r="AI42" s="128">
        <f>AJ42-SUM(AF42,AG42,AH42)</f>
        <v>63.510300000000001</v>
      </c>
      <c r="AJ42" s="439">
        <f t="shared" ref="AJ42:AM43" si="63">AJ$44*AJ49</f>
        <v>241.79319999999998</v>
      </c>
      <c r="AK42" s="128">
        <f t="shared" si="63"/>
        <v>56.695</v>
      </c>
      <c r="AL42" s="128">
        <f t="shared" si="63"/>
        <v>63.168999999999997</v>
      </c>
      <c r="AM42" s="128">
        <f t="shared" si="63"/>
        <v>61.336199999999998</v>
      </c>
      <c r="AN42" s="128">
        <f>AO42-SUM(AK42,AL42,AM42)</f>
        <v>61.442199999999985</v>
      </c>
      <c r="AO42" s="439">
        <f t="shared" ref="AO42:AR43" si="64">AO$44*AO49</f>
        <v>242.64239999999998</v>
      </c>
      <c r="AP42" s="128">
        <f t="shared" si="64"/>
        <v>58.680999999999997</v>
      </c>
      <c r="AQ42" s="128">
        <f t="shared" si="64"/>
        <v>65.591999999999999</v>
      </c>
      <c r="AR42" s="128">
        <f t="shared" si="64"/>
        <v>63.517499999999998</v>
      </c>
      <c r="AS42" s="128">
        <f>AT42-SUM(AP42,AQ42,AR42)</f>
        <v>65.522299999999973</v>
      </c>
      <c r="AT42" s="439">
        <f t="shared" ref="AT42:AW43" si="65">AT$44*AT49</f>
        <v>253.31279999999998</v>
      </c>
      <c r="AU42" s="128">
        <f t="shared" si="65"/>
        <v>61.090699999999998</v>
      </c>
      <c r="AV42" s="128">
        <f t="shared" si="65"/>
        <v>65.552000000000007</v>
      </c>
      <c r="AW42" s="128">
        <f t="shared" si="65"/>
        <v>63.112500000000004</v>
      </c>
      <c r="AX42" s="128">
        <f>AY42-SUM(AU42,AV42,AW42)</f>
        <v>64.272799999999989</v>
      </c>
      <c r="AY42" s="411">
        <v>254.02799999999999</v>
      </c>
      <c r="AZ42" s="129">
        <v>61.854999999999997</v>
      </c>
      <c r="BA42" s="129">
        <v>69.352000000000004</v>
      </c>
      <c r="BB42" s="129">
        <v>66.134</v>
      </c>
      <c r="BC42" s="128">
        <f>BD42-SUM(AZ42,BA42,BB42)</f>
        <v>67.394000000000005</v>
      </c>
      <c r="BD42" s="411">
        <v>264.73500000000001</v>
      </c>
      <c r="BE42" s="129">
        <v>61.317</v>
      </c>
      <c r="BF42" s="129">
        <v>67.900000000000006</v>
      </c>
      <c r="BG42" s="129">
        <v>66.251000000000005</v>
      </c>
      <c r="BH42" s="128">
        <f>BI42-SUM(BE42,BF42,BG42)</f>
        <v>68.403999999999996</v>
      </c>
      <c r="BI42" s="411">
        <v>263.87200000000001</v>
      </c>
      <c r="BJ42" s="129">
        <v>61.784999999999997</v>
      </c>
      <c r="BK42" s="129">
        <v>67.662000000000006</v>
      </c>
      <c r="BL42" s="129">
        <v>66.781000000000006</v>
      </c>
      <c r="BM42" s="128">
        <f>BN42-SUM(BJ42,BK42,BL42)</f>
        <v>70.45799999999997</v>
      </c>
      <c r="BN42" s="411">
        <v>266.68599999999998</v>
      </c>
      <c r="BO42" s="129">
        <v>58.628999999999998</v>
      </c>
      <c r="BP42" s="129">
        <v>67.486999999999995</v>
      </c>
      <c r="BQ42" s="129">
        <v>67.694999999999993</v>
      </c>
      <c r="BR42" s="128">
        <f>BS42-SUM(BO42,BP42,BQ42)</f>
        <v>72.938000000000045</v>
      </c>
      <c r="BS42" s="412">
        <v>266.74900000000002</v>
      </c>
      <c r="BT42" s="127">
        <f t="shared" ref="BT42:BW43" si="66">BO42*(1+BT38)</f>
        <v>58.922144999999993</v>
      </c>
      <c r="BU42" s="127">
        <f t="shared" si="66"/>
        <v>67.824434999999994</v>
      </c>
      <c r="BV42" s="127">
        <f t="shared" si="66"/>
        <v>68.033474999999981</v>
      </c>
      <c r="BW42" s="127">
        <f t="shared" si="66"/>
        <v>73.302690000000041</v>
      </c>
      <c r="BX42" s="438">
        <f>SUM(BT42,BU42,BV42,BW42)</f>
        <v>268.08274500000005</v>
      </c>
      <c r="BY42" s="127">
        <f t="shared" ref="BY42:CB43" si="67">BT42*(1+BY38)</f>
        <v>59.216755724999985</v>
      </c>
      <c r="BZ42" s="127">
        <f t="shared" si="67"/>
        <v>68.16355717499998</v>
      </c>
      <c r="CA42" s="127">
        <f t="shared" si="67"/>
        <v>68.373642374999974</v>
      </c>
      <c r="CB42" s="127">
        <f t="shared" si="67"/>
        <v>73.66920345000004</v>
      </c>
      <c r="CC42" s="438">
        <f>SUM(BY42,BZ42,CA42,CB42)</f>
        <v>269.42315872500001</v>
      </c>
      <c r="CD42" s="438">
        <f t="shared" ref="CD42:CF43" si="68">CC42*(1+CD38)</f>
        <v>270.770274518625</v>
      </c>
      <c r="CE42" s="438">
        <f t="shared" si="68"/>
        <v>272.12412589121811</v>
      </c>
      <c r="CF42" s="438">
        <f t="shared" si="68"/>
        <v>273.48474652067415</v>
      </c>
      <c r="CG42" s="99"/>
    </row>
    <row r="43" spans="1:85" ht="14.45" customHeight="1" x14ac:dyDescent="0.25">
      <c r="A43" s="130" t="s">
        <v>196</v>
      </c>
      <c r="B43" s="131"/>
      <c r="C43" s="440"/>
      <c r="D43" s="440"/>
      <c r="E43" s="440"/>
      <c r="F43" s="440"/>
      <c r="G43" s="132"/>
      <c r="H43" s="132"/>
      <c r="I43" s="132"/>
      <c r="J43" s="132"/>
      <c r="K43" s="440"/>
      <c r="L43" s="132"/>
      <c r="M43" s="132"/>
      <c r="N43" s="132"/>
      <c r="O43" s="132"/>
      <c r="P43" s="440"/>
      <c r="Q43" s="132"/>
      <c r="R43" s="132"/>
      <c r="S43" s="132"/>
      <c r="T43" s="132"/>
      <c r="U43" s="440"/>
      <c r="V43" s="132"/>
      <c r="W43" s="132"/>
      <c r="X43" s="132"/>
      <c r="Y43" s="132"/>
      <c r="Z43" s="440"/>
      <c r="AA43" s="133">
        <f t="shared" si="61"/>
        <v>18.647200000000002</v>
      </c>
      <c r="AB43" s="133">
        <f t="shared" si="61"/>
        <v>28.408499999999997</v>
      </c>
      <c r="AC43" s="133">
        <f t="shared" si="61"/>
        <v>30.293199999999995</v>
      </c>
      <c r="AD43" s="133">
        <f>AE43-SUM(AA43,AB43,AC43)</f>
        <v>22.057700000000025</v>
      </c>
      <c r="AE43" s="441">
        <f t="shared" si="62"/>
        <v>99.406600000000026</v>
      </c>
      <c r="AF43" s="133">
        <f t="shared" si="62"/>
        <v>21.840000000000003</v>
      </c>
      <c r="AG43" s="133">
        <f t="shared" si="62"/>
        <v>26.759700000000002</v>
      </c>
      <c r="AH43" s="133">
        <f t="shared" si="62"/>
        <v>27.917399999999997</v>
      </c>
      <c r="AI43" s="133">
        <f>AJ43-SUM(AF43,AG43,AH43)</f>
        <v>19.389700000000005</v>
      </c>
      <c r="AJ43" s="441">
        <f t="shared" si="63"/>
        <v>95.906800000000004</v>
      </c>
      <c r="AK43" s="133">
        <f t="shared" si="63"/>
        <v>21.505000000000003</v>
      </c>
      <c r="AL43" s="133">
        <f t="shared" si="63"/>
        <v>27.331000000000003</v>
      </c>
      <c r="AM43" s="133">
        <f t="shared" si="63"/>
        <v>29.263799999999993</v>
      </c>
      <c r="AN43" s="133">
        <f>AO43-SUM(AK43,AL43,AM43)</f>
        <v>22.457800000000006</v>
      </c>
      <c r="AO43" s="441">
        <f t="shared" si="64"/>
        <v>100.55760000000001</v>
      </c>
      <c r="AP43" s="133">
        <f t="shared" si="64"/>
        <v>24.319000000000003</v>
      </c>
      <c r="AQ43" s="133">
        <f t="shared" si="64"/>
        <v>25.507999999999999</v>
      </c>
      <c r="AR43" s="133">
        <f t="shared" si="64"/>
        <v>30.582499999999992</v>
      </c>
      <c r="AS43" s="133">
        <f>AT43-SUM(AP43,AQ43,AR43)</f>
        <v>25.077700000000021</v>
      </c>
      <c r="AT43" s="441">
        <f t="shared" si="65"/>
        <v>105.48720000000002</v>
      </c>
      <c r="AU43" s="133">
        <f t="shared" si="65"/>
        <v>25.809300000000004</v>
      </c>
      <c r="AV43" s="133">
        <f t="shared" si="65"/>
        <v>30.847999999999995</v>
      </c>
      <c r="AW43" s="133">
        <f t="shared" si="65"/>
        <v>30.387499999999996</v>
      </c>
      <c r="AX43" s="133">
        <f>AY43-SUM(AU43,AV43,AW43)</f>
        <v>24.963200000000001</v>
      </c>
      <c r="AY43" s="442">
        <v>112.008</v>
      </c>
      <c r="AZ43" s="134">
        <v>23.221</v>
      </c>
      <c r="BA43" s="134">
        <v>27.056000000000001</v>
      </c>
      <c r="BB43" s="134">
        <v>27.007000000000001</v>
      </c>
      <c r="BC43" s="133">
        <f>BD43-SUM(AZ43,BA43,BB43)</f>
        <v>20.171999999999997</v>
      </c>
      <c r="BD43" s="442">
        <v>97.456000000000003</v>
      </c>
      <c r="BE43" s="134">
        <v>21.152999999999999</v>
      </c>
      <c r="BF43" s="134">
        <v>24.655000000000001</v>
      </c>
      <c r="BG43" s="134">
        <v>25.545999999999999</v>
      </c>
      <c r="BH43" s="133">
        <f>BI43-SUM(BE43,BF43,BG43)</f>
        <v>20.141000000000005</v>
      </c>
      <c r="BI43" s="442">
        <v>91.495000000000005</v>
      </c>
      <c r="BJ43" s="134">
        <v>20.326000000000001</v>
      </c>
      <c r="BK43" s="134">
        <v>23.791</v>
      </c>
      <c r="BL43" s="134">
        <v>23.077999999999999</v>
      </c>
      <c r="BM43" s="133">
        <f>BN43-SUM(BJ43,BK43,BL43)</f>
        <v>19.221999999999994</v>
      </c>
      <c r="BN43" s="442">
        <v>86.417000000000002</v>
      </c>
      <c r="BO43" s="134">
        <v>18.097999999999999</v>
      </c>
      <c r="BP43" s="134">
        <v>23.219000000000001</v>
      </c>
      <c r="BQ43" s="134">
        <v>25.122</v>
      </c>
      <c r="BR43" s="133">
        <f>BS43-SUM(BO43,BP43,BQ43)</f>
        <v>20.860000000000014</v>
      </c>
      <c r="BS43" s="443">
        <v>87.299000000000007</v>
      </c>
      <c r="BT43" s="132">
        <f t="shared" si="66"/>
        <v>18.369469999999996</v>
      </c>
      <c r="BU43" s="132">
        <f t="shared" si="66"/>
        <v>23.567284999999998</v>
      </c>
      <c r="BV43" s="132">
        <f t="shared" si="66"/>
        <v>25.498829999999998</v>
      </c>
      <c r="BW43" s="132">
        <f t="shared" si="66"/>
        <v>21.172900000000013</v>
      </c>
      <c r="BX43" s="440">
        <f>SUM(BT43,BU43,BV43,BW43)</f>
        <v>88.608485000000002</v>
      </c>
      <c r="BY43" s="132">
        <f t="shared" si="67"/>
        <v>18.645012049999995</v>
      </c>
      <c r="BZ43" s="132">
        <f t="shared" si="67"/>
        <v>23.920794274999995</v>
      </c>
      <c r="CA43" s="132">
        <f t="shared" si="67"/>
        <v>25.881312449999996</v>
      </c>
      <c r="CB43" s="132">
        <f t="shared" si="67"/>
        <v>21.49049350000001</v>
      </c>
      <c r="CC43" s="440">
        <f>SUM(BY43,BZ43,CA43,CB43)</f>
        <v>89.937612274999992</v>
      </c>
      <c r="CD43" s="440">
        <f t="shared" si="68"/>
        <v>91.73636452049999</v>
      </c>
      <c r="CE43" s="440">
        <f t="shared" si="68"/>
        <v>93.571091810909991</v>
      </c>
      <c r="CF43" s="440">
        <f t="shared" si="68"/>
        <v>95.442513647128195</v>
      </c>
      <c r="CG43" s="99"/>
    </row>
    <row r="44" spans="1:85" ht="14.45" customHeight="1" x14ac:dyDescent="0.25">
      <c r="A44" s="135" t="s">
        <v>197</v>
      </c>
      <c r="B44" s="136"/>
      <c r="C44" s="444"/>
      <c r="D44" s="444"/>
      <c r="E44" s="444"/>
      <c r="F44" s="444"/>
      <c r="G44" s="137"/>
      <c r="H44" s="137"/>
      <c r="I44" s="137"/>
      <c r="J44" s="137"/>
      <c r="K44" s="444"/>
      <c r="L44" s="137"/>
      <c r="M44" s="137"/>
      <c r="N44" s="137"/>
      <c r="O44" s="137"/>
      <c r="P44" s="444"/>
      <c r="Q44" s="137"/>
      <c r="R44" s="137"/>
      <c r="S44" s="137"/>
      <c r="T44" s="137"/>
      <c r="U44" s="444"/>
      <c r="V44" s="137"/>
      <c r="W44" s="137"/>
      <c r="X44" s="137"/>
      <c r="Y44" s="137"/>
      <c r="Z44" s="444"/>
      <c r="AA44" s="138">
        <v>65.2</v>
      </c>
      <c r="AB44" s="138">
        <v>88.5</v>
      </c>
      <c r="AC44" s="138">
        <v>86.8</v>
      </c>
      <c r="AD44" s="138">
        <v>83.3</v>
      </c>
      <c r="AE44" s="445">
        <v>323.8</v>
      </c>
      <c r="AF44" s="138">
        <v>78</v>
      </c>
      <c r="AG44" s="138">
        <v>90.1</v>
      </c>
      <c r="AH44" s="138">
        <v>86.7</v>
      </c>
      <c r="AI44" s="139">
        <f>IFERROR(AJ44-SUM(AF44,AG44,AH44),"N/A")</f>
        <v>82.899999999999977</v>
      </c>
      <c r="AJ44" s="445">
        <v>337.7</v>
      </c>
      <c r="AK44" s="138">
        <v>78.2</v>
      </c>
      <c r="AL44" s="138">
        <v>90.5</v>
      </c>
      <c r="AM44" s="138">
        <v>90.6</v>
      </c>
      <c r="AN44" s="139">
        <f>IFERROR(AO44-SUM(AK44,AL44,AM44),"N/A")</f>
        <v>83.900000000000034</v>
      </c>
      <c r="AO44" s="445">
        <v>343.2</v>
      </c>
      <c r="AP44" s="138">
        <v>83</v>
      </c>
      <c r="AQ44" s="138">
        <v>91.1</v>
      </c>
      <c r="AR44" s="138">
        <v>94.1</v>
      </c>
      <c r="AS44" s="139">
        <f>IFERROR(AT44-SUM(AP44,AQ44,AR44),"N/A")</f>
        <v>90.600000000000023</v>
      </c>
      <c r="AT44" s="445">
        <v>358.8</v>
      </c>
      <c r="AU44" s="138">
        <v>86.9</v>
      </c>
      <c r="AV44" s="138">
        <v>96.4</v>
      </c>
      <c r="AW44" s="138">
        <v>93.5</v>
      </c>
      <c r="AX44" s="139">
        <f>IFERROR(AY44-SUM(AU44,AV44,AW44),"N/A")</f>
        <v>89.23599999999999</v>
      </c>
      <c r="AY44" s="446">
        <f>SUM(AY42:AY43)</f>
        <v>366.036</v>
      </c>
      <c r="AZ44" s="139">
        <f>SUM(AZ42:AZ43)</f>
        <v>85.075999999999993</v>
      </c>
      <c r="BA44" s="139">
        <f>SUM(BA42:BA43)</f>
        <v>96.408000000000001</v>
      </c>
      <c r="BB44" s="139">
        <f>SUM(BB42:BB43)</f>
        <v>93.141000000000005</v>
      </c>
      <c r="BC44" s="139">
        <f>IFERROR(BD44-SUM(AZ44,BA44,BB44),"N/A")</f>
        <v>87.566000000000031</v>
      </c>
      <c r="BD44" s="446">
        <f>SUM(BD42:BD43)</f>
        <v>362.19100000000003</v>
      </c>
      <c r="BE44" s="139">
        <f>SUM(BE42:BE43)</f>
        <v>82.47</v>
      </c>
      <c r="BF44" s="139">
        <f>SUM(BF42:BF43)</f>
        <v>92.555000000000007</v>
      </c>
      <c r="BG44" s="139">
        <f>SUM(BG42:BG43)</f>
        <v>91.796999999999997</v>
      </c>
      <c r="BH44" s="139">
        <f>IFERROR(BI44-SUM(BE44,BF44,BG44),"N/A")</f>
        <v>88.545000000000016</v>
      </c>
      <c r="BI44" s="446">
        <f>SUM(BI42:BI43)</f>
        <v>355.36700000000002</v>
      </c>
      <c r="BJ44" s="139">
        <f>SUM(BJ42:BJ43)</f>
        <v>82.11099999999999</v>
      </c>
      <c r="BK44" s="139">
        <f>SUM(BK42:BK43)</f>
        <v>91.453000000000003</v>
      </c>
      <c r="BL44" s="139">
        <f>SUM(BL42:BL43)</f>
        <v>89.859000000000009</v>
      </c>
      <c r="BM44" s="139">
        <f>IFERROR(BN44-SUM(BJ44,BK44,BL44),"N/A")</f>
        <v>89.67999999999995</v>
      </c>
      <c r="BN44" s="446">
        <f>SUM(BN42:BN43)</f>
        <v>353.10299999999995</v>
      </c>
      <c r="BO44" s="139">
        <f>SUM(BO42:BO43)</f>
        <v>76.727000000000004</v>
      </c>
      <c r="BP44" s="139">
        <f>SUM(BP42:BP43)</f>
        <v>90.705999999999989</v>
      </c>
      <c r="BQ44" s="139">
        <f>SUM(BQ42:BQ43)</f>
        <v>92.816999999999993</v>
      </c>
      <c r="BR44" s="139">
        <f>IFERROR(BS44-SUM(BO44,BP44,BQ44),"N/A")</f>
        <v>93.798000000000002</v>
      </c>
      <c r="BS44" s="447">
        <f t="shared" ref="BS44:CF44" si="69">SUM(BS42:BS43)</f>
        <v>354.048</v>
      </c>
      <c r="BT44" s="137">
        <f t="shared" si="69"/>
        <v>77.291614999999993</v>
      </c>
      <c r="BU44" s="137">
        <f t="shared" si="69"/>
        <v>91.391719999999992</v>
      </c>
      <c r="BV44" s="137">
        <f t="shared" si="69"/>
        <v>93.53230499999998</v>
      </c>
      <c r="BW44" s="137">
        <f t="shared" si="69"/>
        <v>94.475590000000054</v>
      </c>
      <c r="BX44" s="444">
        <f t="shared" si="69"/>
        <v>356.69123000000002</v>
      </c>
      <c r="BY44" s="137">
        <f t="shared" si="69"/>
        <v>77.861767774999976</v>
      </c>
      <c r="BZ44" s="137">
        <f t="shared" si="69"/>
        <v>92.084351449999971</v>
      </c>
      <c r="CA44" s="137">
        <f t="shared" si="69"/>
        <v>94.25495482499997</v>
      </c>
      <c r="CB44" s="137">
        <f t="shared" si="69"/>
        <v>95.159696950000054</v>
      </c>
      <c r="CC44" s="444">
        <f t="shared" si="69"/>
        <v>359.360771</v>
      </c>
      <c r="CD44" s="444">
        <f t="shared" si="69"/>
        <v>362.50663903912499</v>
      </c>
      <c r="CE44" s="444">
        <f t="shared" si="69"/>
        <v>365.6952177021281</v>
      </c>
      <c r="CF44" s="444">
        <f t="shared" si="69"/>
        <v>368.92726016780233</v>
      </c>
      <c r="CG44" s="109"/>
    </row>
    <row r="45" spans="1:85" ht="14.45" customHeight="1" x14ac:dyDescent="0.25">
      <c r="A45" s="125" t="s">
        <v>198</v>
      </c>
      <c r="B45" s="126"/>
      <c r="C45" s="438"/>
      <c r="D45" s="438"/>
      <c r="E45" s="438"/>
      <c r="F45" s="438"/>
      <c r="G45" s="127"/>
      <c r="H45" s="127"/>
      <c r="I45" s="127"/>
      <c r="J45" s="127"/>
      <c r="K45" s="438"/>
      <c r="L45" s="127"/>
      <c r="M45" s="127"/>
      <c r="N45" s="127"/>
      <c r="O45" s="127"/>
      <c r="P45" s="438"/>
      <c r="Q45" s="127"/>
      <c r="R45" s="127"/>
      <c r="S45" s="127"/>
      <c r="T45" s="127"/>
      <c r="U45" s="438"/>
      <c r="V45" s="127"/>
      <c r="W45" s="127"/>
      <c r="X45" s="127"/>
      <c r="Y45" s="127"/>
      <c r="Z45" s="438"/>
      <c r="AA45" s="127"/>
      <c r="AB45" s="127"/>
      <c r="AC45" s="127"/>
      <c r="AD45" s="127"/>
      <c r="AE45" s="438"/>
      <c r="AF45" s="128">
        <f>AJ45-AG45-AH45</f>
        <v>12.200000000000005</v>
      </c>
      <c r="AG45" s="129">
        <v>25.9</v>
      </c>
      <c r="AH45" s="129">
        <v>10.6</v>
      </c>
      <c r="AI45" s="129">
        <v>0</v>
      </c>
      <c r="AJ45" s="411">
        <v>48.7</v>
      </c>
      <c r="AK45" s="127"/>
      <c r="AL45" s="127"/>
      <c r="AM45" s="127"/>
      <c r="AN45" s="127"/>
      <c r="AO45" s="438"/>
      <c r="AP45" s="127"/>
      <c r="AQ45" s="127"/>
      <c r="AR45" s="127"/>
      <c r="AS45" s="127"/>
      <c r="AT45" s="438"/>
      <c r="AU45" s="127"/>
      <c r="AV45" s="127"/>
      <c r="AW45" s="127"/>
      <c r="AX45" s="127"/>
      <c r="AY45" s="438"/>
      <c r="AZ45" s="127"/>
      <c r="BA45" s="127"/>
      <c r="BB45" s="127"/>
      <c r="BC45" s="127"/>
      <c r="BD45" s="438"/>
      <c r="BE45" s="127"/>
      <c r="BF45" s="127"/>
      <c r="BG45" s="127"/>
      <c r="BH45" s="127"/>
      <c r="BI45" s="438"/>
      <c r="BJ45" s="127"/>
      <c r="BK45" s="127"/>
      <c r="BL45" s="127"/>
      <c r="BM45" s="127"/>
      <c r="BN45" s="438"/>
      <c r="BO45" s="127"/>
      <c r="BP45" s="127"/>
      <c r="BQ45" s="127"/>
      <c r="BR45" s="127"/>
      <c r="BS45" s="448"/>
      <c r="BT45" s="127"/>
      <c r="BU45" s="127"/>
      <c r="BV45" s="127"/>
      <c r="BW45" s="127"/>
      <c r="BX45" s="438"/>
      <c r="BY45" s="127"/>
      <c r="BZ45" s="127"/>
      <c r="CA45" s="127"/>
      <c r="CB45" s="127"/>
      <c r="CC45" s="438"/>
      <c r="CD45" s="438"/>
      <c r="CE45" s="438"/>
      <c r="CF45" s="438"/>
      <c r="CG45" s="99"/>
    </row>
    <row r="46" spans="1:85" ht="14.45" customHeight="1" x14ac:dyDescent="0.25">
      <c r="A46" s="125" t="s">
        <v>199</v>
      </c>
      <c r="B46" s="126"/>
      <c r="C46" s="438"/>
      <c r="D46" s="438"/>
      <c r="E46" s="438"/>
      <c r="F46" s="438"/>
      <c r="G46" s="127"/>
      <c r="H46" s="127"/>
      <c r="I46" s="127"/>
      <c r="J46" s="127"/>
      <c r="K46" s="438"/>
      <c r="L46" s="127"/>
      <c r="M46" s="127"/>
      <c r="N46" s="127"/>
      <c r="O46" s="127"/>
      <c r="P46" s="438"/>
      <c r="Q46" s="127"/>
      <c r="R46" s="127"/>
      <c r="S46" s="127"/>
      <c r="T46" s="127"/>
      <c r="U46" s="438"/>
      <c r="V46" s="127"/>
      <c r="W46" s="127"/>
      <c r="X46" s="127"/>
      <c r="Y46" s="127"/>
      <c r="Z46" s="438"/>
      <c r="AA46" s="127"/>
      <c r="AB46" s="127"/>
      <c r="AC46" s="127"/>
      <c r="AD46" s="127"/>
      <c r="AE46" s="438"/>
      <c r="AF46" s="127"/>
      <c r="AG46" s="127"/>
      <c r="AH46" s="127"/>
      <c r="AI46" s="127"/>
      <c r="AJ46" s="438"/>
      <c r="AK46" s="127"/>
      <c r="AL46" s="127"/>
      <c r="AM46" s="127"/>
      <c r="AN46" s="127"/>
      <c r="AO46" s="438"/>
      <c r="AP46" s="127"/>
      <c r="AQ46" s="127"/>
      <c r="AR46" s="127"/>
      <c r="AS46" s="129">
        <v>4.5999999999999996</v>
      </c>
      <c r="AT46" s="411">
        <v>4.5999999999999996</v>
      </c>
      <c r="AU46" s="127"/>
      <c r="AV46" s="127"/>
      <c r="AW46" s="127"/>
      <c r="AX46" s="127"/>
      <c r="AY46" s="438"/>
      <c r="AZ46" s="127"/>
      <c r="BA46" s="127"/>
      <c r="BB46" s="127"/>
      <c r="BC46" s="127"/>
      <c r="BD46" s="438"/>
      <c r="BE46" s="127"/>
      <c r="BF46" s="127"/>
      <c r="BG46" s="127"/>
      <c r="BH46" s="127"/>
      <c r="BI46" s="438"/>
      <c r="BJ46" s="127"/>
      <c r="BK46" s="127"/>
      <c r="BL46" s="127"/>
      <c r="BM46" s="127"/>
      <c r="BN46" s="438"/>
      <c r="BO46" s="127"/>
      <c r="BP46" s="127"/>
      <c r="BQ46" s="127"/>
      <c r="BR46" s="127"/>
      <c r="BS46" s="448"/>
      <c r="BT46" s="127"/>
      <c r="BU46" s="127"/>
      <c r="BV46" s="127"/>
      <c r="BW46" s="127"/>
      <c r="BX46" s="438"/>
      <c r="BY46" s="127"/>
      <c r="BZ46" s="127"/>
      <c r="CA46" s="127"/>
      <c r="CB46" s="127"/>
      <c r="CC46" s="438"/>
      <c r="CD46" s="438"/>
      <c r="CE46" s="438"/>
      <c r="CF46" s="438"/>
      <c r="CG46" s="99"/>
    </row>
    <row r="47" spans="1:85" ht="14.45" customHeight="1" x14ac:dyDescent="0.25">
      <c r="A47" s="110" t="s">
        <v>200</v>
      </c>
      <c r="B47" s="140"/>
      <c r="C47" s="449"/>
      <c r="D47" s="449"/>
      <c r="E47" s="449"/>
      <c r="F47" s="449"/>
      <c r="G47" s="141"/>
      <c r="H47" s="141"/>
      <c r="I47" s="141"/>
      <c r="J47" s="141"/>
      <c r="K47" s="449"/>
      <c r="L47" s="141"/>
      <c r="M47" s="141"/>
      <c r="N47" s="141"/>
      <c r="O47" s="141"/>
      <c r="P47" s="449"/>
      <c r="Q47" s="141"/>
      <c r="R47" s="141"/>
      <c r="S47" s="141"/>
      <c r="T47" s="141"/>
      <c r="U47" s="449"/>
      <c r="V47" s="141"/>
      <c r="W47" s="141"/>
      <c r="X47" s="141"/>
      <c r="Y47" s="141"/>
      <c r="Z47" s="449"/>
      <c r="AA47" s="142">
        <f t="shared" ref="AA47:BF47" si="70">AA44-AA46-AA45</f>
        <v>65.2</v>
      </c>
      <c r="AB47" s="142">
        <f t="shared" si="70"/>
        <v>88.5</v>
      </c>
      <c r="AC47" s="142">
        <f t="shared" si="70"/>
        <v>86.8</v>
      </c>
      <c r="AD47" s="142">
        <f t="shared" si="70"/>
        <v>83.3</v>
      </c>
      <c r="AE47" s="450">
        <f t="shared" si="70"/>
        <v>323.8</v>
      </c>
      <c r="AF47" s="142">
        <f t="shared" si="70"/>
        <v>65.8</v>
      </c>
      <c r="AG47" s="142">
        <f t="shared" si="70"/>
        <v>64.199999999999989</v>
      </c>
      <c r="AH47" s="142">
        <f t="shared" si="70"/>
        <v>76.100000000000009</v>
      </c>
      <c r="AI47" s="142">
        <f t="shared" si="70"/>
        <v>82.899999999999977</v>
      </c>
      <c r="AJ47" s="450">
        <f t="shared" si="70"/>
        <v>289</v>
      </c>
      <c r="AK47" s="142">
        <f t="shared" si="70"/>
        <v>78.2</v>
      </c>
      <c r="AL47" s="142">
        <f t="shared" si="70"/>
        <v>90.5</v>
      </c>
      <c r="AM47" s="142">
        <f t="shared" si="70"/>
        <v>90.6</v>
      </c>
      <c r="AN47" s="142">
        <f t="shared" si="70"/>
        <v>83.900000000000034</v>
      </c>
      <c r="AO47" s="450">
        <f t="shared" si="70"/>
        <v>343.2</v>
      </c>
      <c r="AP47" s="142">
        <f t="shared" si="70"/>
        <v>83</v>
      </c>
      <c r="AQ47" s="142">
        <f t="shared" si="70"/>
        <v>91.1</v>
      </c>
      <c r="AR47" s="142">
        <f t="shared" si="70"/>
        <v>94.1</v>
      </c>
      <c r="AS47" s="142">
        <f t="shared" si="70"/>
        <v>86.000000000000028</v>
      </c>
      <c r="AT47" s="450">
        <f t="shared" si="70"/>
        <v>354.2</v>
      </c>
      <c r="AU47" s="142">
        <f t="shared" si="70"/>
        <v>86.9</v>
      </c>
      <c r="AV47" s="142">
        <f t="shared" si="70"/>
        <v>96.4</v>
      </c>
      <c r="AW47" s="142">
        <f t="shared" si="70"/>
        <v>93.5</v>
      </c>
      <c r="AX47" s="142">
        <f t="shared" si="70"/>
        <v>89.23599999999999</v>
      </c>
      <c r="AY47" s="450">
        <f t="shared" si="70"/>
        <v>366.036</v>
      </c>
      <c r="AZ47" s="142">
        <f t="shared" si="70"/>
        <v>85.075999999999993</v>
      </c>
      <c r="BA47" s="142">
        <f t="shared" si="70"/>
        <v>96.408000000000001</v>
      </c>
      <c r="BB47" s="142">
        <f t="shared" si="70"/>
        <v>93.141000000000005</v>
      </c>
      <c r="BC47" s="142">
        <f t="shared" si="70"/>
        <v>87.566000000000031</v>
      </c>
      <c r="BD47" s="450">
        <f t="shared" si="70"/>
        <v>362.19100000000003</v>
      </c>
      <c r="BE47" s="142">
        <f t="shared" si="70"/>
        <v>82.47</v>
      </c>
      <c r="BF47" s="142">
        <f t="shared" si="70"/>
        <v>92.555000000000007</v>
      </c>
      <c r="BG47" s="142">
        <f t="shared" ref="BG47:CF47" si="71">BG44-BG46-BG45</f>
        <v>91.796999999999997</v>
      </c>
      <c r="BH47" s="142">
        <f t="shared" si="71"/>
        <v>88.545000000000016</v>
      </c>
      <c r="BI47" s="450">
        <f t="shared" si="71"/>
        <v>355.36700000000002</v>
      </c>
      <c r="BJ47" s="142">
        <f t="shared" si="71"/>
        <v>82.11099999999999</v>
      </c>
      <c r="BK47" s="142">
        <f t="shared" si="71"/>
        <v>91.453000000000003</v>
      </c>
      <c r="BL47" s="142">
        <f t="shared" si="71"/>
        <v>89.859000000000009</v>
      </c>
      <c r="BM47" s="142">
        <f t="shared" si="71"/>
        <v>89.67999999999995</v>
      </c>
      <c r="BN47" s="450">
        <f t="shared" si="71"/>
        <v>353.10299999999995</v>
      </c>
      <c r="BO47" s="142">
        <f t="shared" si="71"/>
        <v>76.727000000000004</v>
      </c>
      <c r="BP47" s="142">
        <f t="shared" si="71"/>
        <v>90.705999999999989</v>
      </c>
      <c r="BQ47" s="142">
        <f t="shared" si="71"/>
        <v>92.816999999999993</v>
      </c>
      <c r="BR47" s="142">
        <f t="shared" si="71"/>
        <v>93.798000000000002</v>
      </c>
      <c r="BS47" s="451">
        <f t="shared" si="71"/>
        <v>354.048</v>
      </c>
      <c r="BT47" s="141">
        <f t="shared" si="71"/>
        <v>77.291614999999993</v>
      </c>
      <c r="BU47" s="141">
        <f t="shared" si="71"/>
        <v>91.391719999999992</v>
      </c>
      <c r="BV47" s="141">
        <f t="shared" si="71"/>
        <v>93.53230499999998</v>
      </c>
      <c r="BW47" s="141">
        <f t="shared" si="71"/>
        <v>94.475590000000054</v>
      </c>
      <c r="BX47" s="449">
        <f t="shared" si="71"/>
        <v>356.69123000000002</v>
      </c>
      <c r="BY47" s="141">
        <f t="shared" si="71"/>
        <v>77.861767774999976</v>
      </c>
      <c r="BZ47" s="141">
        <f t="shared" si="71"/>
        <v>92.084351449999971</v>
      </c>
      <c r="CA47" s="141">
        <f t="shared" si="71"/>
        <v>94.25495482499997</v>
      </c>
      <c r="CB47" s="141">
        <f t="shared" si="71"/>
        <v>95.159696950000054</v>
      </c>
      <c r="CC47" s="449">
        <f t="shared" si="71"/>
        <v>359.360771</v>
      </c>
      <c r="CD47" s="449">
        <f t="shared" si="71"/>
        <v>362.50663903912499</v>
      </c>
      <c r="CE47" s="449">
        <f t="shared" si="71"/>
        <v>365.6952177021281</v>
      </c>
      <c r="CF47" s="449">
        <f t="shared" si="71"/>
        <v>368.92726016780233</v>
      </c>
      <c r="CG47" s="109"/>
    </row>
    <row r="48" spans="1:85" ht="14.45" customHeight="1" x14ac:dyDescent="0.25">
      <c r="A48" s="92"/>
      <c r="B48" s="89"/>
      <c r="C48" s="406"/>
      <c r="D48" s="406"/>
      <c r="E48" s="406"/>
      <c r="F48" s="406"/>
      <c r="G48" s="90"/>
      <c r="H48" s="90"/>
      <c r="I48" s="90"/>
      <c r="J48" s="90"/>
      <c r="K48" s="406"/>
      <c r="L48" s="90"/>
      <c r="M48" s="90"/>
      <c r="N48" s="90"/>
      <c r="O48" s="90"/>
      <c r="P48" s="406"/>
      <c r="Q48" s="90"/>
      <c r="R48" s="90"/>
      <c r="S48" s="90"/>
      <c r="T48" s="90"/>
      <c r="U48" s="406"/>
      <c r="V48" s="90"/>
      <c r="W48" s="90"/>
      <c r="X48" s="90"/>
      <c r="Y48" s="90"/>
      <c r="Z48" s="406"/>
      <c r="AA48" s="90"/>
      <c r="AB48" s="90"/>
      <c r="AC48" s="90"/>
      <c r="AD48" s="90"/>
      <c r="AE48" s="406"/>
      <c r="AF48" s="90"/>
      <c r="AG48" s="90"/>
      <c r="AH48" s="90"/>
      <c r="AI48" s="90"/>
      <c r="AJ48" s="406"/>
      <c r="AK48" s="90"/>
      <c r="AL48" s="90"/>
      <c r="AM48" s="90"/>
      <c r="AN48" s="90"/>
      <c r="AO48" s="406"/>
      <c r="AP48" s="90"/>
      <c r="AQ48" s="90"/>
      <c r="AR48" s="90"/>
      <c r="AS48" s="90"/>
      <c r="AT48" s="406"/>
      <c r="AU48" s="90"/>
      <c r="AV48" s="90"/>
      <c r="AW48" s="90"/>
      <c r="AX48" s="90"/>
      <c r="AY48" s="406"/>
      <c r="AZ48" s="90"/>
      <c r="BA48" s="90"/>
      <c r="BB48" s="90"/>
      <c r="BC48" s="90"/>
      <c r="BD48" s="406"/>
      <c r="BE48" s="90"/>
      <c r="BF48" s="90"/>
      <c r="BG48" s="90"/>
      <c r="BH48" s="90"/>
      <c r="BI48" s="406"/>
      <c r="BJ48" s="90"/>
      <c r="BK48" s="90"/>
      <c r="BL48" s="90"/>
      <c r="BM48" s="90"/>
      <c r="BN48" s="406"/>
      <c r="BO48" s="90"/>
      <c r="BP48" s="90"/>
      <c r="BQ48" s="90"/>
      <c r="BR48" s="90"/>
      <c r="BS48" s="407"/>
      <c r="BT48" s="90"/>
      <c r="BU48" s="90"/>
      <c r="BV48" s="90"/>
      <c r="BW48" s="90"/>
      <c r="BX48" s="406"/>
      <c r="BY48" s="90"/>
      <c r="BZ48" s="90"/>
      <c r="CA48" s="90"/>
      <c r="CB48" s="90"/>
      <c r="CC48" s="406"/>
      <c r="CD48" s="406"/>
      <c r="CE48" s="406"/>
      <c r="CF48" s="406"/>
      <c r="CG48" s="236"/>
    </row>
    <row r="49" spans="1:85" ht="14.45" hidden="1" customHeight="1" x14ac:dyDescent="0.25">
      <c r="A49" s="143" t="s">
        <v>201</v>
      </c>
      <c r="B49" s="80"/>
      <c r="C49" s="400">
        <v>0.86499999999999999</v>
      </c>
      <c r="D49" s="400">
        <v>0.85</v>
      </c>
      <c r="E49" s="400">
        <v>0.84099999999999997</v>
      </c>
      <c r="F49" s="400">
        <v>0.82799999999999996</v>
      </c>
      <c r="G49" s="144">
        <v>0.83499999999999996</v>
      </c>
      <c r="H49" s="144">
        <v>0.79600000000000004</v>
      </c>
      <c r="I49" s="144">
        <v>0.78700000000000003</v>
      </c>
      <c r="J49" s="123"/>
      <c r="K49" s="400">
        <v>0.81299999999999994</v>
      </c>
      <c r="L49" s="144">
        <v>0.81899999999999995</v>
      </c>
      <c r="M49" s="144">
        <v>0.77700000000000002</v>
      </c>
      <c r="N49" s="144">
        <v>0.77400000000000002</v>
      </c>
      <c r="O49" s="123"/>
      <c r="P49" s="400">
        <v>0.79900000000000004</v>
      </c>
      <c r="Q49" s="144">
        <v>0.81</v>
      </c>
      <c r="R49" s="144">
        <v>0.71499999999999997</v>
      </c>
      <c r="S49" s="144">
        <v>0.69199999999999995</v>
      </c>
      <c r="T49" s="123"/>
      <c r="U49" s="400">
        <v>0.73399999999999999</v>
      </c>
      <c r="V49" s="144">
        <v>0.72899999999999998</v>
      </c>
      <c r="W49" s="144">
        <v>0.69699999999999995</v>
      </c>
      <c r="X49" s="144">
        <v>0.67400000000000004</v>
      </c>
      <c r="Y49" s="123"/>
      <c r="Z49" s="400">
        <v>0.71199999999999997</v>
      </c>
      <c r="AA49" s="144">
        <v>0.71399999999999997</v>
      </c>
      <c r="AB49" s="144">
        <v>0.67900000000000005</v>
      </c>
      <c r="AC49" s="144">
        <v>0.65100000000000002</v>
      </c>
      <c r="AD49" s="81">
        <f>AD42/AD44</f>
        <v>0.73520168067226899</v>
      </c>
      <c r="AE49" s="400">
        <v>0.69299999999999995</v>
      </c>
      <c r="AF49" s="144">
        <v>0.72</v>
      </c>
      <c r="AG49" s="144">
        <v>0.70299999999999996</v>
      </c>
      <c r="AH49" s="144">
        <v>0.67800000000000005</v>
      </c>
      <c r="AI49" s="81">
        <f>AI42/AI44</f>
        <v>0.76610735826296761</v>
      </c>
      <c r="AJ49" s="400">
        <v>0.71599999999999997</v>
      </c>
      <c r="AK49" s="144">
        <v>0.72499999999999998</v>
      </c>
      <c r="AL49" s="144">
        <v>0.69799999999999995</v>
      </c>
      <c r="AM49" s="144">
        <v>0.67700000000000005</v>
      </c>
      <c r="AN49" s="81">
        <f>AN42/AN44</f>
        <v>0.73232657926102451</v>
      </c>
      <c r="AO49" s="400">
        <v>0.70699999999999996</v>
      </c>
      <c r="AP49" s="144">
        <v>0.70699999999999996</v>
      </c>
      <c r="AQ49" s="144">
        <v>0.72</v>
      </c>
      <c r="AR49" s="144">
        <v>0.67500000000000004</v>
      </c>
      <c r="AS49" s="81">
        <f>AS42/AS44</f>
        <v>0.72320419426048521</v>
      </c>
      <c r="AT49" s="400">
        <v>0.70599999999999996</v>
      </c>
      <c r="AU49" s="144">
        <v>0.70299999999999996</v>
      </c>
      <c r="AV49" s="144">
        <v>0.68</v>
      </c>
      <c r="AW49" s="144">
        <v>0.67500000000000004</v>
      </c>
      <c r="AX49" s="81">
        <f t="shared" ref="AX49:CF49" si="72">AX42/AX44</f>
        <v>0.7202563987628311</v>
      </c>
      <c r="AY49" s="395">
        <f t="shared" si="72"/>
        <v>0.69399731173982881</v>
      </c>
      <c r="AZ49" s="81">
        <f t="shared" si="72"/>
        <v>0.72705580892378585</v>
      </c>
      <c r="BA49" s="81">
        <f t="shared" si="72"/>
        <v>0.71935938926230192</v>
      </c>
      <c r="BB49" s="81">
        <f t="shared" si="72"/>
        <v>0.71004176463641144</v>
      </c>
      <c r="BC49" s="81">
        <f t="shared" si="72"/>
        <v>0.76963661695178476</v>
      </c>
      <c r="BD49" s="395">
        <f t="shared" si="72"/>
        <v>0.73092650010629745</v>
      </c>
      <c r="BE49" s="81">
        <f t="shared" si="72"/>
        <v>0.74350672971989817</v>
      </c>
      <c r="BF49" s="81">
        <f t="shared" si="72"/>
        <v>0.73361784884663173</v>
      </c>
      <c r="BG49" s="81">
        <f t="shared" si="72"/>
        <v>0.72171203851977739</v>
      </c>
      <c r="BH49" s="81">
        <f t="shared" si="72"/>
        <v>0.77253373990626217</v>
      </c>
      <c r="BI49" s="395">
        <f t="shared" si="72"/>
        <v>0.74253377494252426</v>
      </c>
      <c r="BJ49" s="81">
        <f t="shared" si="72"/>
        <v>0.75245703986067647</v>
      </c>
      <c r="BK49" s="81">
        <f t="shared" si="72"/>
        <v>0.739855444873323</v>
      </c>
      <c r="BL49" s="81">
        <f t="shared" si="72"/>
        <v>0.74317541926796427</v>
      </c>
      <c r="BM49" s="81">
        <f t="shared" si="72"/>
        <v>0.78566012488849257</v>
      </c>
      <c r="BN49" s="395">
        <f t="shared" si="72"/>
        <v>0.75526404476880693</v>
      </c>
      <c r="BO49" s="81">
        <f t="shared" si="72"/>
        <v>0.76412475399794066</v>
      </c>
      <c r="BP49" s="81">
        <f t="shared" si="72"/>
        <v>0.74401913875598091</v>
      </c>
      <c r="BQ49" s="81">
        <f t="shared" si="72"/>
        <v>0.72933837551310643</v>
      </c>
      <c r="BR49" s="81">
        <f t="shared" si="72"/>
        <v>0.77760719844772852</v>
      </c>
      <c r="BS49" s="396">
        <f t="shared" si="72"/>
        <v>0.7534260891178598</v>
      </c>
      <c r="BT49" s="123">
        <f t="shared" si="72"/>
        <v>0.76233553924316366</v>
      </c>
      <c r="BU49" s="123">
        <f t="shared" si="72"/>
        <v>0.74212888213505557</v>
      </c>
      <c r="BV49" s="123">
        <f t="shared" si="72"/>
        <v>0.72737943323432475</v>
      </c>
      <c r="BW49" s="123">
        <f t="shared" si="72"/>
        <v>0.77589025906056797</v>
      </c>
      <c r="BX49" s="394">
        <f t="shared" si="72"/>
        <v>0.75158210365867428</v>
      </c>
      <c r="BY49" s="123">
        <f t="shared" si="72"/>
        <v>0.76053700573715244</v>
      </c>
      <c r="BZ49" s="123">
        <f t="shared" si="72"/>
        <v>0.74022954065123081</v>
      </c>
      <c r="CA49" s="123">
        <f t="shared" si="72"/>
        <v>0.72541165079275716</v>
      </c>
      <c r="CB49" s="123">
        <f t="shared" si="72"/>
        <v>0.7741639140434442</v>
      </c>
      <c r="CC49" s="394">
        <f t="shared" si="72"/>
        <v>0.74972890884909638</v>
      </c>
      <c r="CD49" s="394">
        <f t="shared" si="72"/>
        <v>0.74693880155226899</v>
      </c>
      <c r="CE49" s="394">
        <f t="shared" si="72"/>
        <v>0.74412820490552056</v>
      </c>
      <c r="CF49" s="394">
        <f t="shared" si="72"/>
        <v>0.74129720421386791</v>
      </c>
      <c r="CG49" s="115"/>
    </row>
    <row r="50" spans="1:85" ht="14.45" hidden="1" customHeight="1" x14ac:dyDescent="0.25">
      <c r="A50" s="145" t="s">
        <v>202</v>
      </c>
      <c r="B50" s="86"/>
      <c r="C50" s="402">
        <f t="shared" ref="C50:I50" si="73">1-C49</f>
        <v>0.13500000000000001</v>
      </c>
      <c r="D50" s="402">
        <f t="shared" si="73"/>
        <v>0.15000000000000002</v>
      </c>
      <c r="E50" s="402">
        <f t="shared" si="73"/>
        <v>0.15900000000000003</v>
      </c>
      <c r="F50" s="402">
        <f t="shared" si="73"/>
        <v>0.17200000000000004</v>
      </c>
      <c r="G50" s="87">
        <f t="shared" si="73"/>
        <v>0.16500000000000004</v>
      </c>
      <c r="H50" s="87">
        <f t="shared" si="73"/>
        <v>0.20399999999999996</v>
      </c>
      <c r="I50" s="87">
        <f t="shared" si="73"/>
        <v>0.21299999999999997</v>
      </c>
      <c r="J50" s="146"/>
      <c r="K50" s="402">
        <f>1-K49</f>
        <v>0.18700000000000006</v>
      </c>
      <c r="L50" s="87">
        <f>1-L49</f>
        <v>0.18100000000000005</v>
      </c>
      <c r="M50" s="87">
        <f>1-M49</f>
        <v>0.22299999999999998</v>
      </c>
      <c r="N50" s="87">
        <f>1-N49</f>
        <v>0.22599999999999998</v>
      </c>
      <c r="O50" s="146"/>
      <c r="P50" s="402">
        <f>1-P49</f>
        <v>0.20099999999999996</v>
      </c>
      <c r="Q50" s="87">
        <f>1-Q49</f>
        <v>0.18999999999999995</v>
      </c>
      <c r="R50" s="87">
        <f>1-R49</f>
        <v>0.28500000000000003</v>
      </c>
      <c r="S50" s="87">
        <f>1-S49</f>
        <v>0.30800000000000005</v>
      </c>
      <c r="T50" s="146"/>
      <c r="U50" s="402">
        <f>1-U49</f>
        <v>0.26600000000000001</v>
      </c>
      <c r="V50" s="87">
        <f>1-V49</f>
        <v>0.27100000000000002</v>
      </c>
      <c r="W50" s="87">
        <f>1-W49</f>
        <v>0.30300000000000005</v>
      </c>
      <c r="X50" s="87">
        <f>1-X49</f>
        <v>0.32599999999999996</v>
      </c>
      <c r="Y50" s="146"/>
      <c r="Z50" s="402">
        <f t="shared" ref="Z50:AX50" si="74">1-Z49</f>
        <v>0.28800000000000003</v>
      </c>
      <c r="AA50" s="87">
        <f t="shared" si="74"/>
        <v>0.28600000000000003</v>
      </c>
      <c r="AB50" s="87">
        <f t="shared" si="74"/>
        <v>0.32099999999999995</v>
      </c>
      <c r="AC50" s="87">
        <f t="shared" si="74"/>
        <v>0.34899999999999998</v>
      </c>
      <c r="AD50" s="87">
        <f t="shared" si="74"/>
        <v>0.26479831932773101</v>
      </c>
      <c r="AE50" s="402">
        <f t="shared" si="74"/>
        <v>0.30700000000000005</v>
      </c>
      <c r="AF50" s="87">
        <f t="shared" si="74"/>
        <v>0.28000000000000003</v>
      </c>
      <c r="AG50" s="87">
        <f t="shared" si="74"/>
        <v>0.29700000000000004</v>
      </c>
      <c r="AH50" s="87">
        <f t="shared" si="74"/>
        <v>0.32199999999999995</v>
      </c>
      <c r="AI50" s="87">
        <f t="shared" si="74"/>
        <v>0.23389264173703239</v>
      </c>
      <c r="AJ50" s="402">
        <f t="shared" si="74"/>
        <v>0.28400000000000003</v>
      </c>
      <c r="AK50" s="87">
        <f t="shared" si="74"/>
        <v>0.27500000000000002</v>
      </c>
      <c r="AL50" s="87">
        <f t="shared" si="74"/>
        <v>0.30200000000000005</v>
      </c>
      <c r="AM50" s="87">
        <f t="shared" si="74"/>
        <v>0.32299999999999995</v>
      </c>
      <c r="AN50" s="87">
        <f t="shared" si="74"/>
        <v>0.26767342073897549</v>
      </c>
      <c r="AO50" s="402">
        <f t="shared" si="74"/>
        <v>0.29300000000000004</v>
      </c>
      <c r="AP50" s="87">
        <f t="shared" si="74"/>
        <v>0.29300000000000004</v>
      </c>
      <c r="AQ50" s="87">
        <f t="shared" si="74"/>
        <v>0.28000000000000003</v>
      </c>
      <c r="AR50" s="87">
        <f t="shared" si="74"/>
        <v>0.32499999999999996</v>
      </c>
      <c r="AS50" s="87">
        <f t="shared" si="74"/>
        <v>0.27679580573951479</v>
      </c>
      <c r="AT50" s="402">
        <f t="shared" si="74"/>
        <v>0.29400000000000004</v>
      </c>
      <c r="AU50" s="87">
        <f t="shared" si="74"/>
        <v>0.29700000000000004</v>
      </c>
      <c r="AV50" s="87">
        <f t="shared" si="74"/>
        <v>0.31999999999999995</v>
      </c>
      <c r="AW50" s="87">
        <f t="shared" si="74"/>
        <v>0.32499999999999996</v>
      </c>
      <c r="AX50" s="87">
        <f t="shared" si="74"/>
        <v>0.2797436012371689</v>
      </c>
      <c r="AY50" s="402">
        <f>AY43/AY44</f>
        <v>0.30600268826017113</v>
      </c>
      <c r="AZ50" s="87">
        <f>1-AZ49</f>
        <v>0.27294419107621415</v>
      </c>
      <c r="BA50" s="87">
        <f>1-BA49</f>
        <v>0.28064061073769808</v>
      </c>
      <c r="BB50" s="87">
        <f>1-BB49</f>
        <v>0.28995823536358856</v>
      </c>
      <c r="BC50" s="87">
        <f>1-BC49</f>
        <v>0.23036338304821524</v>
      </c>
      <c r="BD50" s="402">
        <f>BD43/BD44</f>
        <v>0.26907349989370249</v>
      </c>
      <c r="BE50" s="87">
        <f>1-BE49</f>
        <v>0.25649327028010183</v>
      </c>
      <c r="BF50" s="87">
        <f>1-BF49</f>
        <v>0.26638215115336827</v>
      </c>
      <c r="BG50" s="87">
        <f>1-BG49</f>
        <v>0.27828796148022261</v>
      </c>
      <c r="BH50" s="87">
        <f>1-BH49</f>
        <v>0.22746626009373783</v>
      </c>
      <c r="BI50" s="402">
        <f>BI43/BI44</f>
        <v>0.25746622505747579</v>
      </c>
      <c r="BJ50" s="87">
        <f>1-BJ49</f>
        <v>0.24754296013932353</v>
      </c>
      <c r="BK50" s="87">
        <f>1-BK49</f>
        <v>0.260144555126677</v>
      </c>
      <c r="BL50" s="87">
        <f>1-BL49</f>
        <v>0.25682458073203573</v>
      </c>
      <c r="BM50" s="87">
        <f>1-BM49</f>
        <v>0.21433987511150743</v>
      </c>
      <c r="BN50" s="402">
        <f>BN43/BN44</f>
        <v>0.24473595523119321</v>
      </c>
      <c r="BO50" s="87">
        <f>1-BO49</f>
        <v>0.23587524600205934</v>
      </c>
      <c r="BP50" s="87">
        <f>1-BP49</f>
        <v>0.25598086124401909</v>
      </c>
      <c r="BQ50" s="87">
        <f>1-BQ49</f>
        <v>0.27066162448689357</v>
      </c>
      <c r="BR50" s="87">
        <f>1-BR49</f>
        <v>0.22239280155227148</v>
      </c>
      <c r="BS50" s="403">
        <f>BS43/BS44</f>
        <v>0.24657391088214028</v>
      </c>
      <c r="BT50" s="146">
        <f t="shared" ref="BT50:CF50" si="75">1-BT49</f>
        <v>0.23766446075683634</v>
      </c>
      <c r="BU50" s="146">
        <f t="shared" si="75"/>
        <v>0.25787111786494443</v>
      </c>
      <c r="BV50" s="146">
        <f t="shared" si="75"/>
        <v>0.27262056676567525</v>
      </c>
      <c r="BW50" s="146">
        <f t="shared" si="75"/>
        <v>0.22410974093943203</v>
      </c>
      <c r="BX50" s="401">
        <f t="shared" si="75"/>
        <v>0.24841789634132572</v>
      </c>
      <c r="BY50" s="146">
        <f t="shared" si="75"/>
        <v>0.23946299426284756</v>
      </c>
      <c r="BZ50" s="146">
        <f t="shared" si="75"/>
        <v>0.25977045934876919</v>
      </c>
      <c r="CA50" s="146">
        <f t="shared" si="75"/>
        <v>0.27458834920724284</v>
      </c>
      <c r="CB50" s="146">
        <f t="shared" si="75"/>
        <v>0.2258360859565558</v>
      </c>
      <c r="CC50" s="401">
        <f t="shared" si="75"/>
        <v>0.25027109115090362</v>
      </c>
      <c r="CD50" s="401">
        <f t="shared" si="75"/>
        <v>0.25306119844773101</v>
      </c>
      <c r="CE50" s="401">
        <f t="shared" si="75"/>
        <v>0.25587179509447944</v>
      </c>
      <c r="CF50" s="401">
        <f t="shared" si="75"/>
        <v>0.25870279578613209</v>
      </c>
      <c r="CG50" s="115"/>
    </row>
    <row r="51" spans="1:85" ht="14.45" hidden="1" customHeight="1" x14ac:dyDescent="0.25">
      <c r="A51" s="93" t="s">
        <v>203</v>
      </c>
      <c r="B51" s="89"/>
      <c r="C51" s="452">
        <f t="shared" ref="C51:I51" si="76">SUM(C49:C50)</f>
        <v>1</v>
      </c>
      <c r="D51" s="452">
        <f t="shared" si="76"/>
        <v>1</v>
      </c>
      <c r="E51" s="452">
        <f t="shared" si="76"/>
        <v>1</v>
      </c>
      <c r="F51" s="452">
        <f t="shared" si="76"/>
        <v>1</v>
      </c>
      <c r="G51" s="147">
        <f t="shared" si="76"/>
        <v>1</v>
      </c>
      <c r="H51" s="147">
        <f t="shared" si="76"/>
        <v>1</v>
      </c>
      <c r="I51" s="147">
        <f t="shared" si="76"/>
        <v>1</v>
      </c>
      <c r="J51" s="90"/>
      <c r="K51" s="452">
        <f>SUM(K49:K50)</f>
        <v>1</v>
      </c>
      <c r="L51" s="147">
        <f>SUM(L49:L50)</f>
        <v>1</v>
      </c>
      <c r="M51" s="147">
        <f>SUM(M49:M50)</f>
        <v>1</v>
      </c>
      <c r="N51" s="147">
        <f>SUM(N49:N50)</f>
        <v>1</v>
      </c>
      <c r="O51" s="90"/>
      <c r="P51" s="452">
        <f>SUM(P49:P50)</f>
        <v>1</v>
      </c>
      <c r="Q51" s="147">
        <f>SUM(Q49:Q50)</f>
        <v>1</v>
      </c>
      <c r="R51" s="147">
        <f>SUM(R49:R50)</f>
        <v>1</v>
      </c>
      <c r="S51" s="147">
        <f>SUM(S49:S50)</f>
        <v>1</v>
      </c>
      <c r="T51" s="90"/>
      <c r="U51" s="452">
        <f>SUM(U49:U50)</f>
        <v>1</v>
      </c>
      <c r="V51" s="147">
        <f>SUM(V49:V50)</f>
        <v>1</v>
      </c>
      <c r="W51" s="147">
        <f>SUM(W49:W50)</f>
        <v>1</v>
      </c>
      <c r="X51" s="147">
        <f>SUM(X49:X50)</f>
        <v>1</v>
      </c>
      <c r="Y51" s="90"/>
      <c r="Z51" s="452">
        <f t="shared" ref="Z51:BE51" si="77">SUM(Z49:Z50)</f>
        <v>1</v>
      </c>
      <c r="AA51" s="147">
        <f t="shared" si="77"/>
        <v>1</v>
      </c>
      <c r="AB51" s="147">
        <f t="shared" si="77"/>
        <v>1</v>
      </c>
      <c r="AC51" s="147">
        <f t="shared" si="77"/>
        <v>1</v>
      </c>
      <c r="AD51" s="147">
        <f t="shared" si="77"/>
        <v>1</v>
      </c>
      <c r="AE51" s="452">
        <f t="shared" si="77"/>
        <v>1</v>
      </c>
      <c r="AF51" s="147">
        <f t="shared" si="77"/>
        <v>1</v>
      </c>
      <c r="AG51" s="147">
        <f t="shared" si="77"/>
        <v>1</v>
      </c>
      <c r="AH51" s="147">
        <f t="shared" si="77"/>
        <v>1</v>
      </c>
      <c r="AI51" s="147">
        <f t="shared" si="77"/>
        <v>1</v>
      </c>
      <c r="AJ51" s="452">
        <f t="shared" si="77"/>
        <v>1</v>
      </c>
      <c r="AK51" s="147">
        <f t="shared" si="77"/>
        <v>1</v>
      </c>
      <c r="AL51" s="147">
        <f t="shared" si="77"/>
        <v>1</v>
      </c>
      <c r="AM51" s="147">
        <f t="shared" si="77"/>
        <v>1</v>
      </c>
      <c r="AN51" s="147">
        <f t="shared" si="77"/>
        <v>1</v>
      </c>
      <c r="AO51" s="452">
        <f t="shared" si="77"/>
        <v>1</v>
      </c>
      <c r="AP51" s="147">
        <f t="shared" si="77"/>
        <v>1</v>
      </c>
      <c r="AQ51" s="147">
        <f t="shared" si="77"/>
        <v>1</v>
      </c>
      <c r="AR51" s="147">
        <f t="shared" si="77"/>
        <v>1</v>
      </c>
      <c r="AS51" s="147">
        <f t="shared" si="77"/>
        <v>1</v>
      </c>
      <c r="AT51" s="452">
        <f t="shared" si="77"/>
        <v>1</v>
      </c>
      <c r="AU51" s="147">
        <f t="shared" si="77"/>
        <v>1</v>
      </c>
      <c r="AV51" s="147">
        <f t="shared" si="77"/>
        <v>1</v>
      </c>
      <c r="AW51" s="147">
        <f t="shared" si="77"/>
        <v>1</v>
      </c>
      <c r="AX51" s="147">
        <f t="shared" si="77"/>
        <v>1</v>
      </c>
      <c r="AY51" s="452">
        <f t="shared" si="77"/>
        <v>1</v>
      </c>
      <c r="AZ51" s="147">
        <f t="shared" si="77"/>
        <v>1</v>
      </c>
      <c r="BA51" s="147">
        <f t="shared" si="77"/>
        <v>1</v>
      </c>
      <c r="BB51" s="147">
        <f t="shared" si="77"/>
        <v>1</v>
      </c>
      <c r="BC51" s="147">
        <f t="shared" si="77"/>
        <v>1</v>
      </c>
      <c r="BD51" s="452">
        <f t="shared" si="77"/>
        <v>1</v>
      </c>
      <c r="BE51" s="147">
        <f t="shared" si="77"/>
        <v>1</v>
      </c>
      <c r="BF51" s="147">
        <f t="shared" ref="BF51:CF51" si="78">SUM(BF49:BF50)</f>
        <v>1</v>
      </c>
      <c r="BG51" s="147">
        <f t="shared" si="78"/>
        <v>1</v>
      </c>
      <c r="BH51" s="147">
        <f t="shared" si="78"/>
        <v>1</v>
      </c>
      <c r="BI51" s="452">
        <f t="shared" si="78"/>
        <v>1</v>
      </c>
      <c r="BJ51" s="147">
        <f t="shared" si="78"/>
        <v>1</v>
      </c>
      <c r="BK51" s="147">
        <f t="shared" si="78"/>
        <v>1</v>
      </c>
      <c r="BL51" s="147">
        <f t="shared" si="78"/>
        <v>1</v>
      </c>
      <c r="BM51" s="147">
        <f t="shared" si="78"/>
        <v>1</v>
      </c>
      <c r="BN51" s="452">
        <f t="shared" si="78"/>
        <v>1.0000000000000002</v>
      </c>
      <c r="BO51" s="147">
        <f t="shared" si="78"/>
        <v>1</v>
      </c>
      <c r="BP51" s="147">
        <f t="shared" si="78"/>
        <v>1</v>
      </c>
      <c r="BQ51" s="147">
        <f t="shared" si="78"/>
        <v>1</v>
      </c>
      <c r="BR51" s="147">
        <f t="shared" si="78"/>
        <v>1</v>
      </c>
      <c r="BS51" s="453">
        <f t="shared" si="78"/>
        <v>1</v>
      </c>
      <c r="BT51" s="90">
        <f t="shared" si="78"/>
        <v>1</v>
      </c>
      <c r="BU51" s="90">
        <f t="shared" si="78"/>
        <v>1</v>
      </c>
      <c r="BV51" s="90">
        <f t="shared" si="78"/>
        <v>1</v>
      </c>
      <c r="BW51" s="90">
        <f t="shared" si="78"/>
        <v>1</v>
      </c>
      <c r="BX51" s="406">
        <f t="shared" si="78"/>
        <v>1</v>
      </c>
      <c r="BY51" s="90">
        <f t="shared" si="78"/>
        <v>1</v>
      </c>
      <c r="BZ51" s="90">
        <f t="shared" si="78"/>
        <v>1</v>
      </c>
      <c r="CA51" s="90">
        <f t="shared" si="78"/>
        <v>1</v>
      </c>
      <c r="CB51" s="90">
        <f t="shared" si="78"/>
        <v>1</v>
      </c>
      <c r="CC51" s="406">
        <f t="shared" si="78"/>
        <v>1</v>
      </c>
      <c r="CD51" s="406">
        <f t="shared" si="78"/>
        <v>1</v>
      </c>
      <c r="CE51" s="406">
        <f t="shared" si="78"/>
        <v>1</v>
      </c>
      <c r="CF51" s="406">
        <f t="shared" si="78"/>
        <v>1</v>
      </c>
      <c r="CG51" s="236"/>
    </row>
    <row r="52" spans="1:85" ht="14.45" hidden="1" customHeight="1" x14ac:dyDescent="0.25">
      <c r="A52" s="92"/>
      <c r="B52" s="89"/>
      <c r="C52" s="406"/>
      <c r="D52" s="406"/>
      <c r="E52" s="406"/>
      <c r="F52" s="406"/>
      <c r="G52" s="90"/>
      <c r="H52" s="90"/>
      <c r="I52" s="90"/>
      <c r="J52" s="90"/>
      <c r="K52" s="406"/>
      <c r="L52" s="90"/>
      <c r="M52" s="90"/>
      <c r="N52" s="90"/>
      <c r="O52" s="90"/>
      <c r="P52" s="406"/>
      <c r="Q52" s="90"/>
      <c r="R52" s="90"/>
      <c r="S52" s="90"/>
      <c r="T52" s="90"/>
      <c r="U52" s="406"/>
      <c r="V52" s="90"/>
      <c r="W52" s="90"/>
      <c r="X52" s="90"/>
      <c r="Y52" s="90"/>
      <c r="Z52" s="406"/>
      <c r="AA52" s="90"/>
      <c r="AB52" s="90"/>
      <c r="AC52" s="90"/>
      <c r="AD52" s="90"/>
      <c r="AE52" s="406"/>
      <c r="AF52" s="90"/>
      <c r="AG52" s="90"/>
      <c r="AH52" s="90"/>
      <c r="AI52" s="90"/>
      <c r="AJ52" s="406"/>
      <c r="AK52" s="90"/>
      <c r="AL52" s="90"/>
      <c r="AM52" s="90"/>
      <c r="AN52" s="90"/>
      <c r="AO52" s="406"/>
      <c r="AP52" s="90"/>
      <c r="AQ52" s="90"/>
      <c r="AR52" s="90"/>
      <c r="AS52" s="90"/>
      <c r="AT52" s="406"/>
      <c r="AU52" s="90"/>
      <c r="AV52" s="90"/>
      <c r="AW52" s="90"/>
      <c r="AX52" s="90"/>
      <c r="AY52" s="406"/>
      <c r="AZ52" s="90"/>
      <c r="BA52" s="90"/>
      <c r="BB52" s="90"/>
      <c r="BC52" s="90"/>
      <c r="BD52" s="406"/>
      <c r="BE52" s="90"/>
      <c r="BF52" s="90"/>
      <c r="BG52" s="90"/>
      <c r="BH52" s="90"/>
      <c r="BI52" s="406"/>
      <c r="BJ52" s="90"/>
      <c r="BK52" s="90"/>
      <c r="BL52" s="90"/>
      <c r="BM52" s="90"/>
      <c r="BN52" s="406"/>
      <c r="BO52" s="90"/>
      <c r="BP52" s="90"/>
      <c r="BQ52" s="90"/>
      <c r="BR52" s="90"/>
      <c r="BS52" s="407"/>
      <c r="BT52" s="90"/>
      <c r="BU52" s="90"/>
      <c r="BV52" s="90"/>
      <c r="BW52" s="90"/>
      <c r="BX52" s="406"/>
      <c r="BY52" s="90"/>
      <c r="BZ52" s="90"/>
      <c r="CA52" s="90"/>
      <c r="CB52" s="90"/>
      <c r="CC52" s="406"/>
      <c r="CD52" s="406"/>
      <c r="CE52" s="406"/>
      <c r="CF52" s="406"/>
      <c r="CG52" s="236"/>
    </row>
    <row r="53" spans="1:85" ht="14.45" customHeight="1" x14ac:dyDescent="0.25">
      <c r="A53" s="122" t="s">
        <v>204</v>
      </c>
      <c r="B53" s="80"/>
      <c r="C53" s="394"/>
      <c r="D53" s="394"/>
      <c r="E53" s="394"/>
      <c r="F53" s="394"/>
      <c r="G53" s="123"/>
      <c r="H53" s="123"/>
      <c r="I53" s="123"/>
      <c r="J53" s="123"/>
      <c r="K53" s="394"/>
      <c r="L53" s="123"/>
      <c r="M53" s="123"/>
      <c r="N53" s="123"/>
      <c r="O53" s="123"/>
      <c r="P53" s="394"/>
      <c r="Q53" s="123"/>
      <c r="R53" s="123"/>
      <c r="S53" s="123"/>
      <c r="T53" s="123"/>
      <c r="U53" s="394"/>
      <c r="V53" s="123"/>
      <c r="W53" s="123"/>
      <c r="X53" s="123"/>
      <c r="Y53" s="123"/>
      <c r="Z53" s="394"/>
      <c r="AA53" s="123"/>
      <c r="AB53" s="123"/>
      <c r="AC53" s="123"/>
      <c r="AD53" s="123"/>
      <c r="AE53" s="394"/>
      <c r="AF53" s="123">
        <f t="shared" ref="AF53:AO55" si="79">AF57/AA57-1</f>
        <v>-3.224790057065563E-2</v>
      </c>
      <c r="AG53" s="123">
        <f t="shared" si="79"/>
        <v>-5.0878950511734633E-3</v>
      </c>
      <c r="AH53" s="123">
        <f t="shared" si="79"/>
        <v>2.2314337072371959E-2</v>
      </c>
      <c r="AI53" s="123">
        <f t="shared" si="79"/>
        <v>-9.4207774566206881E-2</v>
      </c>
      <c r="AJ53" s="394">
        <f t="shared" si="79"/>
        <v>-2.7463480082417502E-2</v>
      </c>
      <c r="AK53" s="123">
        <f t="shared" si="79"/>
        <v>3.6311924112215621E-2</v>
      </c>
      <c r="AL53" s="123">
        <f t="shared" si="79"/>
        <v>5.6857249044930391E-2</v>
      </c>
      <c r="AM53" s="123">
        <f t="shared" si="79"/>
        <v>1.6827552501151199E-2</v>
      </c>
      <c r="AN53" s="123">
        <f t="shared" si="79"/>
        <v>0.19310211559295976</v>
      </c>
      <c r="AO53" s="394">
        <f t="shared" si="79"/>
        <v>7.440960036880595E-2</v>
      </c>
      <c r="AP53" s="123">
        <f t="shared" ref="AP53:AY55" si="80">AP57/AK57-1</f>
        <v>4.0583114051030877E-2</v>
      </c>
      <c r="AQ53" s="123">
        <f t="shared" si="80"/>
        <v>-4.6226428136214581E-3</v>
      </c>
      <c r="AR53" s="123">
        <f t="shared" si="80"/>
        <v>3.3278610649194018E-2</v>
      </c>
      <c r="AS53" s="123">
        <f t="shared" si="80"/>
        <v>2.8540036754050702E-2</v>
      </c>
      <c r="AT53" s="394">
        <f t="shared" si="80"/>
        <v>2.4028681253812634E-2</v>
      </c>
      <c r="AU53" s="123">
        <f t="shared" si="80"/>
        <v>5.6541961343877567E-2</v>
      </c>
      <c r="AV53" s="123">
        <f t="shared" si="80"/>
        <v>8.7849103695045727E-2</v>
      </c>
      <c r="AW53" s="123">
        <f t="shared" si="80"/>
        <v>0.10646531481872756</v>
      </c>
      <c r="AX53" s="123">
        <f t="shared" si="80"/>
        <v>0.11209926277866544</v>
      </c>
      <c r="AY53" s="394">
        <f t="shared" si="80"/>
        <v>9.1115771089081976E-2</v>
      </c>
      <c r="AZ53" s="123" t="str">
        <f t="shared" ref="AZ53:BD55" si="81">"NMF"</f>
        <v>NMF</v>
      </c>
      <c r="BA53" s="123" t="str">
        <f t="shared" si="81"/>
        <v>NMF</v>
      </c>
      <c r="BB53" s="123" t="str">
        <f t="shared" si="81"/>
        <v>NMF</v>
      </c>
      <c r="BC53" s="123" t="str">
        <f t="shared" si="81"/>
        <v>NMF</v>
      </c>
      <c r="BD53" s="394" t="str">
        <f t="shared" si="81"/>
        <v>NMF</v>
      </c>
      <c r="BE53" s="123">
        <f t="shared" ref="BE53:BN55" si="82">BE57/AZ57-1</f>
        <v>0.19734172014777762</v>
      </c>
      <c r="BF53" s="123">
        <f t="shared" si="82"/>
        <v>0.16590122307283495</v>
      </c>
      <c r="BG53" s="123">
        <f t="shared" si="82"/>
        <v>6.4082938794231881E-2</v>
      </c>
      <c r="BH53" s="123">
        <f t="shared" si="82"/>
        <v>4.5065591733715715E-2</v>
      </c>
      <c r="BI53" s="394">
        <f t="shared" si="82"/>
        <v>0.10893484222354455</v>
      </c>
      <c r="BJ53" s="123">
        <f t="shared" si="82"/>
        <v>2.6308917757866146E-2</v>
      </c>
      <c r="BK53" s="123">
        <f t="shared" si="82"/>
        <v>4.7912760643950225E-2</v>
      </c>
      <c r="BL53" s="123">
        <f t="shared" si="82"/>
        <v>4.993059732205074E-2</v>
      </c>
      <c r="BM53" s="123">
        <f t="shared" si="82"/>
        <v>4.5535910020097603E-2</v>
      </c>
      <c r="BN53" s="394">
        <f t="shared" si="82"/>
        <v>4.3835553876647948E-2</v>
      </c>
      <c r="BO53" s="123">
        <f t="shared" ref="BO53:BX55" si="83">BO57/BJ57-1</f>
        <v>3.3732910069569355E-2</v>
      </c>
      <c r="BP53" s="123">
        <f t="shared" si="83"/>
        <v>3.2303618229728714E-2</v>
      </c>
      <c r="BQ53" s="123">
        <f t="shared" si="83"/>
        <v>3.2690702980623376E-2</v>
      </c>
      <c r="BR53" s="123">
        <f t="shared" si="83"/>
        <v>2.7872351536548878E-2</v>
      </c>
      <c r="BS53" s="437">
        <f t="shared" si="83"/>
        <v>3.4770517607384033E-2</v>
      </c>
      <c r="BT53" s="123">
        <f t="shared" si="83"/>
        <v>-1.7518046511328933E-3</v>
      </c>
      <c r="BU53" s="123">
        <f t="shared" si="83"/>
        <v>-6.4009089259191576E-3</v>
      </c>
      <c r="BV53" s="123">
        <f t="shared" si="83"/>
        <v>-6.2674319731815809E-3</v>
      </c>
      <c r="BW53" s="123">
        <f t="shared" si="83"/>
        <v>5.9104865990118327E-3</v>
      </c>
      <c r="BX53" s="394">
        <f t="shared" si="83"/>
        <v>-2.008989970697761E-3</v>
      </c>
      <c r="BY53" s="123">
        <f t="shared" ref="BY53:CC55" si="84">BY57/BT57-1</f>
        <v>0</v>
      </c>
      <c r="BZ53" s="123">
        <f t="shared" si="84"/>
        <v>0</v>
      </c>
      <c r="CA53" s="123">
        <f t="shared" si="84"/>
        <v>0</v>
      </c>
      <c r="CB53" s="123">
        <f t="shared" si="84"/>
        <v>0</v>
      </c>
      <c r="CC53" s="394">
        <f t="shared" si="84"/>
        <v>0</v>
      </c>
      <c r="CD53" s="394">
        <f t="shared" ref="CD53:CF55" si="85">CD57/CC57-1</f>
        <v>0</v>
      </c>
      <c r="CE53" s="394">
        <f t="shared" si="85"/>
        <v>0</v>
      </c>
      <c r="CF53" s="394">
        <f t="shared" si="85"/>
        <v>0</v>
      </c>
      <c r="CG53" s="115"/>
    </row>
    <row r="54" spans="1:85" ht="14.45" customHeight="1" x14ac:dyDescent="0.25">
      <c r="A54" s="122" t="s">
        <v>205</v>
      </c>
      <c r="B54" s="80"/>
      <c r="C54" s="394"/>
      <c r="D54" s="394"/>
      <c r="E54" s="394"/>
      <c r="F54" s="394"/>
      <c r="G54" s="123"/>
      <c r="H54" s="123"/>
      <c r="I54" s="123"/>
      <c r="J54" s="123"/>
      <c r="K54" s="394"/>
      <c r="L54" s="123"/>
      <c r="M54" s="123"/>
      <c r="N54" s="123"/>
      <c r="O54" s="123"/>
      <c r="P54" s="394"/>
      <c r="Q54" s="123"/>
      <c r="R54" s="123"/>
      <c r="S54" s="123"/>
      <c r="T54" s="123"/>
      <c r="U54" s="394"/>
      <c r="V54" s="123"/>
      <c r="W54" s="123"/>
      <c r="X54" s="123"/>
      <c r="Y54" s="123"/>
      <c r="Z54" s="394"/>
      <c r="AA54" s="123"/>
      <c r="AB54" s="123"/>
      <c r="AC54" s="123"/>
      <c r="AD54" s="123"/>
      <c r="AE54" s="394"/>
      <c r="AF54" s="123">
        <f t="shared" si="79"/>
        <v>7.0077837647645858E-2</v>
      </c>
      <c r="AG54" s="123">
        <f t="shared" si="79"/>
        <v>0.13084423616121299</v>
      </c>
      <c r="AH54" s="123">
        <f t="shared" si="79"/>
        <v>0.13110202881697153</v>
      </c>
      <c r="AI54" s="123">
        <f t="shared" si="79"/>
        <v>0.28247812008302131</v>
      </c>
      <c r="AJ54" s="394">
        <f t="shared" si="79"/>
        <v>0.15024421745601035</v>
      </c>
      <c r="AK54" s="123">
        <f t="shared" si="79"/>
        <v>8.7661303569286808E-2</v>
      </c>
      <c r="AL54" s="123">
        <f t="shared" si="79"/>
        <v>4.9935572433715159E-2</v>
      </c>
      <c r="AM54" s="123">
        <f t="shared" si="79"/>
        <v>4.3761938274900603E-2</v>
      </c>
      <c r="AN54" s="123">
        <f t="shared" si="79"/>
        <v>-0.14018579288715127</v>
      </c>
      <c r="AO54" s="394">
        <f t="shared" si="79"/>
        <v>1.0432730792816036E-2</v>
      </c>
      <c r="AP54" s="123">
        <f t="shared" si="80"/>
        <v>-3.9598312373756106E-2</v>
      </c>
      <c r="AQ54" s="123">
        <f t="shared" si="80"/>
        <v>9.4220492388592536E-3</v>
      </c>
      <c r="AR54" s="123">
        <f t="shared" si="80"/>
        <v>1.4512487738295166E-2</v>
      </c>
      <c r="AS54" s="123">
        <f t="shared" si="80"/>
        <v>2.4538728893608752E-2</v>
      </c>
      <c r="AT54" s="394">
        <f t="shared" si="80"/>
        <v>3.8819617750542879E-3</v>
      </c>
      <c r="AU54" s="123">
        <f t="shared" si="80"/>
        <v>6.0337900212488416E-2</v>
      </c>
      <c r="AV54" s="123">
        <f t="shared" si="80"/>
        <v>3.9205668572638519E-2</v>
      </c>
      <c r="AW54" s="123">
        <f t="shared" si="80"/>
        <v>9.0989997070056061E-2</v>
      </c>
      <c r="AX54" s="123">
        <f t="shared" si="80"/>
        <v>8.281892768667376E-2</v>
      </c>
      <c r="AY54" s="394">
        <f t="shared" si="80"/>
        <v>6.7669578032595101E-2</v>
      </c>
      <c r="AZ54" s="123" t="str">
        <f t="shared" si="81"/>
        <v>NMF</v>
      </c>
      <c r="BA54" s="123" t="str">
        <f t="shared" si="81"/>
        <v>NMF</v>
      </c>
      <c r="BB54" s="123" t="str">
        <f t="shared" si="81"/>
        <v>NMF</v>
      </c>
      <c r="BC54" s="123" t="str">
        <f t="shared" si="81"/>
        <v>NMF</v>
      </c>
      <c r="BD54" s="394" t="str">
        <f t="shared" si="81"/>
        <v>NMF</v>
      </c>
      <c r="BE54" s="123">
        <f t="shared" si="82"/>
        <v>0.19557976507117125</v>
      </c>
      <c r="BF54" s="123">
        <f t="shared" si="82"/>
        <v>0.16663682267774838</v>
      </c>
      <c r="BG54" s="123">
        <f t="shared" si="82"/>
        <v>0.11044448577807997</v>
      </c>
      <c r="BH54" s="123">
        <f t="shared" si="82"/>
        <v>4.5400615682934076E-2</v>
      </c>
      <c r="BI54" s="394">
        <f t="shared" si="82"/>
        <v>0.13345396165119605</v>
      </c>
      <c r="BJ54" s="123">
        <f t="shared" si="82"/>
        <v>4.479949752236867E-2</v>
      </c>
      <c r="BK54" s="123">
        <f t="shared" si="82"/>
        <v>7.9391844461019545E-2</v>
      </c>
      <c r="BL54" s="123">
        <f t="shared" si="82"/>
        <v>0.12534028543169229</v>
      </c>
      <c r="BM54" s="123">
        <f t="shared" si="82"/>
        <v>0.13938057186741948</v>
      </c>
      <c r="BN54" s="394">
        <f t="shared" si="82"/>
        <v>9.698388039612782E-2</v>
      </c>
      <c r="BO54" s="123">
        <f t="shared" si="83"/>
        <v>0.1176526916466949</v>
      </c>
      <c r="BP54" s="123">
        <f t="shared" si="83"/>
        <v>7.366951434318425E-2</v>
      </c>
      <c r="BQ54" s="123">
        <f t="shared" si="83"/>
        <v>9.2570842147072785E-3</v>
      </c>
      <c r="BR54" s="123">
        <f t="shared" si="83"/>
        <v>1.3572129650331277E-2</v>
      </c>
      <c r="BS54" s="437">
        <f t="shared" si="83"/>
        <v>5.0177462176611565E-2</v>
      </c>
      <c r="BT54" s="123">
        <f t="shared" si="83"/>
        <v>2.3697994921016985E-3</v>
      </c>
      <c r="BU54" s="123">
        <f t="shared" si="83"/>
        <v>4.5837419618641961E-2</v>
      </c>
      <c r="BV54" s="123">
        <f t="shared" si="83"/>
        <v>0.10128200942969445</v>
      </c>
      <c r="BW54" s="123">
        <f t="shared" si="83"/>
        <v>6.5913757700213349E-3</v>
      </c>
      <c r="BX54" s="394">
        <f t="shared" si="83"/>
        <v>4.188071047407127E-2</v>
      </c>
      <c r="BY54" s="123">
        <f t="shared" si="84"/>
        <v>0</v>
      </c>
      <c r="BZ54" s="123">
        <f t="shared" si="84"/>
        <v>0</v>
      </c>
      <c r="CA54" s="123">
        <f t="shared" si="84"/>
        <v>0</v>
      </c>
      <c r="CB54" s="123">
        <f t="shared" si="84"/>
        <v>0</v>
      </c>
      <c r="CC54" s="394">
        <f t="shared" si="84"/>
        <v>0</v>
      </c>
      <c r="CD54" s="394">
        <f t="shared" si="85"/>
        <v>0</v>
      </c>
      <c r="CE54" s="394">
        <f t="shared" si="85"/>
        <v>0</v>
      </c>
      <c r="CF54" s="394">
        <f t="shared" si="85"/>
        <v>0</v>
      </c>
      <c r="CG54" s="115"/>
    </row>
    <row r="55" spans="1:85" ht="14.45" customHeight="1" x14ac:dyDescent="0.25">
      <c r="A55" s="91" t="s">
        <v>206</v>
      </c>
      <c r="B55" s="83"/>
      <c r="C55" s="397"/>
      <c r="D55" s="397"/>
      <c r="E55" s="397"/>
      <c r="F55" s="397"/>
      <c r="G55" s="124"/>
      <c r="H55" s="124"/>
      <c r="I55" s="124"/>
      <c r="J55" s="124"/>
      <c r="K55" s="397"/>
      <c r="L55" s="124"/>
      <c r="M55" s="124"/>
      <c r="N55" s="124"/>
      <c r="O55" s="124"/>
      <c r="P55" s="397"/>
      <c r="Q55" s="124"/>
      <c r="R55" s="124"/>
      <c r="S55" s="124"/>
      <c r="T55" s="124"/>
      <c r="U55" s="397"/>
      <c r="V55" s="124"/>
      <c r="W55" s="124"/>
      <c r="X55" s="124"/>
      <c r="Y55" s="124"/>
      <c r="Z55" s="397"/>
      <c r="AA55" s="124"/>
      <c r="AB55" s="124"/>
      <c r="AC55" s="124"/>
      <c r="AD55" s="124"/>
      <c r="AE55" s="397"/>
      <c r="AF55" s="84">
        <f t="shared" si="79"/>
        <v>8.5079567125379008E-4</v>
      </c>
      <c r="AG55" s="84">
        <f t="shared" si="79"/>
        <v>3.6205124051494453E-2</v>
      </c>
      <c r="AH55" s="84">
        <f t="shared" si="79"/>
        <v>5.631902987422932E-2</v>
      </c>
      <c r="AI55" s="84">
        <f t="shared" si="79"/>
        <v>8.0196525769347105E-3</v>
      </c>
      <c r="AJ55" s="398">
        <f t="shared" si="79"/>
        <v>2.6569293504813629E-2</v>
      </c>
      <c r="AK55" s="84">
        <f t="shared" si="79"/>
        <v>5.2516659607612981E-2</v>
      </c>
      <c r="AL55" s="84">
        <f t="shared" si="79"/>
        <v>5.6310468246563827E-2</v>
      </c>
      <c r="AM55" s="84">
        <f t="shared" si="79"/>
        <v>2.7768211920529806E-2</v>
      </c>
      <c r="AN55" s="84">
        <f t="shared" si="79"/>
        <v>8.0776264105737905E-2</v>
      </c>
      <c r="AO55" s="398">
        <f t="shared" si="79"/>
        <v>5.3882856741118035E-2</v>
      </c>
      <c r="AP55" s="84">
        <f t="shared" si="80"/>
        <v>1.7896428993358526E-2</v>
      </c>
      <c r="AQ55" s="84">
        <f t="shared" si="80"/>
        <v>-8.282946776790312E-3</v>
      </c>
      <c r="AR55" s="84">
        <f t="shared" si="80"/>
        <v>2.6452484776640306E-2</v>
      </c>
      <c r="AS55" s="84">
        <f t="shared" si="80"/>
        <v>3.0919413508262439E-2</v>
      </c>
      <c r="AT55" s="398">
        <f t="shared" si="80"/>
        <v>1.6831437838626728E-2</v>
      </c>
      <c r="AU55" s="84">
        <f t="shared" si="80"/>
        <v>5.9576456167619085E-2</v>
      </c>
      <c r="AV55" s="84">
        <f t="shared" si="80"/>
        <v>8.5721586109031467E-2</v>
      </c>
      <c r="AW55" s="84">
        <f t="shared" si="80"/>
        <v>0.10030786088064603</v>
      </c>
      <c r="AX55" s="84">
        <f t="shared" si="80"/>
        <v>0.10284790012964251</v>
      </c>
      <c r="AY55" s="398">
        <f t="shared" si="80"/>
        <v>8.699403575369935E-2</v>
      </c>
      <c r="AZ55" s="84" t="str">
        <f t="shared" si="81"/>
        <v>NMF</v>
      </c>
      <c r="BA55" s="84" t="str">
        <f t="shared" si="81"/>
        <v>NMF</v>
      </c>
      <c r="BB55" s="84" t="str">
        <f t="shared" si="81"/>
        <v>NMF</v>
      </c>
      <c r="BC55" s="84" t="str">
        <f t="shared" si="81"/>
        <v>NMF</v>
      </c>
      <c r="BD55" s="398" t="str">
        <f t="shared" si="81"/>
        <v>NMF</v>
      </c>
      <c r="BE55" s="84">
        <f t="shared" si="82"/>
        <v>0.18645993759553647</v>
      </c>
      <c r="BF55" s="84">
        <f t="shared" si="82"/>
        <v>0.15797501590402807</v>
      </c>
      <c r="BG55" s="84">
        <f t="shared" si="82"/>
        <v>7.5652601052007773E-2</v>
      </c>
      <c r="BH55" s="84">
        <f t="shared" si="82"/>
        <v>3.5875761709397658E-2</v>
      </c>
      <c r="BI55" s="398">
        <f t="shared" si="82"/>
        <v>0.11123908010348083</v>
      </c>
      <c r="BJ55" s="84">
        <f t="shared" si="82"/>
        <v>2.785867522413632E-2</v>
      </c>
      <c r="BK55" s="84">
        <f t="shared" si="82"/>
        <v>5.58390741088437E-2</v>
      </c>
      <c r="BL55" s="84">
        <f t="shared" si="82"/>
        <v>6.5359362970812906E-2</v>
      </c>
      <c r="BM55" s="84">
        <f t="shared" si="82"/>
        <v>6.9553271762550883E-2</v>
      </c>
      <c r="BN55" s="398">
        <f t="shared" si="82"/>
        <v>5.4975840283174593E-2</v>
      </c>
      <c r="BO55" s="84">
        <f t="shared" si="83"/>
        <v>5.5079437853737812E-2</v>
      </c>
      <c r="BP55" s="84">
        <f t="shared" si="83"/>
        <v>4.4780554414235008E-2</v>
      </c>
      <c r="BQ55" s="84">
        <f t="shared" si="83"/>
        <v>3.1594070608428115E-2</v>
      </c>
      <c r="BR55" s="84">
        <f t="shared" si="83"/>
        <v>3.6110564480009488E-2</v>
      </c>
      <c r="BS55" s="399">
        <f t="shared" si="83"/>
        <v>4.1329659415126452E-2</v>
      </c>
      <c r="BT55" s="124">
        <f t="shared" si="83"/>
        <v>8.7266980321776266E-4</v>
      </c>
      <c r="BU55" s="124">
        <f t="shared" si="83"/>
        <v>1.4005599354883325E-2</v>
      </c>
      <c r="BV55" s="124">
        <f t="shared" si="83"/>
        <v>3.5102184912369827E-2</v>
      </c>
      <c r="BW55" s="124">
        <f t="shared" si="83"/>
        <v>7.2994345205819045E-3</v>
      </c>
      <c r="BX55" s="397">
        <f t="shared" si="83"/>
        <v>1.4888135317297602E-2</v>
      </c>
      <c r="BY55" s="124">
        <f t="shared" si="84"/>
        <v>1.1752452551627712E-3</v>
      </c>
      <c r="BZ55" s="124">
        <f t="shared" si="84"/>
        <v>1.2249437485420955E-3</v>
      </c>
      <c r="CA55" s="124">
        <f t="shared" si="84"/>
        <v>1.2571251834672115E-3</v>
      </c>
      <c r="CB55" s="124">
        <f t="shared" si="84"/>
        <v>1.1381549066051821E-3</v>
      </c>
      <c r="CC55" s="397">
        <f t="shared" si="84"/>
        <v>1.2025136718603058E-3</v>
      </c>
      <c r="CD55" s="397">
        <f t="shared" si="85"/>
        <v>1.8082893361137664E-3</v>
      </c>
      <c r="CE55" s="397">
        <f t="shared" si="85"/>
        <v>1.8182806589963629E-3</v>
      </c>
      <c r="CF55" s="397">
        <f t="shared" si="85"/>
        <v>1.8281567009370558E-3</v>
      </c>
      <c r="CG55" s="236"/>
    </row>
    <row r="56" spans="1:85" ht="14.45" customHeight="1" x14ac:dyDescent="0.25">
      <c r="A56" s="111"/>
      <c r="B56" s="136"/>
      <c r="C56" s="444"/>
      <c r="D56" s="444"/>
      <c r="E56" s="444"/>
      <c r="F56" s="444"/>
      <c r="G56" s="137"/>
      <c r="H56" s="137"/>
      <c r="I56" s="137"/>
      <c r="J56" s="137"/>
      <c r="K56" s="444"/>
      <c r="L56" s="137"/>
      <c r="M56" s="137"/>
      <c r="N56" s="137"/>
      <c r="O56" s="137"/>
      <c r="P56" s="444"/>
      <c r="Q56" s="137"/>
      <c r="R56" s="137"/>
      <c r="S56" s="137"/>
      <c r="T56" s="137"/>
      <c r="U56" s="444"/>
      <c r="V56" s="137"/>
      <c r="W56" s="137"/>
      <c r="X56" s="137"/>
      <c r="Y56" s="137"/>
      <c r="Z56" s="444"/>
      <c r="AA56" s="137"/>
      <c r="AB56" s="137"/>
      <c r="AC56" s="137"/>
      <c r="AD56" s="137"/>
      <c r="AE56" s="444"/>
      <c r="AF56" s="137"/>
      <c r="AG56" s="137"/>
      <c r="AH56" s="137"/>
      <c r="AI56" s="137"/>
      <c r="AJ56" s="444"/>
      <c r="AK56" s="137"/>
      <c r="AL56" s="137"/>
      <c r="AM56" s="137"/>
      <c r="AN56" s="137"/>
      <c r="AO56" s="444"/>
      <c r="AP56" s="137"/>
      <c r="AQ56" s="137"/>
      <c r="AR56" s="137"/>
      <c r="AS56" s="137"/>
      <c r="AT56" s="444"/>
      <c r="AU56" s="137"/>
      <c r="AV56" s="137"/>
      <c r="AW56" s="137"/>
      <c r="AX56" s="137"/>
      <c r="AY56" s="444"/>
      <c r="AZ56" s="137"/>
      <c r="BA56" s="137"/>
      <c r="BB56" s="137"/>
      <c r="BC56" s="137"/>
      <c r="BD56" s="444"/>
      <c r="BE56" s="137"/>
      <c r="BF56" s="137"/>
      <c r="BG56" s="137"/>
      <c r="BH56" s="137"/>
      <c r="BI56" s="444"/>
      <c r="BJ56" s="137"/>
      <c r="BK56" s="137"/>
      <c r="BL56" s="137"/>
      <c r="BM56" s="137"/>
      <c r="BN56" s="444"/>
      <c r="BO56" s="137"/>
      <c r="BP56" s="137"/>
      <c r="BQ56" s="137"/>
      <c r="BR56" s="137"/>
      <c r="BS56" s="454"/>
      <c r="BT56" s="137"/>
      <c r="BU56" s="137"/>
      <c r="BV56" s="137"/>
      <c r="BW56" s="137"/>
      <c r="BX56" s="444"/>
      <c r="BY56" s="137"/>
      <c r="BZ56" s="137"/>
      <c r="CA56" s="137"/>
      <c r="CB56" s="137"/>
      <c r="CC56" s="444"/>
      <c r="CD56" s="444"/>
      <c r="CE56" s="444"/>
      <c r="CF56" s="444"/>
      <c r="CG56" s="109"/>
    </row>
    <row r="57" spans="1:85" ht="14.45" customHeight="1" x14ac:dyDescent="0.25">
      <c r="A57" s="148" t="s">
        <v>207</v>
      </c>
      <c r="B57" s="149"/>
      <c r="C57" s="455"/>
      <c r="D57" s="455"/>
      <c r="E57" s="455"/>
      <c r="F57" s="455"/>
      <c r="G57" s="150"/>
      <c r="H57" s="150"/>
      <c r="I57" s="150"/>
      <c r="J57" s="150"/>
      <c r="K57" s="455"/>
      <c r="L57" s="150"/>
      <c r="M57" s="150"/>
      <c r="N57" s="150"/>
      <c r="O57" s="150"/>
      <c r="P57" s="455"/>
      <c r="Q57" s="150"/>
      <c r="R57" s="150"/>
      <c r="S57" s="150"/>
      <c r="T57" s="150"/>
      <c r="U57" s="455"/>
      <c r="V57" s="150"/>
      <c r="W57" s="150"/>
      <c r="X57" s="150"/>
      <c r="Y57" s="150"/>
      <c r="Z57" s="455"/>
      <c r="AA57" s="150">
        <f t="shared" ref="AA57:BS57" si="86">AA19/AA42</f>
        <v>10.30571737897613</v>
      </c>
      <c r="AB57" s="150">
        <f t="shared" si="86"/>
        <v>10.111629764608972</v>
      </c>
      <c r="AC57" s="150">
        <f t="shared" si="86"/>
        <v>10.312210211868306</v>
      </c>
      <c r="AD57" s="150">
        <f t="shared" si="86"/>
        <v>10.050700251296899</v>
      </c>
      <c r="AE57" s="455">
        <f t="shared" si="86"/>
        <v>10.185776408753556</v>
      </c>
      <c r="AF57" s="150">
        <f t="shared" si="86"/>
        <v>9.9733796296296298</v>
      </c>
      <c r="AG57" s="150">
        <f t="shared" si="86"/>
        <v>10.060182853570319</v>
      </c>
      <c r="AH57" s="150">
        <f t="shared" si="86"/>
        <v>10.542320346497092</v>
      </c>
      <c r="AI57" s="150">
        <f t="shared" si="86"/>
        <v>9.1038461477902022</v>
      </c>
      <c r="AJ57" s="455">
        <f t="shared" si="86"/>
        <v>9.9060395412277948</v>
      </c>
      <c r="AK57" s="150">
        <f t="shared" si="86"/>
        <v>10.335532233883058</v>
      </c>
      <c r="AL57" s="150">
        <f t="shared" si="86"/>
        <v>10.632177175513306</v>
      </c>
      <c r="AM57" s="150">
        <f t="shared" si="86"/>
        <v>10.719721795611726</v>
      </c>
      <c r="AN57" s="150">
        <f t="shared" si="86"/>
        <v>10.861818098961306</v>
      </c>
      <c r="AO57" s="455">
        <f t="shared" si="86"/>
        <v>10.643143984728145</v>
      </c>
      <c r="AP57" s="150">
        <f t="shared" si="86"/>
        <v>10.75498031730884</v>
      </c>
      <c r="AQ57" s="150">
        <f t="shared" si="86"/>
        <v>10.583028418099769</v>
      </c>
      <c r="AR57" s="150">
        <f t="shared" si="86"/>
        <v>11.076459243515567</v>
      </c>
      <c r="AS57" s="150">
        <f t="shared" si="86"/>
        <v>11.171814786721475</v>
      </c>
      <c r="AT57" s="455">
        <f t="shared" si="86"/>
        <v>10.898884699075611</v>
      </c>
      <c r="AU57" s="150">
        <f t="shared" si="86"/>
        <v>11.36308799866428</v>
      </c>
      <c r="AV57" s="150">
        <f t="shared" si="86"/>
        <v>11.51273797900903</v>
      </c>
      <c r="AW57" s="150">
        <f t="shared" si="86"/>
        <v>12.255717963953257</v>
      </c>
      <c r="AX57" s="150">
        <f t="shared" si="86"/>
        <v>12.424166988212747</v>
      </c>
      <c r="AY57" s="455">
        <f t="shared" si="86"/>
        <v>11.891944982442881</v>
      </c>
      <c r="AZ57" s="150">
        <f t="shared" si="86"/>
        <v>12.538743836391561</v>
      </c>
      <c r="BA57" s="150">
        <f t="shared" si="86"/>
        <v>12.687954204637212</v>
      </c>
      <c r="BB57" s="150">
        <f t="shared" si="86"/>
        <v>13.868237215350652</v>
      </c>
      <c r="BC57" s="150">
        <f t="shared" si="86"/>
        <v>14.073953170905421</v>
      </c>
      <c r="BD57" s="455">
        <f t="shared" si="86"/>
        <v>13.301123765274708</v>
      </c>
      <c r="BE57" s="150">
        <f t="shared" si="86"/>
        <v>15.013161113557414</v>
      </c>
      <c r="BF57" s="150">
        <f t="shared" si="86"/>
        <v>14.792901325478644</v>
      </c>
      <c r="BG57" s="150">
        <f t="shared" si="86"/>
        <v>14.756954612005856</v>
      </c>
      <c r="BH57" s="150">
        <f t="shared" si="86"/>
        <v>14.708204198584879</v>
      </c>
      <c r="BI57" s="455">
        <f t="shared" si="86"/>
        <v>14.750079584040746</v>
      </c>
      <c r="BJ57" s="150">
        <f t="shared" si="86"/>
        <v>15.408141134579591</v>
      </c>
      <c r="BK57" s="150">
        <f t="shared" si="86"/>
        <v>15.501670065915874</v>
      </c>
      <c r="BL57" s="150">
        <f t="shared" si="86"/>
        <v>15.493778170437698</v>
      </c>
      <c r="BM57" s="150">
        <f t="shared" si="86"/>
        <v>15.37795566152886</v>
      </c>
      <c r="BN57" s="455">
        <f t="shared" si="86"/>
        <v>15.396657492331808</v>
      </c>
      <c r="BO57" s="150">
        <f t="shared" si="86"/>
        <v>15.927902573811595</v>
      </c>
      <c r="BP57" s="150">
        <f t="shared" si="86"/>
        <v>16.002430097648435</v>
      </c>
      <c r="BQ57" s="150">
        <f t="shared" si="86"/>
        <v>16.000280670655144</v>
      </c>
      <c r="BR57" s="150">
        <f t="shared" si="86"/>
        <v>15.806575447640453</v>
      </c>
      <c r="BS57" s="456">
        <f t="shared" si="86"/>
        <v>15.932007242763794</v>
      </c>
      <c r="BT57" s="457">
        <v>15.9</v>
      </c>
      <c r="BU57" s="457">
        <v>15.9</v>
      </c>
      <c r="BV57" s="457">
        <v>15.9</v>
      </c>
      <c r="BW57" s="457">
        <v>15.9</v>
      </c>
      <c r="BX57" s="455">
        <f>BX19/BX42</f>
        <v>15.899999999999997</v>
      </c>
      <c r="BY57" s="457">
        <v>15.9</v>
      </c>
      <c r="BZ57" s="457">
        <v>15.9</v>
      </c>
      <c r="CA57" s="457">
        <v>15.9</v>
      </c>
      <c r="CB57" s="457">
        <v>15.9</v>
      </c>
      <c r="CC57" s="455">
        <f>CC19/CC42</f>
        <v>15.899999999999999</v>
      </c>
      <c r="CD57" s="458">
        <v>15.9</v>
      </c>
      <c r="CE57" s="458">
        <v>15.9</v>
      </c>
      <c r="CF57" s="458">
        <v>15.9</v>
      </c>
      <c r="CG57" s="459"/>
    </row>
    <row r="58" spans="1:85" ht="14.45" customHeight="1" x14ac:dyDescent="0.25">
      <c r="A58" s="151" t="s">
        <v>208</v>
      </c>
      <c r="B58" s="152"/>
      <c r="C58" s="460"/>
      <c r="D58" s="460"/>
      <c r="E58" s="460"/>
      <c r="F58" s="460"/>
      <c r="G58" s="153"/>
      <c r="H58" s="153"/>
      <c r="I58" s="153"/>
      <c r="J58" s="153"/>
      <c r="K58" s="460"/>
      <c r="L58" s="153"/>
      <c r="M58" s="153"/>
      <c r="N58" s="153"/>
      <c r="O58" s="153"/>
      <c r="P58" s="460"/>
      <c r="Q58" s="153"/>
      <c r="R58" s="153"/>
      <c r="S58" s="153"/>
      <c r="T58" s="153"/>
      <c r="U58" s="460"/>
      <c r="V58" s="153"/>
      <c r="W58" s="153"/>
      <c r="X58" s="153"/>
      <c r="Y58" s="153"/>
      <c r="Z58" s="460"/>
      <c r="AA58" s="153">
        <f t="shared" ref="AA58:BS58" si="87">AA20/AA43</f>
        <v>13.731713072203869</v>
      </c>
      <c r="AB58" s="153">
        <f t="shared" si="87"/>
        <v>12.987486139711708</v>
      </c>
      <c r="AC58" s="153">
        <f t="shared" si="87"/>
        <v>12.692452431568803</v>
      </c>
      <c r="AD58" s="153">
        <f t="shared" si="87"/>
        <v>14.346962738635478</v>
      </c>
      <c r="AE58" s="460">
        <f t="shared" si="87"/>
        <v>13.338842692537515</v>
      </c>
      <c r="AF58" s="153">
        <f t="shared" si="87"/>
        <v>14.694001831501827</v>
      </c>
      <c r="AG58" s="153">
        <f t="shared" si="87"/>
        <v>14.686823843316628</v>
      </c>
      <c r="AH58" s="153">
        <f t="shared" si="87"/>
        <v>14.356458696010376</v>
      </c>
      <c r="AI58" s="153">
        <f t="shared" si="87"/>
        <v>18.399665801946384</v>
      </c>
      <c r="AJ58" s="460">
        <f t="shared" si="87"/>
        <v>15.342926674646636</v>
      </c>
      <c r="AK58" s="153">
        <f t="shared" si="87"/>
        <v>15.982097186700765</v>
      </c>
      <c r="AL58" s="153">
        <f t="shared" si="87"/>
        <v>15.420218799165781</v>
      </c>
      <c r="AM58" s="153">
        <f t="shared" si="87"/>
        <v>14.984725155311343</v>
      </c>
      <c r="AN58" s="153">
        <f t="shared" si="87"/>
        <v>15.820294062641928</v>
      </c>
      <c r="AO58" s="460">
        <f t="shared" si="87"/>
        <v>15.50299529821714</v>
      </c>
      <c r="AP58" s="153">
        <f t="shared" si="87"/>
        <v>15.349233109914058</v>
      </c>
      <c r="AQ58" s="153">
        <f t="shared" si="87"/>
        <v>15.565508859965503</v>
      </c>
      <c r="AR58" s="153">
        <f t="shared" si="87"/>
        <v>15.202190795389523</v>
      </c>
      <c r="AS58" s="153">
        <f t="shared" si="87"/>
        <v>16.208503969662267</v>
      </c>
      <c r="AT58" s="460">
        <f t="shared" si="87"/>
        <v>15.563177333363665</v>
      </c>
      <c r="AU58" s="153">
        <f t="shared" si="87"/>
        <v>16.275373605638276</v>
      </c>
      <c r="AV58" s="153">
        <f t="shared" si="87"/>
        <v>16.175765041493779</v>
      </c>
      <c r="AW58" s="153">
        <f t="shared" si="87"/>
        <v>16.585438091320448</v>
      </c>
      <c r="AX58" s="153">
        <f t="shared" si="87"/>
        <v>17.55087488783489</v>
      </c>
      <c r="AY58" s="460">
        <f t="shared" si="87"/>
        <v>16.616330976358832</v>
      </c>
      <c r="AZ58" s="153">
        <f t="shared" si="87"/>
        <v>20.15128547435511</v>
      </c>
      <c r="BA58" s="153">
        <f t="shared" si="87"/>
        <v>19.943413660555887</v>
      </c>
      <c r="BB58" s="153">
        <f t="shared" si="87"/>
        <v>20.303365794053391</v>
      </c>
      <c r="BC58" s="153">
        <f t="shared" si="87"/>
        <v>23.205433273844939</v>
      </c>
      <c r="BD58" s="460">
        <f t="shared" si="87"/>
        <v>20.728328681661466</v>
      </c>
      <c r="BE58" s="153">
        <f t="shared" si="87"/>
        <v>24.092469153311587</v>
      </c>
      <c r="BF58" s="153">
        <f t="shared" si="87"/>
        <v>23.266720746298923</v>
      </c>
      <c r="BG58" s="153">
        <f t="shared" si="87"/>
        <v>22.545760588741874</v>
      </c>
      <c r="BH58" s="153">
        <f t="shared" si="87"/>
        <v>24.258974231666745</v>
      </c>
      <c r="BI58" s="460">
        <f t="shared" si="87"/>
        <v>23.494606262637301</v>
      </c>
      <c r="BJ58" s="153">
        <f t="shared" si="87"/>
        <v>25.171799665453115</v>
      </c>
      <c r="BK58" s="153">
        <f t="shared" si="87"/>
        <v>25.113908620907065</v>
      </c>
      <c r="BL58" s="153">
        <f t="shared" si="87"/>
        <v>25.371652656209381</v>
      </c>
      <c r="BM58" s="153">
        <f t="shared" si="87"/>
        <v>27.640203932993451</v>
      </c>
      <c r="BN58" s="460">
        <f t="shared" si="87"/>
        <v>25.773204346367034</v>
      </c>
      <c r="BO58" s="153">
        <f t="shared" si="87"/>
        <v>28.133329649685049</v>
      </c>
      <c r="BP58" s="153">
        <f t="shared" si="87"/>
        <v>26.964038072268398</v>
      </c>
      <c r="BQ58" s="153">
        <f t="shared" si="87"/>
        <v>25.606520181514213</v>
      </c>
      <c r="BR58" s="153">
        <f t="shared" si="87"/>
        <v>28.015340364333632</v>
      </c>
      <c r="BS58" s="461">
        <f t="shared" si="87"/>
        <v>27.066438332626948</v>
      </c>
      <c r="BT58" s="462">
        <v>28.2</v>
      </c>
      <c r="BU58" s="462">
        <v>28.2</v>
      </c>
      <c r="BV58" s="462">
        <v>28.2</v>
      </c>
      <c r="BW58" s="462">
        <v>28.2</v>
      </c>
      <c r="BX58" s="460">
        <f>BX20/BX43</f>
        <v>28.2</v>
      </c>
      <c r="BY58" s="462">
        <v>28.2</v>
      </c>
      <c r="BZ58" s="462">
        <v>28.2</v>
      </c>
      <c r="CA58" s="462">
        <v>28.2</v>
      </c>
      <c r="CB58" s="462">
        <v>28.2</v>
      </c>
      <c r="CC58" s="460">
        <f>CC20/CC43</f>
        <v>28.2</v>
      </c>
      <c r="CD58" s="463">
        <v>28.2</v>
      </c>
      <c r="CE58" s="463">
        <v>28.2</v>
      </c>
      <c r="CF58" s="463">
        <v>28.2</v>
      </c>
      <c r="CG58" s="459"/>
    </row>
    <row r="59" spans="1:85" ht="14.45" customHeight="1" x14ac:dyDescent="0.25">
      <c r="A59" s="154" t="s">
        <v>209</v>
      </c>
      <c r="B59" s="155"/>
      <c r="C59" s="464"/>
      <c r="D59" s="464"/>
      <c r="E59" s="464"/>
      <c r="F59" s="464"/>
      <c r="G59" s="156"/>
      <c r="H59" s="156"/>
      <c r="I59" s="156"/>
      <c r="J59" s="156"/>
      <c r="K59" s="464"/>
      <c r="L59" s="156"/>
      <c r="M59" s="156"/>
      <c r="N59" s="156"/>
      <c r="O59" s="156"/>
      <c r="P59" s="464"/>
      <c r="Q59" s="156"/>
      <c r="R59" s="156"/>
      <c r="S59" s="156"/>
      <c r="T59" s="156"/>
      <c r="U59" s="464"/>
      <c r="V59" s="156"/>
      <c r="W59" s="156"/>
      <c r="X59" s="156"/>
      <c r="Y59" s="156"/>
      <c r="Z59" s="464"/>
      <c r="AA59" s="156">
        <f t="shared" ref="AA59:BS59" si="88">AA21/AA44</f>
        <v>11.285552147239263</v>
      </c>
      <c r="AB59" s="156">
        <f t="shared" si="88"/>
        <v>11.034779661016948</v>
      </c>
      <c r="AC59" s="156">
        <f t="shared" si="88"/>
        <v>11.142914746543779</v>
      </c>
      <c r="AD59" s="157">
        <f t="shared" si="88"/>
        <v>11.188343337334937</v>
      </c>
      <c r="AE59" s="465">
        <f t="shared" si="88"/>
        <v>11.153767757875231</v>
      </c>
      <c r="AF59" s="156">
        <f t="shared" si="88"/>
        <v>11.295153846153845</v>
      </c>
      <c r="AG59" s="156">
        <f t="shared" si="88"/>
        <v>11.434295227524974</v>
      </c>
      <c r="AH59" s="156">
        <f t="shared" si="88"/>
        <v>11.770472895040369</v>
      </c>
      <c r="AI59" s="157">
        <f t="shared" si="88"/>
        <v>11.278069963811825</v>
      </c>
      <c r="AJ59" s="465">
        <f t="shared" si="88"/>
        <v>11.450115487118746</v>
      </c>
      <c r="AK59" s="156">
        <f t="shared" si="88"/>
        <v>11.888337595907927</v>
      </c>
      <c r="AL59" s="156">
        <f t="shared" si="88"/>
        <v>12.078165745856355</v>
      </c>
      <c r="AM59" s="156">
        <f t="shared" si="88"/>
        <v>12.097317880794701</v>
      </c>
      <c r="AN59" s="157">
        <f t="shared" si="88"/>
        <v>12.189070321811679</v>
      </c>
      <c r="AO59" s="465">
        <f t="shared" si="88"/>
        <v>12.067080419580421</v>
      </c>
      <c r="AP59" s="156">
        <f t="shared" si="88"/>
        <v>12.101096385542169</v>
      </c>
      <c r="AQ59" s="156">
        <f t="shared" si="88"/>
        <v>11.978122941822175</v>
      </c>
      <c r="AR59" s="156">
        <f t="shared" si="88"/>
        <v>12.417321997874602</v>
      </c>
      <c r="AS59" s="157">
        <f t="shared" si="88"/>
        <v>12.565949227373064</v>
      </c>
      <c r="AT59" s="465">
        <f t="shared" si="88"/>
        <v>12.270186733556297</v>
      </c>
      <c r="AU59" s="156">
        <f t="shared" si="88"/>
        <v>12.822036823935557</v>
      </c>
      <c r="AV59" s="156">
        <f t="shared" si="88"/>
        <v>13.004906639004149</v>
      </c>
      <c r="AW59" s="156">
        <f t="shared" si="88"/>
        <v>13.662877005347594</v>
      </c>
      <c r="AX59" s="157">
        <f t="shared" si="88"/>
        <v>13.858330718544087</v>
      </c>
      <c r="AY59" s="465">
        <f t="shared" si="88"/>
        <v>13.337619796959862</v>
      </c>
      <c r="AZ59" s="156">
        <f t="shared" si="88"/>
        <v>14.616542855799519</v>
      </c>
      <c r="BA59" s="156">
        <f t="shared" si="88"/>
        <v>14.724130777528835</v>
      </c>
      <c r="BB59" s="156">
        <f t="shared" si="88"/>
        <v>15.734155742369094</v>
      </c>
      <c r="BC59" s="157">
        <f t="shared" si="88"/>
        <v>16.134538519516703</v>
      </c>
      <c r="BD59" s="465">
        <f t="shared" si="88"/>
        <v>15.299587786554605</v>
      </c>
      <c r="BE59" s="156">
        <f t="shared" si="88"/>
        <v>17.341942524554383</v>
      </c>
      <c r="BF59" s="156">
        <f t="shared" si="88"/>
        <v>17.05017557128194</v>
      </c>
      <c r="BG59" s="156">
        <f t="shared" si="88"/>
        <v>16.924485549636699</v>
      </c>
      <c r="BH59" s="157">
        <f t="shared" si="88"/>
        <v>16.713377378733981</v>
      </c>
      <c r="BI59" s="465">
        <f t="shared" si="88"/>
        <v>17.001499857893389</v>
      </c>
      <c r="BJ59" s="156">
        <f t="shared" si="88"/>
        <v>17.825066069101585</v>
      </c>
      <c r="BK59" s="156">
        <f t="shared" si="88"/>
        <v>18.002241588575551</v>
      </c>
      <c r="BL59" s="156">
        <f t="shared" si="88"/>
        <v>18.030659143769682</v>
      </c>
      <c r="BM59" s="157">
        <f t="shared" si="88"/>
        <v>17.875847457627135</v>
      </c>
      <c r="BN59" s="465">
        <f t="shared" si="88"/>
        <v>17.936171598655353</v>
      </c>
      <c r="BO59" s="156">
        <f t="shared" si="88"/>
        <v>18.806860687893437</v>
      </c>
      <c r="BP59" s="156">
        <f t="shared" si="88"/>
        <v>18.808391947610964</v>
      </c>
      <c r="BQ59" s="156">
        <f t="shared" si="88"/>
        <v>18.600321061874443</v>
      </c>
      <c r="BR59" s="157">
        <f t="shared" si="88"/>
        <v>18.521354399880593</v>
      </c>
      <c r="BS59" s="466">
        <f t="shared" si="88"/>
        <v>18.677467462039044</v>
      </c>
      <c r="BT59" s="156">
        <f>BT21/BT44</f>
        <v>18.823272867309086</v>
      </c>
      <c r="BU59" s="156">
        <f>BU21/BU44</f>
        <v>19.071814749738817</v>
      </c>
      <c r="BV59" s="156">
        <f>BV21/BV44</f>
        <v>19.253232971217805</v>
      </c>
      <c r="BW59" s="156">
        <f>BW21/BW44</f>
        <v>18.656549813555014</v>
      </c>
      <c r="BX59" s="464">
        <f>BX21/BX44</f>
        <v>18.955540124998304</v>
      </c>
      <c r="BY59" s="156">
        <f>BY21/BY44</f>
        <v>18.845394829433026</v>
      </c>
      <c r="BZ59" s="156">
        <f>BZ21/BZ44</f>
        <v>19.095176649989863</v>
      </c>
      <c r="CA59" s="156">
        <f>CA21/CA44</f>
        <v>19.277436695249087</v>
      </c>
      <c r="CB59" s="156">
        <f>CB21/CB44</f>
        <v>18.677783857265634</v>
      </c>
      <c r="CC59" s="464">
        <f>CC21/CC44</f>
        <v>18.978334421156113</v>
      </c>
      <c r="CD59" s="464">
        <f>CD21/CD44</f>
        <v>19.01265274090709</v>
      </c>
      <c r="CE59" s="464">
        <f>CE21/CE44</f>
        <v>19.047223079662096</v>
      </c>
      <c r="CF59" s="464">
        <f>CF21/CF44</f>
        <v>19.082044388169425</v>
      </c>
      <c r="CG59" s="167"/>
    </row>
    <row r="60" spans="1:85" ht="14.45" customHeight="1" x14ac:dyDescent="0.25">
      <c r="A60" s="111"/>
      <c r="B60" s="108"/>
      <c r="C60" s="423"/>
      <c r="D60" s="423"/>
      <c r="E60" s="423"/>
      <c r="F60" s="423"/>
      <c r="G60" s="112"/>
      <c r="H60" s="112"/>
      <c r="I60" s="112"/>
      <c r="J60" s="112"/>
      <c r="K60" s="423"/>
      <c r="L60" s="112"/>
      <c r="M60" s="112"/>
      <c r="N60" s="112"/>
      <c r="O60" s="112"/>
      <c r="P60" s="423"/>
      <c r="Q60" s="112"/>
      <c r="R60" s="112"/>
      <c r="S60" s="112"/>
      <c r="T60" s="112"/>
      <c r="U60" s="423"/>
      <c r="V60" s="112"/>
      <c r="W60" s="112"/>
      <c r="X60" s="112"/>
      <c r="Y60" s="112"/>
      <c r="Z60" s="423"/>
      <c r="AA60" s="112"/>
      <c r="AB60" s="112"/>
      <c r="AC60" s="112"/>
      <c r="AD60" s="112"/>
      <c r="AE60" s="423"/>
      <c r="AF60" s="112"/>
      <c r="AG60" s="112"/>
      <c r="AH60" s="112"/>
      <c r="AI60" s="112"/>
      <c r="AJ60" s="423"/>
      <c r="AK60" s="112"/>
      <c r="AL60" s="112"/>
      <c r="AM60" s="112"/>
      <c r="AN60" s="112"/>
      <c r="AO60" s="423"/>
      <c r="AP60" s="112"/>
      <c r="AQ60" s="112"/>
      <c r="AR60" s="112"/>
      <c r="AS60" s="112"/>
      <c r="AT60" s="423"/>
      <c r="AU60" s="112"/>
      <c r="AV60" s="112"/>
      <c r="AW60" s="112"/>
      <c r="AX60" s="112"/>
      <c r="AY60" s="423"/>
      <c r="AZ60" s="112"/>
      <c r="BA60" s="112"/>
      <c r="BB60" s="112"/>
      <c r="BC60" s="112"/>
      <c r="BD60" s="423"/>
      <c r="BE60" s="112"/>
      <c r="BF60" s="112"/>
      <c r="BG60" s="112"/>
      <c r="BH60" s="112"/>
      <c r="BI60" s="423"/>
      <c r="BJ60" s="112"/>
      <c r="BK60" s="112"/>
      <c r="BL60" s="112"/>
      <c r="BM60" s="112"/>
      <c r="BN60" s="423"/>
      <c r="BO60" s="112"/>
      <c r="BP60" s="112"/>
      <c r="BQ60" s="112"/>
      <c r="BR60" s="112"/>
      <c r="BS60" s="424"/>
      <c r="BT60" s="112"/>
      <c r="BU60" s="112"/>
      <c r="BV60" s="112"/>
      <c r="BW60" s="112"/>
      <c r="BX60" s="423"/>
      <c r="BY60" s="112"/>
      <c r="BZ60" s="112"/>
      <c r="CA60" s="112"/>
      <c r="CB60" s="112"/>
      <c r="CC60" s="423"/>
      <c r="CD60" s="423"/>
      <c r="CE60" s="423"/>
      <c r="CF60" s="423"/>
      <c r="CG60" s="109"/>
    </row>
    <row r="61" spans="1:85" ht="14.45" customHeight="1" x14ac:dyDescent="0.25">
      <c r="A61" s="95" t="s">
        <v>210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409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109"/>
    </row>
    <row r="62" spans="1:85" ht="14.45" hidden="1" customHeight="1" x14ac:dyDescent="0.25">
      <c r="A62" s="125" t="s">
        <v>211</v>
      </c>
      <c r="B62" s="97"/>
      <c r="C62" s="413"/>
      <c r="D62" s="413"/>
      <c r="E62" s="413"/>
      <c r="F62" s="413"/>
      <c r="G62" s="63"/>
      <c r="H62" s="63"/>
      <c r="I62" s="63"/>
      <c r="J62" s="63"/>
      <c r="K62" s="413"/>
      <c r="L62" s="63"/>
      <c r="M62" s="63"/>
      <c r="N62" s="63"/>
      <c r="O62" s="63"/>
      <c r="P62" s="413"/>
      <c r="Q62" s="63"/>
      <c r="R62" s="63"/>
      <c r="S62" s="63"/>
      <c r="T62" s="63"/>
      <c r="U62" s="413"/>
      <c r="V62" s="63"/>
      <c r="W62" s="63"/>
      <c r="X62" s="63"/>
      <c r="Y62" s="63"/>
      <c r="Z62" s="413"/>
      <c r="AA62" s="63"/>
      <c r="AB62" s="63"/>
      <c r="AC62" s="63"/>
      <c r="AD62" s="63"/>
      <c r="AE62" s="413"/>
      <c r="AF62" s="98">
        <v>1031.808</v>
      </c>
      <c r="AG62" s="98">
        <v>1183.0830000000001</v>
      </c>
      <c r="AH62" s="98">
        <v>1160.6479999999999</v>
      </c>
      <c r="AI62" s="99">
        <f>AJ62-SUM(AF62,AG62,AH62)</f>
        <v>1092.4059999999999</v>
      </c>
      <c r="AJ62" s="410">
        <v>4467.9449999999997</v>
      </c>
      <c r="AK62" s="98">
        <v>1060.271</v>
      </c>
      <c r="AL62" s="98">
        <v>1227.9770000000001</v>
      </c>
      <c r="AM62" s="98">
        <v>1224.653</v>
      </c>
      <c r="AN62" s="99">
        <f>AO62-SUM(AK62,AL62,AM62)</f>
        <v>1136.1360000000004</v>
      </c>
      <c r="AO62" s="410">
        <v>4649.0370000000003</v>
      </c>
      <c r="AP62" s="98">
        <v>1132.4749999999999</v>
      </c>
      <c r="AQ62" s="98">
        <v>1188.4849999999999</v>
      </c>
      <c r="AR62" s="98">
        <v>1286.5419999999999</v>
      </c>
      <c r="AS62" s="99">
        <f>AT62-SUM(AP62,AQ62,AR62)</f>
        <v>1235.4320000000002</v>
      </c>
      <c r="AT62" s="410">
        <v>4842.9340000000002</v>
      </c>
      <c r="AU62" s="98">
        <v>1225.212</v>
      </c>
      <c r="AV62" s="98">
        <v>1388.991</v>
      </c>
      <c r="AW62" s="98">
        <v>1415.643</v>
      </c>
      <c r="AX62" s="99">
        <f>AY62-SUM(AU62,AV62,AW62)</f>
        <v>1359.5980000000004</v>
      </c>
      <c r="AY62" s="410">
        <v>5389.4440000000004</v>
      </c>
      <c r="AZ62" s="98">
        <v>1362.251</v>
      </c>
      <c r="BA62" s="98">
        <v>1550.2550000000001</v>
      </c>
      <c r="BB62" s="98">
        <v>1587.771</v>
      </c>
      <c r="BC62" s="99">
        <f>BD62-SUM(AZ62,BA62,BB62)</f>
        <v>1534.6369999999997</v>
      </c>
      <c r="BD62" s="410">
        <v>6034.9139999999998</v>
      </c>
      <c r="BE62" s="98">
        <v>1533.288</v>
      </c>
      <c r="BF62" s="98">
        <v>1701.49</v>
      </c>
      <c r="BG62" s="98">
        <v>1677.221</v>
      </c>
      <c r="BH62" s="99">
        <f>BI62-SUM(BE62,BF62,BG62)</f>
        <v>1598.1559999999999</v>
      </c>
      <c r="BI62" s="410">
        <v>6510.1549999999997</v>
      </c>
      <c r="BJ62" s="98">
        <v>1561.145</v>
      </c>
      <c r="BK62" s="98">
        <v>1766.3910000000001</v>
      </c>
      <c r="BL62" s="98">
        <v>1736.2860000000001</v>
      </c>
      <c r="BM62" s="99">
        <f>BN62-SUM(BJ62,BK62,BL62)</f>
        <v>1717.9219999999996</v>
      </c>
      <c r="BN62" s="410">
        <v>6781.7439999999997</v>
      </c>
      <c r="BO62" s="98">
        <v>1555.7650000000001</v>
      </c>
      <c r="BP62" s="98">
        <v>1831.13</v>
      </c>
      <c r="BQ62" s="98">
        <v>1861.7940000000001</v>
      </c>
      <c r="BR62" s="99">
        <f>BS62-SUM(BO62,BP62,BQ62)</f>
        <v>1877.6149999999998</v>
      </c>
      <c r="BS62" s="419">
        <v>7126.3040000000001</v>
      </c>
      <c r="BT62" s="63"/>
      <c r="BU62" s="63"/>
      <c r="BV62" s="63"/>
      <c r="BW62" s="63"/>
      <c r="BX62" s="413"/>
      <c r="BY62" s="63"/>
      <c r="BZ62" s="63"/>
      <c r="CA62" s="63"/>
      <c r="CB62" s="63"/>
      <c r="CC62" s="413"/>
      <c r="CD62" s="413"/>
      <c r="CE62" s="413"/>
      <c r="CF62" s="413"/>
      <c r="CG62" s="99"/>
    </row>
    <row r="63" spans="1:85" ht="14.45" hidden="1" customHeight="1" x14ac:dyDescent="0.25">
      <c r="A63" s="96" t="s">
        <v>212</v>
      </c>
      <c r="B63" s="97"/>
      <c r="C63" s="413"/>
      <c r="D63" s="413"/>
      <c r="E63" s="413"/>
      <c r="F63" s="413"/>
      <c r="G63" s="63"/>
      <c r="H63" s="63"/>
      <c r="I63" s="63"/>
      <c r="J63" s="63"/>
      <c r="K63" s="413"/>
      <c r="L63" s="63"/>
      <c r="M63" s="63"/>
      <c r="N63" s="63"/>
      <c r="O63" s="63"/>
      <c r="P63" s="413"/>
      <c r="Q63" s="63"/>
      <c r="R63" s="63"/>
      <c r="S63" s="63"/>
      <c r="T63" s="63"/>
      <c r="U63" s="413"/>
      <c r="V63" s="63"/>
      <c r="W63" s="63"/>
      <c r="X63" s="63"/>
      <c r="Y63" s="63"/>
      <c r="Z63" s="413"/>
      <c r="AA63" s="63"/>
      <c r="AB63" s="63"/>
      <c r="AC63" s="63"/>
      <c r="AD63" s="63"/>
      <c r="AE63" s="413"/>
      <c r="AF63" s="98">
        <v>8.6140000000000008</v>
      </c>
      <c r="AG63" s="98">
        <v>9.1989999999999998</v>
      </c>
      <c r="AH63" s="98">
        <v>11.936</v>
      </c>
      <c r="AI63" s="99">
        <f>AJ63-SUM(AF63,AG63,AH63)</f>
        <v>14.623999999999995</v>
      </c>
      <c r="AJ63" s="410">
        <v>44.372999999999998</v>
      </c>
      <c r="AK63" s="98">
        <v>11.956</v>
      </c>
      <c r="AL63" s="98">
        <v>10.907999999999999</v>
      </c>
      <c r="AM63" s="98">
        <v>11.608000000000001</v>
      </c>
      <c r="AN63" s="99">
        <f>AO63-SUM(AK63,AL63,AM63)</f>
        <v>10.919000000000004</v>
      </c>
      <c r="AO63" s="410">
        <v>45.390999999999998</v>
      </c>
      <c r="AP63" s="98">
        <v>10.106</v>
      </c>
      <c r="AQ63" s="98">
        <v>7.0389999999999997</v>
      </c>
      <c r="AR63" s="98">
        <v>8.7289999999999992</v>
      </c>
      <c r="AS63" s="99">
        <f>AT63-SUM(AP63,AQ63,AR63)</f>
        <v>10.361999999999998</v>
      </c>
      <c r="AT63" s="410">
        <v>36.235999999999997</v>
      </c>
      <c r="AU63" s="98">
        <v>9.8780000000000001</v>
      </c>
      <c r="AV63" s="98">
        <v>10.923999999999999</v>
      </c>
      <c r="AW63" s="98">
        <v>11.327999999999999</v>
      </c>
      <c r="AX63" s="99">
        <f>AY63-SUM(AU63,AV63,AW63)</f>
        <v>11.095000000000006</v>
      </c>
      <c r="AY63" s="410">
        <v>43.225000000000001</v>
      </c>
      <c r="AZ63" s="98">
        <v>10.97</v>
      </c>
      <c r="BA63" s="98">
        <v>11.759</v>
      </c>
      <c r="BB63" s="98">
        <v>12.294</v>
      </c>
      <c r="BC63" s="99">
        <f>BD63-SUM(AZ63,BA63,BB63)</f>
        <v>11.420000000000002</v>
      </c>
      <c r="BD63" s="410">
        <v>46.442999999999998</v>
      </c>
      <c r="BE63" s="98">
        <v>12.124000000000001</v>
      </c>
      <c r="BF63" s="98">
        <v>13.372</v>
      </c>
      <c r="BG63" s="98">
        <v>13.839</v>
      </c>
      <c r="BH63" s="99">
        <f>BI63-SUM(BE63,BF63,BG63)</f>
        <v>13.131999999999998</v>
      </c>
      <c r="BI63" s="410">
        <v>52.466999999999999</v>
      </c>
      <c r="BJ63" s="98">
        <v>13.567</v>
      </c>
      <c r="BK63" s="98">
        <v>13.760999999999999</v>
      </c>
      <c r="BL63" s="98">
        <v>15.209</v>
      </c>
      <c r="BM63" s="99">
        <f>BN63-SUM(BJ63,BK63,BL63)</f>
        <v>14.764000000000003</v>
      </c>
      <c r="BN63" s="410">
        <v>57.301000000000002</v>
      </c>
      <c r="BO63" s="98">
        <v>13.234999999999999</v>
      </c>
      <c r="BP63" s="98">
        <v>13.930999999999999</v>
      </c>
      <c r="BQ63" s="98">
        <v>15.205</v>
      </c>
      <c r="BR63" s="99">
        <f>BS63-SUM(BO63,BP63,BQ63)</f>
        <v>15.107000000000006</v>
      </c>
      <c r="BS63" s="419">
        <v>57.478000000000002</v>
      </c>
      <c r="BT63" s="63"/>
      <c r="BU63" s="63"/>
      <c r="BV63" s="63"/>
      <c r="BW63" s="63"/>
      <c r="BX63" s="413"/>
      <c r="BY63" s="63"/>
      <c r="BZ63" s="63"/>
      <c r="CA63" s="63"/>
      <c r="CB63" s="63"/>
      <c r="CC63" s="413"/>
      <c r="CD63" s="413"/>
      <c r="CE63" s="413"/>
      <c r="CF63" s="413"/>
      <c r="CG63" s="99"/>
    </row>
    <row r="64" spans="1:85" ht="14.45" hidden="1" customHeight="1" x14ac:dyDescent="0.25">
      <c r="A64" s="100" t="s">
        <v>213</v>
      </c>
      <c r="B64" s="101"/>
      <c r="C64" s="415"/>
      <c r="D64" s="415"/>
      <c r="E64" s="415"/>
      <c r="F64" s="415"/>
      <c r="G64" s="158"/>
      <c r="H64" s="158"/>
      <c r="I64" s="158"/>
      <c r="J64" s="158"/>
      <c r="K64" s="415"/>
      <c r="L64" s="158"/>
      <c r="M64" s="158"/>
      <c r="N64" s="158"/>
      <c r="O64" s="158"/>
      <c r="P64" s="415"/>
      <c r="Q64" s="158"/>
      <c r="R64" s="158"/>
      <c r="S64" s="158"/>
      <c r="T64" s="158"/>
      <c r="U64" s="415"/>
      <c r="V64" s="158"/>
      <c r="W64" s="158"/>
      <c r="X64" s="158"/>
      <c r="Y64" s="158"/>
      <c r="Z64" s="415"/>
      <c r="AA64" s="158"/>
      <c r="AB64" s="158"/>
      <c r="AC64" s="158"/>
      <c r="AD64" s="158"/>
      <c r="AE64" s="415"/>
      <c r="AF64" s="102">
        <v>24.335000000000001</v>
      </c>
      <c r="AG64" s="102">
        <v>27.721</v>
      </c>
      <c r="AH64" s="102">
        <v>31.449000000000002</v>
      </c>
      <c r="AI64" s="103">
        <f>AJ64-SUM(AF64,AG64,AH64)</f>
        <v>29.541000000000011</v>
      </c>
      <c r="AJ64" s="414">
        <v>113.04600000000001</v>
      </c>
      <c r="AK64" s="102">
        <v>30.684999999999999</v>
      </c>
      <c r="AL64" s="102">
        <v>34.774000000000001</v>
      </c>
      <c r="AM64" s="102">
        <v>34.768000000000001</v>
      </c>
      <c r="AN64" s="103">
        <f>AO64-SUM(AK64,AL64,AM64)</f>
        <v>31.894000000000005</v>
      </c>
      <c r="AO64" s="414">
        <v>132.12100000000001</v>
      </c>
      <c r="AP64" s="102">
        <v>30.44</v>
      </c>
      <c r="AQ64" s="102">
        <v>31.690999999999999</v>
      </c>
      <c r="AR64" s="102">
        <v>33.213000000000001</v>
      </c>
      <c r="AS64" s="103">
        <f>AT64-SUM(AP64,AQ64,AR64)</f>
        <v>32.843000000000018</v>
      </c>
      <c r="AT64" s="414">
        <v>128.18700000000001</v>
      </c>
      <c r="AU64" s="102">
        <v>34.767000000000003</v>
      </c>
      <c r="AV64" s="102">
        <v>33.170999999999999</v>
      </c>
      <c r="AW64" s="102">
        <v>30.460999999999999</v>
      </c>
      <c r="AX64" s="103">
        <f>AY64-SUM(AU64,AV64,AW64)</f>
        <v>31.645999999999987</v>
      </c>
      <c r="AY64" s="414">
        <v>130.04499999999999</v>
      </c>
      <c r="AZ64" s="102">
        <v>31.137</v>
      </c>
      <c r="BA64" s="102">
        <v>33.201000000000001</v>
      </c>
      <c r="BB64" s="102">
        <v>28.524000000000001</v>
      </c>
      <c r="BC64" s="103">
        <f>BD64-SUM(AZ64,BA64,BB64)</f>
        <v>26.738</v>
      </c>
      <c r="BD64" s="414">
        <v>119.6</v>
      </c>
      <c r="BE64" s="102">
        <v>26.23</v>
      </c>
      <c r="BF64" s="102">
        <v>23.97</v>
      </c>
      <c r="BG64" s="102">
        <v>21.367999999999999</v>
      </c>
      <c r="BH64" s="103">
        <f>BI64-SUM(BE64,BF64,BG64)</f>
        <v>19.668000000000006</v>
      </c>
      <c r="BI64" s="414">
        <v>91.236000000000004</v>
      </c>
      <c r="BJ64" s="102">
        <v>16.914000000000001</v>
      </c>
      <c r="BK64" s="102">
        <v>15.791</v>
      </c>
      <c r="BL64" s="102">
        <v>14.157</v>
      </c>
      <c r="BM64" s="103">
        <f>BN64-SUM(BJ64,BK64,BL64)</f>
        <v>13.809000000000005</v>
      </c>
      <c r="BN64" s="414">
        <v>60.670999999999999</v>
      </c>
      <c r="BO64" s="102">
        <v>10.977</v>
      </c>
      <c r="BP64" s="102">
        <v>10.458</v>
      </c>
      <c r="BQ64" s="102">
        <v>11.318</v>
      </c>
      <c r="BR64" s="103">
        <f>BS64-SUM(BO64,BP64,BQ64)</f>
        <v>11.520000000000003</v>
      </c>
      <c r="BS64" s="420">
        <v>44.273000000000003</v>
      </c>
      <c r="BT64" s="158"/>
      <c r="BU64" s="158"/>
      <c r="BV64" s="158"/>
      <c r="BW64" s="158"/>
      <c r="BX64" s="415"/>
      <c r="BY64" s="158"/>
      <c r="BZ64" s="158"/>
      <c r="CA64" s="158"/>
      <c r="CB64" s="158"/>
      <c r="CC64" s="415"/>
      <c r="CD64" s="415"/>
      <c r="CE64" s="415"/>
      <c r="CF64" s="415"/>
      <c r="CG64" s="99"/>
    </row>
    <row r="65" spans="1:85" ht="14.45" hidden="1" customHeight="1" x14ac:dyDescent="0.25">
      <c r="A65" s="125" t="s">
        <v>214</v>
      </c>
      <c r="B65" s="97"/>
      <c r="C65" s="413"/>
      <c r="D65" s="413"/>
      <c r="E65" s="413"/>
      <c r="F65" s="413"/>
      <c r="G65" s="63"/>
      <c r="H65" s="63"/>
      <c r="I65" s="63"/>
      <c r="J65" s="63"/>
      <c r="K65" s="413"/>
      <c r="L65" s="63"/>
      <c r="M65" s="63"/>
      <c r="N65" s="63"/>
      <c r="O65" s="63"/>
      <c r="P65" s="413"/>
      <c r="Q65" s="63"/>
      <c r="R65" s="63"/>
      <c r="S65" s="63"/>
      <c r="T65" s="63"/>
      <c r="U65" s="413"/>
      <c r="V65" s="63"/>
      <c r="W65" s="63"/>
      <c r="X65" s="63"/>
      <c r="Y65" s="63"/>
      <c r="Z65" s="413"/>
      <c r="AA65" s="63"/>
      <c r="AB65" s="63"/>
      <c r="AC65" s="63"/>
      <c r="AD65" s="63"/>
      <c r="AE65" s="413"/>
      <c r="AF65" s="99">
        <f t="shared" ref="AF65:BS65" si="89">SUM(AF63:AF64)</f>
        <v>32.948999999999998</v>
      </c>
      <c r="AG65" s="99">
        <f t="shared" si="89"/>
        <v>36.92</v>
      </c>
      <c r="AH65" s="99">
        <f t="shared" si="89"/>
        <v>43.385000000000005</v>
      </c>
      <c r="AI65" s="99">
        <f t="shared" si="89"/>
        <v>44.165000000000006</v>
      </c>
      <c r="AJ65" s="467">
        <f t="shared" si="89"/>
        <v>157.41900000000001</v>
      </c>
      <c r="AK65" s="99">
        <f t="shared" si="89"/>
        <v>42.640999999999998</v>
      </c>
      <c r="AL65" s="99">
        <f t="shared" si="89"/>
        <v>45.682000000000002</v>
      </c>
      <c r="AM65" s="99">
        <f t="shared" si="89"/>
        <v>46.376000000000005</v>
      </c>
      <c r="AN65" s="99">
        <f t="shared" si="89"/>
        <v>42.813000000000009</v>
      </c>
      <c r="AO65" s="467">
        <f t="shared" si="89"/>
        <v>177.512</v>
      </c>
      <c r="AP65" s="99">
        <f t="shared" si="89"/>
        <v>40.545999999999999</v>
      </c>
      <c r="AQ65" s="99">
        <f t="shared" si="89"/>
        <v>38.729999999999997</v>
      </c>
      <c r="AR65" s="99">
        <f t="shared" si="89"/>
        <v>41.942</v>
      </c>
      <c r="AS65" s="99">
        <f t="shared" si="89"/>
        <v>43.205000000000013</v>
      </c>
      <c r="AT65" s="467">
        <f t="shared" si="89"/>
        <v>164.423</v>
      </c>
      <c r="AU65" s="99">
        <f t="shared" si="89"/>
        <v>44.645000000000003</v>
      </c>
      <c r="AV65" s="99">
        <f t="shared" si="89"/>
        <v>44.094999999999999</v>
      </c>
      <c r="AW65" s="99">
        <f t="shared" si="89"/>
        <v>41.789000000000001</v>
      </c>
      <c r="AX65" s="99">
        <f t="shared" si="89"/>
        <v>42.740999999999993</v>
      </c>
      <c r="AY65" s="467">
        <f t="shared" si="89"/>
        <v>173.26999999999998</v>
      </c>
      <c r="AZ65" s="99">
        <f t="shared" si="89"/>
        <v>42.106999999999999</v>
      </c>
      <c r="BA65" s="99">
        <f t="shared" si="89"/>
        <v>44.96</v>
      </c>
      <c r="BB65" s="99">
        <f t="shared" si="89"/>
        <v>40.817999999999998</v>
      </c>
      <c r="BC65" s="99">
        <f t="shared" si="89"/>
        <v>38.158000000000001</v>
      </c>
      <c r="BD65" s="467">
        <f t="shared" si="89"/>
        <v>166.04300000000001</v>
      </c>
      <c r="BE65" s="99">
        <f t="shared" si="89"/>
        <v>38.353999999999999</v>
      </c>
      <c r="BF65" s="99">
        <f t="shared" si="89"/>
        <v>37.341999999999999</v>
      </c>
      <c r="BG65" s="99">
        <f t="shared" si="89"/>
        <v>35.207000000000001</v>
      </c>
      <c r="BH65" s="99">
        <f t="shared" si="89"/>
        <v>32.800000000000004</v>
      </c>
      <c r="BI65" s="467">
        <f t="shared" si="89"/>
        <v>143.703</v>
      </c>
      <c r="BJ65" s="99">
        <f t="shared" si="89"/>
        <v>30.481000000000002</v>
      </c>
      <c r="BK65" s="99">
        <f t="shared" si="89"/>
        <v>29.552</v>
      </c>
      <c r="BL65" s="99">
        <f t="shared" si="89"/>
        <v>29.366</v>
      </c>
      <c r="BM65" s="99">
        <f t="shared" si="89"/>
        <v>28.573000000000008</v>
      </c>
      <c r="BN65" s="467">
        <f t="shared" si="89"/>
        <v>117.97200000000001</v>
      </c>
      <c r="BO65" s="99">
        <f t="shared" si="89"/>
        <v>24.212</v>
      </c>
      <c r="BP65" s="99">
        <f t="shared" si="89"/>
        <v>24.388999999999999</v>
      </c>
      <c r="BQ65" s="99">
        <f t="shared" si="89"/>
        <v>26.523</v>
      </c>
      <c r="BR65" s="99">
        <f t="shared" si="89"/>
        <v>26.62700000000001</v>
      </c>
      <c r="BS65" s="468">
        <f t="shared" si="89"/>
        <v>101.751</v>
      </c>
      <c r="BT65" s="63"/>
      <c r="BU65" s="63"/>
      <c r="BV65" s="63"/>
      <c r="BW65" s="63"/>
      <c r="BX65" s="413"/>
      <c r="BY65" s="63"/>
      <c r="BZ65" s="63"/>
      <c r="CA65" s="63"/>
      <c r="CB65" s="63"/>
      <c r="CC65" s="413"/>
      <c r="CD65" s="413"/>
      <c r="CE65" s="413"/>
      <c r="CF65" s="413"/>
      <c r="CG65" s="99"/>
    </row>
    <row r="66" spans="1:85" ht="14.45" hidden="1" customHeight="1" x14ac:dyDescent="0.25">
      <c r="A66" s="110" t="s">
        <v>215</v>
      </c>
      <c r="B66" s="105"/>
      <c r="C66" s="418"/>
      <c r="D66" s="418"/>
      <c r="E66" s="418"/>
      <c r="F66" s="418"/>
      <c r="G66" s="159"/>
      <c r="H66" s="159"/>
      <c r="I66" s="159"/>
      <c r="J66" s="159"/>
      <c r="K66" s="418"/>
      <c r="L66" s="159"/>
      <c r="M66" s="159"/>
      <c r="N66" s="159"/>
      <c r="O66" s="159"/>
      <c r="P66" s="418"/>
      <c r="Q66" s="159"/>
      <c r="R66" s="159"/>
      <c r="S66" s="159"/>
      <c r="T66" s="159"/>
      <c r="U66" s="418"/>
      <c r="V66" s="159"/>
      <c r="W66" s="159"/>
      <c r="X66" s="159"/>
      <c r="Y66" s="159"/>
      <c r="Z66" s="418"/>
      <c r="AA66" s="159"/>
      <c r="AB66" s="159"/>
      <c r="AC66" s="159"/>
      <c r="AD66" s="159"/>
      <c r="AE66" s="418"/>
      <c r="AF66" s="106">
        <f t="shared" ref="AF66:BS66" si="90">AF62+AF65</f>
        <v>1064.7570000000001</v>
      </c>
      <c r="AG66" s="106">
        <f t="shared" si="90"/>
        <v>1220.0030000000002</v>
      </c>
      <c r="AH66" s="106">
        <f t="shared" si="90"/>
        <v>1204.0329999999999</v>
      </c>
      <c r="AI66" s="106">
        <f t="shared" si="90"/>
        <v>1136.5709999999999</v>
      </c>
      <c r="AJ66" s="416">
        <f t="shared" si="90"/>
        <v>4625.3639999999996</v>
      </c>
      <c r="AK66" s="106">
        <f t="shared" si="90"/>
        <v>1102.912</v>
      </c>
      <c r="AL66" s="106">
        <f t="shared" si="90"/>
        <v>1273.6590000000001</v>
      </c>
      <c r="AM66" s="106">
        <f t="shared" si="90"/>
        <v>1271.029</v>
      </c>
      <c r="AN66" s="106">
        <f t="shared" si="90"/>
        <v>1178.9490000000005</v>
      </c>
      <c r="AO66" s="416">
        <f t="shared" si="90"/>
        <v>4826.549</v>
      </c>
      <c r="AP66" s="106">
        <f t="shared" si="90"/>
        <v>1173.021</v>
      </c>
      <c r="AQ66" s="106">
        <f t="shared" si="90"/>
        <v>1227.2149999999999</v>
      </c>
      <c r="AR66" s="106">
        <f t="shared" si="90"/>
        <v>1328.4839999999999</v>
      </c>
      <c r="AS66" s="106">
        <f t="shared" si="90"/>
        <v>1278.6370000000002</v>
      </c>
      <c r="AT66" s="416">
        <f t="shared" si="90"/>
        <v>5007.357</v>
      </c>
      <c r="AU66" s="106">
        <f t="shared" si="90"/>
        <v>1269.857</v>
      </c>
      <c r="AV66" s="106">
        <f t="shared" si="90"/>
        <v>1433.086</v>
      </c>
      <c r="AW66" s="106">
        <f t="shared" si="90"/>
        <v>1457.432</v>
      </c>
      <c r="AX66" s="106">
        <f t="shared" si="90"/>
        <v>1402.3390000000004</v>
      </c>
      <c r="AY66" s="416">
        <f t="shared" si="90"/>
        <v>5562.7139999999999</v>
      </c>
      <c r="AZ66" s="106">
        <f t="shared" si="90"/>
        <v>1404.3579999999999</v>
      </c>
      <c r="BA66" s="106">
        <f t="shared" si="90"/>
        <v>1595.2150000000001</v>
      </c>
      <c r="BB66" s="106">
        <f t="shared" si="90"/>
        <v>1628.5889999999999</v>
      </c>
      <c r="BC66" s="106">
        <f t="shared" si="90"/>
        <v>1572.7949999999996</v>
      </c>
      <c r="BD66" s="416">
        <f t="shared" si="90"/>
        <v>6200.9569999999994</v>
      </c>
      <c r="BE66" s="106">
        <f t="shared" si="90"/>
        <v>1571.6420000000001</v>
      </c>
      <c r="BF66" s="106">
        <f t="shared" si="90"/>
        <v>1738.8320000000001</v>
      </c>
      <c r="BG66" s="106">
        <f t="shared" si="90"/>
        <v>1712.4280000000001</v>
      </c>
      <c r="BH66" s="106">
        <f t="shared" si="90"/>
        <v>1630.9559999999999</v>
      </c>
      <c r="BI66" s="416">
        <f t="shared" si="90"/>
        <v>6653.8580000000002</v>
      </c>
      <c r="BJ66" s="106">
        <f t="shared" si="90"/>
        <v>1591.626</v>
      </c>
      <c r="BK66" s="106">
        <f t="shared" si="90"/>
        <v>1795.943</v>
      </c>
      <c r="BL66" s="106">
        <f t="shared" si="90"/>
        <v>1765.652</v>
      </c>
      <c r="BM66" s="106">
        <f t="shared" si="90"/>
        <v>1746.4949999999997</v>
      </c>
      <c r="BN66" s="416">
        <f t="shared" si="90"/>
        <v>6899.7159999999994</v>
      </c>
      <c r="BO66" s="106">
        <f t="shared" si="90"/>
        <v>1579.9770000000001</v>
      </c>
      <c r="BP66" s="106">
        <f t="shared" si="90"/>
        <v>1855.519</v>
      </c>
      <c r="BQ66" s="106">
        <f t="shared" si="90"/>
        <v>1888.317</v>
      </c>
      <c r="BR66" s="106">
        <f t="shared" si="90"/>
        <v>1904.2419999999997</v>
      </c>
      <c r="BS66" s="417">
        <f t="shared" si="90"/>
        <v>7228.0550000000003</v>
      </c>
      <c r="BT66" s="159"/>
      <c r="BU66" s="159"/>
      <c r="BV66" s="159"/>
      <c r="BW66" s="159"/>
      <c r="BX66" s="418"/>
      <c r="BY66" s="159"/>
      <c r="BZ66" s="159"/>
      <c r="CA66" s="159"/>
      <c r="CB66" s="159"/>
      <c r="CC66" s="418"/>
      <c r="CD66" s="418"/>
      <c r="CE66" s="418"/>
      <c r="CF66" s="418"/>
      <c r="CG66" s="109"/>
    </row>
    <row r="67" spans="1:85" ht="14.45" hidden="1" customHeight="1" x14ac:dyDescent="0.25">
      <c r="A67" s="111"/>
      <c r="B67" s="108"/>
      <c r="C67" s="423"/>
      <c r="D67" s="423"/>
      <c r="E67" s="423"/>
      <c r="F67" s="423"/>
      <c r="G67" s="112"/>
      <c r="H67" s="112"/>
      <c r="I67" s="112"/>
      <c r="J67" s="112"/>
      <c r="K67" s="423"/>
      <c r="L67" s="112"/>
      <c r="M67" s="112"/>
      <c r="N67" s="112"/>
      <c r="O67" s="112"/>
      <c r="P67" s="423"/>
      <c r="Q67" s="112"/>
      <c r="R67" s="112"/>
      <c r="S67" s="112"/>
      <c r="T67" s="112"/>
      <c r="U67" s="423"/>
      <c r="V67" s="112"/>
      <c r="W67" s="112"/>
      <c r="X67" s="112"/>
      <c r="Y67" s="112"/>
      <c r="Z67" s="423"/>
      <c r="AA67" s="112"/>
      <c r="AB67" s="112"/>
      <c r="AC67" s="112"/>
      <c r="AD67" s="112"/>
      <c r="AE67" s="423"/>
      <c r="AF67" s="112"/>
      <c r="AG67" s="112"/>
      <c r="AH67" s="112"/>
      <c r="AI67" s="112"/>
      <c r="AJ67" s="423"/>
      <c r="AK67" s="112"/>
      <c r="AL67" s="112"/>
      <c r="AM67" s="112"/>
      <c r="AN67" s="112"/>
      <c r="AO67" s="423"/>
      <c r="AP67" s="112"/>
      <c r="AQ67" s="112"/>
      <c r="AR67" s="112"/>
      <c r="AS67" s="112"/>
      <c r="AT67" s="423"/>
      <c r="AU67" s="112"/>
      <c r="AV67" s="112"/>
      <c r="AW67" s="112"/>
      <c r="AX67" s="112"/>
      <c r="AY67" s="423"/>
      <c r="AZ67" s="112"/>
      <c r="BA67" s="112"/>
      <c r="BB67" s="112"/>
      <c r="BC67" s="112"/>
      <c r="BD67" s="423"/>
      <c r="BE67" s="112"/>
      <c r="BF67" s="112"/>
      <c r="BG67" s="112"/>
      <c r="BH67" s="112"/>
      <c r="BI67" s="423"/>
      <c r="BJ67" s="112"/>
      <c r="BK67" s="112"/>
      <c r="BL67" s="112"/>
      <c r="BM67" s="112"/>
      <c r="BN67" s="423"/>
      <c r="BO67" s="112"/>
      <c r="BP67" s="112"/>
      <c r="BQ67" s="112"/>
      <c r="BR67" s="112"/>
      <c r="BS67" s="424"/>
      <c r="BT67" s="112"/>
      <c r="BU67" s="112"/>
      <c r="BV67" s="112"/>
      <c r="BW67" s="112"/>
      <c r="BX67" s="423"/>
      <c r="BY67" s="112"/>
      <c r="BZ67" s="112"/>
      <c r="CA67" s="112"/>
      <c r="CB67" s="112"/>
      <c r="CC67" s="423"/>
      <c r="CD67" s="423"/>
      <c r="CE67" s="423"/>
      <c r="CF67" s="423"/>
      <c r="CG67" s="109"/>
    </row>
    <row r="68" spans="1:85" ht="14.45" hidden="1" customHeight="1" x14ac:dyDescent="0.25">
      <c r="A68" s="125" t="s">
        <v>216</v>
      </c>
      <c r="B68" s="97"/>
      <c r="C68" s="413"/>
      <c r="D68" s="413"/>
      <c r="E68" s="413"/>
      <c r="F68" s="410">
        <v>1592.289</v>
      </c>
      <c r="G68" s="63"/>
      <c r="H68" s="63"/>
      <c r="I68" s="63"/>
      <c r="J68" s="63"/>
      <c r="K68" s="410">
        <v>1613.309</v>
      </c>
      <c r="L68" s="98">
        <v>381.25400000000002</v>
      </c>
      <c r="M68" s="98">
        <v>450.505</v>
      </c>
      <c r="N68" s="98">
        <v>447.61</v>
      </c>
      <c r="O68" s="99">
        <f>P68-SUM(L68,M68,N68)</f>
        <v>430.67099999999982</v>
      </c>
      <c r="P68" s="410">
        <v>1710.04</v>
      </c>
      <c r="Q68" s="98">
        <v>441.68299999999999</v>
      </c>
      <c r="R68" s="98">
        <v>599.60699999999997</v>
      </c>
      <c r="S68" s="98">
        <v>603.04200000000003</v>
      </c>
      <c r="T68" s="99">
        <f>U68-SUM(Q68,R68,S68)</f>
        <v>601.50399999999991</v>
      </c>
      <c r="U68" s="410">
        <v>2245.8359999999998</v>
      </c>
      <c r="V68" s="98">
        <v>606.928</v>
      </c>
      <c r="W68" s="98">
        <v>817.88</v>
      </c>
      <c r="X68" s="98">
        <v>826.68299999999999</v>
      </c>
      <c r="Y68" s="99">
        <f>Z68-SUM(V68,W68,X68)</f>
        <v>809.44599999999991</v>
      </c>
      <c r="Z68" s="410">
        <v>3060.9369999999999</v>
      </c>
      <c r="AA68" s="98">
        <v>832.39499999999998</v>
      </c>
      <c r="AB68" s="98">
        <v>1108.175</v>
      </c>
      <c r="AC68" s="98">
        <v>1103.0170000000001</v>
      </c>
      <c r="AD68" s="99">
        <f>AE68-SUM(AA68,AB68,AC68)</f>
        <v>1199.4199999999996</v>
      </c>
      <c r="AE68" s="410">
        <v>4243.0069999999996</v>
      </c>
      <c r="AF68" s="98">
        <v>1040.422</v>
      </c>
      <c r="AG68" s="98">
        <v>1192.2819999999999</v>
      </c>
      <c r="AH68" s="98">
        <v>1172.5840000000001</v>
      </c>
      <c r="AI68" s="99">
        <f>AJ68-SUM(AF68,AG68,AH68)</f>
        <v>1107.0300000000007</v>
      </c>
      <c r="AJ68" s="410">
        <v>4512.3180000000002</v>
      </c>
      <c r="AK68" s="98">
        <v>1072.2270000000001</v>
      </c>
      <c r="AL68" s="98">
        <v>1238.885</v>
      </c>
      <c r="AM68" s="98">
        <v>1236.261</v>
      </c>
      <c r="AN68" s="99">
        <f>AO68-SUM(AK68,AL68,AM68)</f>
        <v>1147.0549999999998</v>
      </c>
      <c r="AO68" s="410">
        <v>4694.4279999999999</v>
      </c>
      <c r="AP68" s="98">
        <v>1142.5809999999999</v>
      </c>
      <c r="AQ68" s="98">
        <v>1195.5239999999999</v>
      </c>
      <c r="AR68" s="98">
        <v>1295.271</v>
      </c>
      <c r="AS68" s="99">
        <f>AT68-SUM(AP68,AQ68,AR68)</f>
        <v>1245.7940000000008</v>
      </c>
      <c r="AT68" s="410">
        <v>4879.17</v>
      </c>
      <c r="AU68" s="98">
        <v>1235.0899999999999</v>
      </c>
      <c r="AV68" s="98">
        <v>1399.915</v>
      </c>
      <c r="AW68" s="98">
        <v>1426.971</v>
      </c>
      <c r="AX68" s="99">
        <f>AY68-SUM(AU68,AV68,AW68)</f>
        <v>1370.6929999999998</v>
      </c>
      <c r="AY68" s="410">
        <v>5432.6689999999999</v>
      </c>
      <c r="AZ68" s="98">
        <v>1373.221</v>
      </c>
      <c r="BA68" s="98">
        <v>1562.0139999999999</v>
      </c>
      <c r="BB68" s="98">
        <v>1600.0650000000001</v>
      </c>
      <c r="BC68" s="99">
        <f>BD68-SUM(AZ68,BA68,BB68)</f>
        <v>1546.0570000000007</v>
      </c>
      <c r="BD68" s="410">
        <v>6081.357</v>
      </c>
      <c r="BE68" s="98">
        <v>1545.412</v>
      </c>
      <c r="BF68" s="98">
        <v>1714.8620000000001</v>
      </c>
      <c r="BG68" s="98">
        <v>1691.06</v>
      </c>
      <c r="BH68" s="99">
        <f>BI68-SUM(BE68,BF68,BG68)</f>
        <v>1611.2879999999996</v>
      </c>
      <c r="BI68" s="410">
        <v>6562.6220000000003</v>
      </c>
      <c r="BJ68" s="98">
        <v>1574.712</v>
      </c>
      <c r="BK68" s="98">
        <v>1780.152</v>
      </c>
      <c r="BL68" s="98">
        <v>1751.4949999999999</v>
      </c>
      <c r="BM68" s="99">
        <f>BN68-SUM(BJ68,BK68,BL68)</f>
        <v>1732.6859999999997</v>
      </c>
      <c r="BN68" s="410">
        <v>6839.0450000000001</v>
      </c>
      <c r="BO68" s="98">
        <v>1569</v>
      </c>
      <c r="BP68" s="98">
        <v>1845.0609999999999</v>
      </c>
      <c r="BQ68" s="98">
        <v>1876.999</v>
      </c>
      <c r="BR68" s="99">
        <f>BS68-SUM(BO68,BP68,BQ68)</f>
        <v>1892.7220000000007</v>
      </c>
      <c r="BS68" s="419">
        <v>7183.7820000000002</v>
      </c>
      <c r="BT68" s="63"/>
      <c r="BU68" s="63"/>
      <c r="BV68" s="63"/>
      <c r="BW68" s="63"/>
      <c r="BX68" s="413"/>
      <c r="BY68" s="63"/>
      <c r="BZ68" s="63"/>
      <c r="CA68" s="63"/>
      <c r="CB68" s="63"/>
      <c r="CC68" s="413"/>
      <c r="CD68" s="413"/>
      <c r="CE68" s="413"/>
      <c r="CF68" s="413"/>
      <c r="CG68" s="99"/>
    </row>
    <row r="69" spans="1:85" ht="14.45" hidden="1" customHeight="1" x14ac:dyDescent="0.25">
      <c r="A69" s="125" t="s">
        <v>217</v>
      </c>
      <c r="B69" s="97"/>
      <c r="C69" s="413"/>
      <c r="D69" s="413"/>
      <c r="E69" s="413"/>
      <c r="F69" s="410">
        <v>99.516000000000005</v>
      </c>
      <c r="G69" s="63"/>
      <c r="H69" s="63"/>
      <c r="I69" s="63"/>
      <c r="J69" s="63"/>
      <c r="K69" s="410">
        <v>108.224</v>
      </c>
      <c r="L69" s="98">
        <v>27.222000000000001</v>
      </c>
      <c r="M69" s="98">
        <v>31.885999999999999</v>
      </c>
      <c r="N69" s="98">
        <v>32.716000000000001</v>
      </c>
      <c r="O69" s="99">
        <f>P69-SUM(L69,M69,N69)</f>
        <v>31.36999999999999</v>
      </c>
      <c r="P69" s="410">
        <v>123.194</v>
      </c>
      <c r="Q69" s="98">
        <v>33.814999999999998</v>
      </c>
      <c r="R69" s="98">
        <v>40.692999999999998</v>
      </c>
      <c r="S69" s="98">
        <v>41.761000000000003</v>
      </c>
      <c r="T69" s="99">
        <f>U69-SUM(Q69,R69,S69)</f>
        <v>43.921999999999997</v>
      </c>
      <c r="U69" s="410">
        <v>160.191</v>
      </c>
      <c r="V69" s="98">
        <v>45.709000000000003</v>
      </c>
      <c r="W69" s="98">
        <v>58.396999999999998</v>
      </c>
      <c r="X69" s="98">
        <v>59.53</v>
      </c>
      <c r="Y69" s="99">
        <f>Z69-SUM(V69,W69,X69)</f>
        <v>71.096000000000004</v>
      </c>
      <c r="Z69" s="410">
        <v>234.732</v>
      </c>
      <c r="AA69" s="98">
        <v>76.792000000000002</v>
      </c>
      <c r="AB69" s="98">
        <v>119.669</v>
      </c>
      <c r="AC69" s="98">
        <v>120.66</v>
      </c>
      <c r="AD69" s="99">
        <f>AE69-SUM(AA69,AB69,AC69)</f>
        <v>-15.319999999999993</v>
      </c>
      <c r="AE69" s="410">
        <v>301.80099999999999</v>
      </c>
      <c r="AF69" s="98">
        <v>86.599000000000004</v>
      </c>
      <c r="AG69" s="98">
        <v>93.397999999999996</v>
      </c>
      <c r="AH69" s="98">
        <v>93.492999999999995</v>
      </c>
      <c r="AI69" s="99">
        <f>AJ69-SUM(AF69,AG69,AH69)</f>
        <v>85.134999999999991</v>
      </c>
      <c r="AJ69" s="410">
        <v>358.625</v>
      </c>
      <c r="AK69" s="98">
        <v>87.915000000000006</v>
      </c>
      <c r="AL69" s="98">
        <v>94.941999999999993</v>
      </c>
      <c r="AM69" s="98">
        <v>92.501000000000005</v>
      </c>
      <c r="AN69" s="99">
        <f>AO69-SUM(AK69,AL69,AM69)</f>
        <v>69.646999999999991</v>
      </c>
      <c r="AO69" s="410">
        <v>345.005</v>
      </c>
      <c r="AP69" s="98">
        <v>81.301000000000002</v>
      </c>
      <c r="AQ69" s="98">
        <v>80.328999999999994</v>
      </c>
      <c r="AR69" s="98">
        <v>84.775999999999996</v>
      </c>
      <c r="AS69" s="99">
        <f>AT69-SUM(AP69,AQ69,AR69)</f>
        <v>86.322000000000003</v>
      </c>
      <c r="AT69" s="410">
        <v>332.72800000000001</v>
      </c>
      <c r="AU69" s="98">
        <v>89.948999999999998</v>
      </c>
      <c r="AV69" s="98">
        <v>93.191999999999993</v>
      </c>
      <c r="AW69" s="98">
        <v>88.991</v>
      </c>
      <c r="AX69" s="99">
        <f>AY69-SUM(AU69,AV69,AW69)</f>
        <v>94.723000000000013</v>
      </c>
      <c r="AY69" s="410">
        <v>366.85500000000002</v>
      </c>
      <c r="AZ69" s="98">
        <v>96.162999999999997</v>
      </c>
      <c r="BA69" s="98">
        <v>105.91</v>
      </c>
      <c r="BB69" s="98">
        <v>101.136</v>
      </c>
      <c r="BC69" s="99">
        <f>BD69-SUM(AZ69,BA69,BB69)</f>
        <v>96.150000000000034</v>
      </c>
      <c r="BD69" s="410">
        <v>399.35899999999998</v>
      </c>
      <c r="BE69" s="98">
        <v>92.376000000000005</v>
      </c>
      <c r="BF69" s="98">
        <v>95.174000000000007</v>
      </c>
      <c r="BG69" s="98">
        <v>93.635999999999996</v>
      </c>
      <c r="BH69" s="99">
        <f>BI69-SUM(BE69,BF69,BG69)</f>
        <v>89.561999999999955</v>
      </c>
      <c r="BI69" s="410">
        <v>370.74799999999999</v>
      </c>
      <c r="BJ69" s="98">
        <v>88.102000000000004</v>
      </c>
      <c r="BK69" s="98">
        <v>86.597999999999999</v>
      </c>
      <c r="BL69" s="98">
        <v>86.23</v>
      </c>
      <c r="BM69" s="99">
        <f>BN69-SUM(BJ69,BK69,BL69)</f>
        <v>85.447000000000003</v>
      </c>
      <c r="BN69" s="410">
        <v>346.37700000000001</v>
      </c>
      <c r="BO69" s="98">
        <v>75.988</v>
      </c>
      <c r="BP69" s="98">
        <v>81.209999999999994</v>
      </c>
      <c r="BQ69" s="98">
        <v>85.701999999999998</v>
      </c>
      <c r="BR69" s="99">
        <f>BS69-SUM(BO69,BP69,BQ69)</f>
        <v>83.069000000000017</v>
      </c>
      <c r="BS69" s="419">
        <v>325.96899999999999</v>
      </c>
      <c r="BT69" s="63"/>
      <c r="BU69" s="63"/>
      <c r="BV69" s="63"/>
      <c r="BW69" s="63"/>
      <c r="BX69" s="413"/>
      <c r="BY69" s="63"/>
      <c r="BZ69" s="63"/>
      <c r="CA69" s="63"/>
      <c r="CB69" s="63"/>
      <c r="CC69" s="413"/>
      <c r="CD69" s="413"/>
      <c r="CE69" s="413"/>
      <c r="CF69" s="413"/>
      <c r="CG69" s="99"/>
    </row>
    <row r="70" spans="1:85" ht="14.45" hidden="1" customHeight="1" x14ac:dyDescent="0.25">
      <c r="A70" s="125" t="s">
        <v>218</v>
      </c>
      <c r="B70" s="97"/>
      <c r="C70" s="413"/>
      <c r="D70" s="413"/>
      <c r="E70" s="413"/>
      <c r="F70" s="410">
        <v>-77.372</v>
      </c>
      <c r="G70" s="63"/>
      <c r="H70" s="63"/>
      <c r="I70" s="63"/>
      <c r="J70" s="63"/>
      <c r="K70" s="410">
        <v>-80.201999999999998</v>
      </c>
      <c r="L70" s="98">
        <v>-19.893999999999998</v>
      </c>
      <c r="M70" s="98">
        <v>-22.917999999999999</v>
      </c>
      <c r="N70" s="98">
        <v>-22.65</v>
      </c>
      <c r="O70" s="99">
        <f>P70-SUM(L70,M70,N70)</f>
        <v>-21.403000000000006</v>
      </c>
      <c r="P70" s="410">
        <v>-86.864999999999995</v>
      </c>
      <c r="Q70" s="98">
        <v>-22.245000000000001</v>
      </c>
      <c r="R70" s="98">
        <v>-25.617000000000001</v>
      </c>
      <c r="S70" s="98">
        <v>-25.997</v>
      </c>
      <c r="T70" s="99">
        <f>U70-SUM(Q70,R70,S70)</f>
        <v>-25.709999999999994</v>
      </c>
      <c r="U70" s="410">
        <v>-99.569000000000003</v>
      </c>
      <c r="V70" s="98">
        <v>-27.181000000000001</v>
      </c>
      <c r="W70" s="98">
        <v>-35.893000000000001</v>
      </c>
      <c r="X70" s="98">
        <v>-37.185000000000002</v>
      </c>
      <c r="Y70" s="99">
        <f>Z70-SUM(V70,W70,X70)</f>
        <v>-38.982000000000014</v>
      </c>
      <c r="Z70" s="410">
        <v>-139.24100000000001</v>
      </c>
      <c r="AA70" s="98">
        <v>-43.484999999999999</v>
      </c>
      <c r="AB70" s="98">
        <v>-58.552999999999997</v>
      </c>
      <c r="AC70" s="98">
        <v>-61.151000000000003</v>
      </c>
      <c r="AD70" s="99">
        <f>AE70-SUM(AA70,AB70,AC70)</f>
        <v>-57.950999999999993</v>
      </c>
      <c r="AE70" s="410">
        <v>-221.14</v>
      </c>
      <c r="AF70" s="98">
        <v>-62.264000000000003</v>
      </c>
      <c r="AG70" s="98">
        <v>-65.677000000000007</v>
      </c>
      <c r="AH70" s="98">
        <v>-62.043999999999997</v>
      </c>
      <c r="AI70" s="99">
        <f>AJ70-SUM(AF70,AG70,AH70)</f>
        <v>-55.593999999999994</v>
      </c>
      <c r="AJ70" s="410">
        <v>-245.57900000000001</v>
      </c>
      <c r="AK70" s="102">
        <v>-57.23</v>
      </c>
      <c r="AL70" s="98">
        <v>-60.167999999999999</v>
      </c>
      <c r="AM70" s="98">
        <v>-57.732999999999997</v>
      </c>
      <c r="AN70" s="99">
        <f>AO70-SUM(AK70,AL70,AM70)</f>
        <v>-37.752999999999986</v>
      </c>
      <c r="AO70" s="410">
        <v>-212.88399999999999</v>
      </c>
      <c r="AP70" s="102">
        <v>-50.860999999999997</v>
      </c>
      <c r="AQ70" s="98">
        <v>-48.637999999999998</v>
      </c>
      <c r="AR70" s="98">
        <v>-51.563000000000002</v>
      </c>
      <c r="AS70" s="99">
        <f>AT70-SUM(AP70,AQ70,AR70)</f>
        <v>-53.478999999999985</v>
      </c>
      <c r="AT70" s="410">
        <v>-204.541</v>
      </c>
      <c r="AU70" s="102">
        <v>-55.182000000000002</v>
      </c>
      <c r="AV70" s="98">
        <v>-60.021000000000001</v>
      </c>
      <c r="AW70" s="98">
        <v>-58.53</v>
      </c>
      <c r="AX70" s="99">
        <f>AY70-SUM(AU70,AV70,AW70)</f>
        <v>-63.076999999999998</v>
      </c>
      <c r="AY70" s="410">
        <v>-236.81</v>
      </c>
      <c r="AZ70" s="102">
        <v>-65.025999999999996</v>
      </c>
      <c r="BA70" s="98">
        <v>-72.709000000000003</v>
      </c>
      <c r="BB70" s="98">
        <v>-72.611999999999995</v>
      </c>
      <c r="BC70" s="99">
        <f>BD70-SUM(AZ70,BA70,BB70)</f>
        <v>-69.412000000000006</v>
      </c>
      <c r="BD70" s="410">
        <v>-279.75900000000001</v>
      </c>
      <c r="BE70" s="102">
        <v>-66.146000000000001</v>
      </c>
      <c r="BF70" s="98">
        <v>-71.203999999999994</v>
      </c>
      <c r="BG70" s="98">
        <v>-72.268000000000001</v>
      </c>
      <c r="BH70" s="99">
        <f>BI70-SUM(BE70,BF70,BG70)</f>
        <v>-69.894000000000005</v>
      </c>
      <c r="BI70" s="410">
        <v>-279.512</v>
      </c>
      <c r="BJ70" s="102">
        <v>-71.188000000000002</v>
      </c>
      <c r="BK70" s="98">
        <v>-70.807000000000002</v>
      </c>
      <c r="BL70" s="98">
        <v>-72.072999999999993</v>
      </c>
      <c r="BM70" s="99">
        <f>BN70-SUM(BJ70,BK70,BL70)</f>
        <v>-71.638000000000034</v>
      </c>
      <c r="BN70" s="410">
        <v>-285.70600000000002</v>
      </c>
      <c r="BO70" s="102">
        <v>-65.010999999999996</v>
      </c>
      <c r="BP70" s="98">
        <v>-70.751999999999995</v>
      </c>
      <c r="BQ70" s="98">
        <v>-74.384</v>
      </c>
      <c r="BR70" s="99">
        <f>BS70-SUM(BO70,BP70,BQ70)</f>
        <v>-71.549000000000035</v>
      </c>
      <c r="BS70" s="419">
        <v>-281.69600000000003</v>
      </c>
      <c r="BT70" s="63"/>
      <c r="BU70" s="63"/>
      <c r="BV70" s="63"/>
      <c r="BW70" s="63"/>
      <c r="BX70" s="413"/>
      <c r="BY70" s="63"/>
      <c r="BZ70" s="63"/>
      <c r="CA70" s="63"/>
      <c r="CB70" s="63"/>
      <c r="CC70" s="413"/>
      <c r="CD70" s="413"/>
      <c r="CE70" s="413"/>
      <c r="CF70" s="413"/>
      <c r="CG70" s="99"/>
    </row>
    <row r="71" spans="1:85" ht="14.45" hidden="1" customHeight="1" x14ac:dyDescent="0.25">
      <c r="A71" s="110" t="s">
        <v>219</v>
      </c>
      <c r="B71" s="105"/>
      <c r="C71" s="418"/>
      <c r="D71" s="418"/>
      <c r="E71" s="418"/>
      <c r="F71" s="416">
        <f>SUM(F68:F70)</f>
        <v>1614.433</v>
      </c>
      <c r="G71" s="159"/>
      <c r="H71" s="159"/>
      <c r="I71" s="159"/>
      <c r="J71" s="159"/>
      <c r="K71" s="416">
        <f t="shared" ref="K71:AP71" si="91">SUM(K68:K70)</f>
        <v>1641.3309999999999</v>
      </c>
      <c r="L71" s="106">
        <f t="shared" si="91"/>
        <v>388.58199999999999</v>
      </c>
      <c r="M71" s="106">
        <f t="shared" si="91"/>
        <v>459.47300000000001</v>
      </c>
      <c r="N71" s="106">
        <f t="shared" si="91"/>
        <v>457.67600000000004</v>
      </c>
      <c r="O71" s="106">
        <f t="shared" si="91"/>
        <v>440.63799999999981</v>
      </c>
      <c r="P71" s="416">
        <f t="shared" si="91"/>
        <v>1746.3689999999999</v>
      </c>
      <c r="Q71" s="106">
        <f t="shared" si="91"/>
        <v>453.25299999999999</v>
      </c>
      <c r="R71" s="106">
        <f t="shared" si="91"/>
        <v>614.68299999999999</v>
      </c>
      <c r="S71" s="106">
        <f t="shared" si="91"/>
        <v>618.80600000000004</v>
      </c>
      <c r="T71" s="106">
        <f t="shared" si="91"/>
        <v>619.71599999999989</v>
      </c>
      <c r="U71" s="416">
        <f t="shared" si="91"/>
        <v>2306.4579999999996</v>
      </c>
      <c r="V71" s="106">
        <f t="shared" si="91"/>
        <v>625.4559999999999</v>
      </c>
      <c r="W71" s="106">
        <f t="shared" si="91"/>
        <v>840.38400000000001</v>
      </c>
      <c r="X71" s="106">
        <f t="shared" si="91"/>
        <v>849.02800000000002</v>
      </c>
      <c r="Y71" s="106">
        <f t="shared" si="91"/>
        <v>841.56</v>
      </c>
      <c r="Z71" s="416">
        <f t="shared" si="91"/>
        <v>3156.4279999999999</v>
      </c>
      <c r="AA71" s="106">
        <f t="shared" si="91"/>
        <v>865.702</v>
      </c>
      <c r="AB71" s="106">
        <f t="shared" si="91"/>
        <v>1169.2910000000002</v>
      </c>
      <c r="AC71" s="106">
        <f t="shared" si="91"/>
        <v>1162.5260000000001</v>
      </c>
      <c r="AD71" s="106">
        <f t="shared" si="91"/>
        <v>1126.1489999999997</v>
      </c>
      <c r="AE71" s="416">
        <f t="shared" si="91"/>
        <v>4323.6679999999997</v>
      </c>
      <c r="AF71" s="106">
        <f t="shared" si="91"/>
        <v>1064.7570000000001</v>
      </c>
      <c r="AG71" s="106">
        <f t="shared" si="91"/>
        <v>1220.0029999999999</v>
      </c>
      <c r="AH71" s="106">
        <f t="shared" si="91"/>
        <v>1204.0329999999999</v>
      </c>
      <c r="AI71" s="106">
        <f t="shared" si="91"/>
        <v>1136.5710000000006</v>
      </c>
      <c r="AJ71" s="416">
        <f t="shared" si="91"/>
        <v>4625.3640000000005</v>
      </c>
      <c r="AK71" s="106">
        <f t="shared" si="91"/>
        <v>1102.912</v>
      </c>
      <c r="AL71" s="106">
        <f t="shared" si="91"/>
        <v>1273.6590000000001</v>
      </c>
      <c r="AM71" s="106">
        <f t="shared" si="91"/>
        <v>1271.029</v>
      </c>
      <c r="AN71" s="106">
        <f t="shared" si="91"/>
        <v>1178.9489999999998</v>
      </c>
      <c r="AO71" s="416">
        <f t="shared" si="91"/>
        <v>4826.549</v>
      </c>
      <c r="AP71" s="106">
        <f t="shared" si="91"/>
        <v>1173.0209999999997</v>
      </c>
      <c r="AQ71" s="106">
        <f t="shared" ref="AQ71:BS71" si="92">SUM(AQ68:AQ70)</f>
        <v>1227.2149999999999</v>
      </c>
      <c r="AR71" s="106">
        <f t="shared" si="92"/>
        <v>1328.4839999999999</v>
      </c>
      <c r="AS71" s="106">
        <f t="shared" si="92"/>
        <v>1278.6370000000009</v>
      </c>
      <c r="AT71" s="416">
        <f t="shared" si="92"/>
        <v>5007.357</v>
      </c>
      <c r="AU71" s="106">
        <f t="shared" si="92"/>
        <v>1269.857</v>
      </c>
      <c r="AV71" s="106">
        <f t="shared" si="92"/>
        <v>1433.086</v>
      </c>
      <c r="AW71" s="106">
        <f t="shared" si="92"/>
        <v>1457.432</v>
      </c>
      <c r="AX71" s="106">
        <f t="shared" si="92"/>
        <v>1402.3389999999997</v>
      </c>
      <c r="AY71" s="416">
        <f t="shared" si="92"/>
        <v>5562.713999999999</v>
      </c>
      <c r="AZ71" s="106">
        <f t="shared" si="92"/>
        <v>1404.3579999999999</v>
      </c>
      <c r="BA71" s="106">
        <f t="shared" si="92"/>
        <v>1595.2149999999999</v>
      </c>
      <c r="BB71" s="106">
        <f t="shared" si="92"/>
        <v>1628.5889999999999</v>
      </c>
      <c r="BC71" s="106">
        <f t="shared" si="92"/>
        <v>1572.7950000000008</v>
      </c>
      <c r="BD71" s="416">
        <f t="shared" si="92"/>
        <v>6200.9570000000003</v>
      </c>
      <c r="BE71" s="106">
        <f t="shared" si="92"/>
        <v>1571.6420000000001</v>
      </c>
      <c r="BF71" s="106">
        <f t="shared" si="92"/>
        <v>1738.8320000000001</v>
      </c>
      <c r="BG71" s="106">
        <f t="shared" si="92"/>
        <v>1712.4279999999999</v>
      </c>
      <c r="BH71" s="106">
        <f t="shared" si="92"/>
        <v>1630.9559999999994</v>
      </c>
      <c r="BI71" s="416">
        <f t="shared" si="92"/>
        <v>6653.8580000000002</v>
      </c>
      <c r="BJ71" s="106">
        <f t="shared" si="92"/>
        <v>1591.626</v>
      </c>
      <c r="BK71" s="106">
        <f t="shared" si="92"/>
        <v>1795.943</v>
      </c>
      <c r="BL71" s="106">
        <f t="shared" si="92"/>
        <v>1765.6519999999998</v>
      </c>
      <c r="BM71" s="106">
        <f t="shared" si="92"/>
        <v>1746.4949999999999</v>
      </c>
      <c r="BN71" s="416">
        <f t="shared" si="92"/>
        <v>6899.7160000000003</v>
      </c>
      <c r="BO71" s="106">
        <f t="shared" si="92"/>
        <v>1579.9770000000001</v>
      </c>
      <c r="BP71" s="106">
        <f t="shared" si="92"/>
        <v>1855.519</v>
      </c>
      <c r="BQ71" s="106">
        <f t="shared" si="92"/>
        <v>1888.317</v>
      </c>
      <c r="BR71" s="106">
        <f t="shared" si="92"/>
        <v>1904.2420000000006</v>
      </c>
      <c r="BS71" s="417">
        <f t="shared" si="92"/>
        <v>7228.0550000000003</v>
      </c>
      <c r="BT71" s="159"/>
      <c r="BU71" s="159"/>
      <c r="BV71" s="159"/>
      <c r="BW71" s="159"/>
      <c r="BX71" s="418"/>
      <c r="BY71" s="159"/>
      <c r="BZ71" s="159"/>
      <c r="CA71" s="159"/>
      <c r="CB71" s="159"/>
      <c r="CC71" s="418"/>
      <c r="CD71" s="418"/>
      <c r="CE71" s="418"/>
      <c r="CF71" s="418"/>
      <c r="CG71" s="109"/>
    </row>
    <row r="72" spans="1:85" ht="14.45" hidden="1" customHeight="1" x14ac:dyDescent="0.25">
      <c r="A72" s="111"/>
      <c r="B72" s="108"/>
      <c r="C72" s="423"/>
      <c r="D72" s="423"/>
      <c r="E72" s="423"/>
      <c r="F72" s="423"/>
      <c r="G72" s="112"/>
      <c r="H72" s="112"/>
      <c r="I72" s="112"/>
      <c r="J72" s="112"/>
      <c r="K72" s="423"/>
      <c r="L72" s="112"/>
      <c r="M72" s="112"/>
      <c r="N72" s="112"/>
      <c r="O72" s="112"/>
      <c r="P72" s="423"/>
      <c r="Q72" s="112"/>
      <c r="R72" s="112"/>
      <c r="S72" s="112"/>
      <c r="T72" s="112"/>
      <c r="U72" s="423"/>
      <c r="V72" s="112"/>
      <c r="W72" s="112"/>
      <c r="X72" s="112"/>
      <c r="Y72" s="112"/>
      <c r="Z72" s="423"/>
      <c r="AA72" s="112"/>
      <c r="AB72" s="112"/>
      <c r="AC72" s="112"/>
      <c r="AD72" s="112"/>
      <c r="AE72" s="423"/>
      <c r="AF72" s="112"/>
      <c r="AG72" s="112"/>
      <c r="AH72" s="112"/>
      <c r="AI72" s="112"/>
      <c r="AJ72" s="423"/>
      <c r="AK72" s="112"/>
      <c r="AL72" s="112"/>
      <c r="AM72" s="112"/>
      <c r="AN72" s="112"/>
      <c r="AO72" s="423"/>
      <c r="AP72" s="112"/>
      <c r="AQ72" s="112"/>
      <c r="AR72" s="112"/>
      <c r="AS72" s="112"/>
      <c r="AT72" s="423"/>
      <c r="AU72" s="112"/>
      <c r="AV72" s="112"/>
      <c r="AW72" s="112"/>
      <c r="AX72" s="112"/>
      <c r="AY72" s="423"/>
      <c r="AZ72" s="112"/>
      <c r="BA72" s="112"/>
      <c r="BB72" s="112"/>
      <c r="BC72" s="112"/>
      <c r="BD72" s="423"/>
      <c r="BE72" s="112"/>
      <c r="BF72" s="112"/>
      <c r="BG72" s="112"/>
      <c r="BH72" s="112"/>
      <c r="BI72" s="423"/>
      <c r="BJ72" s="112"/>
      <c r="BK72" s="112"/>
      <c r="BL72" s="112"/>
      <c r="BM72" s="112"/>
      <c r="BN72" s="423"/>
      <c r="BO72" s="112"/>
      <c r="BP72" s="112"/>
      <c r="BQ72" s="112"/>
      <c r="BR72" s="112"/>
      <c r="BS72" s="424"/>
      <c r="BT72" s="112"/>
      <c r="BU72" s="112"/>
      <c r="BV72" s="112"/>
      <c r="BW72" s="112"/>
      <c r="BX72" s="423"/>
      <c r="BY72" s="112"/>
      <c r="BZ72" s="112"/>
      <c r="CA72" s="112"/>
      <c r="CB72" s="112"/>
      <c r="CC72" s="423"/>
      <c r="CD72" s="423"/>
      <c r="CE72" s="423"/>
      <c r="CF72" s="423"/>
      <c r="CG72" s="109"/>
    </row>
    <row r="73" spans="1:85" ht="14.45" hidden="1" customHeight="1" x14ac:dyDescent="0.25">
      <c r="A73" s="125" t="s">
        <v>220</v>
      </c>
      <c r="B73" s="97"/>
      <c r="C73" s="413"/>
      <c r="D73" s="413"/>
      <c r="E73" s="413"/>
      <c r="F73" s="413"/>
      <c r="G73" s="63"/>
      <c r="H73" s="63"/>
      <c r="I73" s="63"/>
      <c r="J73" s="63"/>
      <c r="K73" s="413"/>
      <c r="L73" s="63"/>
      <c r="M73" s="63"/>
      <c r="N73" s="63"/>
      <c r="O73" s="63"/>
      <c r="P73" s="413"/>
      <c r="Q73" s="63"/>
      <c r="R73" s="63"/>
      <c r="S73" s="98">
        <v>236.066</v>
      </c>
      <c r="T73" s="63"/>
      <c r="U73" s="413"/>
      <c r="V73" s="63"/>
      <c r="W73" s="63"/>
      <c r="X73" s="98">
        <v>326.72500000000002</v>
      </c>
      <c r="Y73" s="63"/>
      <c r="Z73" s="413"/>
      <c r="AA73" s="63"/>
      <c r="AB73" s="63"/>
      <c r="AC73" s="63"/>
      <c r="AD73" s="63"/>
      <c r="AE73" s="413"/>
      <c r="AF73" s="63"/>
      <c r="AG73" s="63"/>
      <c r="AH73" s="63"/>
      <c r="AI73" s="63"/>
      <c r="AJ73" s="413"/>
      <c r="AK73" s="63"/>
      <c r="AL73" s="63"/>
      <c r="AM73" s="63"/>
      <c r="AN73" s="63"/>
      <c r="AO73" s="413"/>
      <c r="AP73" s="63"/>
      <c r="AQ73" s="63"/>
      <c r="AR73" s="63"/>
      <c r="AS73" s="63"/>
      <c r="AT73" s="413"/>
      <c r="AU73" s="63"/>
      <c r="AV73" s="63"/>
      <c r="AW73" s="63"/>
      <c r="AX73" s="63"/>
      <c r="AY73" s="413"/>
      <c r="AZ73" s="63"/>
      <c r="BA73" s="63"/>
      <c r="BB73" s="63"/>
      <c r="BC73" s="63"/>
      <c r="BD73" s="413"/>
      <c r="BE73" s="63"/>
      <c r="BF73" s="63"/>
      <c r="BG73" s="63"/>
      <c r="BH73" s="63"/>
      <c r="BI73" s="413"/>
      <c r="BJ73" s="63"/>
      <c r="BK73" s="63"/>
      <c r="BL73" s="63"/>
      <c r="BM73" s="63"/>
      <c r="BN73" s="413"/>
      <c r="BO73" s="63"/>
      <c r="BP73" s="63"/>
      <c r="BQ73" s="63"/>
      <c r="BR73" s="63"/>
      <c r="BS73" s="425"/>
      <c r="BT73" s="63"/>
      <c r="BU73" s="63"/>
      <c r="BV73" s="63"/>
      <c r="BW73" s="63"/>
      <c r="BX73" s="413"/>
      <c r="BY73" s="63"/>
      <c r="BZ73" s="63"/>
      <c r="CA73" s="63"/>
      <c r="CB73" s="63"/>
      <c r="CC73" s="413"/>
      <c r="CD73" s="413"/>
      <c r="CE73" s="413"/>
      <c r="CF73" s="413"/>
      <c r="CG73" s="99"/>
    </row>
    <row r="74" spans="1:85" ht="14.45" hidden="1" customHeight="1" x14ac:dyDescent="0.25">
      <c r="A74" s="125" t="s">
        <v>221</v>
      </c>
      <c r="B74" s="97"/>
      <c r="C74" s="413"/>
      <c r="D74" s="413"/>
      <c r="E74" s="413"/>
      <c r="F74" s="413"/>
      <c r="G74" s="63"/>
      <c r="H74" s="63"/>
      <c r="I74" s="63"/>
      <c r="J74" s="63"/>
      <c r="K74" s="413"/>
      <c r="L74" s="63"/>
      <c r="M74" s="63"/>
      <c r="N74" s="63"/>
      <c r="O74" s="63"/>
      <c r="P74" s="413"/>
      <c r="Q74" s="63"/>
      <c r="R74" s="63"/>
      <c r="S74" s="98">
        <v>16.233000000000001</v>
      </c>
      <c r="T74" s="63"/>
      <c r="U74" s="413"/>
      <c r="V74" s="63"/>
      <c r="W74" s="63"/>
      <c r="X74" s="98">
        <v>21.321999999999999</v>
      </c>
      <c r="Y74" s="63"/>
      <c r="Z74" s="413"/>
      <c r="AA74" s="63"/>
      <c r="AB74" s="63"/>
      <c r="AC74" s="63"/>
      <c r="AD74" s="63"/>
      <c r="AE74" s="413"/>
      <c r="AF74" s="63"/>
      <c r="AG74" s="63"/>
      <c r="AH74" s="63"/>
      <c r="AI74" s="63"/>
      <c r="AJ74" s="413"/>
      <c r="AK74" s="63"/>
      <c r="AL74" s="63"/>
      <c r="AM74" s="63"/>
      <c r="AN74" s="63"/>
      <c r="AO74" s="413"/>
      <c r="AP74" s="63"/>
      <c r="AQ74" s="63"/>
      <c r="AR74" s="63"/>
      <c r="AS74" s="63"/>
      <c r="AT74" s="413"/>
      <c r="AU74" s="63"/>
      <c r="AV74" s="63"/>
      <c r="AW74" s="63"/>
      <c r="AX74" s="63"/>
      <c r="AY74" s="413"/>
      <c r="AZ74" s="63"/>
      <c r="BA74" s="63"/>
      <c r="BB74" s="63"/>
      <c r="BC74" s="63"/>
      <c r="BD74" s="413"/>
      <c r="BE74" s="63"/>
      <c r="BF74" s="63"/>
      <c r="BG74" s="63"/>
      <c r="BH74" s="63"/>
      <c r="BI74" s="413"/>
      <c r="BJ74" s="63"/>
      <c r="BK74" s="63"/>
      <c r="BL74" s="63"/>
      <c r="BM74" s="63"/>
      <c r="BN74" s="413"/>
      <c r="BO74" s="63"/>
      <c r="BP74" s="63"/>
      <c r="BQ74" s="63"/>
      <c r="BR74" s="63"/>
      <c r="BS74" s="425"/>
      <c r="BT74" s="63"/>
      <c r="BU74" s="63"/>
      <c r="BV74" s="63"/>
      <c r="BW74" s="63"/>
      <c r="BX74" s="413"/>
      <c r="BY74" s="63"/>
      <c r="BZ74" s="63"/>
      <c r="CA74" s="63"/>
      <c r="CB74" s="63"/>
      <c r="CC74" s="413"/>
      <c r="CD74" s="413"/>
      <c r="CE74" s="413"/>
      <c r="CF74" s="413"/>
      <c r="CG74" s="99"/>
    </row>
    <row r="75" spans="1:85" ht="14.45" hidden="1" customHeight="1" x14ac:dyDescent="0.25">
      <c r="A75" s="125" t="s">
        <v>222</v>
      </c>
      <c r="B75" s="97"/>
      <c r="C75" s="413"/>
      <c r="D75" s="413"/>
      <c r="E75" s="413"/>
      <c r="F75" s="413"/>
      <c r="G75" s="63"/>
      <c r="H75" s="63"/>
      <c r="I75" s="63"/>
      <c r="J75" s="63"/>
      <c r="K75" s="413"/>
      <c r="L75" s="63"/>
      <c r="M75" s="63"/>
      <c r="N75" s="63"/>
      <c r="O75" s="63"/>
      <c r="P75" s="413"/>
      <c r="Q75" s="63"/>
      <c r="R75" s="63"/>
      <c r="S75" s="98">
        <v>-13.763</v>
      </c>
      <c r="T75" s="63"/>
      <c r="U75" s="413"/>
      <c r="V75" s="63"/>
      <c r="W75" s="63"/>
      <c r="X75" s="98">
        <v>-20.856999999999999</v>
      </c>
      <c r="Y75" s="63"/>
      <c r="Z75" s="413"/>
      <c r="AA75" s="63"/>
      <c r="AB75" s="63"/>
      <c r="AC75" s="63"/>
      <c r="AD75" s="63"/>
      <c r="AE75" s="413"/>
      <c r="AF75" s="63"/>
      <c r="AG75" s="63"/>
      <c r="AH75" s="63"/>
      <c r="AI75" s="63"/>
      <c r="AJ75" s="413"/>
      <c r="AK75" s="63"/>
      <c r="AL75" s="63"/>
      <c r="AM75" s="63"/>
      <c r="AN75" s="63"/>
      <c r="AO75" s="413"/>
      <c r="AP75" s="63"/>
      <c r="AQ75" s="63"/>
      <c r="AR75" s="63"/>
      <c r="AS75" s="63"/>
      <c r="AT75" s="413"/>
      <c r="AU75" s="63"/>
      <c r="AV75" s="63"/>
      <c r="AW75" s="63"/>
      <c r="AX75" s="63"/>
      <c r="AY75" s="413"/>
      <c r="AZ75" s="63"/>
      <c r="BA75" s="63"/>
      <c r="BB75" s="63"/>
      <c r="BC75" s="63"/>
      <c r="BD75" s="413"/>
      <c r="BE75" s="63"/>
      <c r="BF75" s="63"/>
      <c r="BG75" s="63"/>
      <c r="BH75" s="63"/>
      <c r="BI75" s="413"/>
      <c r="BJ75" s="63"/>
      <c r="BK75" s="63"/>
      <c r="BL75" s="63"/>
      <c r="BM75" s="63"/>
      <c r="BN75" s="413"/>
      <c r="BO75" s="63"/>
      <c r="BP75" s="63"/>
      <c r="BQ75" s="63"/>
      <c r="BR75" s="63"/>
      <c r="BS75" s="425"/>
      <c r="BT75" s="63"/>
      <c r="BU75" s="63"/>
      <c r="BV75" s="63"/>
      <c r="BW75" s="63"/>
      <c r="BX75" s="413"/>
      <c r="BY75" s="63"/>
      <c r="BZ75" s="63"/>
      <c r="CA75" s="63"/>
      <c r="CB75" s="63"/>
      <c r="CC75" s="413"/>
      <c r="CD75" s="413"/>
      <c r="CE75" s="413"/>
      <c r="CF75" s="413"/>
      <c r="CG75" s="99"/>
    </row>
    <row r="76" spans="1:85" ht="14.45" hidden="1" customHeight="1" x14ac:dyDescent="0.25">
      <c r="A76" s="110" t="s">
        <v>223</v>
      </c>
      <c r="B76" s="105"/>
      <c r="C76" s="418"/>
      <c r="D76" s="418"/>
      <c r="E76" s="418"/>
      <c r="F76" s="418"/>
      <c r="G76" s="159"/>
      <c r="H76" s="159"/>
      <c r="I76" s="159"/>
      <c r="J76" s="159"/>
      <c r="K76" s="418"/>
      <c r="L76" s="159"/>
      <c r="M76" s="159"/>
      <c r="N76" s="159"/>
      <c r="O76" s="159"/>
      <c r="P76" s="418"/>
      <c r="Q76" s="159"/>
      <c r="R76" s="159"/>
      <c r="S76" s="106">
        <f>SUM(S73:S75)</f>
        <v>238.536</v>
      </c>
      <c r="T76" s="159"/>
      <c r="U76" s="418"/>
      <c r="V76" s="159"/>
      <c r="W76" s="159"/>
      <c r="X76" s="106">
        <f>SUM(X73:X75)</f>
        <v>327.19000000000005</v>
      </c>
      <c r="Y76" s="159"/>
      <c r="Z76" s="418"/>
      <c r="AA76" s="159"/>
      <c r="AB76" s="159"/>
      <c r="AC76" s="159"/>
      <c r="AD76" s="159"/>
      <c r="AE76" s="418"/>
      <c r="AF76" s="159"/>
      <c r="AG76" s="159"/>
      <c r="AH76" s="159"/>
      <c r="AI76" s="159"/>
      <c r="AJ76" s="418"/>
      <c r="AK76" s="159"/>
      <c r="AL76" s="159"/>
      <c r="AM76" s="159"/>
      <c r="AN76" s="159"/>
      <c r="AO76" s="418"/>
      <c r="AP76" s="159"/>
      <c r="AQ76" s="159"/>
      <c r="AR76" s="159"/>
      <c r="AS76" s="159"/>
      <c r="AT76" s="418"/>
      <c r="AU76" s="159"/>
      <c r="AV76" s="159"/>
      <c r="AW76" s="159"/>
      <c r="AX76" s="159"/>
      <c r="AY76" s="418"/>
      <c r="AZ76" s="159"/>
      <c r="BA76" s="159"/>
      <c r="BB76" s="159"/>
      <c r="BC76" s="159"/>
      <c r="BD76" s="418"/>
      <c r="BE76" s="159"/>
      <c r="BF76" s="159"/>
      <c r="BG76" s="159"/>
      <c r="BH76" s="159"/>
      <c r="BI76" s="418"/>
      <c r="BJ76" s="159"/>
      <c r="BK76" s="159"/>
      <c r="BL76" s="159"/>
      <c r="BM76" s="159"/>
      <c r="BN76" s="418"/>
      <c r="BO76" s="159"/>
      <c r="BP76" s="159"/>
      <c r="BQ76" s="159"/>
      <c r="BR76" s="159"/>
      <c r="BS76" s="469"/>
      <c r="BT76" s="159"/>
      <c r="BU76" s="159"/>
      <c r="BV76" s="159"/>
      <c r="BW76" s="159"/>
      <c r="BX76" s="418"/>
      <c r="BY76" s="159"/>
      <c r="BZ76" s="159"/>
      <c r="CA76" s="159"/>
      <c r="CB76" s="159"/>
      <c r="CC76" s="418"/>
      <c r="CD76" s="418"/>
      <c r="CE76" s="418"/>
      <c r="CF76" s="418"/>
      <c r="CG76" s="109"/>
    </row>
    <row r="77" spans="1:85" ht="14.45" hidden="1" customHeight="1" x14ac:dyDescent="0.25">
      <c r="A77" s="111"/>
      <c r="B77" s="108"/>
      <c r="C77" s="423"/>
      <c r="D77" s="423"/>
      <c r="E77" s="423"/>
      <c r="F77" s="423"/>
      <c r="G77" s="112"/>
      <c r="H77" s="112"/>
      <c r="I77" s="112"/>
      <c r="J77" s="112"/>
      <c r="K77" s="423"/>
      <c r="L77" s="112"/>
      <c r="M77" s="112"/>
      <c r="N77" s="112"/>
      <c r="O77" s="112"/>
      <c r="P77" s="423"/>
      <c r="Q77" s="112"/>
      <c r="R77" s="112"/>
      <c r="S77" s="112"/>
      <c r="T77" s="112"/>
      <c r="U77" s="423"/>
      <c r="V77" s="112"/>
      <c r="W77" s="112"/>
      <c r="X77" s="112"/>
      <c r="Y77" s="112"/>
      <c r="Z77" s="423"/>
      <c r="AA77" s="112"/>
      <c r="AB77" s="112"/>
      <c r="AC77" s="112"/>
      <c r="AD77" s="112"/>
      <c r="AE77" s="423"/>
      <c r="AF77" s="112"/>
      <c r="AG77" s="112"/>
      <c r="AH77" s="112"/>
      <c r="AI77" s="112"/>
      <c r="AJ77" s="423"/>
      <c r="AK77" s="112"/>
      <c r="AL77" s="112"/>
      <c r="AM77" s="112"/>
      <c r="AN77" s="112"/>
      <c r="AO77" s="423"/>
      <c r="AP77" s="112"/>
      <c r="AQ77" s="112"/>
      <c r="AR77" s="112"/>
      <c r="AS77" s="112"/>
      <c r="AT77" s="423"/>
      <c r="AU77" s="112"/>
      <c r="AV77" s="112"/>
      <c r="AW77" s="112"/>
      <c r="AX77" s="112"/>
      <c r="AY77" s="423"/>
      <c r="AZ77" s="112"/>
      <c r="BA77" s="112"/>
      <c r="BB77" s="112"/>
      <c r="BC77" s="112"/>
      <c r="BD77" s="423"/>
      <c r="BE77" s="112"/>
      <c r="BF77" s="112"/>
      <c r="BG77" s="112"/>
      <c r="BH77" s="112"/>
      <c r="BI77" s="423"/>
      <c r="BJ77" s="112"/>
      <c r="BK77" s="112"/>
      <c r="BL77" s="112"/>
      <c r="BM77" s="112"/>
      <c r="BN77" s="423"/>
      <c r="BO77" s="112"/>
      <c r="BP77" s="112"/>
      <c r="BQ77" s="112"/>
      <c r="BR77" s="112"/>
      <c r="BS77" s="424"/>
      <c r="BT77" s="112"/>
      <c r="BU77" s="112"/>
      <c r="BV77" s="112"/>
      <c r="BW77" s="112"/>
      <c r="BX77" s="423"/>
      <c r="BY77" s="112"/>
      <c r="BZ77" s="112"/>
      <c r="CA77" s="112"/>
      <c r="CB77" s="112"/>
      <c r="CC77" s="423"/>
      <c r="CD77" s="423"/>
      <c r="CE77" s="423"/>
      <c r="CF77" s="423"/>
      <c r="CG77" s="109"/>
    </row>
    <row r="78" spans="1:85" ht="14.45" hidden="1" customHeight="1" x14ac:dyDescent="0.25">
      <c r="A78" s="125" t="s">
        <v>224</v>
      </c>
      <c r="B78" s="97"/>
      <c r="C78" s="413"/>
      <c r="D78" s="413"/>
      <c r="E78" s="413"/>
      <c r="F78" s="410">
        <v>81.332999999999998</v>
      </c>
      <c r="G78" s="63"/>
      <c r="H78" s="63"/>
      <c r="I78" s="63"/>
      <c r="J78" s="63"/>
      <c r="K78" s="410">
        <v>66.084000000000003</v>
      </c>
      <c r="L78" s="98">
        <v>11.59</v>
      </c>
      <c r="M78" s="98">
        <v>29.99</v>
      </c>
      <c r="N78" s="98">
        <v>27.065000000000001</v>
      </c>
      <c r="O78" s="99">
        <f>P78-SUM(L78,M78,N78)</f>
        <v>13.652000000000001</v>
      </c>
      <c r="P78" s="410">
        <v>82.296999999999997</v>
      </c>
      <c r="Q78" s="98">
        <v>15.331</v>
      </c>
      <c r="R78" s="98">
        <v>37.061</v>
      </c>
      <c r="S78" s="98">
        <v>26.097999999999999</v>
      </c>
      <c r="T78" s="99">
        <f>U78-SUM(Q78,R78,S78)</f>
        <v>14.431000000000012</v>
      </c>
      <c r="U78" s="410">
        <v>92.921000000000006</v>
      </c>
      <c r="V78" s="98">
        <v>10.968</v>
      </c>
      <c r="W78" s="98">
        <v>52.878</v>
      </c>
      <c r="X78" s="98">
        <v>38.420999999999999</v>
      </c>
      <c r="Y78" s="99">
        <f>Z78-SUM(V78,W78,X78)</f>
        <v>20.963000000000008</v>
      </c>
      <c r="Z78" s="410">
        <v>123.23</v>
      </c>
      <c r="AA78" s="98">
        <v>11.534000000000001</v>
      </c>
      <c r="AB78" s="98">
        <v>42.168999999999997</v>
      </c>
      <c r="AC78" s="98">
        <v>32.524999999999999</v>
      </c>
      <c r="AD78" s="99">
        <f>AE78-SUM(AA78,AB78,AC78)</f>
        <v>-1.4529999999999887</v>
      </c>
      <c r="AE78" s="410">
        <v>84.775000000000006</v>
      </c>
      <c r="AF78" s="98">
        <v>-22.745000000000001</v>
      </c>
      <c r="AG78" s="98">
        <v>16.088999999999999</v>
      </c>
      <c r="AH78" s="98">
        <v>39.360999999999997</v>
      </c>
      <c r="AI78" s="99">
        <f>AJ78-SUM(AF78,AG78,AH78)</f>
        <v>12.814</v>
      </c>
      <c r="AJ78" s="410">
        <v>45.518999999999998</v>
      </c>
      <c r="AK78" s="98">
        <v>14.641</v>
      </c>
      <c r="AL78" s="98">
        <v>57.723999999999997</v>
      </c>
      <c r="AM78" s="98">
        <v>48.247999999999998</v>
      </c>
      <c r="AN78" s="99">
        <f>AO78-SUM(AK78,AL78,AM78)</f>
        <v>53.52000000000001</v>
      </c>
      <c r="AO78" s="410">
        <v>174.13300000000001</v>
      </c>
      <c r="AP78" s="98">
        <v>35.616999999999997</v>
      </c>
      <c r="AQ78" s="98">
        <v>83.906999999999996</v>
      </c>
      <c r="AR78" s="98">
        <v>108.035</v>
      </c>
      <c r="AS78" s="99">
        <f>AT78-SUM(AP78,AQ78,AR78)</f>
        <v>97.157000000000011</v>
      </c>
      <c r="AT78" s="410">
        <v>324.71600000000001</v>
      </c>
      <c r="AU78" s="98">
        <v>95.042000000000002</v>
      </c>
      <c r="AV78" s="98">
        <v>124.372</v>
      </c>
      <c r="AW78" s="98">
        <v>144.13</v>
      </c>
      <c r="AX78" s="99">
        <f>AY78-SUM(AU78,AV78,AW78)</f>
        <v>93.16900000000004</v>
      </c>
      <c r="AY78" s="410">
        <v>456.71300000000002</v>
      </c>
      <c r="AZ78" s="98">
        <v>134.55799999999999</v>
      </c>
      <c r="BA78" s="98">
        <v>144.012</v>
      </c>
      <c r="BB78" s="98">
        <v>189.21799999999999</v>
      </c>
      <c r="BC78" s="99">
        <f>BD78-SUM(AZ78,BA78,BB78)</f>
        <v>171.34799999999996</v>
      </c>
      <c r="BD78" s="410">
        <v>639.13599999999997</v>
      </c>
      <c r="BE78" s="98">
        <v>209.779</v>
      </c>
      <c r="BF78" s="98">
        <v>234.21100000000001</v>
      </c>
      <c r="BG78" s="98">
        <v>217.405</v>
      </c>
      <c r="BH78" s="99">
        <f>BI78-SUM(BE78,BF78,BG78)</f>
        <v>180.096</v>
      </c>
      <c r="BI78" s="410">
        <v>841.49099999999999</v>
      </c>
      <c r="BJ78" s="98">
        <v>212.142</v>
      </c>
      <c r="BK78" s="98">
        <v>255.02500000000001</v>
      </c>
      <c r="BL78" s="98">
        <v>224.072</v>
      </c>
      <c r="BM78" s="99">
        <f>BN78-SUM(BJ78,BK78,BL78)</f>
        <v>215.98799999999994</v>
      </c>
      <c r="BN78" s="410">
        <v>907.22699999999998</v>
      </c>
      <c r="BO78" s="98">
        <v>187.24299999999999</v>
      </c>
      <c r="BP78" s="98">
        <v>263.86399999999998</v>
      </c>
      <c r="BQ78" s="98">
        <v>238.36099999999999</v>
      </c>
      <c r="BR78" s="99">
        <f>BS78-SUM(BO78,BP78,BQ78)</f>
        <v>235.697</v>
      </c>
      <c r="BS78" s="419">
        <v>925.16499999999996</v>
      </c>
      <c r="BT78" s="63"/>
      <c r="BU78" s="63"/>
      <c r="BV78" s="63"/>
      <c r="BW78" s="63"/>
      <c r="BX78" s="413"/>
      <c r="BY78" s="63"/>
      <c r="BZ78" s="63"/>
      <c r="CA78" s="63"/>
      <c r="CB78" s="63"/>
      <c r="CC78" s="413"/>
      <c r="CD78" s="413"/>
      <c r="CE78" s="413"/>
      <c r="CF78" s="413"/>
      <c r="CG78" s="99"/>
    </row>
    <row r="79" spans="1:85" ht="14.45" hidden="1" customHeight="1" x14ac:dyDescent="0.25">
      <c r="A79" s="125" t="s">
        <v>225</v>
      </c>
      <c r="B79" s="97"/>
      <c r="C79" s="413"/>
      <c r="D79" s="413"/>
      <c r="E79" s="413"/>
      <c r="F79" s="410">
        <v>7.3529999999999998</v>
      </c>
      <c r="G79" s="63"/>
      <c r="H79" s="63"/>
      <c r="I79" s="63"/>
      <c r="J79" s="63"/>
      <c r="K79" s="410">
        <v>7.5629999999999997</v>
      </c>
      <c r="L79" s="98">
        <v>0.52600000000000002</v>
      </c>
      <c r="M79" s="98">
        <v>1.274</v>
      </c>
      <c r="N79" s="98">
        <v>1.381</v>
      </c>
      <c r="O79" s="99">
        <f>P79-SUM(L79,M79,N79)</f>
        <v>0.48899999999999988</v>
      </c>
      <c r="P79" s="410">
        <v>3.67</v>
      </c>
      <c r="Q79" s="98">
        <v>1.571</v>
      </c>
      <c r="R79" s="98">
        <v>1.2549999999999999</v>
      </c>
      <c r="S79" s="98">
        <v>1.587</v>
      </c>
      <c r="T79" s="99">
        <f>U79-SUM(Q79,R79,S79)</f>
        <v>0.8100000000000005</v>
      </c>
      <c r="U79" s="410">
        <v>5.2229999999999999</v>
      </c>
      <c r="V79" s="98">
        <v>1.4330000000000001</v>
      </c>
      <c r="W79" s="98">
        <v>1.8580000000000001</v>
      </c>
      <c r="X79" s="98">
        <v>1.38</v>
      </c>
      <c r="Y79" s="99">
        <f>Z79-SUM(V79,W79,X79)</f>
        <v>-4.2000000000000703E-2</v>
      </c>
      <c r="Z79" s="410">
        <v>4.6289999999999996</v>
      </c>
      <c r="AA79" s="98">
        <v>2.0739999999999998</v>
      </c>
      <c r="AB79" s="98">
        <v>5.1440000000000001</v>
      </c>
      <c r="AC79" s="98">
        <v>3.605</v>
      </c>
      <c r="AD79" s="99">
        <f>AE79-SUM(AA79,AB79,AC79)</f>
        <v>0.58099999999999952</v>
      </c>
      <c r="AE79" s="410">
        <v>11.404</v>
      </c>
      <c r="AF79" s="98">
        <v>3.7480000000000002</v>
      </c>
      <c r="AG79" s="98">
        <v>3.59</v>
      </c>
      <c r="AH79" s="98">
        <v>5.0430000000000001</v>
      </c>
      <c r="AI79" s="99">
        <f>AJ79-SUM(AF79,AG79,AH79)</f>
        <v>1.9999999999988916E-3</v>
      </c>
      <c r="AJ79" s="410">
        <v>12.382999999999999</v>
      </c>
      <c r="AK79" s="102">
        <v>5.5129999999999999</v>
      </c>
      <c r="AL79" s="98">
        <v>9.49</v>
      </c>
      <c r="AM79" s="98">
        <v>5.5979999999999999</v>
      </c>
      <c r="AN79" s="99">
        <f>AO79-SUM(AK79,AL79,AM79)</f>
        <v>-13.979999999999999</v>
      </c>
      <c r="AO79" s="410">
        <v>6.6210000000000004</v>
      </c>
      <c r="AP79" s="102">
        <v>-2.7959999999999998</v>
      </c>
      <c r="AQ79" s="98">
        <v>-0.78900000000000003</v>
      </c>
      <c r="AR79" s="98">
        <v>-4.1909999999999998</v>
      </c>
      <c r="AS79" s="99">
        <f>AT79-SUM(AP79,AQ79,AR79)</f>
        <v>-3.5619999999999994</v>
      </c>
      <c r="AT79" s="410">
        <v>-11.337999999999999</v>
      </c>
      <c r="AU79" s="102">
        <v>-0.85799999999999998</v>
      </c>
      <c r="AV79" s="98">
        <v>-3.5110000000000001</v>
      </c>
      <c r="AW79" s="98">
        <v>-7.0990000000000002</v>
      </c>
      <c r="AX79" s="99">
        <f>AY79-SUM(AU79,AV79,AW79)</f>
        <v>-6.0740000000000016</v>
      </c>
      <c r="AY79" s="410">
        <v>-17.542000000000002</v>
      </c>
      <c r="AZ79" s="102">
        <v>-3.573</v>
      </c>
      <c r="BA79" s="98">
        <v>3.2810000000000001</v>
      </c>
      <c r="BB79" s="98">
        <v>0.71199999999999997</v>
      </c>
      <c r="BC79" s="99">
        <f>BD79-SUM(AZ79,BA79,BB79)</f>
        <v>1.4909999999999999</v>
      </c>
      <c r="BD79" s="410">
        <v>1.911</v>
      </c>
      <c r="BE79" s="102">
        <v>-3.7250000000000001</v>
      </c>
      <c r="BF79" s="98">
        <v>-0.54100000000000004</v>
      </c>
      <c r="BG79" s="98">
        <v>-1.145</v>
      </c>
      <c r="BH79" s="99">
        <f>BI79-SUM(BE79,BF79,BG79)</f>
        <v>-1.6290000000000004</v>
      </c>
      <c r="BI79" s="410">
        <v>-7.04</v>
      </c>
      <c r="BJ79" s="102">
        <v>3.2639999999999998</v>
      </c>
      <c r="BK79" s="102">
        <v>4.1150000000000002</v>
      </c>
      <c r="BL79" s="98">
        <v>2.9830000000000001</v>
      </c>
      <c r="BM79" s="99">
        <f>BN79-SUM(BJ79,BK79,BL79)</f>
        <v>2.7609999999999992</v>
      </c>
      <c r="BN79" s="410">
        <v>13.122999999999999</v>
      </c>
      <c r="BO79" s="102">
        <v>2.577</v>
      </c>
      <c r="BP79" s="102">
        <v>8.2200000000000006</v>
      </c>
      <c r="BQ79" s="102">
        <v>8.2729999999999997</v>
      </c>
      <c r="BR79" s="99">
        <f>BS79-SUM(BO79,BP79,BQ79)</f>
        <v>6.4209999999999994</v>
      </c>
      <c r="BS79" s="419">
        <v>25.491</v>
      </c>
      <c r="BT79" s="63"/>
      <c r="BU79" s="63"/>
      <c r="BV79" s="63"/>
      <c r="BW79" s="63"/>
      <c r="BX79" s="413"/>
      <c r="BY79" s="63"/>
      <c r="BZ79" s="63"/>
      <c r="CA79" s="63"/>
      <c r="CB79" s="63"/>
      <c r="CC79" s="413"/>
      <c r="CD79" s="413"/>
      <c r="CE79" s="413"/>
      <c r="CF79" s="413"/>
      <c r="CG79" s="99"/>
    </row>
    <row r="80" spans="1:85" ht="14.45" hidden="1" customHeight="1" x14ac:dyDescent="0.25">
      <c r="A80" s="110" t="s">
        <v>226</v>
      </c>
      <c r="B80" s="105"/>
      <c r="C80" s="418"/>
      <c r="D80" s="418"/>
      <c r="E80" s="418"/>
      <c r="F80" s="416">
        <f>SUM(F78:F79)</f>
        <v>88.685999999999993</v>
      </c>
      <c r="G80" s="159"/>
      <c r="H80" s="159"/>
      <c r="I80" s="159"/>
      <c r="J80" s="159"/>
      <c r="K80" s="416">
        <f t="shared" ref="K80:AP80" si="93">SUM(K78:K79)</f>
        <v>73.647000000000006</v>
      </c>
      <c r="L80" s="106">
        <f t="shared" si="93"/>
        <v>12.116</v>
      </c>
      <c r="M80" s="106">
        <f t="shared" si="93"/>
        <v>31.263999999999999</v>
      </c>
      <c r="N80" s="106">
        <f t="shared" si="93"/>
        <v>28.446000000000002</v>
      </c>
      <c r="O80" s="106">
        <f t="shared" si="93"/>
        <v>14.141000000000002</v>
      </c>
      <c r="P80" s="416">
        <f t="shared" si="93"/>
        <v>85.966999999999999</v>
      </c>
      <c r="Q80" s="106">
        <f t="shared" si="93"/>
        <v>16.902000000000001</v>
      </c>
      <c r="R80" s="106">
        <f t="shared" si="93"/>
        <v>38.316000000000003</v>
      </c>
      <c r="S80" s="106">
        <f t="shared" si="93"/>
        <v>27.684999999999999</v>
      </c>
      <c r="T80" s="106">
        <f t="shared" si="93"/>
        <v>15.241000000000012</v>
      </c>
      <c r="U80" s="416">
        <f t="shared" si="93"/>
        <v>98.144000000000005</v>
      </c>
      <c r="V80" s="106">
        <f t="shared" si="93"/>
        <v>12.401</v>
      </c>
      <c r="W80" s="106">
        <f t="shared" si="93"/>
        <v>54.735999999999997</v>
      </c>
      <c r="X80" s="106">
        <f t="shared" si="93"/>
        <v>39.801000000000002</v>
      </c>
      <c r="Y80" s="106">
        <f t="shared" si="93"/>
        <v>20.921000000000006</v>
      </c>
      <c r="Z80" s="416">
        <f t="shared" si="93"/>
        <v>127.85900000000001</v>
      </c>
      <c r="AA80" s="106">
        <f t="shared" si="93"/>
        <v>13.608000000000001</v>
      </c>
      <c r="AB80" s="106">
        <f t="shared" si="93"/>
        <v>47.312999999999995</v>
      </c>
      <c r="AC80" s="106">
        <f t="shared" si="93"/>
        <v>36.129999999999995</v>
      </c>
      <c r="AD80" s="106">
        <f t="shared" si="93"/>
        <v>-0.87199999999998923</v>
      </c>
      <c r="AE80" s="416">
        <f t="shared" si="93"/>
        <v>96.179000000000002</v>
      </c>
      <c r="AF80" s="106">
        <f t="shared" si="93"/>
        <v>-18.997</v>
      </c>
      <c r="AG80" s="106">
        <f t="shared" si="93"/>
        <v>19.678999999999998</v>
      </c>
      <c r="AH80" s="106">
        <f t="shared" si="93"/>
        <v>44.403999999999996</v>
      </c>
      <c r="AI80" s="106">
        <f t="shared" si="93"/>
        <v>12.815999999999999</v>
      </c>
      <c r="AJ80" s="416">
        <f t="shared" si="93"/>
        <v>57.902000000000001</v>
      </c>
      <c r="AK80" s="106">
        <f t="shared" si="93"/>
        <v>20.154</v>
      </c>
      <c r="AL80" s="106">
        <f t="shared" si="93"/>
        <v>67.213999999999999</v>
      </c>
      <c r="AM80" s="106">
        <f t="shared" si="93"/>
        <v>53.845999999999997</v>
      </c>
      <c r="AN80" s="106">
        <f t="shared" si="93"/>
        <v>39.540000000000013</v>
      </c>
      <c r="AO80" s="416">
        <f t="shared" si="93"/>
        <v>180.75400000000002</v>
      </c>
      <c r="AP80" s="106">
        <f t="shared" si="93"/>
        <v>32.820999999999998</v>
      </c>
      <c r="AQ80" s="106">
        <f t="shared" ref="AQ80:BS80" si="94">SUM(AQ78:AQ79)</f>
        <v>83.117999999999995</v>
      </c>
      <c r="AR80" s="106">
        <f t="shared" si="94"/>
        <v>103.84399999999999</v>
      </c>
      <c r="AS80" s="106">
        <f t="shared" si="94"/>
        <v>93.595000000000013</v>
      </c>
      <c r="AT80" s="416">
        <f t="shared" si="94"/>
        <v>313.37799999999999</v>
      </c>
      <c r="AU80" s="106">
        <f t="shared" si="94"/>
        <v>94.183999999999997</v>
      </c>
      <c r="AV80" s="106">
        <f t="shared" si="94"/>
        <v>120.861</v>
      </c>
      <c r="AW80" s="106">
        <f t="shared" si="94"/>
        <v>137.03100000000001</v>
      </c>
      <c r="AX80" s="106">
        <f t="shared" si="94"/>
        <v>87.095000000000041</v>
      </c>
      <c r="AY80" s="416">
        <f t="shared" si="94"/>
        <v>439.17100000000005</v>
      </c>
      <c r="AZ80" s="106">
        <f t="shared" si="94"/>
        <v>130.98499999999999</v>
      </c>
      <c r="BA80" s="106">
        <f t="shared" si="94"/>
        <v>147.29300000000001</v>
      </c>
      <c r="BB80" s="106">
        <f t="shared" si="94"/>
        <v>189.92999999999998</v>
      </c>
      <c r="BC80" s="106">
        <f t="shared" si="94"/>
        <v>172.83899999999997</v>
      </c>
      <c r="BD80" s="416">
        <f t="shared" si="94"/>
        <v>641.04699999999991</v>
      </c>
      <c r="BE80" s="106">
        <f t="shared" si="94"/>
        <v>206.054</v>
      </c>
      <c r="BF80" s="106">
        <f t="shared" si="94"/>
        <v>233.67000000000002</v>
      </c>
      <c r="BG80" s="106">
        <f t="shared" si="94"/>
        <v>216.26</v>
      </c>
      <c r="BH80" s="106">
        <f t="shared" si="94"/>
        <v>178.46700000000001</v>
      </c>
      <c r="BI80" s="416">
        <f t="shared" si="94"/>
        <v>834.45100000000002</v>
      </c>
      <c r="BJ80" s="106">
        <f t="shared" si="94"/>
        <v>215.40600000000001</v>
      </c>
      <c r="BK80" s="109">
        <f t="shared" si="94"/>
        <v>259.14</v>
      </c>
      <c r="BL80" s="106">
        <f t="shared" si="94"/>
        <v>227.05500000000001</v>
      </c>
      <c r="BM80" s="106">
        <f t="shared" si="94"/>
        <v>218.74899999999994</v>
      </c>
      <c r="BN80" s="416">
        <f t="shared" si="94"/>
        <v>920.35</v>
      </c>
      <c r="BO80" s="106">
        <f t="shared" si="94"/>
        <v>189.82</v>
      </c>
      <c r="BP80" s="109">
        <f t="shared" si="94"/>
        <v>272.084</v>
      </c>
      <c r="BQ80" s="109">
        <f t="shared" si="94"/>
        <v>246.63399999999999</v>
      </c>
      <c r="BR80" s="106">
        <f t="shared" si="94"/>
        <v>242.11799999999999</v>
      </c>
      <c r="BS80" s="417">
        <f t="shared" si="94"/>
        <v>950.65599999999995</v>
      </c>
      <c r="BT80" s="159"/>
      <c r="BU80" s="159"/>
      <c r="BV80" s="159"/>
      <c r="BW80" s="159"/>
      <c r="BX80" s="418"/>
      <c r="BY80" s="159"/>
      <c r="BZ80" s="159"/>
      <c r="CA80" s="159"/>
      <c r="CB80" s="159"/>
      <c r="CC80" s="418"/>
      <c r="CD80" s="418"/>
      <c r="CE80" s="418"/>
      <c r="CF80" s="418"/>
      <c r="CG80" s="109"/>
    </row>
    <row r="81" spans="1:85" ht="14.45" hidden="1" customHeight="1" x14ac:dyDescent="0.25">
      <c r="A81" s="111"/>
      <c r="B81" s="108"/>
      <c r="C81" s="423"/>
      <c r="D81" s="423"/>
      <c r="E81" s="423"/>
      <c r="F81" s="423"/>
      <c r="G81" s="112"/>
      <c r="H81" s="112"/>
      <c r="I81" s="112"/>
      <c r="J81" s="112"/>
      <c r="K81" s="423"/>
      <c r="L81" s="112"/>
      <c r="M81" s="112"/>
      <c r="N81" s="112"/>
      <c r="O81" s="112"/>
      <c r="P81" s="423"/>
      <c r="Q81" s="112"/>
      <c r="R81" s="112"/>
      <c r="S81" s="112"/>
      <c r="T81" s="112"/>
      <c r="U81" s="423"/>
      <c r="V81" s="112"/>
      <c r="W81" s="112"/>
      <c r="X81" s="112"/>
      <c r="Y81" s="112"/>
      <c r="Z81" s="423"/>
      <c r="AA81" s="112"/>
      <c r="AB81" s="112"/>
      <c r="AC81" s="112"/>
      <c r="AD81" s="112"/>
      <c r="AE81" s="423"/>
      <c r="AF81" s="112"/>
      <c r="AG81" s="112"/>
      <c r="AH81" s="112"/>
      <c r="AI81" s="112"/>
      <c r="AJ81" s="423"/>
      <c r="AK81" s="112"/>
      <c r="AL81" s="112"/>
      <c r="AM81" s="112"/>
      <c r="AN81" s="112"/>
      <c r="AO81" s="423"/>
      <c r="AP81" s="112"/>
      <c r="AQ81" s="112"/>
      <c r="AR81" s="112"/>
      <c r="AS81" s="112"/>
      <c r="AT81" s="423"/>
      <c r="AU81" s="112"/>
      <c r="AV81" s="112"/>
      <c r="AW81" s="112"/>
      <c r="AX81" s="112"/>
      <c r="AY81" s="423"/>
      <c r="AZ81" s="112"/>
      <c r="BA81" s="112"/>
      <c r="BB81" s="112"/>
      <c r="BC81" s="112"/>
      <c r="BD81" s="423"/>
      <c r="BE81" s="112"/>
      <c r="BF81" s="112"/>
      <c r="BG81" s="112"/>
      <c r="BH81" s="112"/>
      <c r="BI81" s="423"/>
      <c r="BJ81" s="112"/>
      <c r="BK81" s="112"/>
      <c r="BL81" s="112"/>
      <c r="BM81" s="112"/>
      <c r="BN81" s="423"/>
      <c r="BO81" s="112"/>
      <c r="BP81" s="112"/>
      <c r="BQ81" s="112"/>
      <c r="BR81" s="112"/>
      <c r="BS81" s="424"/>
      <c r="BT81" s="112"/>
      <c r="BU81" s="112"/>
      <c r="BV81" s="112"/>
      <c r="BW81" s="112"/>
      <c r="BX81" s="423"/>
      <c r="BY81" s="112"/>
      <c r="BZ81" s="112"/>
      <c r="CA81" s="112"/>
      <c r="CB81" s="112"/>
      <c r="CC81" s="423"/>
      <c r="CD81" s="423"/>
      <c r="CE81" s="423"/>
      <c r="CF81" s="423"/>
      <c r="CG81" s="109"/>
    </row>
    <row r="82" spans="1:85" ht="14.45" hidden="1" customHeight="1" x14ac:dyDescent="0.25">
      <c r="A82" s="143" t="s">
        <v>227</v>
      </c>
      <c r="B82" s="114"/>
      <c r="C82" s="428"/>
      <c r="D82" s="428"/>
      <c r="E82" s="428"/>
      <c r="F82" s="428"/>
      <c r="G82" s="160"/>
      <c r="H82" s="160"/>
      <c r="I82" s="160"/>
      <c r="J82" s="160"/>
      <c r="K82" s="428"/>
      <c r="L82" s="160"/>
      <c r="M82" s="160"/>
      <c r="N82" s="160"/>
      <c r="O82" s="160"/>
      <c r="P82" s="428"/>
      <c r="Q82" s="160"/>
      <c r="R82" s="160"/>
      <c r="S82" s="160"/>
      <c r="T82" s="160"/>
      <c r="U82" s="428"/>
      <c r="V82" s="160"/>
      <c r="W82" s="160"/>
      <c r="X82" s="160"/>
      <c r="Y82" s="160"/>
      <c r="Z82" s="428"/>
      <c r="AA82" s="160"/>
      <c r="AB82" s="160"/>
      <c r="AC82" s="160"/>
      <c r="AD82" s="160"/>
      <c r="AE82" s="428"/>
      <c r="AF82" s="115">
        <f t="shared" ref="AF82:BS82" si="95">AF78/AF68</f>
        <v>-2.1861321656020345E-2</v>
      </c>
      <c r="AG82" s="115">
        <f t="shared" si="95"/>
        <v>1.3494290780201328E-2</v>
      </c>
      <c r="AH82" s="115">
        <f t="shared" si="95"/>
        <v>3.356774440040116E-2</v>
      </c>
      <c r="AI82" s="115">
        <f t="shared" si="95"/>
        <v>1.1575115398860006E-2</v>
      </c>
      <c r="AJ82" s="426">
        <f t="shared" si="95"/>
        <v>1.0087719881444525E-2</v>
      </c>
      <c r="AK82" s="115">
        <f t="shared" si="95"/>
        <v>1.3654757807814949E-2</v>
      </c>
      <c r="AL82" s="115">
        <f t="shared" si="95"/>
        <v>4.6593509486352644E-2</v>
      </c>
      <c r="AM82" s="115">
        <f t="shared" si="95"/>
        <v>3.9027357491662355E-2</v>
      </c>
      <c r="AN82" s="115">
        <f t="shared" si="95"/>
        <v>4.6658617067185111E-2</v>
      </c>
      <c r="AO82" s="426">
        <f t="shared" si="95"/>
        <v>3.7093550055512625E-2</v>
      </c>
      <c r="AP82" s="115">
        <f t="shared" si="95"/>
        <v>3.1172407032849313E-2</v>
      </c>
      <c r="AQ82" s="115">
        <f t="shared" si="95"/>
        <v>7.0184287391972064E-2</v>
      </c>
      <c r="AR82" s="115">
        <f t="shared" si="95"/>
        <v>8.340725608772219E-2</v>
      </c>
      <c r="AS82" s="115">
        <f t="shared" si="95"/>
        <v>7.7988014069741832E-2</v>
      </c>
      <c r="AT82" s="426">
        <f t="shared" si="95"/>
        <v>6.6551483141599907E-2</v>
      </c>
      <c r="AU82" s="115">
        <f t="shared" si="95"/>
        <v>7.6951477220283546E-2</v>
      </c>
      <c r="AV82" s="115">
        <f t="shared" si="95"/>
        <v>8.8842536868309868E-2</v>
      </c>
      <c r="AW82" s="115">
        <f t="shared" si="95"/>
        <v>0.10100415495479585</v>
      </c>
      <c r="AX82" s="115">
        <f t="shared" si="95"/>
        <v>6.7972186332023329E-2</v>
      </c>
      <c r="AY82" s="426">
        <f t="shared" si="95"/>
        <v>8.4067886337268111E-2</v>
      </c>
      <c r="AZ82" s="115">
        <f t="shared" si="95"/>
        <v>9.7987141181208257E-2</v>
      </c>
      <c r="BA82" s="115">
        <f t="shared" si="95"/>
        <v>9.2196356754805017E-2</v>
      </c>
      <c r="BB82" s="115">
        <f t="shared" si="95"/>
        <v>0.11825644583188807</v>
      </c>
      <c r="BC82" s="115">
        <f t="shared" si="95"/>
        <v>0.1108290315298853</v>
      </c>
      <c r="BD82" s="426">
        <f t="shared" si="95"/>
        <v>0.10509759581619695</v>
      </c>
      <c r="BE82" s="115">
        <f t="shared" si="95"/>
        <v>0.13574308986859168</v>
      </c>
      <c r="BF82" s="115">
        <f t="shared" si="95"/>
        <v>0.13657717064113614</v>
      </c>
      <c r="BG82" s="115">
        <f t="shared" si="95"/>
        <v>0.128561375705179</v>
      </c>
      <c r="BH82" s="115">
        <f t="shared" si="95"/>
        <v>0.11177145240329479</v>
      </c>
      <c r="BI82" s="426">
        <f t="shared" si="95"/>
        <v>0.12822481623960666</v>
      </c>
      <c r="BJ82" s="115">
        <f t="shared" si="95"/>
        <v>0.13471796747595752</v>
      </c>
      <c r="BK82" s="115">
        <f t="shared" si="95"/>
        <v>0.14326023845154795</v>
      </c>
      <c r="BL82" s="115">
        <f t="shared" si="95"/>
        <v>0.12793185250314731</v>
      </c>
      <c r="BM82" s="115">
        <f t="shared" si="95"/>
        <v>0.12465501539228688</v>
      </c>
      <c r="BN82" s="426">
        <f t="shared" si="95"/>
        <v>0.13265404745838053</v>
      </c>
      <c r="BO82" s="115">
        <f t="shared" si="95"/>
        <v>0.11933906947100063</v>
      </c>
      <c r="BP82" s="115">
        <f t="shared" si="95"/>
        <v>0.14301098988055136</v>
      </c>
      <c r="BQ82" s="115">
        <f t="shared" si="95"/>
        <v>0.12699047788517734</v>
      </c>
      <c r="BR82" s="115">
        <f t="shared" si="95"/>
        <v>0.12452806064493355</v>
      </c>
      <c r="BS82" s="427">
        <f t="shared" si="95"/>
        <v>0.12878522761408961</v>
      </c>
      <c r="BT82" s="160"/>
      <c r="BU82" s="160"/>
      <c r="BV82" s="160"/>
      <c r="BW82" s="160"/>
      <c r="BX82" s="428"/>
      <c r="BY82" s="160"/>
      <c r="BZ82" s="160"/>
      <c r="CA82" s="160"/>
      <c r="CB82" s="160"/>
      <c r="CC82" s="428"/>
      <c r="CD82" s="428"/>
      <c r="CE82" s="428"/>
      <c r="CF82" s="428"/>
      <c r="CG82" s="115"/>
    </row>
    <row r="83" spans="1:85" ht="14.45" hidden="1" customHeight="1" x14ac:dyDescent="0.25">
      <c r="A83" s="143" t="s">
        <v>228</v>
      </c>
      <c r="B83" s="114"/>
      <c r="C83" s="428"/>
      <c r="D83" s="428"/>
      <c r="E83" s="428"/>
      <c r="F83" s="428"/>
      <c r="G83" s="160"/>
      <c r="H83" s="160"/>
      <c r="I83" s="160"/>
      <c r="J83" s="160"/>
      <c r="K83" s="428"/>
      <c r="L83" s="160"/>
      <c r="M83" s="160"/>
      <c r="N83" s="160"/>
      <c r="O83" s="160"/>
      <c r="P83" s="428"/>
      <c r="Q83" s="160"/>
      <c r="R83" s="160"/>
      <c r="S83" s="160"/>
      <c r="T83" s="160"/>
      <c r="U83" s="428"/>
      <c r="V83" s="160"/>
      <c r="W83" s="160"/>
      <c r="X83" s="160"/>
      <c r="Y83" s="160"/>
      <c r="Z83" s="428"/>
      <c r="AA83" s="160"/>
      <c r="AB83" s="160"/>
      <c r="AC83" s="160"/>
      <c r="AD83" s="160"/>
      <c r="AE83" s="428"/>
      <c r="AF83" s="115">
        <f t="shared" ref="AF83:BS83" si="96">AF79/AF69</f>
        <v>4.327994549590642E-2</v>
      </c>
      <c r="AG83" s="115">
        <f t="shared" si="96"/>
        <v>3.8437653911218658E-2</v>
      </c>
      <c r="AH83" s="115">
        <f t="shared" si="96"/>
        <v>5.3939867155829851E-2</v>
      </c>
      <c r="AI83" s="115">
        <f t="shared" si="96"/>
        <v>2.3492100781099335E-5</v>
      </c>
      <c r="AJ83" s="426">
        <f t="shared" si="96"/>
        <v>3.4529104217497386E-2</v>
      </c>
      <c r="AK83" s="115">
        <f t="shared" si="96"/>
        <v>6.2708297787635772E-2</v>
      </c>
      <c r="AL83" s="115">
        <f t="shared" si="96"/>
        <v>9.9955762465505263E-2</v>
      </c>
      <c r="AM83" s="115">
        <f t="shared" si="96"/>
        <v>6.0518264667408998E-2</v>
      </c>
      <c r="AN83" s="115">
        <f t="shared" si="96"/>
        <v>-0.2007265208838859</v>
      </c>
      <c r="AO83" s="426">
        <f t="shared" si="96"/>
        <v>1.919102621701135E-2</v>
      </c>
      <c r="AP83" s="115">
        <f t="shared" si="96"/>
        <v>-3.4390720901341924E-2</v>
      </c>
      <c r="AQ83" s="115">
        <f t="shared" si="96"/>
        <v>-9.822106586662353E-3</v>
      </c>
      <c r="AR83" s="115">
        <f t="shared" si="96"/>
        <v>-4.9436161177691798E-2</v>
      </c>
      <c r="AS83" s="115">
        <f t="shared" si="96"/>
        <v>-4.1264104168114726E-2</v>
      </c>
      <c r="AT83" s="426">
        <f t="shared" si="96"/>
        <v>-3.4075881801351252E-2</v>
      </c>
      <c r="AU83" s="115">
        <f t="shared" si="96"/>
        <v>-9.5387386185505126E-3</v>
      </c>
      <c r="AV83" s="115">
        <f t="shared" si="96"/>
        <v>-3.7674907717400639E-2</v>
      </c>
      <c r="AW83" s="115">
        <f t="shared" si="96"/>
        <v>-7.9772111786585165E-2</v>
      </c>
      <c r="AX83" s="115">
        <f t="shared" si="96"/>
        <v>-6.4123813646104963E-2</v>
      </c>
      <c r="AY83" s="426">
        <f t="shared" si="96"/>
        <v>-4.781725749955705E-2</v>
      </c>
      <c r="AZ83" s="115">
        <f t="shared" si="96"/>
        <v>-3.7155662780903258E-2</v>
      </c>
      <c r="BA83" s="115">
        <f t="shared" si="96"/>
        <v>3.097913322632424E-2</v>
      </c>
      <c r="BB83" s="115">
        <f t="shared" si="96"/>
        <v>7.0400253124505612E-3</v>
      </c>
      <c r="BC83" s="115">
        <f t="shared" si="96"/>
        <v>1.5507020280811227E-2</v>
      </c>
      <c r="BD83" s="426">
        <f t="shared" si="96"/>
        <v>4.7851682320919275E-3</v>
      </c>
      <c r="BE83" s="115">
        <f t="shared" si="96"/>
        <v>-4.0324326664934615E-2</v>
      </c>
      <c r="BF83" s="115">
        <f t="shared" si="96"/>
        <v>-5.6843255510958873E-3</v>
      </c>
      <c r="BG83" s="115">
        <f t="shared" si="96"/>
        <v>-1.2228202827972148E-2</v>
      </c>
      <c r="BH83" s="115">
        <f t="shared" si="96"/>
        <v>-1.8188517451597792E-2</v>
      </c>
      <c r="BI83" s="426">
        <f t="shared" si="96"/>
        <v>-1.8988639183488514E-2</v>
      </c>
      <c r="BJ83" s="115">
        <f t="shared" si="96"/>
        <v>3.7047967129009554E-2</v>
      </c>
      <c r="BK83" s="115">
        <f t="shared" si="96"/>
        <v>4.7518418439224927E-2</v>
      </c>
      <c r="BL83" s="115">
        <f t="shared" si="96"/>
        <v>3.4593528934245624E-2</v>
      </c>
      <c r="BM83" s="115">
        <f t="shared" si="96"/>
        <v>3.2312427586691159E-2</v>
      </c>
      <c r="BN83" s="426">
        <f t="shared" si="96"/>
        <v>3.7886464747948045E-2</v>
      </c>
      <c r="BO83" s="115">
        <f t="shared" si="96"/>
        <v>3.3913249460441122E-2</v>
      </c>
      <c r="BP83" s="115">
        <f t="shared" si="96"/>
        <v>0.10121906169190988</v>
      </c>
      <c r="BQ83" s="115">
        <f t="shared" si="96"/>
        <v>9.6532169610977575E-2</v>
      </c>
      <c r="BR83" s="115">
        <f t="shared" si="96"/>
        <v>7.7297186676136678E-2</v>
      </c>
      <c r="BS83" s="427">
        <f t="shared" si="96"/>
        <v>7.8200687795465212E-2</v>
      </c>
      <c r="BT83" s="160"/>
      <c r="BU83" s="160"/>
      <c r="BV83" s="160"/>
      <c r="BW83" s="160"/>
      <c r="BX83" s="428"/>
      <c r="BY83" s="160"/>
      <c r="BZ83" s="160"/>
      <c r="CA83" s="160"/>
      <c r="CB83" s="160"/>
      <c r="CC83" s="428"/>
      <c r="CD83" s="428"/>
      <c r="CE83" s="428"/>
      <c r="CF83" s="428"/>
      <c r="CG83" s="115"/>
    </row>
    <row r="84" spans="1:85" ht="14.45" hidden="1" customHeight="1" x14ac:dyDescent="0.25">
      <c r="A84" s="91" t="s">
        <v>229</v>
      </c>
      <c r="B84" s="116"/>
      <c r="C84" s="431"/>
      <c r="D84" s="431"/>
      <c r="E84" s="431"/>
      <c r="F84" s="431"/>
      <c r="G84" s="161"/>
      <c r="H84" s="161"/>
      <c r="I84" s="161"/>
      <c r="J84" s="161"/>
      <c r="K84" s="431"/>
      <c r="L84" s="161"/>
      <c r="M84" s="161"/>
      <c r="N84" s="161"/>
      <c r="O84" s="161"/>
      <c r="P84" s="431"/>
      <c r="Q84" s="161"/>
      <c r="R84" s="161"/>
      <c r="S84" s="161"/>
      <c r="T84" s="161"/>
      <c r="U84" s="431"/>
      <c r="V84" s="161"/>
      <c r="W84" s="161"/>
      <c r="X84" s="161"/>
      <c r="Y84" s="161"/>
      <c r="Z84" s="431"/>
      <c r="AA84" s="161"/>
      <c r="AB84" s="161"/>
      <c r="AC84" s="161"/>
      <c r="AD84" s="161"/>
      <c r="AE84" s="431"/>
      <c r="AF84" s="117">
        <f t="shared" ref="AF84:BS84" si="97">AF80/AF71</f>
        <v>-1.7841629592479785E-2</v>
      </c>
      <c r="AG84" s="117">
        <f t="shared" si="97"/>
        <v>1.6130288204209333E-2</v>
      </c>
      <c r="AH84" s="117">
        <f t="shared" si="97"/>
        <v>3.6879387857309556E-2</v>
      </c>
      <c r="AI84" s="117">
        <f t="shared" si="97"/>
        <v>1.1276022351441302E-2</v>
      </c>
      <c r="AJ84" s="429">
        <f t="shared" si="97"/>
        <v>1.2518366122104118E-2</v>
      </c>
      <c r="AK84" s="117">
        <f t="shared" si="97"/>
        <v>1.8273443393489235E-2</v>
      </c>
      <c r="AL84" s="117">
        <f t="shared" si="97"/>
        <v>5.2772366858005161E-2</v>
      </c>
      <c r="AM84" s="117">
        <f t="shared" si="97"/>
        <v>4.2364100268365235E-2</v>
      </c>
      <c r="AN84" s="117">
        <f t="shared" si="97"/>
        <v>3.353834644246699E-2</v>
      </c>
      <c r="AO84" s="429">
        <f t="shared" si="97"/>
        <v>3.7449946120924088E-2</v>
      </c>
      <c r="AP84" s="117">
        <f t="shared" si="97"/>
        <v>2.7979891238093781E-2</v>
      </c>
      <c r="AQ84" s="117">
        <f t="shared" si="97"/>
        <v>6.7728963547544638E-2</v>
      </c>
      <c r="AR84" s="117">
        <f t="shared" si="97"/>
        <v>7.816729444991434E-2</v>
      </c>
      <c r="AS84" s="117">
        <f t="shared" si="97"/>
        <v>7.3199039289493381E-2</v>
      </c>
      <c r="AT84" s="429">
        <f t="shared" si="97"/>
        <v>6.2583514616593144E-2</v>
      </c>
      <c r="AU84" s="117">
        <f t="shared" si="97"/>
        <v>7.4168981231744993E-2</v>
      </c>
      <c r="AV84" s="117">
        <f t="shared" si="97"/>
        <v>8.4336180801431321E-2</v>
      </c>
      <c r="AW84" s="117">
        <f t="shared" si="97"/>
        <v>9.4022225393706194E-2</v>
      </c>
      <c r="AX84" s="117">
        <f t="shared" si="97"/>
        <v>6.2106951314910348E-2</v>
      </c>
      <c r="AY84" s="429">
        <f t="shared" si="97"/>
        <v>7.8949052566786665E-2</v>
      </c>
      <c r="AZ84" s="117">
        <f t="shared" si="97"/>
        <v>9.3270376926681081E-2</v>
      </c>
      <c r="BA84" s="117">
        <f t="shared" si="97"/>
        <v>9.2334262152750576E-2</v>
      </c>
      <c r="BB84" s="117">
        <f t="shared" si="97"/>
        <v>0.1166224259159309</v>
      </c>
      <c r="BC84" s="117">
        <f t="shared" si="97"/>
        <v>0.10989289767579366</v>
      </c>
      <c r="BD84" s="429">
        <f t="shared" si="97"/>
        <v>0.10337872041363935</v>
      </c>
      <c r="BE84" s="117">
        <f t="shared" si="97"/>
        <v>0.13110746594962466</v>
      </c>
      <c r="BF84" s="117">
        <f t="shared" si="97"/>
        <v>0.1343833101760262</v>
      </c>
      <c r="BG84" s="117">
        <f t="shared" si="97"/>
        <v>0.12628852132761204</v>
      </c>
      <c r="BH84" s="117">
        <f t="shared" si="97"/>
        <v>0.10942477908662164</v>
      </c>
      <c r="BI84" s="429">
        <f t="shared" si="97"/>
        <v>0.12540859753845063</v>
      </c>
      <c r="BJ84" s="117">
        <f t="shared" si="97"/>
        <v>0.135337070392165</v>
      </c>
      <c r="BK84" s="117">
        <f t="shared" si="97"/>
        <v>0.14429188454199271</v>
      </c>
      <c r="BL84" s="117">
        <f t="shared" si="97"/>
        <v>0.12859555563610497</v>
      </c>
      <c r="BM84" s="117">
        <f t="shared" si="97"/>
        <v>0.12525028700339821</v>
      </c>
      <c r="BN84" s="429">
        <f t="shared" si="97"/>
        <v>0.13338954820749144</v>
      </c>
      <c r="BO84" s="117">
        <f t="shared" si="97"/>
        <v>0.1201409893941494</v>
      </c>
      <c r="BP84" s="117">
        <f t="shared" si="97"/>
        <v>0.14663498460538535</v>
      </c>
      <c r="BQ84" s="117">
        <f t="shared" si="97"/>
        <v>0.13061048542167442</v>
      </c>
      <c r="BR84" s="117">
        <f t="shared" si="97"/>
        <v>0.12714665467939471</v>
      </c>
      <c r="BS84" s="430">
        <f t="shared" si="97"/>
        <v>0.13152307225111043</v>
      </c>
      <c r="BT84" s="161"/>
      <c r="BU84" s="161"/>
      <c r="BV84" s="161"/>
      <c r="BW84" s="161"/>
      <c r="BX84" s="431"/>
      <c r="BY84" s="161"/>
      <c r="BZ84" s="161"/>
      <c r="CA84" s="161"/>
      <c r="CB84" s="161"/>
      <c r="CC84" s="431"/>
      <c r="CD84" s="431"/>
      <c r="CE84" s="431"/>
      <c r="CF84" s="431"/>
      <c r="CG84" s="236"/>
    </row>
    <row r="85" spans="1:85" ht="14.45" customHeight="1" x14ac:dyDescent="0.25">
      <c r="A85" s="111"/>
      <c r="B85" s="97"/>
      <c r="C85" s="413"/>
      <c r="D85" s="413"/>
      <c r="E85" s="413"/>
      <c r="F85" s="413"/>
      <c r="G85" s="63"/>
      <c r="H85" s="63"/>
      <c r="I85" s="63"/>
      <c r="J85" s="63"/>
      <c r="K85" s="413"/>
      <c r="L85" s="63"/>
      <c r="M85" s="63"/>
      <c r="N85" s="63"/>
      <c r="O85" s="63"/>
      <c r="P85" s="413"/>
      <c r="Q85" s="63"/>
      <c r="R85" s="63"/>
      <c r="S85" s="63"/>
      <c r="T85" s="63"/>
      <c r="U85" s="413"/>
      <c r="V85" s="63"/>
      <c r="W85" s="63"/>
      <c r="X85" s="63"/>
      <c r="Y85" s="63"/>
      <c r="Z85" s="413"/>
      <c r="AA85" s="63"/>
      <c r="AB85" s="63"/>
      <c r="AC85" s="63"/>
      <c r="AD85" s="63"/>
      <c r="AE85" s="413"/>
      <c r="AF85" s="63"/>
      <c r="AG85" s="63"/>
      <c r="AH85" s="63"/>
      <c r="AI85" s="63"/>
      <c r="AJ85" s="413"/>
      <c r="AK85" s="63"/>
      <c r="AL85" s="63"/>
      <c r="AM85" s="63"/>
      <c r="AN85" s="63"/>
      <c r="AO85" s="413"/>
      <c r="AP85" s="63"/>
      <c r="AQ85" s="63"/>
      <c r="AR85" s="63"/>
      <c r="AS85" s="63"/>
      <c r="AT85" s="413"/>
      <c r="AU85" s="63"/>
      <c r="AV85" s="63"/>
      <c r="AW85" s="63"/>
      <c r="AX85" s="63"/>
      <c r="AY85" s="413"/>
      <c r="AZ85" s="63"/>
      <c r="BA85" s="63"/>
      <c r="BB85" s="63"/>
      <c r="BC85" s="63"/>
      <c r="BD85" s="413"/>
      <c r="BE85" s="63"/>
      <c r="BF85" s="63"/>
      <c r="BG85" s="63"/>
      <c r="BH85" s="63"/>
      <c r="BI85" s="413"/>
      <c r="BJ85" s="63"/>
      <c r="BK85" s="63"/>
      <c r="BL85" s="63"/>
      <c r="BM85" s="63"/>
      <c r="BN85" s="413"/>
      <c r="BO85" s="63"/>
      <c r="BP85" s="63"/>
      <c r="BQ85" s="63"/>
      <c r="BR85" s="63"/>
      <c r="BS85" s="425"/>
      <c r="BT85" s="63"/>
      <c r="BU85" s="63"/>
      <c r="BV85" s="63"/>
      <c r="BW85" s="63"/>
      <c r="BX85" s="413"/>
      <c r="BY85" s="63"/>
      <c r="BZ85" s="63"/>
      <c r="CA85" s="63"/>
      <c r="CB85" s="63"/>
      <c r="CC85" s="413"/>
      <c r="CD85" s="413"/>
      <c r="CE85" s="413"/>
      <c r="CF85" s="413"/>
      <c r="CG85" s="99"/>
    </row>
    <row r="86" spans="1:85" ht="14.45" customHeight="1" x14ac:dyDescent="0.25">
      <c r="A86" s="95" t="s">
        <v>230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409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109"/>
    </row>
    <row r="87" spans="1:85" ht="14.45" hidden="1" customHeight="1" x14ac:dyDescent="0.25">
      <c r="A87" s="135" t="s">
        <v>231</v>
      </c>
      <c r="B87" s="108"/>
      <c r="C87" s="423"/>
      <c r="D87" s="421">
        <f>C106</f>
        <v>1442.9860000000001</v>
      </c>
      <c r="E87" s="421">
        <f>D106</f>
        <v>1514.5989999999999</v>
      </c>
      <c r="F87" s="421">
        <f>E106</f>
        <v>1561.239</v>
      </c>
      <c r="G87" s="112"/>
      <c r="H87" s="112"/>
      <c r="I87" s="112"/>
      <c r="J87" s="112"/>
      <c r="K87" s="421">
        <f t="shared" ref="K87:AP87" si="98">F106</f>
        <v>1614.433</v>
      </c>
      <c r="L87" s="109">
        <f t="shared" si="98"/>
        <v>383.55099999999999</v>
      </c>
      <c r="M87" s="109">
        <f t="shared" si="98"/>
        <v>428.97899999999998</v>
      </c>
      <c r="N87" s="109">
        <f t="shared" si="98"/>
        <v>434.464</v>
      </c>
      <c r="O87" s="109">
        <f t="shared" si="98"/>
        <v>394.33699999999993</v>
      </c>
      <c r="P87" s="421">
        <f t="shared" si="98"/>
        <v>1641.3309999999999</v>
      </c>
      <c r="Q87" s="109">
        <f t="shared" si="98"/>
        <v>388.58199999999999</v>
      </c>
      <c r="R87" s="109">
        <f t="shared" si="98"/>
        <v>459.47300000000001</v>
      </c>
      <c r="S87" s="109">
        <f t="shared" si="98"/>
        <v>457.67599999999999</v>
      </c>
      <c r="T87" s="109">
        <f t="shared" si="98"/>
        <v>440.63799999999986</v>
      </c>
      <c r="U87" s="421">
        <f t="shared" si="98"/>
        <v>1746.3689999999999</v>
      </c>
      <c r="V87" s="109">
        <f t="shared" si="98"/>
        <v>453.25299999999999</v>
      </c>
      <c r="W87" s="109">
        <f t="shared" si="98"/>
        <v>614.68299999999999</v>
      </c>
      <c r="X87" s="109">
        <f t="shared" si="98"/>
        <v>618.80600000000004</v>
      </c>
      <c r="Y87" s="109">
        <f t="shared" si="98"/>
        <v>619.71600000000012</v>
      </c>
      <c r="Z87" s="421">
        <f t="shared" si="98"/>
        <v>2306.4580000000001</v>
      </c>
      <c r="AA87" s="109">
        <f t="shared" si="98"/>
        <v>625.45600000000002</v>
      </c>
      <c r="AB87" s="109">
        <f t="shared" si="98"/>
        <v>840.38400000000001</v>
      </c>
      <c r="AC87" s="109">
        <f t="shared" si="98"/>
        <v>849.02800000000002</v>
      </c>
      <c r="AD87" s="109">
        <f t="shared" si="98"/>
        <v>841.55999999999972</v>
      </c>
      <c r="AE87" s="421">
        <f t="shared" si="98"/>
        <v>3156.4279999999999</v>
      </c>
      <c r="AF87" s="109">
        <f t="shared" si="98"/>
        <v>865.702</v>
      </c>
      <c r="AG87" s="109">
        <f t="shared" si="98"/>
        <v>1169.2909999999999</v>
      </c>
      <c r="AH87" s="109">
        <f t="shared" si="98"/>
        <v>1162.5260000000001</v>
      </c>
      <c r="AI87" s="109">
        <f t="shared" si="98"/>
        <v>1126.1489999999994</v>
      </c>
      <c r="AJ87" s="421">
        <f t="shared" si="98"/>
        <v>4323.6679999999997</v>
      </c>
      <c r="AK87" s="109">
        <f t="shared" si="98"/>
        <v>1064.7570000000001</v>
      </c>
      <c r="AL87" s="109">
        <f t="shared" si="98"/>
        <v>1220.0029999999999</v>
      </c>
      <c r="AM87" s="109">
        <f t="shared" si="98"/>
        <v>1204.0329999999999</v>
      </c>
      <c r="AN87" s="109">
        <f t="shared" si="98"/>
        <v>1136.5709999999995</v>
      </c>
      <c r="AO87" s="421">
        <f t="shared" si="98"/>
        <v>4625.3639999999996</v>
      </c>
      <c r="AP87" s="109">
        <f t="shared" si="98"/>
        <v>1102.912</v>
      </c>
      <c r="AQ87" s="109">
        <f t="shared" ref="AQ87:BS87" si="99">AL106</f>
        <v>1273.6590000000001</v>
      </c>
      <c r="AR87" s="109">
        <f t="shared" si="99"/>
        <v>1271.029</v>
      </c>
      <c r="AS87" s="109">
        <f t="shared" si="99"/>
        <v>1178.9490000000001</v>
      </c>
      <c r="AT87" s="421">
        <f t="shared" si="99"/>
        <v>4826.549</v>
      </c>
      <c r="AU87" s="109">
        <f t="shared" si="99"/>
        <v>1173.021</v>
      </c>
      <c r="AV87" s="109">
        <f t="shared" si="99"/>
        <v>1227.2149999999999</v>
      </c>
      <c r="AW87" s="109">
        <f t="shared" si="99"/>
        <v>1328.4839999999999</v>
      </c>
      <c r="AX87" s="109">
        <f t="shared" si="99"/>
        <v>1278.6370000000002</v>
      </c>
      <c r="AY87" s="421">
        <f t="shared" si="99"/>
        <v>5007.357</v>
      </c>
      <c r="AZ87" s="109">
        <f t="shared" si="99"/>
        <v>1269.857</v>
      </c>
      <c r="BA87" s="109">
        <f t="shared" si="99"/>
        <v>1433.086</v>
      </c>
      <c r="BB87" s="109">
        <f t="shared" si="99"/>
        <v>1457.432</v>
      </c>
      <c r="BC87" s="109">
        <f t="shared" si="99"/>
        <v>1402.3389999999999</v>
      </c>
      <c r="BD87" s="421">
        <f t="shared" si="99"/>
        <v>5562.7139999999999</v>
      </c>
      <c r="BE87" s="109">
        <f t="shared" si="99"/>
        <v>1404.3579999999999</v>
      </c>
      <c r="BF87" s="109">
        <f t="shared" si="99"/>
        <v>1595.2149999999999</v>
      </c>
      <c r="BG87" s="109">
        <f t="shared" si="99"/>
        <v>1628.5889999999999</v>
      </c>
      <c r="BH87" s="109">
        <f t="shared" si="99"/>
        <v>1572.7950000000001</v>
      </c>
      <c r="BI87" s="421">
        <f t="shared" si="99"/>
        <v>6200.9570000000003</v>
      </c>
      <c r="BJ87" s="109">
        <f t="shared" si="99"/>
        <v>1571.6420000000001</v>
      </c>
      <c r="BK87" s="109">
        <f t="shared" si="99"/>
        <v>1738.8320000000001</v>
      </c>
      <c r="BL87" s="109">
        <f t="shared" si="99"/>
        <v>1712.4280000000001</v>
      </c>
      <c r="BM87" s="109">
        <f t="shared" si="99"/>
        <v>1630.9560000000001</v>
      </c>
      <c r="BN87" s="421">
        <f t="shared" si="99"/>
        <v>6653.8580000000002</v>
      </c>
      <c r="BO87" s="109">
        <f t="shared" si="99"/>
        <v>1591.626</v>
      </c>
      <c r="BP87" s="109">
        <f t="shared" si="99"/>
        <v>1795.943</v>
      </c>
      <c r="BQ87" s="109">
        <f t="shared" si="99"/>
        <v>1765.652</v>
      </c>
      <c r="BR87" s="109">
        <f t="shared" si="99"/>
        <v>1746.4950000000008</v>
      </c>
      <c r="BS87" s="422">
        <f t="shared" si="99"/>
        <v>6899.7160000000003</v>
      </c>
      <c r="BT87" s="112"/>
      <c r="BU87" s="112"/>
      <c r="BV87" s="112"/>
      <c r="BW87" s="112"/>
      <c r="BX87" s="423"/>
      <c r="BY87" s="112"/>
      <c r="BZ87" s="112"/>
      <c r="CA87" s="112"/>
      <c r="CB87" s="112"/>
      <c r="CC87" s="423"/>
      <c r="CD87" s="423"/>
      <c r="CE87" s="423"/>
      <c r="CF87" s="423"/>
      <c r="CG87" s="109"/>
    </row>
    <row r="88" spans="1:85" ht="14.45" hidden="1" customHeight="1" x14ac:dyDescent="0.25">
      <c r="A88" s="125" t="s">
        <v>232</v>
      </c>
      <c r="B88" s="97"/>
      <c r="C88" s="413"/>
      <c r="D88" s="413"/>
      <c r="E88" s="413"/>
      <c r="F88" s="413"/>
      <c r="G88" s="63"/>
      <c r="H88" s="63"/>
      <c r="I88" s="63"/>
      <c r="J88" s="63"/>
      <c r="K88" s="413"/>
      <c r="L88" s="63"/>
      <c r="M88" s="63"/>
      <c r="N88" s="63"/>
      <c r="O88" s="99">
        <f t="shared" ref="O88:O99" si="100">P88-SUM(L88,M88,N88)</f>
        <v>0</v>
      </c>
      <c r="P88" s="413"/>
      <c r="Q88" s="98">
        <v>53.3</v>
      </c>
      <c r="R88" s="98">
        <v>105.4</v>
      </c>
      <c r="S88" s="98">
        <v>107.4</v>
      </c>
      <c r="T88" s="99">
        <f t="shared" ref="T88:T94" si="101">U88-SUM(Q88,R88,S88)</f>
        <v>107.29999999999995</v>
      </c>
      <c r="U88" s="410">
        <v>373.4</v>
      </c>
      <c r="V88" s="98">
        <v>117.8</v>
      </c>
      <c r="W88" s="98">
        <v>211.7</v>
      </c>
      <c r="X88" s="98">
        <v>213.6</v>
      </c>
      <c r="Y88" s="99">
        <f t="shared" ref="Y88:Y105" si="102">Z88-SUM(V88,W88,X88)</f>
        <v>230.5</v>
      </c>
      <c r="Z88" s="410">
        <v>773.6</v>
      </c>
      <c r="AA88" s="98">
        <v>229.6</v>
      </c>
      <c r="AB88" s="98">
        <v>309.8</v>
      </c>
      <c r="AC88" s="98">
        <v>303.89999999999998</v>
      </c>
      <c r="AD88" s="99">
        <f t="shared" ref="AD88:AD105" si="103">AE88-SUM(AA88,AB88,AC88)</f>
        <v>247.90000000000009</v>
      </c>
      <c r="AE88" s="410">
        <v>1091.2</v>
      </c>
      <c r="AF88" s="63"/>
      <c r="AG88" s="63"/>
      <c r="AH88" s="63"/>
      <c r="AI88" s="63"/>
      <c r="AJ88" s="413"/>
      <c r="AK88" s="63"/>
      <c r="AL88" s="63"/>
      <c r="AM88" s="63"/>
      <c r="AN88" s="63"/>
      <c r="AO88" s="413"/>
      <c r="AP88" s="63"/>
      <c r="AQ88" s="63"/>
      <c r="AR88" s="63"/>
      <c r="AS88" s="63"/>
      <c r="AT88" s="413"/>
      <c r="AU88" s="63"/>
      <c r="AV88" s="63"/>
      <c r="AW88" s="63"/>
      <c r="AX88" s="63"/>
      <c r="AY88" s="413"/>
      <c r="AZ88" s="63"/>
      <c r="BA88" s="63"/>
      <c r="BB88" s="63"/>
      <c r="BC88" s="63"/>
      <c r="BD88" s="413"/>
      <c r="BE88" s="63"/>
      <c r="BF88" s="63"/>
      <c r="BG88" s="63"/>
      <c r="BH88" s="63"/>
      <c r="BI88" s="413"/>
      <c r="BJ88" s="63"/>
      <c r="BK88" s="63"/>
      <c r="BL88" s="63"/>
      <c r="BM88" s="63"/>
      <c r="BN88" s="413"/>
      <c r="BO88" s="63"/>
      <c r="BP88" s="63"/>
      <c r="BQ88" s="63"/>
      <c r="BR88" s="63"/>
      <c r="BS88" s="425"/>
      <c r="BT88" s="63"/>
      <c r="BU88" s="63"/>
      <c r="BV88" s="63"/>
      <c r="BW88" s="63"/>
      <c r="BX88" s="413"/>
      <c r="BY88" s="63"/>
      <c r="BZ88" s="63"/>
      <c r="CA88" s="63"/>
      <c r="CB88" s="63"/>
      <c r="CC88" s="413"/>
      <c r="CD88" s="413"/>
      <c r="CE88" s="413"/>
      <c r="CF88" s="413"/>
      <c r="CG88" s="99"/>
    </row>
    <row r="89" spans="1:85" ht="14.45" hidden="1" customHeight="1" x14ac:dyDescent="0.25">
      <c r="A89" s="125" t="s">
        <v>233</v>
      </c>
      <c r="B89" s="97"/>
      <c r="C89" s="413"/>
      <c r="D89" s="413"/>
      <c r="E89" s="413"/>
      <c r="F89" s="413"/>
      <c r="G89" s="63"/>
      <c r="H89" s="63"/>
      <c r="I89" s="63"/>
      <c r="J89" s="63"/>
      <c r="K89" s="413"/>
      <c r="L89" s="63"/>
      <c r="M89" s="63"/>
      <c r="N89" s="63"/>
      <c r="O89" s="99">
        <f t="shared" si="100"/>
        <v>0</v>
      </c>
      <c r="P89" s="413"/>
      <c r="Q89" s="63"/>
      <c r="R89" s="98">
        <v>6.5</v>
      </c>
      <c r="S89" s="98">
        <v>6.3</v>
      </c>
      <c r="T89" s="99">
        <f t="shared" si="101"/>
        <v>13</v>
      </c>
      <c r="U89" s="410">
        <v>25.8</v>
      </c>
      <c r="V89" s="98">
        <v>6.8</v>
      </c>
      <c r="W89" s="98">
        <v>7.6</v>
      </c>
      <c r="X89" s="98">
        <v>6.6</v>
      </c>
      <c r="Y89" s="99">
        <f t="shared" si="102"/>
        <v>1.6000000000000014</v>
      </c>
      <c r="Z89" s="410">
        <v>22.6</v>
      </c>
      <c r="AA89" s="63"/>
      <c r="AB89" s="98">
        <v>-3.1</v>
      </c>
      <c r="AC89" s="63"/>
      <c r="AD89" s="99">
        <f t="shared" si="103"/>
        <v>3.1</v>
      </c>
      <c r="AE89" s="413"/>
      <c r="AF89" s="63"/>
      <c r="AG89" s="63"/>
      <c r="AH89" s="63"/>
      <c r="AI89" s="63"/>
      <c r="AJ89" s="413"/>
      <c r="AK89" s="63"/>
      <c r="AL89" s="63"/>
      <c r="AM89" s="63"/>
      <c r="AN89" s="63"/>
      <c r="AO89" s="413"/>
      <c r="AP89" s="63"/>
      <c r="AQ89" s="63"/>
      <c r="AR89" s="63"/>
      <c r="AS89" s="63"/>
      <c r="AT89" s="413"/>
      <c r="AU89" s="63"/>
      <c r="AV89" s="63"/>
      <c r="AW89" s="63"/>
      <c r="AX89" s="63"/>
      <c r="AY89" s="413"/>
      <c r="AZ89" s="63"/>
      <c r="BA89" s="63"/>
      <c r="BB89" s="63"/>
      <c r="BC89" s="63"/>
      <c r="BD89" s="413"/>
      <c r="BE89" s="63"/>
      <c r="BF89" s="63"/>
      <c r="BG89" s="63"/>
      <c r="BH89" s="63"/>
      <c r="BI89" s="413"/>
      <c r="BJ89" s="98">
        <v>-10</v>
      </c>
      <c r="BK89" s="63"/>
      <c r="BL89" s="63"/>
      <c r="BM89" s="63"/>
      <c r="BN89" s="413"/>
      <c r="BO89" s="63"/>
      <c r="BP89" s="63"/>
      <c r="BQ89" s="63"/>
      <c r="BR89" s="63"/>
      <c r="BS89" s="425"/>
      <c r="BT89" s="63"/>
      <c r="BU89" s="63"/>
      <c r="BV89" s="63"/>
      <c r="BW89" s="63"/>
      <c r="BX89" s="413"/>
      <c r="BY89" s="63"/>
      <c r="BZ89" s="63"/>
      <c r="CA89" s="63"/>
      <c r="CB89" s="63"/>
      <c r="CC89" s="413"/>
      <c r="CD89" s="413"/>
      <c r="CE89" s="413"/>
      <c r="CF89" s="413"/>
      <c r="CG89" s="99"/>
    </row>
    <row r="90" spans="1:85" ht="14.45" hidden="1" customHeight="1" x14ac:dyDescent="0.25">
      <c r="A90" s="125" t="s">
        <v>234</v>
      </c>
      <c r="B90" s="97"/>
      <c r="C90" s="413"/>
      <c r="D90" s="410">
        <v>18.8</v>
      </c>
      <c r="E90" s="410">
        <v>3.4</v>
      </c>
      <c r="F90" s="410">
        <v>5.2</v>
      </c>
      <c r="G90" s="63"/>
      <c r="H90" s="63"/>
      <c r="I90" s="63"/>
      <c r="J90" s="63"/>
      <c r="K90" s="413"/>
      <c r="L90" s="98">
        <v>-1.5</v>
      </c>
      <c r="M90" s="98">
        <v>0.7</v>
      </c>
      <c r="N90" s="98">
        <v>-0.8</v>
      </c>
      <c r="O90" s="99">
        <f t="shared" si="100"/>
        <v>1.6</v>
      </c>
      <c r="P90" s="413"/>
      <c r="Q90" s="63"/>
      <c r="R90" s="63"/>
      <c r="S90" s="98">
        <v>-3</v>
      </c>
      <c r="T90" s="99">
        <f t="shared" si="101"/>
        <v>-6.1</v>
      </c>
      <c r="U90" s="410">
        <v>-9.1</v>
      </c>
      <c r="V90" s="98">
        <v>-6.9</v>
      </c>
      <c r="W90" s="98">
        <v>-9.8000000000000007</v>
      </c>
      <c r="X90" s="98">
        <v>-5.0999999999999996</v>
      </c>
      <c r="Y90" s="99">
        <f t="shared" si="102"/>
        <v>0</v>
      </c>
      <c r="Z90" s="410">
        <v>-21.8</v>
      </c>
      <c r="AA90" s="63"/>
      <c r="AB90" s="63"/>
      <c r="AC90" s="63"/>
      <c r="AD90" s="99">
        <f t="shared" si="103"/>
        <v>0</v>
      </c>
      <c r="AE90" s="413"/>
      <c r="AF90" s="63"/>
      <c r="AG90" s="63"/>
      <c r="AH90" s="63"/>
      <c r="AI90" s="63"/>
      <c r="AJ90" s="413"/>
      <c r="AK90" s="63"/>
      <c r="AL90" s="63"/>
      <c r="AM90" s="63"/>
      <c r="AN90" s="63"/>
      <c r="AO90" s="413"/>
      <c r="AP90" s="63"/>
      <c r="AQ90" s="63"/>
      <c r="AR90" s="63"/>
      <c r="AS90" s="63"/>
      <c r="AT90" s="413"/>
      <c r="AU90" s="63"/>
      <c r="AV90" s="63"/>
      <c r="AW90" s="63"/>
      <c r="AX90" s="63"/>
      <c r="AY90" s="413"/>
      <c r="AZ90" s="63"/>
      <c r="BA90" s="63"/>
      <c r="BB90" s="63"/>
      <c r="BC90" s="63"/>
      <c r="BD90" s="413"/>
      <c r="BE90" s="63"/>
      <c r="BF90" s="63"/>
      <c r="BG90" s="63"/>
      <c r="BH90" s="63"/>
      <c r="BI90" s="413"/>
      <c r="BJ90" s="63"/>
      <c r="BK90" s="63"/>
      <c r="BL90" s="63"/>
      <c r="BM90" s="63"/>
      <c r="BN90" s="413"/>
      <c r="BO90" s="63"/>
      <c r="BP90" s="63"/>
      <c r="BQ90" s="63"/>
      <c r="BR90" s="63"/>
      <c r="BS90" s="425"/>
      <c r="BT90" s="63"/>
      <c r="BU90" s="63"/>
      <c r="BV90" s="63"/>
      <c r="BW90" s="63"/>
      <c r="BX90" s="413"/>
      <c r="BY90" s="63"/>
      <c r="BZ90" s="63"/>
      <c r="CA90" s="63"/>
      <c r="CB90" s="63"/>
      <c r="CC90" s="413"/>
      <c r="CD90" s="413"/>
      <c r="CE90" s="413"/>
      <c r="CF90" s="413"/>
      <c r="CG90" s="99"/>
    </row>
    <row r="91" spans="1:85" ht="14.45" hidden="1" customHeight="1" x14ac:dyDescent="0.25">
      <c r="A91" s="125" t="s">
        <v>235</v>
      </c>
      <c r="B91" s="97"/>
      <c r="C91" s="413"/>
      <c r="D91" s="413"/>
      <c r="E91" s="413"/>
      <c r="F91" s="413"/>
      <c r="G91" s="63"/>
      <c r="H91" s="63"/>
      <c r="I91" s="63"/>
      <c r="J91" s="63"/>
      <c r="K91" s="413"/>
      <c r="L91" s="63"/>
      <c r="M91" s="63"/>
      <c r="N91" s="63"/>
      <c r="O91" s="99">
        <f t="shared" si="100"/>
        <v>0</v>
      </c>
      <c r="P91" s="413"/>
      <c r="Q91" s="63"/>
      <c r="R91" s="63"/>
      <c r="S91" s="63"/>
      <c r="T91" s="99">
        <f t="shared" si="101"/>
        <v>0</v>
      </c>
      <c r="U91" s="413"/>
      <c r="V91" s="63"/>
      <c r="W91" s="63"/>
      <c r="X91" s="63"/>
      <c r="Y91" s="99">
        <f t="shared" si="102"/>
        <v>0</v>
      </c>
      <c r="Z91" s="413"/>
      <c r="AA91" s="63"/>
      <c r="AB91" s="63"/>
      <c r="AC91" s="63"/>
      <c r="AD91" s="99">
        <f t="shared" si="103"/>
        <v>0</v>
      </c>
      <c r="AE91" s="413"/>
      <c r="AF91" s="63"/>
      <c r="AG91" s="63"/>
      <c r="AH91" s="63"/>
      <c r="AI91" s="63"/>
      <c r="AJ91" s="413"/>
      <c r="AK91" s="98">
        <v>5.7</v>
      </c>
      <c r="AL91" s="98">
        <v>7.8</v>
      </c>
      <c r="AM91" s="98">
        <v>46.9</v>
      </c>
      <c r="AN91" s="99">
        <f>AO91-SUM(AK91,AL91,AM91)</f>
        <v>11.699999999999996</v>
      </c>
      <c r="AO91" s="410">
        <v>72.099999999999994</v>
      </c>
      <c r="AP91" s="98">
        <v>53.8</v>
      </c>
      <c r="AQ91" s="63"/>
      <c r="AR91" s="98">
        <v>53.9</v>
      </c>
      <c r="AS91" s="99">
        <f>AT91-SUM(AP91,AQ91,AR91)</f>
        <v>83.5</v>
      </c>
      <c r="AT91" s="410">
        <v>191.2</v>
      </c>
      <c r="AU91" s="98">
        <v>50.6</v>
      </c>
      <c r="AV91" s="98">
        <v>77.2</v>
      </c>
      <c r="AW91" s="63"/>
      <c r="AX91" s="99">
        <f>AY91-SUM(AU91,AV91,AW91)</f>
        <v>-32.300000000000011</v>
      </c>
      <c r="AY91" s="410">
        <v>95.5</v>
      </c>
      <c r="AZ91" s="98">
        <v>-7.7</v>
      </c>
      <c r="BA91" s="98">
        <v>10.7</v>
      </c>
      <c r="BB91" s="98">
        <v>4.9000000000000004</v>
      </c>
      <c r="BC91" s="99">
        <f>BD91-SUM(AZ91,BA91,BB91)</f>
        <v>-7.8999999999999995</v>
      </c>
      <c r="BD91" s="413"/>
      <c r="BE91" s="98">
        <v>-30</v>
      </c>
      <c r="BF91" s="98">
        <v>-60</v>
      </c>
      <c r="BG91" s="98">
        <v>-25</v>
      </c>
      <c r="BH91" s="99">
        <f>BI91-SUM(BE91,BF91,BG91)</f>
        <v>5</v>
      </c>
      <c r="BI91" s="410">
        <v>-110</v>
      </c>
      <c r="BJ91" s="98">
        <v>-5</v>
      </c>
      <c r="BK91" s="63"/>
      <c r="BL91" s="63"/>
      <c r="BM91" s="63"/>
      <c r="BN91" s="413"/>
      <c r="BO91" s="98">
        <v>-85</v>
      </c>
      <c r="BP91" s="63"/>
      <c r="BQ91" s="98">
        <v>60</v>
      </c>
      <c r="BR91" s="63"/>
      <c r="BS91" s="425"/>
      <c r="BT91" s="63"/>
      <c r="BU91" s="63"/>
      <c r="BV91" s="63"/>
      <c r="BW91" s="63"/>
      <c r="BX91" s="413"/>
      <c r="BY91" s="63"/>
      <c r="BZ91" s="63"/>
      <c r="CA91" s="63"/>
      <c r="CB91" s="63"/>
      <c r="CC91" s="413"/>
      <c r="CD91" s="413"/>
      <c r="CE91" s="413"/>
      <c r="CF91" s="413"/>
      <c r="CG91" s="99"/>
    </row>
    <row r="92" spans="1:85" ht="14.45" hidden="1" customHeight="1" x14ac:dyDescent="0.25">
      <c r="A92" s="125" t="s">
        <v>236</v>
      </c>
      <c r="B92" s="97"/>
      <c r="C92" s="413"/>
      <c r="D92" s="410">
        <v>52.8</v>
      </c>
      <c r="E92" s="410">
        <v>3.7</v>
      </c>
      <c r="F92" s="410">
        <v>12.9</v>
      </c>
      <c r="G92" s="63"/>
      <c r="H92" s="63"/>
      <c r="I92" s="63"/>
      <c r="J92" s="63"/>
      <c r="K92" s="410">
        <v>-12</v>
      </c>
      <c r="L92" s="98">
        <v>5.0999999999999996</v>
      </c>
      <c r="M92" s="98">
        <v>18.2</v>
      </c>
      <c r="N92" s="98">
        <v>18.7</v>
      </c>
      <c r="O92" s="99">
        <f t="shared" si="100"/>
        <v>34.799999999999997</v>
      </c>
      <c r="P92" s="410">
        <v>76.8</v>
      </c>
      <c r="Q92" s="63"/>
      <c r="R92" s="98">
        <v>19.100000000000001</v>
      </c>
      <c r="S92" s="98">
        <v>23.9</v>
      </c>
      <c r="T92" s="99">
        <f t="shared" si="101"/>
        <v>37.299999999999997</v>
      </c>
      <c r="U92" s="410">
        <v>80.3</v>
      </c>
      <c r="V92" s="98">
        <v>23</v>
      </c>
      <c r="W92" s="98">
        <v>19.8</v>
      </c>
      <c r="X92" s="98">
        <v>11.8</v>
      </c>
      <c r="Y92" s="99">
        <f t="shared" si="102"/>
        <v>-0.19999999999999574</v>
      </c>
      <c r="Z92" s="410">
        <v>54.4</v>
      </c>
      <c r="AA92" s="98">
        <v>12.6</v>
      </c>
      <c r="AB92" s="98">
        <v>7.6</v>
      </c>
      <c r="AC92" s="63"/>
      <c r="AD92" s="99">
        <f t="shared" si="103"/>
        <v>12.599999999999998</v>
      </c>
      <c r="AE92" s="410">
        <v>32.799999999999997</v>
      </c>
      <c r="AF92" s="63"/>
      <c r="AG92" s="63"/>
      <c r="AH92" s="63"/>
      <c r="AI92" s="63"/>
      <c r="AJ92" s="413"/>
      <c r="AK92" s="63"/>
      <c r="AL92" s="63"/>
      <c r="AM92" s="63"/>
      <c r="AN92" s="63"/>
      <c r="AO92" s="413"/>
      <c r="AP92" s="63"/>
      <c r="AQ92" s="63"/>
      <c r="AR92" s="63"/>
      <c r="AS92" s="63"/>
      <c r="AT92" s="413"/>
      <c r="AU92" s="63"/>
      <c r="AV92" s="63"/>
      <c r="AW92" s="63"/>
      <c r="AX92" s="63"/>
      <c r="AY92" s="413"/>
      <c r="AZ92" s="63"/>
      <c r="BA92" s="63"/>
      <c r="BB92" s="63"/>
      <c r="BC92" s="63"/>
      <c r="BD92" s="413"/>
      <c r="BE92" s="63"/>
      <c r="BF92" s="63"/>
      <c r="BG92" s="63"/>
      <c r="BH92" s="63"/>
      <c r="BI92" s="413"/>
      <c r="BJ92" s="63"/>
      <c r="BK92" s="63"/>
      <c r="BL92" s="63"/>
      <c r="BM92" s="63"/>
      <c r="BN92" s="413"/>
      <c r="BO92" s="63"/>
      <c r="BP92" s="63"/>
      <c r="BQ92" s="63"/>
      <c r="BR92" s="63"/>
      <c r="BS92" s="425"/>
      <c r="BT92" s="63"/>
      <c r="BU92" s="63"/>
      <c r="BV92" s="63"/>
      <c r="BW92" s="63"/>
      <c r="BX92" s="413"/>
      <c r="BY92" s="63"/>
      <c r="BZ92" s="63"/>
      <c r="CA92" s="63"/>
      <c r="CB92" s="63"/>
      <c r="CC92" s="413"/>
      <c r="CD92" s="413"/>
      <c r="CE92" s="413"/>
      <c r="CF92" s="413"/>
      <c r="CG92" s="99"/>
    </row>
    <row r="93" spans="1:85" ht="14.45" hidden="1" customHeight="1" x14ac:dyDescent="0.25">
      <c r="A93" s="125" t="s">
        <v>237</v>
      </c>
      <c r="B93" s="97"/>
      <c r="C93" s="413"/>
      <c r="D93" s="410">
        <v>-16.2</v>
      </c>
      <c r="E93" s="410">
        <v>23.1</v>
      </c>
      <c r="F93" s="410">
        <v>22.3</v>
      </c>
      <c r="G93" s="63"/>
      <c r="H93" s="63"/>
      <c r="I93" s="63"/>
      <c r="J93" s="63"/>
      <c r="K93" s="410">
        <v>12.7</v>
      </c>
      <c r="L93" s="98">
        <v>1.9</v>
      </c>
      <c r="M93" s="98">
        <v>7.4</v>
      </c>
      <c r="N93" s="98">
        <v>5</v>
      </c>
      <c r="O93" s="99">
        <f t="shared" si="100"/>
        <v>5.0999999999999979</v>
      </c>
      <c r="P93" s="410">
        <v>19.399999999999999</v>
      </c>
      <c r="Q93" s="98">
        <v>6.9</v>
      </c>
      <c r="R93" s="98">
        <v>21.1</v>
      </c>
      <c r="S93" s="98">
        <v>20.100000000000001</v>
      </c>
      <c r="T93" s="99">
        <f t="shared" si="101"/>
        <v>21.199999999999996</v>
      </c>
      <c r="U93" s="410">
        <v>69.3</v>
      </c>
      <c r="V93" s="98">
        <v>23.8</v>
      </c>
      <c r="W93" s="98">
        <v>-2.6</v>
      </c>
      <c r="X93" s="63"/>
      <c r="Y93" s="99">
        <f t="shared" si="102"/>
        <v>-5.8999999999999986</v>
      </c>
      <c r="Z93" s="410">
        <v>15.3</v>
      </c>
      <c r="AA93" s="63"/>
      <c r="AB93" s="98">
        <v>12</v>
      </c>
      <c r="AC93" s="98">
        <v>5.6</v>
      </c>
      <c r="AD93" s="99">
        <f t="shared" si="103"/>
        <v>11.299999999999997</v>
      </c>
      <c r="AE93" s="410">
        <v>28.9</v>
      </c>
      <c r="AF93" s="63"/>
      <c r="AG93" s="63"/>
      <c r="AH93" s="63"/>
      <c r="AI93" s="63"/>
      <c r="AJ93" s="413"/>
      <c r="AK93" s="98">
        <v>46.1</v>
      </c>
      <c r="AL93" s="98">
        <v>56.6</v>
      </c>
      <c r="AM93" s="98">
        <v>25.9</v>
      </c>
      <c r="AN93" s="99">
        <f>AO93-SUM(AK93,AL93,AM93)</f>
        <v>27.300000000000011</v>
      </c>
      <c r="AO93" s="410">
        <v>155.9</v>
      </c>
      <c r="AP93" s="98">
        <v>12.9</v>
      </c>
      <c r="AQ93" s="63"/>
      <c r="AR93" s="98">
        <v>34.4</v>
      </c>
      <c r="AS93" s="99">
        <f>AT93-SUM(AP93,AQ93,AR93)</f>
        <v>27</v>
      </c>
      <c r="AT93" s="410">
        <v>74.3</v>
      </c>
      <c r="AU93" s="98">
        <v>55.6</v>
      </c>
      <c r="AV93" s="98">
        <v>96.5</v>
      </c>
      <c r="AW93" s="98">
        <v>115.3</v>
      </c>
      <c r="AX93" s="99">
        <f>AY93-SUM(AU93,AV93,AW93)</f>
        <v>145.10000000000002</v>
      </c>
      <c r="AY93" s="410">
        <v>412.5</v>
      </c>
      <c r="AZ93" s="98">
        <v>140</v>
      </c>
      <c r="BA93" s="98">
        <v>148.1</v>
      </c>
      <c r="BB93" s="98">
        <v>180.9</v>
      </c>
      <c r="BC93" s="99">
        <f>BD93-SUM(AZ93,BA93,BB93)</f>
        <v>141</v>
      </c>
      <c r="BD93" s="410">
        <v>610</v>
      </c>
      <c r="BE93" s="98">
        <v>175</v>
      </c>
      <c r="BF93" s="98">
        <v>185</v>
      </c>
      <c r="BG93" s="98">
        <v>95</v>
      </c>
      <c r="BH93" s="99">
        <f>BI93-SUM(BE93,BF93,BG93)</f>
        <v>60</v>
      </c>
      <c r="BI93" s="410">
        <v>515</v>
      </c>
      <c r="BJ93" s="98">
        <v>40</v>
      </c>
      <c r="BK93" s="98">
        <v>65</v>
      </c>
      <c r="BL93" s="98">
        <v>60</v>
      </c>
      <c r="BM93" s="99">
        <f>BN93-SUM(BJ93,BK93,BL93)</f>
        <v>85</v>
      </c>
      <c r="BN93" s="410">
        <v>250</v>
      </c>
      <c r="BO93" s="98">
        <v>40</v>
      </c>
      <c r="BP93" s="98">
        <v>50</v>
      </c>
      <c r="BQ93" s="98">
        <v>60</v>
      </c>
      <c r="BR93" s="99">
        <f>BS93-SUM(BO93,BP93,BQ93)</f>
        <v>65</v>
      </c>
      <c r="BS93" s="419">
        <v>215</v>
      </c>
      <c r="BT93" s="63"/>
      <c r="BU93" s="63"/>
      <c r="BV93" s="63"/>
      <c r="BW93" s="63"/>
      <c r="BX93" s="413"/>
      <c r="BY93" s="63"/>
      <c r="BZ93" s="63"/>
      <c r="CA93" s="63"/>
      <c r="CB93" s="63"/>
      <c r="CC93" s="413"/>
      <c r="CD93" s="413"/>
      <c r="CE93" s="413"/>
      <c r="CF93" s="413"/>
      <c r="CG93" s="99"/>
    </row>
    <row r="94" spans="1:85" ht="14.45" hidden="1" customHeight="1" x14ac:dyDescent="0.25">
      <c r="A94" s="125" t="s">
        <v>238</v>
      </c>
      <c r="B94" s="97"/>
      <c r="C94" s="413"/>
      <c r="D94" s="413"/>
      <c r="E94" s="410">
        <v>3.7</v>
      </c>
      <c r="F94" s="410">
        <v>1.9</v>
      </c>
      <c r="G94" s="63"/>
      <c r="H94" s="63"/>
      <c r="I94" s="63"/>
      <c r="J94" s="63"/>
      <c r="K94" s="410">
        <v>-2.9</v>
      </c>
      <c r="L94" s="98">
        <v>-0.4</v>
      </c>
      <c r="M94" s="98">
        <v>0.5</v>
      </c>
      <c r="N94" s="63"/>
      <c r="O94" s="99">
        <f t="shared" si="100"/>
        <v>2</v>
      </c>
      <c r="P94" s="410">
        <v>2.1</v>
      </c>
      <c r="Q94" s="63"/>
      <c r="R94" s="63"/>
      <c r="S94" s="63"/>
      <c r="T94" s="99">
        <f t="shared" si="101"/>
        <v>3</v>
      </c>
      <c r="U94" s="410">
        <v>3</v>
      </c>
      <c r="V94" s="98">
        <v>1.1000000000000001</v>
      </c>
      <c r="W94" s="98">
        <v>1</v>
      </c>
      <c r="X94" s="63"/>
      <c r="Y94" s="99">
        <f t="shared" si="102"/>
        <v>-2.1</v>
      </c>
      <c r="Z94" s="413"/>
      <c r="AA94" s="63"/>
      <c r="AB94" s="63"/>
      <c r="AC94" s="63"/>
      <c r="AD94" s="99">
        <f t="shared" si="103"/>
        <v>0</v>
      </c>
      <c r="AE94" s="413"/>
      <c r="AF94" s="63"/>
      <c r="AG94" s="63"/>
      <c r="AH94" s="63"/>
      <c r="AI94" s="63"/>
      <c r="AJ94" s="413"/>
      <c r="AK94" s="63"/>
      <c r="AL94" s="63"/>
      <c r="AM94" s="63"/>
      <c r="AN94" s="63"/>
      <c r="AO94" s="413"/>
      <c r="AP94" s="63"/>
      <c r="AQ94" s="63"/>
      <c r="AR94" s="63"/>
      <c r="AS94" s="63"/>
      <c r="AT94" s="413"/>
      <c r="AU94" s="63"/>
      <c r="AV94" s="63"/>
      <c r="AW94" s="63"/>
      <c r="AX94" s="63"/>
      <c r="AY94" s="413"/>
      <c r="AZ94" s="63"/>
      <c r="BA94" s="63"/>
      <c r="BB94" s="63"/>
      <c r="BC94" s="63"/>
      <c r="BD94" s="413"/>
      <c r="BE94" s="63"/>
      <c r="BF94" s="63"/>
      <c r="BG94" s="63"/>
      <c r="BH94" s="63"/>
      <c r="BI94" s="413"/>
      <c r="BJ94" s="63"/>
      <c r="BK94" s="63"/>
      <c r="BL94" s="63"/>
      <c r="BM94" s="63"/>
      <c r="BN94" s="413"/>
      <c r="BO94" s="63"/>
      <c r="BP94" s="63"/>
      <c r="BQ94" s="63"/>
      <c r="BR94" s="63"/>
      <c r="BS94" s="425"/>
      <c r="BT94" s="63"/>
      <c r="BU94" s="63"/>
      <c r="BV94" s="63"/>
      <c r="BW94" s="63"/>
      <c r="BX94" s="413"/>
      <c r="BY94" s="63"/>
      <c r="BZ94" s="63"/>
      <c r="CA94" s="63"/>
      <c r="CB94" s="63"/>
      <c r="CC94" s="413"/>
      <c r="CD94" s="413"/>
      <c r="CE94" s="413"/>
      <c r="CF94" s="413"/>
      <c r="CG94" s="99"/>
    </row>
    <row r="95" spans="1:85" ht="14.45" hidden="1" customHeight="1" x14ac:dyDescent="0.25">
      <c r="A95" s="125" t="s">
        <v>239</v>
      </c>
      <c r="B95" s="97"/>
      <c r="C95" s="413"/>
      <c r="D95" s="410">
        <v>1.3</v>
      </c>
      <c r="E95" s="410">
        <v>1.7</v>
      </c>
      <c r="F95" s="410">
        <v>3</v>
      </c>
      <c r="G95" s="63"/>
      <c r="H95" s="63"/>
      <c r="I95" s="63"/>
      <c r="J95" s="63"/>
      <c r="K95" s="410">
        <v>1.6</v>
      </c>
      <c r="L95" s="98">
        <v>0.6</v>
      </c>
      <c r="M95" s="98">
        <v>0.8</v>
      </c>
      <c r="N95" s="98">
        <v>0.7</v>
      </c>
      <c r="O95" s="99">
        <f t="shared" si="100"/>
        <v>0.80000000000000027</v>
      </c>
      <c r="P95" s="410">
        <v>2.9</v>
      </c>
      <c r="Q95" s="63"/>
      <c r="R95" s="63"/>
      <c r="S95" s="63"/>
      <c r="T95" s="63"/>
      <c r="U95" s="413"/>
      <c r="V95" s="63"/>
      <c r="W95" s="63"/>
      <c r="X95" s="63"/>
      <c r="Y95" s="99">
        <f t="shared" si="102"/>
        <v>0</v>
      </c>
      <c r="Z95" s="413"/>
      <c r="AA95" s="63"/>
      <c r="AB95" s="98">
        <v>2.2000000000000002</v>
      </c>
      <c r="AC95" s="63"/>
      <c r="AD95" s="99">
        <f t="shared" si="103"/>
        <v>-2.2000000000000002</v>
      </c>
      <c r="AE95" s="413"/>
      <c r="AF95" s="63"/>
      <c r="AG95" s="63"/>
      <c r="AH95" s="63"/>
      <c r="AI95" s="63"/>
      <c r="AJ95" s="413"/>
      <c r="AK95" s="63"/>
      <c r="AL95" s="63"/>
      <c r="AM95" s="63"/>
      <c r="AN95" s="63"/>
      <c r="AO95" s="413"/>
      <c r="AP95" s="63"/>
      <c r="AQ95" s="63"/>
      <c r="AR95" s="63"/>
      <c r="AS95" s="63"/>
      <c r="AT95" s="413"/>
      <c r="AU95" s="63"/>
      <c r="AV95" s="63"/>
      <c r="AW95" s="63"/>
      <c r="AX95" s="63"/>
      <c r="AY95" s="413"/>
      <c r="AZ95" s="63"/>
      <c r="BA95" s="63"/>
      <c r="BB95" s="63"/>
      <c r="BC95" s="63"/>
      <c r="BD95" s="413"/>
      <c r="BE95" s="63"/>
      <c r="BF95" s="63"/>
      <c r="BG95" s="63"/>
      <c r="BH95" s="63"/>
      <c r="BI95" s="413"/>
      <c r="BJ95" s="63"/>
      <c r="BK95" s="63"/>
      <c r="BL95" s="63"/>
      <c r="BM95" s="63"/>
      <c r="BN95" s="413"/>
      <c r="BO95" s="63"/>
      <c r="BP95" s="63"/>
      <c r="BQ95" s="63"/>
      <c r="BR95" s="63"/>
      <c r="BS95" s="425"/>
      <c r="BT95" s="63"/>
      <c r="BU95" s="63"/>
      <c r="BV95" s="63"/>
      <c r="BW95" s="63"/>
      <c r="BX95" s="413"/>
      <c r="BY95" s="63"/>
      <c r="BZ95" s="63"/>
      <c r="CA95" s="63"/>
      <c r="CB95" s="63"/>
      <c r="CC95" s="413"/>
      <c r="CD95" s="413"/>
      <c r="CE95" s="413"/>
      <c r="CF95" s="413"/>
      <c r="CG95" s="99"/>
    </row>
    <row r="96" spans="1:85" ht="14.45" hidden="1" customHeight="1" x14ac:dyDescent="0.25">
      <c r="A96" s="125" t="s">
        <v>240</v>
      </c>
      <c r="B96" s="97"/>
      <c r="C96" s="413"/>
      <c r="D96" s="410">
        <v>6.1</v>
      </c>
      <c r="E96" s="410">
        <v>6.6</v>
      </c>
      <c r="F96" s="410">
        <v>6.5</v>
      </c>
      <c r="G96" s="63"/>
      <c r="H96" s="63"/>
      <c r="I96" s="63"/>
      <c r="J96" s="63"/>
      <c r="K96" s="410">
        <v>-1.1000000000000001</v>
      </c>
      <c r="L96" s="98">
        <v>0.5</v>
      </c>
      <c r="M96" s="98">
        <v>1.6</v>
      </c>
      <c r="N96" s="63"/>
      <c r="O96" s="99">
        <f t="shared" si="100"/>
        <v>0.79999999999999982</v>
      </c>
      <c r="P96" s="410">
        <v>2.9</v>
      </c>
      <c r="Q96" s="63"/>
      <c r="R96" s="98">
        <v>1</v>
      </c>
      <c r="S96" s="63"/>
      <c r="T96" s="99">
        <f t="shared" ref="T96:T105" si="104">U96-SUM(Q96,R96,S96)</f>
        <v>3</v>
      </c>
      <c r="U96" s="410">
        <v>4</v>
      </c>
      <c r="V96" s="98">
        <v>1.1000000000000001</v>
      </c>
      <c r="W96" s="63"/>
      <c r="X96" s="63"/>
      <c r="Y96" s="99">
        <f t="shared" si="102"/>
        <v>-1.1000000000000001</v>
      </c>
      <c r="Z96" s="413"/>
      <c r="AA96" s="98">
        <v>-2.4</v>
      </c>
      <c r="AB96" s="63"/>
      <c r="AC96" s="63"/>
      <c r="AD96" s="99">
        <f t="shared" si="103"/>
        <v>2.4</v>
      </c>
      <c r="AE96" s="413"/>
      <c r="AF96" s="63"/>
      <c r="AG96" s="63"/>
      <c r="AH96" s="63"/>
      <c r="AI96" s="63"/>
      <c r="AJ96" s="413"/>
      <c r="AK96" s="63"/>
      <c r="AL96" s="63"/>
      <c r="AM96" s="63"/>
      <c r="AN96" s="63"/>
      <c r="AO96" s="413"/>
      <c r="AP96" s="63"/>
      <c r="AQ96" s="63"/>
      <c r="AR96" s="63"/>
      <c r="AS96" s="63"/>
      <c r="AT96" s="413"/>
      <c r="AU96" s="63"/>
      <c r="AV96" s="63"/>
      <c r="AW96" s="63"/>
      <c r="AX96" s="63"/>
      <c r="AY96" s="413"/>
      <c r="AZ96" s="63"/>
      <c r="BA96" s="63"/>
      <c r="BB96" s="63"/>
      <c r="BC96" s="63"/>
      <c r="BD96" s="413"/>
      <c r="BE96" s="63"/>
      <c r="BF96" s="63"/>
      <c r="BG96" s="63"/>
      <c r="BH96" s="63"/>
      <c r="BI96" s="413"/>
      <c r="BJ96" s="63"/>
      <c r="BK96" s="63"/>
      <c r="BL96" s="63"/>
      <c r="BM96" s="63"/>
      <c r="BN96" s="413"/>
      <c r="BO96" s="63"/>
      <c r="BP96" s="63"/>
      <c r="BQ96" s="63"/>
      <c r="BR96" s="63"/>
      <c r="BS96" s="425"/>
      <c r="BT96" s="63"/>
      <c r="BU96" s="63"/>
      <c r="BV96" s="63"/>
      <c r="BW96" s="63"/>
      <c r="BX96" s="413"/>
      <c r="BY96" s="63"/>
      <c r="BZ96" s="63"/>
      <c r="CA96" s="63"/>
      <c r="CB96" s="63"/>
      <c r="CC96" s="413"/>
      <c r="CD96" s="413"/>
      <c r="CE96" s="413"/>
      <c r="CF96" s="413"/>
      <c r="CG96" s="99"/>
    </row>
    <row r="97" spans="1:85" ht="14.45" hidden="1" customHeight="1" x14ac:dyDescent="0.25">
      <c r="A97" s="125" t="s">
        <v>241</v>
      </c>
      <c r="B97" s="97"/>
      <c r="C97" s="413"/>
      <c r="D97" s="410">
        <v>3.6</v>
      </c>
      <c r="E97" s="410">
        <v>-1.2</v>
      </c>
      <c r="F97" s="410">
        <v>-4.4000000000000004</v>
      </c>
      <c r="G97" s="63"/>
      <c r="H97" s="63"/>
      <c r="I97" s="63"/>
      <c r="J97" s="63"/>
      <c r="K97" s="410">
        <v>15.2</v>
      </c>
      <c r="L97" s="98">
        <v>-3.6</v>
      </c>
      <c r="M97" s="63"/>
      <c r="N97" s="98">
        <v>-1.2</v>
      </c>
      <c r="O97" s="99">
        <f t="shared" si="100"/>
        <v>-2.2999999999999998</v>
      </c>
      <c r="P97" s="410">
        <v>-7.1</v>
      </c>
      <c r="Q97" s="63"/>
      <c r="R97" s="98">
        <v>2.2999999999999998</v>
      </c>
      <c r="S97" s="98">
        <v>4.9000000000000004</v>
      </c>
      <c r="T97" s="99">
        <f t="shared" si="104"/>
        <v>5.2</v>
      </c>
      <c r="U97" s="410">
        <v>12.4</v>
      </c>
      <c r="V97" s="98">
        <v>4.8</v>
      </c>
      <c r="W97" s="63"/>
      <c r="X97" s="63"/>
      <c r="Y97" s="99">
        <f t="shared" si="102"/>
        <v>-4.8</v>
      </c>
      <c r="Z97" s="413"/>
      <c r="AA97" s="63"/>
      <c r="AB97" s="63"/>
      <c r="AC97" s="63"/>
      <c r="AD97" s="99">
        <f t="shared" si="103"/>
        <v>0</v>
      </c>
      <c r="AE97" s="413"/>
      <c r="AF97" s="63"/>
      <c r="AG97" s="63"/>
      <c r="AH97" s="63"/>
      <c r="AI97" s="63"/>
      <c r="AJ97" s="413"/>
      <c r="AK97" s="98">
        <v>-20</v>
      </c>
      <c r="AL97" s="98">
        <v>-17.7</v>
      </c>
      <c r="AM97" s="98">
        <v>-8.9</v>
      </c>
      <c r="AN97" s="99">
        <f>AO97-SUM(AK97,AL97,AM97)</f>
        <v>0.89999999999999858</v>
      </c>
      <c r="AO97" s="410">
        <v>-45.7</v>
      </c>
      <c r="AP97" s="98">
        <v>3.6</v>
      </c>
      <c r="AQ97" s="98">
        <v>-9.4</v>
      </c>
      <c r="AR97" s="63"/>
      <c r="AS97" s="99">
        <f>AT97-SUM(AP97,AQ97,AR97)</f>
        <v>-6.6999999999999993</v>
      </c>
      <c r="AT97" s="410">
        <v>-12.5</v>
      </c>
      <c r="AU97" s="63"/>
      <c r="AV97" s="98">
        <v>8.6</v>
      </c>
      <c r="AW97" s="63"/>
      <c r="AX97" s="99">
        <f>AY97-SUM(AU97,AV97,AW97)</f>
        <v>9.0000000000000018</v>
      </c>
      <c r="AY97" s="410">
        <v>17.600000000000001</v>
      </c>
      <c r="AZ97" s="63"/>
      <c r="BA97" s="98">
        <v>5.7</v>
      </c>
      <c r="BB97" s="63"/>
      <c r="BC97" s="99">
        <f>BD97-SUM(AZ97,BA97,BB97)</f>
        <v>-5.7</v>
      </c>
      <c r="BD97" s="413"/>
      <c r="BE97" s="63"/>
      <c r="BF97" s="63"/>
      <c r="BG97" s="63"/>
      <c r="BH97" s="63"/>
      <c r="BI97" s="413"/>
      <c r="BJ97" s="63"/>
      <c r="BK97" s="63"/>
      <c r="BL97" s="63"/>
      <c r="BM97" s="63"/>
      <c r="BN97" s="413"/>
      <c r="BO97" s="63"/>
      <c r="BP97" s="63"/>
      <c r="BQ97" s="63"/>
      <c r="BR97" s="63"/>
      <c r="BS97" s="425"/>
      <c r="BT97" s="63"/>
      <c r="BU97" s="63"/>
      <c r="BV97" s="63"/>
      <c r="BW97" s="63"/>
      <c r="BX97" s="413"/>
      <c r="BY97" s="63"/>
      <c r="BZ97" s="63"/>
      <c r="CA97" s="63"/>
      <c r="CB97" s="63"/>
      <c r="CC97" s="413"/>
      <c r="CD97" s="413"/>
      <c r="CE97" s="413"/>
      <c r="CF97" s="413"/>
      <c r="CG97" s="99"/>
    </row>
    <row r="98" spans="1:85" ht="14.45" hidden="1" customHeight="1" x14ac:dyDescent="0.25">
      <c r="A98" s="125" t="s">
        <v>242</v>
      </c>
      <c r="B98" s="97"/>
      <c r="C98" s="413"/>
      <c r="D98" s="413"/>
      <c r="E98" s="413"/>
      <c r="F98" s="413"/>
      <c r="G98" s="63"/>
      <c r="H98" s="63"/>
      <c r="I98" s="63"/>
      <c r="J98" s="63"/>
      <c r="K98" s="413"/>
      <c r="L98" s="63"/>
      <c r="M98" s="63"/>
      <c r="N98" s="63"/>
      <c r="O98" s="99">
        <f t="shared" si="100"/>
        <v>0</v>
      </c>
      <c r="P98" s="413"/>
      <c r="Q98" s="63"/>
      <c r="R98" s="63"/>
      <c r="S98" s="63"/>
      <c r="T98" s="99">
        <f t="shared" si="104"/>
        <v>0</v>
      </c>
      <c r="U98" s="413"/>
      <c r="V98" s="63"/>
      <c r="W98" s="63"/>
      <c r="X98" s="63"/>
      <c r="Y98" s="99">
        <f t="shared" si="102"/>
        <v>0</v>
      </c>
      <c r="Z98" s="413"/>
      <c r="AA98" s="63"/>
      <c r="AB98" s="63"/>
      <c r="AC98" s="63"/>
      <c r="AD98" s="99">
        <f t="shared" si="103"/>
        <v>0</v>
      </c>
      <c r="AE98" s="413"/>
      <c r="AF98" s="63"/>
      <c r="AG98" s="63"/>
      <c r="AH98" s="63"/>
      <c r="AI98" s="63"/>
      <c r="AJ98" s="413"/>
      <c r="AK98" s="63"/>
      <c r="AL98" s="63"/>
      <c r="AM98" s="63"/>
      <c r="AN98" s="99">
        <f>AO98-SUM(AK98,AL98,AM98)</f>
        <v>20</v>
      </c>
      <c r="AO98" s="410">
        <v>20</v>
      </c>
      <c r="AP98" s="63"/>
      <c r="AQ98" s="63"/>
      <c r="AR98" s="63"/>
      <c r="AS98" s="99">
        <f>AT98-SUM(AP98,AQ98,AR98)</f>
        <v>0</v>
      </c>
      <c r="AT98" s="413"/>
      <c r="AU98" s="63"/>
      <c r="AV98" s="98">
        <v>1.4</v>
      </c>
      <c r="AW98" s="63"/>
      <c r="AX98" s="99">
        <f>AY98-SUM(AU98,AV98,AW98)</f>
        <v>0.10000000000000009</v>
      </c>
      <c r="AY98" s="410">
        <v>1.5</v>
      </c>
      <c r="AZ98" s="63"/>
      <c r="BA98" s="63"/>
      <c r="BB98" s="63"/>
      <c r="BC98" s="99">
        <f>BD98-SUM(AZ98,BA98,BB98)</f>
        <v>0</v>
      </c>
      <c r="BD98" s="413"/>
      <c r="BE98" s="63"/>
      <c r="BF98" s="63"/>
      <c r="BG98" s="63"/>
      <c r="BH98" s="63"/>
      <c r="BI98" s="413"/>
      <c r="BJ98" s="63"/>
      <c r="BK98" s="63"/>
      <c r="BL98" s="63"/>
      <c r="BM98" s="63"/>
      <c r="BN98" s="413"/>
      <c r="BO98" s="63"/>
      <c r="BP98" s="63"/>
      <c r="BQ98" s="63"/>
      <c r="BR98" s="63"/>
      <c r="BS98" s="425"/>
      <c r="BT98" s="63"/>
      <c r="BU98" s="63"/>
      <c r="BV98" s="63"/>
      <c r="BW98" s="63"/>
      <c r="BX98" s="413"/>
      <c r="BY98" s="63"/>
      <c r="BZ98" s="63"/>
      <c r="CA98" s="63"/>
      <c r="CB98" s="63"/>
      <c r="CC98" s="413"/>
      <c r="CD98" s="413"/>
      <c r="CE98" s="413"/>
      <c r="CF98" s="413"/>
      <c r="CG98" s="99"/>
    </row>
    <row r="99" spans="1:85" ht="14.45" hidden="1" customHeight="1" x14ac:dyDescent="0.25">
      <c r="A99" s="125" t="s">
        <v>243</v>
      </c>
      <c r="B99" s="97"/>
      <c r="C99" s="413"/>
      <c r="D99" s="413"/>
      <c r="E99" s="413"/>
      <c r="F99" s="413"/>
      <c r="G99" s="63"/>
      <c r="H99" s="63"/>
      <c r="I99" s="63"/>
      <c r="J99" s="63"/>
      <c r="K99" s="413"/>
      <c r="L99" s="63"/>
      <c r="M99" s="63"/>
      <c r="N99" s="63"/>
      <c r="O99" s="99">
        <f t="shared" si="100"/>
        <v>0</v>
      </c>
      <c r="P99" s="413"/>
      <c r="Q99" s="63"/>
      <c r="R99" s="63"/>
      <c r="S99" s="63"/>
      <c r="T99" s="99">
        <f t="shared" si="104"/>
        <v>0</v>
      </c>
      <c r="U99" s="413"/>
      <c r="V99" s="63"/>
      <c r="W99" s="63"/>
      <c r="X99" s="63"/>
      <c r="Y99" s="99">
        <f t="shared" si="102"/>
        <v>0</v>
      </c>
      <c r="Z99" s="413"/>
      <c r="AA99" s="63"/>
      <c r="AB99" s="63"/>
      <c r="AC99" s="63"/>
      <c r="AD99" s="99">
        <f t="shared" si="103"/>
        <v>0</v>
      </c>
      <c r="AE99" s="413"/>
      <c r="AF99" s="63"/>
      <c r="AG99" s="63"/>
      <c r="AH99" s="63"/>
      <c r="AI99" s="63"/>
      <c r="AJ99" s="413"/>
      <c r="AK99" s="63"/>
      <c r="AL99" s="63"/>
      <c r="AM99" s="63"/>
      <c r="AN99" s="99">
        <f>AO99-SUM(AK99,AL99,AM99)</f>
        <v>0</v>
      </c>
      <c r="AO99" s="413"/>
      <c r="AP99" s="63"/>
      <c r="AQ99" s="98">
        <v>-34.200000000000003</v>
      </c>
      <c r="AR99" s="98">
        <v>-30.8</v>
      </c>
      <c r="AS99" s="99">
        <f>AT99-SUM(AP99,AQ99,AR99)</f>
        <v>-5.7000000000000028</v>
      </c>
      <c r="AT99" s="410">
        <v>-70.7</v>
      </c>
      <c r="AU99" s="98">
        <v>-9.4</v>
      </c>
      <c r="AV99" s="98">
        <v>22.2</v>
      </c>
      <c r="AW99" s="98">
        <v>9.4</v>
      </c>
      <c r="AX99" s="99">
        <f>AY99-SUM(AU99,AV99,AW99)</f>
        <v>6.1000000000000014</v>
      </c>
      <c r="AY99" s="410">
        <v>28.3</v>
      </c>
      <c r="AZ99" s="63"/>
      <c r="BA99" s="63"/>
      <c r="BB99" s="63"/>
      <c r="BC99" s="99">
        <f>BD99-SUM(AZ99,BA99,BB99)</f>
        <v>0</v>
      </c>
      <c r="BD99" s="413"/>
      <c r="BE99" s="63"/>
      <c r="BF99" s="63"/>
      <c r="BG99" s="63"/>
      <c r="BH99" s="63"/>
      <c r="BI99" s="413"/>
      <c r="BJ99" s="63"/>
      <c r="BK99" s="63"/>
      <c r="BL99" s="63"/>
      <c r="BM99" s="63"/>
      <c r="BN99" s="413"/>
      <c r="BO99" s="63"/>
      <c r="BP99" s="63"/>
      <c r="BQ99" s="63"/>
      <c r="BR99" s="63"/>
      <c r="BS99" s="425"/>
      <c r="BT99" s="63"/>
      <c r="BU99" s="63"/>
      <c r="BV99" s="63"/>
      <c r="BW99" s="63"/>
      <c r="BX99" s="413"/>
      <c r="BY99" s="63"/>
      <c r="BZ99" s="63"/>
      <c r="CA99" s="63"/>
      <c r="CB99" s="63"/>
      <c r="CC99" s="413"/>
      <c r="CD99" s="413"/>
      <c r="CE99" s="413"/>
      <c r="CF99" s="413"/>
      <c r="CG99" s="99"/>
    </row>
    <row r="100" spans="1:85" ht="14.45" hidden="1" customHeight="1" x14ac:dyDescent="0.25">
      <c r="A100" s="125" t="s">
        <v>244</v>
      </c>
      <c r="B100" s="97"/>
      <c r="C100" s="413"/>
      <c r="D100" s="413"/>
      <c r="E100" s="413"/>
      <c r="F100" s="410">
        <v>2.6</v>
      </c>
      <c r="G100" s="63"/>
      <c r="H100" s="63"/>
      <c r="I100" s="63"/>
      <c r="J100" s="63"/>
      <c r="K100" s="410">
        <v>1.1000000000000001</v>
      </c>
      <c r="L100" s="63"/>
      <c r="M100" s="63"/>
      <c r="N100" s="63"/>
      <c r="O100" s="63"/>
      <c r="P100" s="413"/>
      <c r="Q100" s="63"/>
      <c r="R100" s="63"/>
      <c r="S100" s="63"/>
      <c r="T100" s="99">
        <f t="shared" si="104"/>
        <v>0</v>
      </c>
      <c r="U100" s="413"/>
      <c r="V100" s="63"/>
      <c r="W100" s="63"/>
      <c r="X100" s="63"/>
      <c r="Y100" s="99">
        <f t="shared" si="102"/>
        <v>0</v>
      </c>
      <c r="Z100" s="413"/>
      <c r="AA100" s="63"/>
      <c r="AB100" s="63"/>
      <c r="AC100" s="63"/>
      <c r="AD100" s="99">
        <f t="shared" si="103"/>
        <v>0</v>
      </c>
      <c r="AE100" s="413"/>
      <c r="AF100" s="63"/>
      <c r="AG100" s="63"/>
      <c r="AH100" s="63"/>
      <c r="AI100" s="63"/>
      <c r="AJ100" s="413"/>
      <c r="AK100" s="63"/>
      <c r="AL100" s="63"/>
      <c r="AM100" s="63"/>
      <c r="AN100" s="63"/>
      <c r="AO100" s="413"/>
      <c r="AP100" s="63"/>
      <c r="AQ100" s="63"/>
      <c r="AR100" s="63"/>
      <c r="AS100" s="63"/>
      <c r="AT100" s="413"/>
      <c r="AU100" s="63"/>
      <c r="AV100" s="63"/>
      <c r="AW100" s="63"/>
      <c r="AX100" s="63"/>
      <c r="AY100" s="413"/>
      <c r="AZ100" s="63"/>
      <c r="BA100" s="63"/>
      <c r="BB100" s="63"/>
      <c r="BC100" s="63"/>
      <c r="BD100" s="413"/>
      <c r="BE100" s="63"/>
      <c r="BF100" s="63"/>
      <c r="BG100" s="63"/>
      <c r="BH100" s="63"/>
      <c r="BI100" s="413"/>
      <c r="BJ100" s="63"/>
      <c r="BK100" s="63"/>
      <c r="BL100" s="63"/>
      <c r="BM100" s="63"/>
      <c r="BN100" s="413"/>
      <c r="BO100" s="63"/>
      <c r="BP100" s="63"/>
      <c r="BQ100" s="63"/>
      <c r="BR100" s="63"/>
      <c r="BS100" s="425"/>
      <c r="BT100" s="63"/>
      <c r="BU100" s="63"/>
      <c r="BV100" s="63"/>
      <c r="BW100" s="63"/>
      <c r="BX100" s="413"/>
      <c r="BY100" s="63"/>
      <c r="BZ100" s="63"/>
      <c r="CA100" s="63"/>
      <c r="CB100" s="63"/>
      <c r="CC100" s="413"/>
      <c r="CD100" s="413"/>
      <c r="CE100" s="413"/>
      <c r="CF100" s="413"/>
      <c r="CG100" s="99"/>
    </row>
    <row r="101" spans="1:85" ht="14.45" hidden="1" customHeight="1" x14ac:dyDescent="0.25">
      <c r="A101" s="125" t="s">
        <v>245</v>
      </c>
      <c r="B101" s="97"/>
      <c r="C101" s="413"/>
      <c r="D101" s="413"/>
      <c r="E101" s="413"/>
      <c r="F101" s="410">
        <v>1.8</v>
      </c>
      <c r="G101" s="63"/>
      <c r="H101" s="63"/>
      <c r="I101" s="63"/>
      <c r="J101" s="63"/>
      <c r="K101" s="413"/>
      <c r="L101" s="63"/>
      <c r="M101" s="63"/>
      <c r="N101" s="63"/>
      <c r="O101" s="63"/>
      <c r="P101" s="413"/>
      <c r="Q101" s="63"/>
      <c r="R101" s="63"/>
      <c r="S101" s="63"/>
      <c r="T101" s="99">
        <f t="shared" si="104"/>
        <v>0</v>
      </c>
      <c r="U101" s="413"/>
      <c r="V101" s="63"/>
      <c r="W101" s="63"/>
      <c r="X101" s="63"/>
      <c r="Y101" s="99">
        <f t="shared" si="102"/>
        <v>0</v>
      </c>
      <c r="Z101" s="413"/>
      <c r="AA101" s="63"/>
      <c r="AB101" s="63"/>
      <c r="AC101" s="63"/>
      <c r="AD101" s="99">
        <f t="shared" si="103"/>
        <v>0</v>
      </c>
      <c r="AE101" s="413"/>
      <c r="AF101" s="63"/>
      <c r="AG101" s="63"/>
      <c r="AH101" s="63"/>
      <c r="AI101" s="63"/>
      <c r="AJ101" s="413"/>
      <c r="AK101" s="63"/>
      <c r="AL101" s="63"/>
      <c r="AM101" s="63"/>
      <c r="AN101" s="63"/>
      <c r="AO101" s="413"/>
      <c r="AP101" s="63"/>
      <c r="AQ101" s="63"/>
      <c r="AR101" s="63"/>
      <c r="AS101" s="63"/>
      <c r="AT101" s="413"/>
      <c r="AU101" s="63"/>
      <c r="AV101" s="63"/>
      <c r="AW101" s="63"/>
      <c r="AX101" s="63"/>
      <c r="AY101" s="413"/>
      <c r="AZ101" s="63"/>
      <c r="BA101" s="63"/>
      <c r="BB101" s="63"/>
      <c r="BC101" s="63"/>
      <c r="BD101" s="413"/>
      <c r="BE101" s="63"/>
      <c r="BF101" s="63"/>
      <c r="BG101" s="63"/>
      <c r="BH101" s="63"/>
      <c r="BI101" s="413"/>
      <c r="BJ101" s="63"/>
      <c r="BK101" s="63"/>
      <c r="BL101" s="63"/>
      <c r="BM101" s="63"/>
      <c r="BN101" s="413"/>
      <c r="BO101" s="63"/>
      <c r="BP101" s="63"/>
      <c r="BQ101" s="63"/>
      <c r="BR101" s="63"/>
      <c r="BS101" s="425"/>
      <c r="BT101" s="63"/>
      <c r="BU101" s="63"/>
      <c r="BV101" s="63"/>
      <c r="BW101" s="63"/>
      <c r="BX101" s="413"/>
      <c r="BY101" s="63"/>
      <c r="BZ101" s="63"/>
      <c r="CA101" s="63"/>
      <c r="CB101" s="63"/>
      <c r="CC101" s="413"/>
      <c r="CD101" s="413"/>
      <c r="CE101" s="413"/>
      <c r="CF101" s="413"/>
      <c r="CG101" s="99"/>
    </row>
    <row r="102" spans="1:85" ht="14.45" hidden="1" customHeight="1" x14ac:dyDescent="0.25">
      <c r="A102" s="125" t="s">
        <v>246</v>
      </c>
      <c r="B102" s="97"/>
      <c r="C102" s="413"/>
      <c r="D102" s="413"/>
      <c r="E102" s="413"/>
      <c r="F102" s="413"/>
      <c r="G102" s="63"/>
      <c r="H102" s="63"/>
      <c r="I102" s="63"/>
      <c r="J102" s="63"/>
      <c r="K102" s="410">
        <v>3.1</v>
      </c>
      <c r="L102" s="63"/>
      <c r="M102" s="63"/>
      <c r="N102" s="98">
        <v>-3.1</v>
      </c>
      <c r="O102" s="99">
        <f>P102-SUM(L102,M102,N102)</f>
        <v>3.1</v>
      </c>
      <c r="P102" s="413"/>
      <c r="Q102" s="63"/>
      <c r="R102" s="63"/>
      <c r="S102" s="63"/>
      <c r="T102" s="99">
        <f t="shared" si="104"/>
        <v>0</v>
      </c>
      <c r="U102" s="413"/>
      <c r="V102" s="63"/>
      <c r="W102" s="63"/>
      <c r="X102" s="63"/>
      <c r="Y102" s="99">
        <f t="shared" si="102"/>
        <v>0</v>
      </c>
      <c r="Z102" s="413"/>
      <c r="AA102" s="63"/>
      <c r="AB102" s="63"/>
      <c r="AC102" s="63"/>
      <c r="AD102" s="99">
        <f t="shared" si="103"/>
        <v>0</v>
      </c>
      <c r="AE102" s="413"/>
      <c r="AF102" s="63"/>
      <c r="AG102" s="63"/>
      <c r="AH102" s="63"/>
      <c r="AI102" s="63"/>
      <c r="AJ102" s="413"/>
      <c r="AK102" s="63"/>
      <c r="AL102" s="63"/>
      <c r="AM102" s="63"/>
      <c r="AN102" s="63"/>
      <c r="AO102" s="413"/>
      <c r="AP102" s="63"/>
      <c r="AQ102" s="63"/>
      <c r="AR102" s="63"/>
      <c r="AS102" s="63"/>
      <c r="AT102" s="413"/>
      <c r="AU102" s="63"/>
      <c r="AV102" s="63"/>
      <c r="AW102" s="63"/>
      <c r="AX102" s="63"/>
      <c r="AY102" s="413"/>
      <c r="AZ102" s="63"/>
      <c r="BA102" s="63"/>
      <c r="BB102" s="63"/>
      <c r="BC102" s="63"/>
      <c r="BD102" s="413"/>
      <c r="BE102" s="63"/>
      <c r="BF102" s="63"/>
      <c r="BG102" s="63"/>
      <c r="BH102" s="63"/>
      <c r="BI102" s="413"/>
      <c r="BJ102" s="63"/>
      <c r="BK102" s="63"/>
      <c r="BL102" s="63"/>
      <c r="BM102" s="63"/>
      <c r="BN102" s="413"/>
      <c r="BO102" s="63"/>
      <c r="BP102" s="63"/>
      <c r="BQ102" s="63"/>
      <c r="BR102" s="63"/>
      <c r="BS102" s="425"/>
      <c r="BT102" s="63"/>
      <c r="BU102" s="63"/>
      <c r="BV102" s="63"/>
      <c r="BW102" s="63"/>
      <c r="BX102" s="413"/>
      <c r="BY102" s="63"/>
      <c r="BZ102" s="63"/>
      <c r="CA102" s="63"/>
      <c r="CB102" s="63"/>
      <c r="CC102" s="413"/>
      <c r="CD102" s="413"/>
      <c r="CE102" s="413"/>
      <c r="CF102" s="413"/>
      <c r="CG102" s="99"/>
    </row>
    <row r="103" spans="1:85" ht="14.45" hidden="1" customHeight="1" x14ac:dyDescent="0.25">
      <c r="A103" s="125" t="s">
        <v>247</v>
      </c>
      <c r="B103" s="97"/>
      <c r="C103" s="413"/>
      <c r="D103" s="410">
        <v>1.8</v>
      </c>
      <c r="E103" s="413"/>
      <c r="F103" s="413"/>
      <c r="G103" s="63"/>
      <c r="H103" s="63"/>
      <c r="I103" s="63"/>
      <c r="J103" s="63"/>
      <c r="K103" s="413"/>
      <c r="L103" s="63"/>
      <c r="M103" s="63"/>
      <c r="N103" s="63"/>
      <c r="O103" s="63"/>
      <c r="P103" s="413"/>
      <c r="Q103" s="63"/>
      <c r="R103" s="63"/>
      <c r="S103" s="63"/>
      <c r="T103" s="99">
        <f t="shared" si="104"/>
        <v>0</v>
      </c>
      <c r="U103" s="413"/>
      <c r="V103" s="63"/>
      <c r="W103" s="63"/>
      <c r="X103" s="63"/>
      <c r="Y103" s="99">
        <f t="shared" si="102"/>
        <v>0</v>
      </c>
      <c r="Z103" s="413"/>
      <c r="AA103" s="63"/>
      <c r="AB103" s="63"/>
      <c r="AC103" s="63"/>
      <c r="AD103" s="99">
        <f t="shared" si="103"/>
        <v>0</v>
      </c>
      <c r="AE103" s="413"/>
      <c r="AF103" s="63"/>
      <c r="AG103" s="63"/>
      <c r="AH103" s="63"/>
      <c r="AI103" s="63"/>
      <c r="AJ103" s="413"/>
      <c r="AK103" s="63"/>
      <c r="AL103" s="63"/>
      <c r="AM103" s="63"/>
      <c r="AN103" s="63"/>
      <c r="AO103" s="413"/>
      <c r="AP103" s="63"/>
      <c r="AQ103" s="63"/>
      <c r="AR103" s="63"/>
      <c r="AS103" s="63"/>
      <c r="AT103" s="413"/>
      <c r="AU103" s="63"/>
      <c r="AV103" s="63"/>
      <c r="AW103" s="63"/>
      <c r="AX103" s="63"/>
      <c r="AY103" s="413"/>
      <c r="AZ103" s="63"/>
      <c r="BA103" s="63"/>
      <c r="BB103" s="63"/>
      <c r="BC103" s="63"/>
      <c r="BD103" s="413"/>
      <c r="BE103" s="63"/>
      <c r="BF103" s="63"/>
      <c r="BG103" s="63"/>
      <c r="BH103" s="63"/>
      <c r="BI103" s="413"/>
      <c r="BJ103" s="63"/>
      <c r="BK103" s="63"/>
      <c r="BL103" s="63"/>
      <c r="BM103" s="63"/>
      <c r="BN103" s="413"/>
      <c r="BO103" s="63"/>
      <c r="BP103" s="63"/>
      <c r="BQ103" s="63"/>
      <c r="BR103" s="63"/>
      <c r="BS103" s="425"/>
      <c r="BT103" s="63"/>
      <c r="BU103" s="63"/>
      <c r="BV103" s="63"/>
      <c r="BW103" s="63"/>
      <c r="BX103" s="413"/>
      <c r="BY103" s="63"/>
      <c r="BZ103" s="63"/>
      <c r="CA103" s="63"/>
      <c r="CB103" s="63"/>
      <c r="CC103" s="413"/>
      <c r="CD103" s="413"/>
      <c r="CE103" s="413"/>
      <c r="CF103" s="413"/>
      <c r="CG103" s="99"/>
    </row>
    <row r="104" spans="1:85" ht="14.45" hidden="1" customHeight="1" x14ac:dyDescent="0.25">
      <c r="A104" s="125" t="s">
        <v>248</v>
      </c>
      <c r="B104" s="97"/>
      <c r="C104" s="413"/>
      <c r="D104" s="413"/>
      <c r="E104" s="410">
        <v>7.9</v>
      </c>
      <c r="F104" s="413"/>
      <c r="G104" s="63"/>
      <c r="H104" s="63"/>
      <c r="I104" s="63"/>
      <c r="J104" s="63"/>
      <c r="K104" s="410">
        <v>5.3</v>
      </c>
      <c r="L104" s="98">
        <v>2.1</v>
      </c>
      <c r="M104" s="98">
        <v>2.5</v>
      </c>
      <c r="N104" s="98">
        <v>3.2</v>
      </c>
      <c r="O104" s="99">
        <f>P104-SUM(L104,M104,N104)</f>
        <v>3.0000000000000009</v>
      </c>
      <c r="P104" s="410">
        <v>10.8</v>
      </c>
      <c r="Q104" s="98">
        <v>4.7</v>
      </c>
      <c r="R104" s="63"/>
      <c r="S104" s="63"/>
      <c r="T104" s="99">
        <f t="shared" si="104"/>
        <v>-4.7</v>
      </c>
      <c r="U104" s="413"/>
      <c r="V104" s="63"/>
      <c r="W104" s="63"/>
      <c r="X104" s="63"/>
      <c r="Y104" s="99">
        <f t="shared" si="102"/>
        <v>0</v>
      </c>
      <c r="Z104" s="413"/>
      <c r="AA104" s="63"/>
      <c r="AB104" s="63"/>
      <c r="AC104" s="63"/>
      <c r="AD104" s="99">
        <f t="shared" si="103"/>
        <v>0</v>
      </c>
      <c r="AE104" s="413"/>
      <c r="AF104" s="63"/>
      <c r="AG104" s="63"/>
      <c r="AH104" s="63"/>
      <c r="AI104" s="63"/>
      <c r="AJ104" s="413"/>
      <c r="AK104" s="63"/>
      <c r="AL104" s="63"/>
      <c r="AM104" s="63"/>
      <c r="AN104" s="63"/>
      <c r="AO104" s="413"/>
      <c r="AP104" s="63"/>
      <c r="AQ104" s="63"/>
      <c r="AR104" s="63"/>
      <c r="AS104" s="63"/>
      <c r="AT104" s="413"/>
      <c r="AU104" s="63"/>
      <c r="AV104" s="63"/>
      <c r="AW104" s="63"/>
      <c r="AX104" s="63"/>
      <c r="AY104" s="413"/>
      <c r="AZ104" s="63"/>
      <c r="BA104" s="63"/>
      <c r="BB104" s="63"/>
      <c r="BC104" s="63"/>
      <c r="BD104" s="413"/>
      <c r="BE104" s="63"/>
      <c r="BF104" s="63"/>
      <c r="BG104" s="63"/>
      <c r="BH104" s="63"/>
      <c r="BI104" s="413"/>
      <c r="BJ104" s="63"/>
      <c r="BK104" s="63"/>
      <c r="BL104" s="63"/>
      <c r="BM104" s="63"/>
      <c r="BN104" s="413"/>
      <c r="BO104" s="63"/>
      <c r="BP104" s="63"/>
      <c r="BQ104" s="63"/>
      <c r="BR104" s="63"/>
      <c r="BS104" s="425"/>
      <c r="BT104" s="63"/>
      <c r="BU104" s="63"/>
      <c r="BV104" s="63"/>
      <c r="BW104" s="63"/>
      <c r="BX104" s="413"/>
      <c r="BY104" s="63"/>
      <c r="BZ104" s="63"/>
      <c r="CA104" s="63"/>
      <c r="CB104" s="63"/>
      <c r="CC104" s="413"/>
      <c r="CD104" s="413"/>
      <c r="CE104" s="413"/>
      <c r="CF104" s="413"/>
      <c r="CG104" s="99"/>
    </row>
    <row r="105" spans="1:85" ht="14.45" hidden="1" customHeight="1" x14ac:dyDescent="0.25">
      <c r="A105" s="130" t="s">
        <v>249</v>
      </c>
      <c r="B105" s="101"/>
      <c r="C105" s="415"/>
      <c r="D105" s="414">
        <v>3.4</v>
      </c>
      <c r="E105" s="414">
        <v>-2.2999999999999998</v>
      </c>
      <c r="F105" s="414">
        <v>1.4</v>
      </c>
      <c r="G105" s="158"/>
      <c r="H105" s="158"/>
      <c r="I105" s="158"/>
      <c r="J105" s="158"/>
      <c r="K105" s="414">
        <v>3.9</v>
      </c>
      <c r="L105" s="102">
        <v>0.3</v>
      </c>
      <c r="M105" s="102">
        <v>-1.2</v>
      </c>
      <c r="N105" s="102">
        <v>0.7</v>
      </c>
      <c r="O105" s="103">
        <f>P105-SUM(L105,M105,N105)</f>
        <v>-2.5999999999999996</v>
      </c>
      <c r="P105" s="414">
        <v>-2.8</v>
      </c>
      <c r="Q105" s="102">
        <v>-0.2</v>
      </c>
      <c r="R105" s="102">
        <v>-0.2</v>
      </c>
      <c r="S105" s="102">
        <v>1.5</v>
      </c>
      <c r="T105" s="103">
        <f t="shared" si="104"/>
        <v>-0.10000000000000009</v>
      </c>
      <c r="U105" s="414">
        <v>1</v>
      </c>
      <c r="V105" s="102">
        <v>0.7</v>
      </c>
      <c r="W105" s="102">
        <v>-2</v>
      </c>
      <c r="X105" s="102">
        <v>3.3</v>
      </c>
      <c r="Y105" s="103">
        <f t="shared" si="102"/>
        <v>3.9000000000000004</v>
      </c>
      <c r="Z105" s="414">
        <v>5.9</v>
      </c>
      <c r="AA105" s="102">
        <v>0.4</v>
      </c>
      <c r="AB105" s="102">
        <v>0.4</v>
      </c>
      <c r="AC105" s="102">
        <v>4</v>
      </c>
      <c r="AD105" s="103">
        <f t="shared" si="103"/>
        <v>9.5</v>
      </c>
      <c r="AE105" s="414">
        <v>14.3</v>
      </c>
      <c r="AF105" s="158"/>
      <c r="AG105" s="158"/>
      <c r="AH105" s="158"/>
      <c r="AI105" s="158"/>
      <c r="AJ105" s="415"/>
      <c r="AK105" s="102">
        <v>6.4</v>
      </c>
      <c r="AL105" s="102">
        <v>7</v>
      </c>
      <c r="AM105" s="102">
        <v>3.1</v>
      </c>
      <c r="AN105" s="103">
        <f>AO105-SUM(AK105,AL105,AM105)</f>
        <v>-17.600000000000001</v>
      </c>
      <c r="AO105" s="414">
        <v>-1.1000000000000001</v>
      </c>
      <c r="AP105" s="102">
        <v>-0.2</v>
      </c>
      <c r="AQ105" s="102">
        <v>-2.8</v>
      </c>
      <c r="AR105" s="158"/>
      <c r="AS105" s="103">
        <f>AT105-SUM(AP105,AQ105,AR105)</f>
        <v>1.5</v>
      </c>
      <c r="AT105" s="414">
        <v>-1.5</v>
      </c>
      <c r="AU105" s="158"/>
      <c r="AV105" s="158"/>
      <c r="AW105" s="102">
        <v>4.2</v>
      </c>
      <c r="AX105" s="103">
        <f>AY105-SUM(AU105,AV105,AW105)</f>
        <v>-4.2</v>
      </c>
      <c r="AY105" s="415"/>
      <c r="AZ105" s="102">
        <v>2.2000000000000002</v>
      </c>
      <c r="BA105" s="102">
        <v>-2.4</v>
      </c>
      <c r="BB105" s="102">
        <v>-14.6</v>
      </c>
      <c r="BC105" s="103">
        <f>BD105-SUM(AZ105,BA105,BB105)</f>
        <v>43.04300000000039</v>
      </c>
      <c r="BD105" s="415">
        <f>BD106-SUM(BD87:BD104)</f>
        <v>28.243000000000393</v>
      </c>
      <c r="BE105" s="158">
        <f>BE106-SUM(BE87:BE104)</f>
        <v>22.284000000000106</v>
      </c>
      <c r="BF105" s="158">
        <f>BF106-SUM(BF87:BF104)</f>
        <v>18.617000000000189</v>
      </c>
      <c r="BG105" s="158">
        <f>BG106-SUM(BG87:BG104)</f>
        <v>13.839000000000169</v>
      </c>
      <c r="BH105" s="103">
        <f>BI105-SUM(BE105,BF105,BG105)</f>
        <v>-6.8390000000006239</v>
      </c>
      <c r="BI105" s="415">
        <f t="shared" ref="BI105:BS105" si="105">BI106-SUM(BI87:BI104)</f>
        <v>47.90099999999984</v>
      </c>
      <c r="BJ105" s="158">
        <f t="shared" si="105"/>
        <v>-5.0160000000000764</v>
      </c>
      <c r="BK105" s="158">
        <f t="shared" si="105"/>
        <v>-7.8890000000001237</v>
      </c>
      <c r="BL105" s="158">
        <f t="shared" si="105"/>
        <v>-6.7760000000000673</v>
      </c>
      <c r="BM105" s="103">
        <f t="shared" si="105"/>
        <v>30.539000000000669</v>
      </c>
      <c r="BN105" s="415">
        <f t="shared" si="105"/>
        <v>-4.1419999999998254</v>
      </c>
      <c r="BO105" s="158">
        <f t="shared" si="105"/>
        <v>33.351000000000113</v>
      </c>
      <c r="BP105" s="158">
        <f t="shared" si="105"/>
        <v>9.5760000000000218</v>
      </c>
      <c r="BQ105" s="158">
        <f t="shared" si="105"/>
        <v>2.6649999999999636</v>
      </c>
      <c r="BR105" s="103">
        <f t="shared" si="105"/>
        <v>92.746999999999389</v>
      </c>
      <c r="BS105" s="470">
        <f t="shared" si="105"/>
        <v>113.33899999999994</v>
      </c>
      <c r="BT105" s="158"/>
      <c r="BU105" s="158"/>
      <c r="BV105" s="158"/>
      <c r="BW105" s="158"/>
      <c r="BX105" s="415"/>
      <c r="BY105" s="158"/>
      <c r="BZ105" s="158"/>
      <c r="CA105" s="158"/>
      <c r="CB105" s="158"/>
      <c r="CC105" s="415"/>
      <c r="CD105" s="415"/>
      <c r="CE105" s="415"/>
      <c r="CF105" s="415"/>
      <c r="CG105" s="99"/>
    </row>
    <row r="106" spans="1:85" ht="14.45" hidden="1" customHeight="1" x14ac:dyDescent="0.25">
      <c r="A106" s="135" t="s">
        <v>250</v>
      </c>
      <c r="B106" s="108"/>
      <c r="C106" s="421">
        <f t="shared" ref="C106:AH106" si="106">C274</f>
        <v>1442.9860000000001</v>
      </c>
      <c r="D106" s="421">
        <f t="shared" si="106"/>
        <v>1514.5989999999999</v>
      </c>
      <c r="E106" s="421">
        <f t="shared" si="106"/>
        <v>1561.239</v>
      </c>
      <c r="F106" s="421">
        <f t="shared" si="106"/>
        <v>1614.433</v>
      </c>
      <c r="G106" s="109">
        <f t="shared" si="106"/>
        <v>383.55099999999999</v>
      </c>
      <c r="H106" s="109">
        <f t="shared" si="106"/>
        <v>428.97899999999998</v>
      </c>
      <c r="I106" s="109">
        <f t="shared" si="106"/>
        <v>434.464</v>
      </c>
      <c r="J106" s="109">
        <f t="shared" si="106"/>
        <v>394.33699999999993</v>
      </c>
      <c r="K106" s="421">
        <f t="shared" si="106"/>
        <v>1641.3309999999999</v>
      </c>
      <c r="L106" s="109">
        <f t="shared" si="106"/>
        <v>388.58199999999999</v>
      </c>
      <c r="M106" s="109">
        <f t="shared" si="106"/>
        <v>459.47300000000001</v>
      </c>
      <c r="N106" s="109">
        <f t="shared" si="106"/>
        <v>457.67599999999999</v>
      </c>
      <c r="O106" s="109">
        <f t="shared" si="106"/>
        <v>440.63799999999986</v>
      </c>
      <c r="P106" s="421">
        <f t="shared" si="106"/>
        <v>1746.3689999999999</v>
      </c>
      <c r="Q106" s="109">
        <f t="shared" si="106"/>
        <v>453.25299999999999</v>
      </c>
      <c r="R106" s="109">
        <f t="shared" si="106"/>
        <v>614.68299999999999</v>
      </c>
      <c r="S106" s="109">
        <f t="shared" si="106"/>
        <v>618.80600000000004</v>
      </c>
      <c r="T106" s="109">
        <f t="shared" si="106"/>
        <v>619.71600000000012</v>
      </c>
      <c r="U106" s="421">
        <f t="shared" si="106"/>
        <v>2306.4580000000001</v>
      </c>
      <c r="V106" s="109">
        <f t="shared" si="106"/>
        <v>625.45600000000002</v>
      </c>
      <c r="W106" s="109">
        <f t="shared" si="106"/>
        <v>840.38400000000001</v>
      </c>
      <c r="X106" s="109">
        <f t="shared" si="106"/>
        <v>849.02800000000002</v>
      </c>
      <c r="Y106" s="109">
        <f t="shared" si="106"/>
        <v>841.55999999999972</v>
      </c>
      <c r="Z106" s="421">
        <f t="shared" si="106"/>
        <v>3156.4279999999999</v>
      </c>
      <c r="AA106" s="109">
        <f t="shared" si="106"/>
        <v>865.702</v>
      </c>
      <c r="AB106" s="109">
        <f t="shared" si="106"/>
        <v>1169.2909999999999</v>
      </c>
      <c r="AC106" s="109">
        <f t="shared" si="106"/>
        <v>1162.5260000000001</v>
      </c>
      <c r="AD106" s="109">
        <f t="shared" si="106"/>
        <v>1126.1489999999994</v>
      </c>
      <c r="AE106" s="421">
        <f t="shared" si="106"/>
        <v>4323.6679999999997</v>
      </c>
      <c r="AF106" s="109">
        <f t="shared" si="106"/>
        <v>1064.7570000000001</v>
      </c>
      <c r="AG106" s="109">
        <f t="shared" si="106"/>
        <v>1220.0029999999999</v>
      </c>
      <c r="AH106" s="109">
        <f t="shared" si="106"/>
        <v>1204.0329999999999</v>
      </c>
      <c r="AI106" s="109">
        <f t="shared" ref="AI106:BS106" si="107">AI274</f>
        <v>1136.5709999999995</v>
      </c>
      <c r="AJ106" s="421">
        <f t="shared" si="107"/>
        <v>4625.3639999999996</v>
      </c>
      <c r="AK106" s="109">
        <f t="shared" si="107"/>
        <v>1102.912</v>
      </c>
      <c r="AL106" s="109">
        <f t="shared" si="107"/>
        <v>1273.6590000000001</v>
      </c>
      <c r="AM106" s="109">
        <f t="shared" si="107"/>
        <v>1271.029</v>
      </c>
      <c r="AN106" s="109">
        <f t="shared" si="107"/>
        <v>1178.9490000000001</v>
      </c>
      <c r="AO106" s="421">
        <f t="shared" si="107"/>
        <v>4826.549</v>
      </c>
      <c r="AP106" s="109">
        <f t="shared" si="107"/>
        <v>1173.021</v>
      </c>
      <c r="AQ106" s="109">
        <f t="shared" si="107"/>
        <v>1227.2149999999999</v>
      </c>
      <c r="AR106" s="109">
        <f t="shared" si="107"/>
        <v>1328.4839999999999</v>
      </c>
      <c r="AS106" s="109">
        <f t="shared" si="107"/>
        <v>1278.6370000000002</v>
      </c>
      <c r="AT106" s="421">
        <f t="shared" si="107"/>
        <v>5007.357</v>
      </c>
      <c r="AU106" s="109">
        <f t="shared" si="107"/>
        <v>1269.857</v>
      </c>
      <c r="AV106" s="109">
        <f t="shared" si="107"/>
        <v>1433.086</v>
      </c>
      <c r="AW106" s="109">
        <f t="shared" si="107"/>
        <v>1457.432</v>
      </c>
      <c r="AX106" s="109">
        <f t="shared" si="107"/>
        <v>1402.3389999999999</v>
      </c>
      <c r="AY106" s="421">
        <f t="shared" si="107"/>
        <v>5562.7139999999999</v>
      </c>
      <c r="AZ106" s="109">
        <f t="shared" si="107"/>
        <v>1404.3579999999999</v>
      </c>
      <c r="BA106" s="109">
        <f t="shared" si="107"/>
        <v>1595.2149999999999</v>
      </c>
      <c r="BB106" s="109">
        <f t="shared" si="107"/>
        <v>1628.5889999999999</v>
      </c>
      <c r="BC106" s="109">
        <f t="shared" si="107"/>
        <v>1572.7950000000001</v>
      </c>
      <c r="BD106" s="421">
        <f t="shared" si="107"/>
        <v>6200.9570000000003</v>
      </c>
      <c r="BE106" s="109">
        <f t="shared" si="107"/>
        <v>1571.6420000000001</v>
      </c>
      <c r="BF106" s="109">
        <f t="shared" si="107"/>
        <v>1738.8320000000001</v>
      </c>
      <c r="BG106" s="109">
        <f t="shared" si="107"/>
        <v>1712.4280000000001</v>
      </c>
      <c r="BH106" s="109">
        <f t="shared" si="107"/>
        <v>1630.9560000000001</v>
      </c>
      <c r="BI106" s="421">
        <f t="shared" si="107"/>
        <v>6653.8580000000002</v>
      </c>
      <c r="BJ106" s="109">
        <f t="shared" si="107"/>
        <v>1591.626</v>
      </c>
      <c r="BK106" s="109">
        <f t="shared" si="107"/>
        <v>1795.943</v>
      </c>
      <c r="BL106" s="109">
        <f t="shared" si="107"/>
        <v>1765.652</v>
      </c>
      <c r="BM106" s="109">
        <f t="shared" si="107"/>
        <v>1746.4950000000008</v>
      </c>
      <c r="BN106" s="421">
        <f t="shared" si="107"/>
        <v>6899.7160000000003</v>
      </c>
      <c r="BO106" s="109">
        <f t="shared" si="107"/>
        <v>1579.9770000000001</v>
      </c>
      <c r="BP106" s="109">
        <f t="shared" si="107"/>
        <v>1855.519</v>
      </c>
      <c r="BQ106" s="109">
        <f t="shared" si="107"/>
        <v>1888.317</v>
      </c>
      <c r="BR106" s="109">
        <f t="shared" si="107"/>
        <v>1904.2420000000002</v>
      </c>
      <c r="BS106" s="422">
        <f t="shared" si="107"/>
        <v>7228.0550000000003</v>
      </c>
      <c r="BT106" s="112"/>
      <c r="BU106" s="112"/>
      <c r="BV106" s="112"/>
      <c r="BW106" s="112"/>
      <c r="BX106" s="423"/>
      <c r="BY106" s="112"/>
      <c r="BZ106" s="112"/>
      <c r="CA106" s="112"/>
      <c r="CB106" s="112"/>
      <c r="CC106" s="423"/>
      <c r="CD106" s="423"/>
      <c r="CE106" s="423"/>
      <c r="CF106" s="423"/>
      <c r="CG106" s="109"/>
    </row>
    <row r="107" spans="1:85" ht="14.45" customHeight="1" x14ac:dyDescent="0.25">
      <c r="A107" s="162"/>
      <c r="B107" s="97"/>
      <c r="C107" s="413"/>
      <c r="D107" s="413"/>
      <c r="E107" s="413"/>
      <c r="F107" s="413"/>
      <c r="G107" s="63"/>
      <c r="H107" s="63"/>
      <c r="I107" s="63"/>
      <c r="J107" s="63"/>
      <c r="K107" s="413"/>
      <c r="L107" s="63"/>
      <c r="M107" s="63"/>
      <c r="N107" s="63"/>
      <c r="O107" s="63"/>
      <c r="P107" s="413"/>
      <c r="Q107" s="63"/>
      <c r="R107" s="63"/>
      <c r="S107" s="63"/>
      <c r="T107" s="63"/>
      <c r="U107" s="413"/>
      <c r="V107" s="63"/>
      <c r="W107" s="63"/>
      <c r="X107" s="63"/>
      <c r="Y107" s="63"/>
      <c r="Z107" s="413"/>
      <c r="AA107" s="63"/>
      <c r="AB107" s="63"/>
      <c r="AC107" s="63"/>
      <c r="AD107" s="63"/>
      <c r="AE107" s="413"/>
      <c r="AF107" s="63"/>
      <c r="AG107" s="63"/>
      <c r="AH107" s="63"/>
      <c r="AI107" s="63"/>
      <c r="AJ107" s="413"/>
      <c r="AK107" s="63"/>
      <c r="AL107" s="63"/>
      <c r="AM107" s="63"/>
      <c r="AN107" s="63"/>
      <c r="AO107" s="413"/>
      <c r="AP107" s="63"/>
      <c r="AQ107" s="63"/>
      <c r="AR107" s="63"/>
      <c r="AS107" s="63"/>
      <c r="AT107" s="413"/>
      <c r="AU107" s="63"/>
      <c r="AV107" s="63"/>
      <c r="AW107" s="63"/>
      <c r="AX107" s="63"/>
      <c r="AY107" s="413"/>
      <c r="AZ107" s="63"/>
      <c r="BA107" s="63"/>
      <c r="BB107" s="63"/>
      <c r="BC107" s="63"/>
      <c r="BD107" s="413"/>
      <c r="BE107" s="63"/>
      <c r="BF107" s="63"/>
      <c r="BG107" s="63"/>
      <c r="BH107" s="63"/>
      <c r="BI107" s="413"/>
      <c r="BJ107" s="63"/>
      <c r="BK107" s="63"/>
      <c r="BL107" s="63"/>
      <c r="BM107" s="63"/>
      <c r="BN107" s="413"/>
      <c r="BO107" s="63"/>
      <c r="BP107" s="63"/>
      <c r="BQ107" s="63"/>
      <c r="BR107" s="63"/>
      <c r="BS107" s="425"/>
      <c r="BT107" s="63"/>
      <c r="BU107" s="63"/>
      <c r="BV107" s="63"/>
      <c r="BW107" s="63"/>
      <c r="BX107" s="413"/>
      <c r="BY107" s="63"/>
      <c r="BZ107" s="63"/>
      <c r="CA107" s="63"/>
      <c r="CB107" s="63"/>
      <c r="CC107" s="413"/>
      <c r="CD107" s="413"/>
      <c r="CE107" s="413"/>
      <c r="CF107" s="413"/>
      <c r="CG107" s="99"/>
    </row>
    <row r="108" spans="1:85" ht="14.45" customHeight="1" x14ac:dyDescent="0.25">
      <c r="A108" s="95" t="s">
        <v>251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409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109"/>
    </row>
    <row r="109" spans="1:85" ht="14.45" customHeight="1" x14ac:dyDescent="0.25">
      <c r="A109" s="135" t="s">
        <v>252</v>
      </c>
      <c r="B109" s="108"/>
      <c r="C109" s="423"/>
      <c r="D109" s="421">
        <f>C127</f>
        <v>822.99199999999996</v>
      </c>
      <c r="E109" s="421">
        <f>D127</f>
        <v>873.78300000000002</v>
      </c>
      <c r="F109" s="421">
        <f>E127</f>
        <v>931.99599999999998</v>
      </c>
      <c r="G109" s="112"/>
      <c r="H109" s="112"/>
      <c r="I109" s="112"/>
      <c r="J109" s="112"/>
      <c r="K109" s="421">
        <f t="shared" ref="K109:AP109" si="108">F127</f>
        <v>960.12400000000002</v>
      </c>
      <c r="L109" s="109">
        <f t="shared" si="108"/>
        <v>229.852</v>
      </c>
      <c r="M109" s="109">
        <f t="shared" si="108"/>
        <v>258.66399999999999</v>
      </c>
      <c r="N109" s="109">
        <f t="shared" si="108"/>
        <v>258.35199999999998</v>
      </c>
      <c r="O109" s="109">
        <f t="shared" si="108"/>
        <v>235.82300000000009</v>
      </c>
      <c r="P109" s="421">
        <f t="shared" si="108"/>
        <v>982.69100000000003</v>
      </c>
      <c r="Q109" s="109">
        <f t="shared" si="108"/>
        <v>232.249</v>
      </c>
      <c r="R109" s="109">
        <f t="shared" si="108"/>
        <v>273.95299999999997</v>
      </c>
      <c r="S109" s="109">
        <f t="shared" si="108"/>
        <v>272.73399999999998</v>
      </c>
      <c r="T109" s="109">
        <f t="shared" si="108"/>
        <v>262.19400000000013</v>
      </c>
      <c r="U109" s="421">
        <f t="shared" si="108"/>
        <v>1041.1300000000001</v>
      </c>
      <c r="V109" s="109">
        <f t="shared" si="108"/>
        <v>268.88</v>
      </c>
      <c r="W109" s="109">
        <f t="shared" si="108"/>
        <v>377.36599999999999</v>
      </c>
      <c r="X109" s="109">
        <f t="shared" si="108"/>
        <v>380.27</v>
      </c>
      <c r="Y109" s="109">
        <f t="shared" si="108"/>
        <v>378.90999999999985</v>
      </c>
      <c r="Z109" s="421">
        <f t="shared" si="108"/>
        <v>1405.4259999999999</v>
      </c>
      <c r="AA109" s="109">
        <f t="shared" si="108"/>
        <v>381.55799999999999</v>
      </c>
      <c r="AB109" s="109">
        <f t="shared" si="108"/>
        <v>520.67700000000002</v>
      </c>
      <c r="AC109" s="109">
        <f t="shared" si="108"/>
        <v>521.83799999999997</v>
      </c>
      <c r="AD109" s="109">
        <f t="shared" si="108"/>
        <v>516.63300000000004</v>
      </c>
      <c r="AE109" s="421">
        <f t="shared" si="108"/>
        <v>1940.7059999999999</v>
      </c>
      <c r="AF109" s="109">
        <f t="shared" si="108"/>
        <v>533.68100000000004</v>
      </c>
      <c r="AG109" s="109">
        <f t="shared" si="108"/>
        <v>754.11300000000006</v>
      </c>
      <c r="AH109" s="109">
        <f t="shared" si="108"/>
        <v>752.202</v>
      </c>
      <c r="AI109" s="109">
        <f t="shared" si="108"/>
        <v>742.72499999999991</v>
      </c>
      <c r="AJ109" s="421">
        <f t="shared" si="108"/>
        <v>2782.721</v>
      </c>
      <c r="AK109" s="109">
        <f t="shared" si="108"/>
        <v>707.11599999999999</v>
      </c>
      <c r="AL109" s="109">
        <f t="shared" si="108"/>
        <v>815.29499999999996</v>
      </c>
      <c r="AM109" s="109">
        <f t="shared" si="108"/>
        <v>791.31700000000001</v>
      </c>
      <c r="AN109" s="109">
        <f t="shared" si="108"/>
        <v>755.92399999999998</v>
      </c>
      <c r="AO109" s="421">
        <f t="shared" si="108"/>
        <v>3069.652</v>
      </c>
      <c r="AP109" s="109">
        <f t="shared" si="108"/>
        <v>713.60400000000004</v>
      </c>
      <c r="AQ109" s="109">
        <f t="shared" ref="AQ109:BS109" si="109">AL127</f>
        <v>837.88</v>
      </c>
      <c r="AR109" s="109">
        <f t="shared" si="109"/>
        <v>838.80499999999995</v>
      </c>
      <c r="AS109" s="109">
        <f t="shared" si="109"/>
        <v>765.75800000000027</v>
      </c>
      <c r="AT109" s="421">
        <f t="shared" si="109"/>
        <v>3156.047</v>
      </c>
      <c r="AU109" s="109">
        <f t="shared" si="109"/>
        <v>767.726</v>
      </c>
      <c r="AV109" s="109">
        <f t="shared" si="109"/>
        <v>797.91399999999999</v>
      </c>
      <c r="AW109" s="109">
        <f t="shared" si="109"/>
        <v>856.04600000000005</v>
      </c>
      <c r="AX109" s="109">
        <f t="shared" si="109"/>
        <v>816.76200000000017</v>
      </c>
      <c r="AY109" s="421">
        <f t="shared" si="109"/>
        <v>3238.4479999999999</v>
      </c>
      <c r="AZ109" s="109">
        <f t="shared" si="109"/>
        <v>821.154</v>
      </c>
      <c r="BA109" s="109">
        <f t="shared" si="109"/>
        <v>938.14599999999996</v>
      </c>
      <c r="BB109" s="109">
        <f t="shared" si="109"/>
        <v>939.72</v>
      </c>
      <c r="BC109" s="109">
        <f t="shared" si="109"/>
        <v>909.50700000000006</v>
      </c>
      <c r="BD109" s="421">
        <f t="shared" si="109"/>
        <v>3608.527</v>
      </c>
      <c r="BE109" s="109">
        <f t="shared" si="109"/>
        <v>896.78200000000004</v>
      </c>
      <c r="BF109" s="109">
        <f t="shared" si="109"/>
        <v>1044.556</v>
      </c>
      <c r="BG109" s="109">
        <f t="shared" si="109"/>
        <v>1007.482</v>
      </c>
      <c r="BH109" s="109">
        <f t="shared" si="109"/>
        <v>974.18299999999999</v>
      </c>
      <c r="BI109" s="421">
        <f t="shared" si="109"/>
        <v>3923.0030000000002</v>
      </c>
      <c r="BJ109" s="109">
        <f t="shared" si="109"/>
        <v>947.53599999999994</v>
      </c>
      <c r="BK109" s="109">
        <f t="shared" si="109"/>
        <v>1067.2550000000001</v>
      </c>
      <c r="BL109" s="109">
        <f t="shared" si="109"/>
        <v>1050.8779999999999</v>
      </c>
      <c r="BM109" s="109">
        <f t="shared" si="109"/>
        <v>989.47800000000007</v>
      </c>
      <c r="BN109" s="421">
        <f t="shared" si="109"/>
        <v>4055.1469999999999</v>
      </c>
      <c r="BO109" s="109">
        <f t="shared" si="109"/>
        <v>951.06700000000001</v>
      </c>
      <c r="BP109" s="109">
        <f t="shared" si="109"/>
        <v>1079.2329999999999</v>
      </c>
      <c r="BQ109" s="109">
        <f t="shared" si="109"/>
        <v>1067.616</v>
      </c>
      <c r="BR109" s="109">
        <f t="shared" si="109"/>
        <v>1048.6210000000001</v>
      </c>
      <c r="BS109" s="422">
        <f t="shared" si="109"/>
        <v>4146.5370000000003</v>
      </c>
      <c r="BT109" s="112"/>
      <c r="BU109" s="112"/>
      <c r="BV109" s="112"/>
      <c r="BW109" s="112"/>
      <c r="BX109" s="423"/>
      <c r="BY109" s="112"/>
      <c r="BZ109" s="112"/>
      <c r="CA109" s="112"/>
      <c r="CB109" s="112"/>
      <c r="CC109" s="423"/>
      <c r="CD109" s="423"/>
      <c r="CE109" s="423"/>
      <c r="CF109" s="423"/>
      <c r="CG109" s="109"/>
    </row>
    <row r="110" spans="1:85" ht="14.45" customHeight="1" x14ac:dyDescent="0.25">
      <c r="A110" s="125" t="s">
        <v>232</v>
      </c>
      <c r="B110" s="97"/>
      <c r="C110" s="413"/>
      <c r="D110" s="413"/>
      <c r="E110" s="413"/>
      <c r="F110" s="413"/>
      <c r="G110" s="63"/>
      <c r="H110" s="63"/>
      <c r="I110" s="63"/>
      <c r="J110" s="63"/>
      <c r="K110" s="413"/>
      <c r="L110" s="63"/>
      <c r="M110" s="63"/>
      <c r="N110" s="63"/>
      <c r="O110" s="99">
        <f t="shared" ref="O110:O122" si="110">P110-SUM(L110,M110,N110)</f>
        <v>0</v>
      </c>
      <c r="P110" s="413"/>
      <c r="Q110" s="98">
        <v>32.5</v>
      </c>
      <c r="R110" s="98">
        <v>68.900000000000006</v>
      </c>
      <c r="S110" s="98">
        <v>69.099999999999994</v>
      </c>
      <c r="T110" s="99">
        <f t="shared" ref="T110:T117" si="111">U110-SUM(Q110,R110,S110)</f>
        <v>68.699999999999989</v>
      </c>
      <c r="U110" s="410">
        <v>239.2</v>
      </c>
      <c r="V110" s="98">
        <v>76.2</v>
      </c>
      <c r="W110" s="98">
        <v>134.9</v>
      </c>
      <c r="X110" s="98">
        <v>135.69999999999999</v>
      </c>
      <c r="Y110" s="99">
        <f>Z110-SUM(V110,W110,X110)</f>
        <v>147.09999999999997</v>
      </c>
      <c r="Z110" s="410">
        <v>493.9</v>
      </c>
      <c r="AA110" s="98">
        <v>146.9</v>
      </c>
      <c r="AB110" s="98">
        <v>216.7</v>
      </c>
      <c r="AC110" s="98">
        <v>215.8</v>
      </c>
      <c r="AD110" s="99">
        <f t="shared" ref="AD110:AD124" si="112">AE110-SUM(AA110,AB110,AC110)</f>
        <v>186.39999999999986</v>
      </c>
      <c r="AE110" s="410">
        <v>765.8</v>
      </c>
      <c r="AF110" s="63"/>
      <c r="AG110" s="63"/>
      <c r="AH110" s="63"/>
      <c r="AI110" s="63"/>
      <c r="AJ110" s="413"/>
      <c r="AK110" s="63"/>
      <c r="AL110" s="63"/>
      <c r="AM110" s="63"/>
      <c r="AN110" s="63"/>
      <c r="AO110" s="413"/>
      <c r="AP110" s="63"/>
      <c r="AQ110" s="63"/>
      <c r="AR110" s="63"/>
      <c r="AS110" s="63"/>
      <c r="AT110" s="413"/>
      <c r="AU110" s="63"/>
      <c r="AV110" s="63"/>
      <c r="AW110" s="63"/>
      <c r="AX110" s="63"/>
      <c r="AY110" s="413"/>
      <c r="AZ110" s="63"/>
      <c r="BA110" s="63"/>
      <c r="BB110" s="63"/>
      <c r="BC110" s="63"/>
      <c r="BD110" s="413"/>
      <c r="BE110" s="63"/>
      <c r="BF110" s="63"/>
      <c r="BG110" s="63"/>
      <c r="BH110" s="63"/>
      <c r="BI110" s="413"/>
      <c r="BJ110" s="63"/>
      <c r="BK110" s="63"/>
      <c r="BL110" s="63"/>
      <c r="BM110" s="63"/>
      <c r="BN110" s="413"/>
      <c r="BO110" s="63"/>
      <c r="BP110" s="63"/>
      <c r="BQ110" s="63"/>
      <c r="BR110" s="63"/>
      <c r="BS110" s="425"/>
      <c r="BT110" s="63"/>
      <c r="BU110" s="63"/>
      <c r="BV110" s="63"/>
      <c r="BW110" s="63"/>
      <c r="BX110" s="413"/>
      <c r="BY110" s="63"/>
      <c r="BZ110" s="63"/>
      <c r="CA110" s="63"/>
      <c r="CB110" s="63"/>
      <c r="CC110" s="413"/>
      <c r="CD110" s="413"/>
      <c r="CE110" s="413"/>
      <c r="CF110" s="413"/>
      <c r="CG110" s="99"/>
    </row>
    <row r="111" spans="1:85" ht="14.45" customHeight="1" x14ac:dyDescent="0.25">
      <c r="A111" s="125" t="s">
        <v>236</v>
      </c>
      <c r="B111" s="97"/>
      <c r="C111" s="413"/>
      <c r="D111" s="410">
        <v>31.1</v>
      </c>
      <c r="E111" s="410">
        <v>2.1</v>
      </c>
      <c r="F111" s="410">
        <v>7.6</v>
      </c>
      <c r="G111" s="63"/>
      <c r="H111" s="63"/>
      <c r="I111" s="63"/>
      <c r="J111" s="63"/>
      <c r="K111" s="410">
        <v>-7.1</v>
      </c>
      <c r="L111" s="98">
        <v>3</v>
      </c>
      <c r="M111" s="98">
        <v>10.8</v>
      </c>
      <c r="N111" s="98">
        <v>11.1</v>
      </c>
      <c r="O111" s="99">
        <f t="shared" si="110"/>
        <v>20.399999999999999</v>
      </c>
      <c r="P111" s="410">
        <v>45.3</v>
      </c>
      <c r="Q111" s="63"/>
      <c r="R111" s="98">
        <v>11.1</v>
      </c>
      <c r="S111" s="98">
        <v>13.9</v>
      </c>
      <c r="T111" s="99">
        <f t="shared" si="111"/>
        <v>21.6</v>
      </c>
      <c r="U111" s="410">
        <v>46.6</v>
      </c>
      <c r="V111" s="98">
        <v>13.2</v>
      </c>
      <c r="W111" s="98">
        <v>11.3</v>
      </c>
      <c r="X111" s="98">
        <v>6.8</v>
      </c>
      <c r="Y111" s="99">
        <f>Z111-SUM(V111,W111,X111)</f>
        <v>-0.60000000000000142</v>
      </c>
      <c r="Z111" s="410">
        <v>30.7</v>
      </c>
      <c r="AA111" s="98">
        <v>7.3</v>
      </c>
      <c r="AB111" s="98">
        <v>4.5</v>
      </c>
      <c r="AC111" s="63"/>
      <c r="AD111" s="99">
        <f t="shared" si="112"/>
        <v>7.1999999999999993</v>
      </c>
      <c r="AE111" s="410">
        <v>19</v>
      </c>
      <c r="AF111" s="63"/>
      <c r="AG111" s="63"/>
      <c r="AH111" s="63"/>
      <c r="AI111" s="63"/>
      <c r="AJ111" s="413"/>
      <c r="AK111" s="63"/>
      <c r="AL111" s="63"/>
      <c r="AM111" s="63"/>
      <c r="AN111" s="63"/>
      <c r="AO111" s="413"/>
      <c r="AP111" s="63"/>
      <c r="AQ111" s="63"/>
      <c r="AR111" s="63"/>
      <c r="AS111" s="63"/>
      <c r="AT111" s="413"/>
      <c r="AU111" s="63"/>
      <c r="AV111" s="63"/>
      <c r="AW111" s="63"/>
      <c r="AX111" s="63"/>
      <c r="AY111" s="413"/>
      <c r="AZ111" s="63"/>
      <c r="BA111" s="63"/>
      <c r="BB111" s="63"/>
      <c r="BC111" s="63"/>
      <c r="BD111" s="413"/>
      <c r="BE111" s="63"/>
      <c r="BF111" s="63"/>
      <c r="BG111" s="63"/>
      <c r="BH111" s="63"/>
      <c r="BI111" s="413"/>
      <c r="BJ111" s="63"/>
      <c r="BK111" s="63"/>
      <c r="BL111" s="63"/>
      <c r="BM111" s="63"/>
      <c r="BN111" s="413"/>
      <c r="BO111" s="63"/>
      <c r="BP111" s="63"/>
      <c r="BQ111" s="63"/>
      <c r="BR111" s="63"/>
      <c r="BS111" s="425"/>
      <c r="BT111" s="63"/>
      <c r="BU111" s="63"/>
      <c r="BV111" s="63"/>
      <c r="BW111" s="63"/>
      <c r="BX111" s="413"/>
      <c r="BY111" s="63"/>
      <c r="BZ111" s="63"/>
      <c r="CA111" s="63"/>
      <c r="CB111" s="63"/>
      <c r="CC111" s="413"/>
      <c r="CD111" s="413"/>
      <c r="CE111" s="413"/>
      <c r="CF111" s="413"/>
      <c r="CG111" s="99"/>
    </row>
    <row r="112" spans="1:85" ht="14.45" customHeight="1" x14ac:dyDescent="0.25">
      <c r="A112" s="125" t="s">
        <v>253</v>
      </c>
      <c r="B112" s="97"/>
      <c r="C112" s="413"/>
      <c r="D112" s="410">
        <v>-18.899999999999999</v>
      </c>
      <c r="E112" s="410">
        <v>45.3</v>
      </c>
      <c r="F112" s="410">
        <v>22.1</v>
      </c>
      <c r="G112" s="63"/>
      <c r="H112" s="63"/>
      <c r="I112" s="63"/>
      <c r="J112" s="63"/>
      <c r="K112" s="410">
        <v>7.8</v>
      </c>
      <c r="L112" s="98">
        <v>1.6</v>
      </c>
      <c r="M112" s="98">
        <v>1.7</v>
      </c>
      <c r="N112" s="98">
        <v>2.5</v>
      </c>
      <c r="O112" s="99">
        <f t="shared" si="110"/>
        <v>4.3999999999999995</v>
      </c>
      <c r="P112" s="410">
        <v>10.199999999999999</v>
      </c>
      <c r="Q112" s="63"/>
      <c r="R112" s="98">
        <v>14.5</v>
      </c>
      <c r="S112" s="98">
        <v>15.6</v>
      </c>
      <c r="T112" s="99">
        <f t="shared" si="111"/>
        <v>17</v>
      </c>
      <c r="U112" s="410">
        <v>47.1</v>
      </c>
      <c r="V112" s="98">
        <v>18.3</v>
      </c>
      <c r="W112" s="98">
        <v>2.7</v>
      </c>
      <c r="X112" s="63"/>
      <c r="Y112" s="99">
        <f>Z112-SUM(V112,W112,X112)</f>
        <v>-1.6999999999999993</v>
      </c>
      <c r="Z112" s="410">
        <v>19.3</v>
      </c>
      <c r="AA112" s="63"/>
      <c r="AB112" s="98">
        <v>9.6999999999999993</v>
      </c>
      <c r="AC112" s="98">
        <v>11.5</v>
      </c>
      <c r="AD112" s="99">
        <f t="shared" si="112"/>
        <v>25.2</v>
      </c>
      <c r="AE112" s="410">
        <v>46.4</v>
      </c>
      <c r="AF112" s="63"/>
      <c r="AG112" s="63"/>
      <c r="AH112" s="63"/>
      <c r="AI112" s="63"/>
      <c r="AJ112" s="413"/>
      <c r="AK112" s="63"/>
      <c r="AL112" s="63"/>
      <c r="AM112" s="63"/>
      <c r="AN112" s="63"/>
      <c r="AO112" s="413"/>
      <c r="AP112" s="63"/>
      <c r="AQ112" s="63"/>
      <c r="AR112" s="63"/>
      <c r="AS112" s="63"/>
      <c r="AT112" s="413"/>
      <c r="AU112" s="63"/>
      <c r="AV112" s="63"/>
      <c r="AW112" s="63"/>
      <c r="AX112" s="63"/>
      <c r="AY112" s="413"/>
      <c r="AZ112" s="63"/>
      <c r="BA112" s="63"/>
      <c r="BB112" s="63"/>
      <c r="BC112" s="63"/>
      <c r="BD112" s="413"/>
      <c r="BE112" s="63"/>
      <c r="BF112" s="63"/>
      <c r="BG112" s="63"/>
      <c r="BH112" s="63"/>
      <c r="BI112" s="413"/>
      <c r="BJ112" s="63"/>
      <c r="BK112" s="63"/>
      <c r="BL112" s="63"/>
      <c r="BM112" s="63"/>
      <c r="BN112" s="413"/>
      <c r="BO112" s="63"/>
      <c r="BP112" s="63"/>
      <c r="BQ112" s="63"/>
      <c r="BR112" s="63"/>
      <c r="BS112" s="425"/>
      <c r="BT112" s="63"/>
      <c r="BU112" s="63"/>
      <c r="BV112" s="63"/>
      <c r="BW112" s="63"/>
      <c r="BX112" s="413"/>
      <c r="BY112" s="63"/>
      <c r="BZ112" s="63"/>
      <c r="CA112" s="63"/>
      <c r="CB112" s="63"/>
      <c r="CC112" s="413"/>
      <c r="CD112" s="413"/>
      <c r="CE112" s="413"/>
      <c r="CF112" s="413"/>
      <c r="CG112" s="99"/>
    </row>
    <row r="113" spans="1:85" ht="14.45" customHeight="1" x14ac:dyDescent="0.25">
      <c r="A113" s="125" t="s">
        <v>254</v>
      </c>
      <c r="B113" s="97"/>
      <c r="C113" s="413"/>
      <c r="D113" s="410">
        <v>1</v>
      </c>
      <c r="E113" s="410">
        <v>-3.9</v>
      </c>
      <c r="F113" s="410">
        <v>3.9</v>
      </c>
      <c r="G113" s="63"/>
      <c r="H113" s="63"/>
      <c r="I113" s="63"/>
      <c r="J113" s="63"/>
      <c r="K113" s="410">
        <v>1.9</v>
      </c>
      <c r="L113" s="98">
        <v>-0.5</v>
      </c>
      <c r="M113" s="98">
        <v>-1.1000000000000001</v>
      </c>
      <c r="N113" s="98">
        <v>-1.2</v>
      </c>
      <c r="O113" s="99">
        <f t="shared" si="110"/>
        <v>-0.90000000000000036</v>
      </c>
      <c r="P113" s="410">
        <v>-3.7</v>
      </c>
      <c r="Q113" s="63"/>
      <c r="R113" s="98">
        <v>-1.7</v>
      </c>
      <c r="S113" s="98">
        <v>-3.1</v>
      </c>
      <c r="T113" s="99">
        <f t="shared" si="111"/>
        <v>-3.8</v>
      </c>
      <c r="U113" s="410">
        <v>-8.6</v>
      </c>
      <c r="V113" s="98">
        <v>-4.5</v>
      </c>
      <c r="W113" s="98">
        <v>-3.8</v>
      </c>
      <c r="X113" s="63"/>
      <c r="Y113" s="99">
        <f>Z113-SUM(V113,W113,X113)</f>
        <v>-4.8999999999999986</v>
      </c>
      <c r="Z113" s="410">
        <v>-13.2</v>
      </c>
      <c r="AA113" s="63"/>
      <c r="AB113" s="63"/>
      <c r="AC113" s="63"/>
      <c r="AD113" s="99">
        <f t="shared" si="112"/>
        <v>0</v>
      </c>
      <c r="AE113" s="413"/>
      <c r="AF113" s="63"/>
      <c r="AG113" s="63"/>
      <c r="AH113" s="63"/>
      <c r="AI113" s="63"/>
      <c r="AJ113" s="413"/>
      <c r="AK113" s="63"/>
      <c r="AL113" s="63"/>
      <c r="AM113" s="63"/>
      <c r="AN113" s="63"/>
      <c r="AO113" s="413"/>
      <c r="AP113" s="63"/>
      <c r="AQ113" s="63"/>
      <c r="AR113" s="63"/>
      <c r="AS113" s="63"/>
      <c r="AT113" s="413"/>
      <c r="AU113" s="63"/>
      <c r="AV113" s="63"/>
      <c r="AW113" s="63"/>
      <c r="AX113" s="63"/>
      <c r="AY113" s="413"/>
      <c r="AZ113" s="63"/>
      <c r="BA113" s="63"/>
      <c r="BB113" s="63"/>
      <c r="BC113" s="63"/>
      <c r="BD113" s="413"/>
      <c r="BE113" s="63"/>
      <c r="BF113" s="63"/>
      <c r="BG113" s="63"/>
      <c r="BH113" s="63"/>
      <c r="BI113" s="413"/>
      <c r="BJ113" s="63"/>
      <c r="BK113" s="63"/>
      <c r="BL113" s="63"/>
      <c r="BM113" s="63"/>
      <c r="BN113" s="413"/>
      <c r="BO113" s="63"/>
      <c r="BP113" s="63"/>
      <c r="BQ113" s="63"/>
      <c r="BR113" s="63"/>
      <c r="BS113" s="425"/>
      <c r="BT113" s="63"/>
      <c r="BU113" s="63"/>
      <c r="BV113" s="63"/>
      <c r="BW113" s="63"/>
      <c r="BX113" s="413"/>
      <c r="BY113" s="63"/>
      <c r="BZ113" s="63"/>
      <c r="CA113" s="63"/>
      <c r="CB113" s="63"/>
      <c r="CC113" s="413"/>
      <c r="CD113" s="413"/>
      <c r="CE113" s="413"/>
      <c r="CF113" s="413"/>
      <c r="CG113" s="99"/>
    </row>
    <row r="114" spans="1:85" ht="14.45" customHeight="1" x14ac:dyDescent="0.25">
      <c r="A114" s="125" t="s">
        <v>255</v>
      </c>
      <c r="B114" s="97"/>
      <c r="C114" s="413"/>
      <c r="D114" s="413"/>
      <c r="E114" s="413"/>
      <c r="F114" s="413"/>
      <c r="G114" s="63"/>
      <c r="H114" s="63"/>
      <c r="I114" s="63"/>
      <c r="J114" s="63"/>
      <c r="K114" s="413"/>
      <c r="L114" s="98">
        <v>0.4</v>
      </c>
      <c r="M114" s="98">
        <v>0.6</v>
      </c>
      <c r="N114" s="63"/>
      <c r="O114" s="99">
        <f t="shared" si="110"/>
        <v>-1</v>
      </c>
      <c r="P114" s="413"/>
      <c r="Q114" s="63"/>
      <c r="R114" s="63"/>
      <c r="S114" s="63"/>
      <c r="T114" s="99">
        <f t="shared" si="111"/>
        <v>6.4</v>
      </c>
      <c r="U114" s="410">
        <v>6.4</v>
      </c>
      <c r="V114" s="63"/>
      <c r="W114" s="63"/>
      <c r="X114" s="63"/>
      <c r="Y114" s="63"/>
      <c r="Z114" s="413"/>
      <c r="AA114" s="63"/>
      <c r="AB114" s="63"/>
      <c r="AC114" s="63"/>
      <c r="AD114" s="99">
        <f t="shared" si="112"/>
        <v>0</v>
      </c>
      <c r="AE114" s="413"/>
      <c r="AF114" s="63"/>
      <c r="AG114" s="63"/>
      <c r="AH114" s="63"/>
      <c r="AI114" s="63"/>
      <c r="AJ114" s="413"/>
      <c r="AK114" s="63"/>
      <c r="AL114" s="63"/>
      <c r="AM114" s="63"/>
      <c r="AN114" s="63"/>
      <c r="AO114" s="413"/>
      <c r="AP114" s="63"/>
      <c r="AQ114" s="63"/>
      <c r="AR114" s="63"/>
      <c r="AS114" s="63"/>
      <c r="AT114" s="413"/>
      <c r="AU114" s="63"/>
      <c r="AV114" s="63"/>
      <c r="AW114" s="63"/>
      <c r="AX114" s="63"/>
      <c r="AY114" s="413"/>
      <c r="AZ114" s="63"/>
      <c r="BA114" s="63"/>
      <c r="BB114" s="63"/>
      <c r="BC114" s="63"/>
      <c r="BD114" s="413"/>
      <c r="BE114" s="63"/>
      <c r="BF114" s="63"/>
      <c r="BG114" s="63"/>
      <c r="BH114" s="63">
        <f>BI114-SUM(BE114,BF114,BG114)</f>
        <v>0</v>
      </c>
      <c r="BI114" s="413"/>
      <c r="BJ114" s="98">
        <v>35</v>
      </c>
      <c r="BK114" s="98">
        <v>30</v>
      </c>
      <c r="BL114" s="98">
        <v>30</v>
      </c>
      <c r="BM114" s="63">
        <f>BN114-SUM(BJ114,BK114,BL114)</f>
        <v>25</v>
      </c>
      <c r="BN114" s="410">
        <v>120</v>
      </c>
      <c r="BO114" s="63"/>
      <c r="BP114" s="98">
        <v>35</v>
      </c>
      <c r="BQ114" s="98">
        <v>25</v>
      </c>
      <c r="BR114" s="63">
        <f>BS114-SUM(BO114,BP114,BQ114)</f>
        <v>75</v>
      </c>
      <c r="BS114" s="419">
        <v>135</v>
      </c>
      <c r="BT114" s="63"/>
      <c r="BU114" s="63"/>
      <c r="BV114" s="63"/>
      <c r="BW114" s="63"/>
      <c r="BX114" s="413"/>
      <c r="BY114" s="63"/>
      <c r="BZ114" s="63"/>
      <c r="CA114" s="63"/>
      <c r="CB114" s="63"/>
      <c r="CC114" s="413"/>
      <c r="CD114" s="413"/>
      <c r="CE114" s="413"/>
      <c r="CF114" s="413"/>
      <c r="CG114" s="99"/>
    </row>
    <row r="115" spans="1:85" ht="14.45" customHeight="1" x14ac:dyDescent="0.25">
      <c r="A115" s="125" t="s">
        <v>256</v>
      </c>
      <c r="B115" s="97"/>
      <c r="C115" s="413"/>
      <c r="D115" s="410">
        <v>12.6</v>
      </c>
      <c r="E115" s="410">
        <v>1.3</v>
      </c>
      <c r="F115" s="410">
        <v>2.2000000000000002</v>
      </c>
      <c r="G115" s="63"/>
      <c r="H115" s="63"/>
      <c r="I115" s="63"/>
      <c r="J115" s="63"/>
      <c r="K115" s="413"/>
      <c r="L115" s="98">
        <v>-0.9</v>
      </c>
      <c r="M115" s="98">
        <v>-0.1</v>
      </c>
      <c r="N115" s="98">
        <v>-0.8</v>
      </c>
      <c r="O115" s="99">
        <f t="shared" si="110"/>
        <v>0.19999999999999996</v>
      </c>
      <c r="P115" s="410">
        <v>-1.6</v>
      </c>
      <c r="Q115" s="63"/>
      <c r="R115" s="63"/>
      <c r="S115" s="98">
        <v>-1.1000000000000001</v>
      </c>
      <c r="T115" s="99">
        <f t="shared" si="111"/>
        <v>-3.9999999999999996</v>
      </c>
      <c r="U115" s="410">
        <v>-5.0999999999999996</v>
      </c>
      <c r="V115" s="98">
        <v>-3.8</v>
      </c>
      <c r="W115" s="98">
        <v>-4.7</v>
      </c>
      <c r="X115" s="63"/>
      <c r="Y115" s="99">
        <f>Z115-SUM(V115,W115,X115)</f>
        <v>-3.0999999999999996</v>
      </c>
      <c r="Z115" s="410">
        <v>-11.6</v>
      </c>
      <c r="AA115" s="63"/>
      <c r="AB115" s="63"/>
      <c r="AC115" s="63"/>
      <c r="AD115" s="99">
        <f t="shared" si="112"/>
        <v>0</v>
      </c>
      <c r="AE115" s="413"/>
      <c r="AF115" s="63"/>
      <c r="AG115" s="63"/>
      <c r="AH115" s="63"/>
      <c r="AI115" s="63"/>
      <c r="AJ115" s="413"/>
      <c r="AK115" s="63"/>
      <c r="AL115" s="63"/>
      <c r="AM115" s="63"/>
      <c r="AN115" s="63"/>
      <c r="AO115" s="413"/>
      <c r="AP115" s="63"/>
      <c r="AQ115" s="63"/>
      <c r="AR115" s="63"/>
      <c r="AS115" s="63"/>
      <c r="AT115" s="413"/>
      <c r="AU115" s="63"/>
      <c r="AV115" s="63"/>
      <c r="AW115" s="63"/>
      <c r="AX115" s="63"/>
      <c r="AY115" s="413"/>
      <c r="AZ115" s="63"/>
      <c r="BA115" s="63"/>
      <c r="BB115" s="63"/>
      <c r="BC115" s="63"/>
      <c r="BD115" s="413"/>
      <c r="BE115" s="63"/>
      <c r="BF115" s="63"/>
      <c r="BG115" s="63"/>
      <c r="BH115" s="63"/>
      <c r="BI115" s="413"/>
      <c r="BJ115" s="63"/>
      <c r="BK115" s="63"/>
      <c r="BL115" s="63"/>
      <c r="BM115" s="63"/>
      <c r="BN115" s="413"/>
      <c r="BO115" s="63"/>
      <c r="BP115" s="63"/>
      <c r="BQ115" s="63"/>
      <c r="BR115" s="63"/>
      <c r="BS115" s="425"/>
      <c r="BT115" s="63"/>
      <c r="BU115" s="63"/>
      <c r="BV115" s="63"/>
      <c r="BW115" s="63"/>
      <c r="BX115" s="413"/>
      <c r="BY115" s="63"/>
      <c r="BZ115" s="63"/>
      <c r="CA115" s="63"/>
      <c r="CB115" s="63"/>
      <c r="CC115" s="413"/>
      <c r="CD115" s="413"/>
      <c r="CE115" s="413"/>
      <c r="CF115" s="413"/>
      <c r="CG115" s="99"/>
    </row>
    <row r="116" spans="1:85" ht="14.45" customHeight="1" x14ac:dyDescent="0.25">
      <c r="A116" s="125" t="s">
        <v>257</v>
      </c>
      <c r="B116" s="97"/>
      <c r="C116" s="413"/>
      <c r="D116" s="413"/>
      <c r="E116" s="413"/>
      <c r="F116" s="413"/>
      <c r="G116" s="63"/>
      <c r="H116" s="63"/>
      <c r="I116" s="63"/>
      <c r="J116" s="63"/>
      <c r="K116" s="413"/>
      <c r="L116" s="63"/>
      <c r="M116" s="63"/>
      <c r="N116" s="63"/>
      <c r="O116" s="99">
        <f t="shared" si="110"/>
        <v>0</v>
      </c>
      <c r="P116" s="413"/>
      <c r="Q116" s="63"/>
      <c r="R116" s="63"/>
      <c r="S116" s="63"/>
      <c r="T116" s="99">
        <f t="shared" si="111"/>
        <v>0</v>
      </c>
      <c r="U116" s="413"/>
      <c r="V116" s="63"/>
      <c r="W116" s="63"/>
      <c r="X116" s="63"/>
      <c r="Y116" s="99">
        <f>Z116-SUM(V116,W116,X116)</f>
        <v>0</v>
      </c>
      <c r="Z116" s="413"/>
      <c r="AA116" s="63"/>
      <c r="AB116" s="63"/>
      <c r="AC116" s="63"/>
      <c r="AD116" s="99">
        <f t="shared" si="112"/>
        <v>0</v>
      </c>
      <c r="AE116" s="413"/>
      <c r="AF116" s="63"/>
      <c r="AG116" s="63"/>
      <c r="AH116" s="63"/>
      <c r="AI116" s="63"/>
      <c r="AJ116" s="413"/>
      <c r="AK116" s="63"/>
      <c r="AL116" s="63"/>
      <c r="AM116" s="63"/>
      <c r="AN116" s="99">
        <f>AO116-SUM(AK116,AL116,AM116)</f>
        <v>0</v>
      </c>
      <c r="AO116" s="413"/>
      <c r="AP116" s="63"/>
      <c r="AQ116" s="98">
        <v>-26</v>
      </c>
      <c r="AR116" s="98">
        <v>-24.3</v>
      </c>
      <c r="AS116" s="99">
        <f>AT116-SUM(AP116,AQ116,AR116)</f>
        <v>2.1999999999999957</v>
      </c>
      <c r="AT116" s="410">
        <v>-48.1</v>
      </c>
      <c r="AU116" s="98">
        <v>-9.6</v>
      </c>
      <c r="AV116" s="98">
        <v>16.2</v>
      </c>
      <c r="AW116" s="98">
        <v>6.6</v>
      </c>
      <c r="AX116" s="99">
        <f>AY116-SUM(AU116,AV116,AW116)</f>
        <v>7.8000000000000007</v>
      </c>
      <c r="AY116" s="410">
        <v>21</v>
      </c>
      <c r="AZ116" s="63"/>
      <c r="BA116" s="63"/>
      <c r="BB116" s="63"/>
      <c r="BC116" s="63"/>
      <c r="BD116" s="413"/>
      <c r="BE116" s="63"/>
      <c r="BF116" s="63"/>
      <c r="BG116" s="63"/>
      <c r="BH116" s="63"/>
      <c r="BI116" s="413"/>
      <c r="BJ116" s="63"/>
      <c r="BK116" s="63"/>
      <c r="BL116" s="63"/>
      <c r="BM116" s="63"/>
      <c r="BN116" s="413"/>
      <c r="BO116" s="63"/>
      <c r="BP116" s="63"/>
      <c r="BQ116" s="63"/>
      <c r="BR116" s="63"/>
      <c r="BS116" s="425"/>
      <c r="BT116" s="63"/>
      <c r="BU116" s="63"/>
      <c r="BV116" s="63"/>
      <c r="BW116" s="63"/>
      <c r="BX116" s="413"/>
      <c r="BY116" s="63"/>
      <c r="BZ116" s="63"/>
      <c r="CA116" s="63"/>
      <c r="CB116" s="63"/>
      <c r="CC116" s="413"/>
      <c r="CD116" s="413"/>
      <c r="CE116" s="413"/>
      <c r="CF116" s="413"/>
      <c r="CG116" s="99"/>
    </row>
    <row r="117" spans="1:85" ht="14.45" customHeight="1" x14ac:dyDescent="0.25">
      <c r="A117" s="125" t="s">
        <v>241</v>
      </c>
      <c r="B117" s="97"/>
      <c r="C117" s="413"/>
      <c r="D117" s="410">
        <v>3.4</v>
      </c>
      <c r="E117" s="410">
        <v>-1.1000000000000001</v>
      </c>
      <c r="F117" s="410">
        <v>-4.3</v>
      </c>
      <c r="G117" s="63"/>
      <c r="H117" s="63"/>
      <c r="I117" s="63"/>
      <c r="J117" s="63"/>
      <c r="K117" s="410">
        <v>14.6</v>
      </c>
      <c r="L117" s="98">
        <v>-3.4</v>
      </c>
      <c r="M117" s="63"/>
      <c r="N117" s="98">
        <v>-1.1000000000000001</v>
      </c>
      <c r="O117" s="99">
        <f t="shared" si="110"/>
        <v>-2.2999999999999998</v>
      </c>
      <c r="P117" s="410">
        <v>-6.8</v>
      </c>
      <c r="Q117" s="63"/>
      <c r="R117" s="98">
        <v>2.2000000000000002</v>
      </c>
      <c r="S117" s="98">
        <v>4.5999999999999996</v>
      </c>
      <c r="T117" s="99">
        <f t="shared" si="111"/>
        <v>5.1000000000000005</v>
      </c>
      <c r="U117" s="410">
        <v>11.9</v>
      </c>
      <c r="V117" s="98">
        <v>4.5999999999999996</v>
      </c>
      <c r="W117" s="63"/>
      <c r="X117" s="63"/>
      <c r="Y117" s="99">
        <f>Z117-SUM(V117,W117,X117)</f>
        <v>-4.5999999999999996</v>
      </c>
      <c r="Z117" s="413"/>
      <c r="AA117" s="63"/>
      <c r="AB117" s="63"/>
      <c r="AC117" s="63"/>
      <c r="AD117" s="99">
        <f t="shared" si="112"/>
        <v>0</v>
      </c>
      <c r="AE117" s="413"/>
      <c r="AF117" s="63"/>
      <c r="AG117" s="63"/>
      <c r="AH117" s="63"/>
      <c r="AI117" s="63"/>
      <c r="AJ117" s="413"/>
      <c r="AK117" s="98">
        <v>-20.7</v>
      </c>
      <c r="AL117" s="98">
        <v>-19.600000000000001</v>
      </c>
      <c r="AM117" s="98">
        <v>-10.1</v>
      </c>
      <c r="AN117" s="99">
        <f>AO117-SUM(AK117,AL117,AM117)</f>
        <v>0.79999999999999716</v>
      </c>
      <c r="AO117" s="410">
        <v>-49.6</v>
      </c>
      <c r="AP117" s="98">
        <v>3.3</v>
      </c>
      <c r="AQ117" s="98">
        <v>-9.8000000000000007</v>
      </c>
      <c r="AR117" s="63"/>
      <c r="AS117" s="99">
        <f>AT117-SUM(AP117,AQ117,AR117)</f>
        <v>-6.6999999999999984</v>
      </c>
      <c r="AT117" s="410">
        <v>-13.2</v>
      </c>
      <c r="AU117" s="63"/>
      <c r="AV117" s="98">
        <v>9.1</v>
      </c>
      <c r="AW117" s="63"/>
      <c r="AX117" s="99">
        <f>AY117-SUM(AU117,AV117,AW117)</f>
        <v>8.7999999999999989</v>
      </c>
      <c r="AY117" s="410">
        <v>17.899999999999999</v>
      </c>
      <c r="AZ117" s="63"/>
      <c r="BA117" s="98">
        <v>5</v>
      </c>
      <c r="BB117" s="63"/>
      <c r="BC117" s="99">
        <f>BD117-SUM(AZ117,BA117,BB117)</f>
        <v>-5</v>
      </c>
      <c r="BD117" s="413"/>
      <c r="BE117" s="63"/>
      <c r="BF117" s="63"/>
      <c r="BG117" s="63"/>
      <c r="BH117" s="63"/>
      <c r="BI117" s="413"/>
      <c r="BJ117" s="63"/>
      <c r="BK117" s="63"/>
      <c r="BL117" s="63"/>
      <c r="BM117" s="63"/>
      <c r="BN117" s="413"/>
      <c r="BO117" s="63"/>
      <c r="BP117" s="63"/>
      <c r="BQ117" s="63"/>
      <c r="BR117" s="63"/>
      <c r="BS117" s="425"/>
      <c r="BT117" s="63"/>
      <c r="BU117" s="63"/>
      <c r="BV117" s="63"/>
      <c r="BW117" s="63"/>
      <c r="BX117" s="413"/>
      <c r="BY117" s="63"/>
      <c r="BZ117" s="63"/>
      <c r="CA117" s="63"/>
      <c r="CB117" s="63"/>
      <c r="CC117" s="413"/>
      <c r="CD117" s="413"/>
      <c r="CE117" s="413"/>
      <c r="CF117" s="413"/>
      <c r="CG117" s="99"/>
    </row>
    <row r="118" spans="1:85" ht="14.45" customHeight="1" x14ac:dyDescent="0.25">
      <c r="A118" s="125" t="s">
        <v>258</v>
      </c>
      <c r="B118" s="97"/>
      <c r="C118" s="413"/>
      <c r="D118" s="413"/>
      <c r="E118" s="413"/>
      <c r="F118" s="413"/>
      <c r="G118" s="63"/>
      <c r="H118" s="63"/>
      <c r="I118" s="63"/>
      <c r="J118" s="63"/>
      <c r="K118" s="410">
        <v>-1.2</v>
      </c>
      <c r="L118" s="98">
        <v>1.7</v>
      </c>
      <c r="M118" s="98">
        <v>1.4</v>
      </c>
      <c r="N118" s="63"/>
      <c r="O118" s="99">
        <f t="shared" si="110"/>
        <v>-0.79999999999999982</v>
      </c>
      <c r="P118" s="410">
        <v>2.2999999999999998</v>
      </c>
      <c r="Q118" s="63"/>
      <c r="R118" s="63"/>
      <c r="S118" s="63"/>
      <c r="T118" s="63"/>
      <c r="U118" s="413"/>
      <c r="V118" s="63"/>
      <c r="W118" s="63"/>
      <c r="X118" s="63"/>
      <c r="Y118" s="63"/>
      <c r="Z118" s="413"/>
      <c r="AA118" s="63"/>
      <c r="AB118" s="63"/>
      <c r="AC118" s="63"/>
      <c r="AD118" s="99">
        <f t="shared" si="112"/>
        <v>0</v>
      </c>
      <c r="AE118" s="413"/>
      <c r="AF118" s="63"/>
      <c r="AG118" s="63"/>
      <c r="AH118" s="63"/>
      <c r="AI118" s="63"/>
      <c r="AJ118" s="413"/>
      <c r="AK118" s="63"/>
      <c r="AL118" s="63"/>
      <c r="AM118" s="63"/>
      <c r="AN118" s="63"/>
      <c r="AO118" s="413"/>
      <c r="AP118" s="63"/>
      <c r="AQ118" s="63"/>
      <c r="AR118" s="63"/>
      <c r="AS118" s="63"/>
      <c r="AT118" s="413"/>
      <c r="AU118" s="63"/>
      <c r="AV118" s="63"/>
      <c r="AW118" s="63"/>
      <c r="AX118" s="63"/>
      <c r="AY118" s="413"/>
      <c r="AZ118" s="63"/>
      <c r="BA118" s="63"/>
      <c r="BB118" s="63"/>
      <c r="BC118" s="63"/>
      <c r="BD118" s="413"/>
      <c r="BE118" s="63"/>
      <c r="BF118" s="63"/>
      <c r="BG118" s="63"/>
      <c r="BH118" s="63"/>
      <c r="BI118" s="413"/>
      <c r="BJ118" s="63"/>
      <c r="BK118" s="63"/>
      <c r="BL118" s="63"/>
      <c r="BM118" s="63"/>
      <c r="BN118" s="413"/>
      <c r="BO118" s="63"/>
      <c r="BP118" s="63"/>
      <c r="BQ118" s="63"/>
      <c r="BR118" s="63"/>
      <c r="BS118" s="425"/>
      <c r="BT118" s="63"/>
      <c r="BU118" s="63"/>
      <c r="BV118" s="63"/>
      <c r="BW118" s="63"/>
      <c r="BX118" s="413"/>
      <c r="BY118" s="63"/>
      <c r="BZ118" s="63"/>
      <c r="CA118" s="63"/>
      <c r="CB118" s="63"/>
      <c r="CC118" s="413"/>
      <c r="CD118" s="413"/>
      <c r="CE118" s="413"/>
      <c r="CF118" s="413"/>
      <c r="CG118" s="99"/>
    </row>
    <row r="119" spans="1:85" ht="14.45" customHeight="1" x14ac:dyDescent="0.25">
      <c r="A119" s="125" t="s">
        <v>235</v>
      </c>
      <c r="B119" s="97"/>
      <c r="C119" s="413"/>
      <c r="D119" s="413"/>
      <c r="E119" s="413"/>
      <c r="F119" s="413"/>
      <c r="G119" s="63"/>
      <c r="H119" s="63"/>
      <c r="I119" s="63"/>
      <c r="J119" s="63"/>
      <c r="K119" s="413"/>
      <c r="L119" s="63"/>
      <c r="M119" s="63"/>
      <c r="N119" s="63"/>
      <c r="O119" s="99">
        <f t="shared" si="110"/>
        <v>0</v>
      </c>
      <c r="P119" s="413"/>
      <c r="Q119" s="63"/>
      <c r="R119" s="63"/>
      <c r="S119" s="63"/>
      <c r="T119" s="99">
        <f>U119-SUM(Q119,R119,S119)</f>
        <v>0</v>
      </c>
      <c r="U119" s="413"/>
      <c r="V119" s="63"/>
      <c r="W119" s="63"/>
      <c r="X119" s="63"/>
      <c r="Y119" s="99">
        <f>Z119-SUM(V119,W119,X119)</f>
        <v>0</v>
      </c>
      <c r="Z119" s="413"/>
      <c r="AA119" s="63"/>
      <c r="AB119" s="63"/>
      <c r="AC119" s="63"/>
      <c r="AD119" s="99">
        <f t="shared" si="112"/>
        <v>0</v>
      </c>
      <c r="AE119" s="413"/>
      <c r="AF119" s="63"/>
      <c r="AG119" s="63"/>
      <c r="AH119" s="63"/>
      <c r="AI119" s="63"/>
      <c r="AJ119" s="413"/>
      <c r="AK119" s="63"/>
      <c r="AL119" s="98">
        <v>5.6</v>
      </c>
      <c r="AM119" s="98">
        <v>36.200000000000003</v>
      </c>
      <c r="AN119" s="99">
        <f>AO119-SUM(AK119,AL119,AM119)</f>
        <v>1.2999999999999972</v>
      </c>
      <c r="AO119" s="410">
        <v>43.1</v>
      </c>
      <c r="AP119" s="98">
        <v>35.200000000000003</v>
      </c>
      <c r="AQ119" s="63"/>
      <c r="AR119" s="98">
        <v>22.5</v>
      </c>
      <c r="AS119" s="99">
        <f>AT119-SUM(AP119,AQ119,AR119)</f>
        <v>43.099999999999994</v>
      </c>
      <c r="AT119" s="410">
        <v>100.8</v>
      </c>
      <c r="AU119" s="98">
        <v>27.2</v>
      </c>
      <c r="AV119" s="98">
        <v>49.8</v>
      </c>
      <c r="AW119" s="63"/>
      <c r="AX119" s="99">
        <f>AY119-SUM(AU119,AV119,AW119)</f>
        <v>-7.4000000000000057</v>
      </c>
      <c r="AY119" s="410">
        <v>69.599999999999994</v>
      </c>
      <c r="AZ119" s="98">
        <v>-4.3</v>
      </c>
      <c r="BA119" s="98">
        <v>6.3</v>
      </c>
      <c r="BB119" s="98">
        <v>2.5</v>
      </c>
      <c r="BC119" s="99">
        <f>BD119-SUM(AZ119,BA119,BB119)</f>
        <v>-4.5</v>
      </c>
      <c r="BD119" s="413"/>
      <c r="BE119" s="98">
        <v>-10</v>
      </c>
      <c r="BF119" s="98">
        <v>-20</v>
      </c>
      <c r="BG119" s="98">
        <v>-15</v>
      </c>
      <c r="BH119" s="99">
        <f>BI119-SUM(BE119,BF119,BG119)</f>
        <v>5</v>
      </c>
      <c r="BI119" s="410">
        <v>-40</v>
      </c>
      <c r="BJ119" s="98">
        <v>-20</v>
      </c>
      <c r="BK119" s="63"/>
      <c r="BL119" s="63"/>
      <c r="BM119" s="63"/>
      <c r="BN119" s="413"/>
      <c r="BO119" s="63"/>
      <c r="BP119" s="63"/>
      <c r="BQ119" s="98">
        <v>35</v>
      </c>
      <c r="BR119" s="63"/>
      <c r="BS119" s="425"/>
      <c r="BT119" s="63"/>
      <c r="BU119" s="63"/>
      <c r="BV119" s="63"/>
      <c r="BW119" s="63"/>
      <c r="BX119" s="413"/>
      <c r="BY119" s="63"/>
      <c r="BZ119" s="63"/>
      <c r="CA119" s="63"/>
      <c r="CB119" s="63"/>
      <c r="CC119" s="413"/>
      <c r="CD119" s="413"/>
      <c r="CE119" s="413"/>
      <c r="CF119" s="413"/>
      <c r="CG119" s="99"/>
    </row>
    <row r="120" spans="1:85" ht="14.45" customHeight="1" x14ac:dyDescent="0.25">
      <c r="A120" s="125" t="s">
        <v>259</v>
      </c>
      <c r="B120" s="97"/>
      <c r="C120" s="413"/>
      <c r="D120" s="413"/>
      <c r="E120" s="410">
        <v>2.5</v>
      </c>
      <c r="F120" s="410">
        <v>1.3</v>
      </c>
      <c r="G120" s="63"/>
      <c r="H120" s="63"/>
      <c r="I120" s="63"/>
      <c r="J120" s="63"/>
      <c r="K120" s="410">
        <v>-2</v>
      </c>
      <c r="L120" s="98">
        <v>-0.3</v>
      </c>
      <c r="M120" s="98">
        <v>0.3</v>
      </c>
      <c r="N120" s="63"/>
      <c r="O120" s="99">
        <f t="shared" si="110"/>
        <v>1.5</v>
      </c>
      <c r="P120" s="410">
        <v>1.5</v>
      </c>
      <c r="Q120" s="63"/>
      <c r="R120" s="63"/>
      <c r="S120" s="63"/>
      <c r="T120" s="99">
        <f>U120-SUM(Q120,R120,S120)</f>
        <v>0</v>
      </c>
      <c r="U120" s="413"/>
      <c r="V120" s="63"/>
      <c r="W120" s="63"/>
      <c r="X120" s="63"/>
      <c r="Y120" s="99">
        <f>Z120-SUM(V120,W120,X120)</f>
        <v>0</v>
      </c>
      <c r="Z120" s="413"/>
      <c r="AA120" s="63"/>
      <c r="AB120" s="63"/>
      <c r="AC120" s="63"/>
      <c r="AD120" s="99">
        <f t="shared" si="112"/>
        <v>0</v>
      </c>
      <c r="AE120" s="413"/>
      <c r="AF120" s="63"/>
      <c r="AG120" s="63"/>
      <c r="AH120" s="63"/>
      <c r="AI120" s="63"/>
      <c r="AJ120" s="413"/>
      <c r="AK120" s="98">
        <v>27.2</v>
      </c>
      <c r="AL120" s="98">
        <v>29.6</v>
      </c>
      <c r="AM120" s="98">
        <v>18.8</v>
      </c>
      <c r="AN120" s="99">
        <f>AO120-SUM(AK120,AL120,AM120)</f>
        <v>9.5</v>
      </c>
      <c r="AO120" s="410">
        <v>85.1</v>
      </c>
      <c r="AP120" s="98">
        <v>5.9</v>
      </c>
      <c r="AQ120" s="63"/>
      <c r="AR120" s="98">
        <v>12.8</v>
      </c>
      <c r="AS120" s="99">
        <f>AT120-SUM(AP120,AQ120,AR120)</f>
        <v>26.799999999999997</v>
      </c>
      <c r="AT120" s="410">
        <v>45.5</v>
      </c>
      <c r="AU120" s="98">
        <v>35.799999999999997</v>
      </c>
      <c r="AV120" s="98">
        <v>61</v>
      </c>
      <c r="AW120" s="98">
        <v>69.7</v>
      </c>
      <c r="AX120" s="99">
        <f>AY120-SUM(AU120,AV120,AW120)</f>
        <v>87.1</v>
      </c>
      <c r="AY120" s="410">
        <v>253.6</v>
      </c>
      <c r="AZ120" s="98">
        <v>87.3</v>
      </c>
      <c r="BA120" s="98">
        <v>90</v>
      </c>
      <c r="BB120" s="98">
        <v>91.3</v>
      </c>
      <c r="BC120" s="99">
        <f>BD120-SUM(AZ120,BA120,BB120)</f>
        <v>96.399999999999977</v>
      </c>
      <c r="BD120" s="410">
        <v>365</v>
      </c>
      <c r="BE120" s="98">
        <v>60</v>
      </c>
      <c r="BF120" s="98">
        <v>70</v>
      </c>
      <c r="BG120" s="98">
        <v>50</v>
      </c>
      <c r="BH120" s="99">
        <f>BI120-SUM(BE120,BF120,BG120)</f>
        <v>0</v>
      </c>
      <c r="BI120" s="410">
        <v>180</v>
      </c>
      <c r="BJ120" s="63"/>
      <c r="BK120" s="63"/>
      <c r="BL120" s="63"/>
      <c r="BM120" s="63"/>
      <c r="BN120" s="413"/>
      <c r="BO120" s="63"/>
      <c r="BP120" s="63"/>
      <c r="BQ120" s="63"/>
      <c r="BR120" s="63"/>
      <c r="BS120" s="425"/>
      <c r="BT120" s="63"/>
      <c r="BU120" s="63"/>
      <c r="BV120" s="63"/>
      <c r="BW120" s="63"/>
      <c r="BX120" s="413"/>
      <c r="BY120" s="63"/>
      <c r="BZ120" s="63"/>
      <c r="CA120" s="63"/>
      <c r="CB120" s="63"/>
      <c r="CC120" s="413"/>
      <c r="CD120" s="413"/>
      <c r="CE120" s="413"/>
      <c r="CF120" s="413"/>
      <c r="CG120" s="99"/>
    </row>
    <row r="121" spans="1:85" ht="14.45" customHeight="1" x14ac:dyDescent="0.25">
      <c r="A121" s="125" t="s">
        <v>260</v>
      </c>
      <c r="B121" s="97"/>
      <c r="C121" s="413"/>
      <c r="D121" s="413"/>
      <c r="E121" s="413"/>
      <c r="F121" s="413"/>
      <c r="G121" s="63"/>
      <c r="H121" s="63"/>
      <c r="I121" s="63"/>
      <c r="J121" s="63"/>
      <c r="K121" s="413"/>
      <c r="L121" s="63"/>
      <c r="M121" s="63"/>
      <c r="N121" s="63"/>
      <c r="O121" s="99">
        <f t="shared" si="110"/>
        <v>0</v>
      </c>
      <c r="P121" s="413"/>
      <c r="Q121" s="98">
        <v>3.4</v>
      </c>
      <c r="R121" s="98">
        <v>5.8</v>
      </c>
      <c r="S121" s="98">
        <v>4.9000000000000004</v>
      </c>
      <c r="T121" s="99">
        <f>U121-SUM(Q121,R121,S121)</f>
        <v>6.7999999999999989</v>
      </c>
      <c r="U121" s="410">
        <v>20.9</v>
      </c>
      <c r="V121" s="98">
        <v>5.9</v>
      </c>
      <c r="W121" s="98">
        <v>5.0999999999999996</v>
      </c>
      <c r="X121" s="98">
        <v>5.8</v>
      </c>
      <c r="Y121" s="99">
        <f>Z121-SUM(V121,W121,X121)</f>
        <v>1.1999999999999993</v>
      </c>
      <c r="Z121" s="410">
        <v>18</v>
      </c>
      <c r="AA121" s="63"/>
      <c r="AB121" s="63"/>
      <c r="AC121" s="63"/>
      <c r="AD121" s="99">
        <f t="shared" si="112"/>
        <v>0</v>
      </c>
      <c r="AE121" s="413"/>
      <c r="AF121" s="63"/>
      <c r="AG121" s="63"/>
      <c r="AH121" s="63"/>
      <c r="AI121" s="63"/>
      <c r="AJ121" s="413"/>
      <c r="AK121" s="63"/>
      <c r="AL121" s="63"/>
      <c r="AM121" s="63"/>
      <c r="AN121" s="99">
        <f>AO121-SUM(AK121,AL121,AM121)</f>
        <v>22.7</v>
      </c>
      <c r="AO121" s="410">
        <v>22.7</v>
      </c>
      <c r="AP121" s="98">
        <v>3.6</v>
      </c>
      <c r="AQ121" s="63"/>
      <c r="AR121" s="63"/>
      <c r="AS121" s="99">
        <f>AT121-SUM(AP121,AQ121,AR121)</f>
        <v>-3.6</v>
      </c>
      <c r="AT121" s="413"/>
      <c r="AU121" s="63"/>
      <c r="AV121" s="98">
        <v>4.0999999999999996</v>
      </c>
      <c r="AW121" s="63"/>
      <c r="AX121" s="99">
        <f>AY121-SUM(AU121,AV121,AW121)</f>
        <v>3.9000000000000004</v>
      </c>
      <c r="AY121" s="410">
        <v>8</v>
      </c>
      <c r="AZ121" s="63"/>
      <c r="BA121" s="63"/>
      <c r="BB121" s="63"/>
      <c r="BC121" s="99">
        <f>BD121-SUM(AZ121,BA121,BB121)</f>
        <v>0</v>
      </c>
      <c r="BD121" s="413"/>
      <c r="BE121" s="63"/>
      <c r="BF121" s="63"/>
      <c r="BG121" s="63"/>
      <c r="BH121" s="63"/>
      <c r="BI121" s="413"/>
      <c r="BJ121" s="63"/>
      <c r="BK121" s="63"/>
      <c r="BL121" s="63"/>
      <c r="BM121" s="63"/>
      <c r="BN121" s="413"/>
      <c r="BO121" s="63"/>
      <c r="BP121" s="63"/>
      <c r="BQ121" s="63"/>
      <c r="BR121" s="63"/>
      <c r="BS121" s="425"/>
      <c r="BT121" s="63"/>
      <c r="BU121" s="63"/>
      <c r="BV121" s="63"/>
      <c r="BW121" s="63"/>
      <c r="BX121" s="413"/>
      <c r="BY121" s="63"/>
      <c r="BZ121" s="63"/>
      <c r="CA121" s="63"/>
      <c r="CB121" s="63"/>
      <c r="CC121" s="413"/>
      <c r="CD121" s="413"/>
      <c r="CE121" s="413"/>
      <c r="CF121" s="413"/>
      <c r="CG121" s="99"/>
    </row>
    <row r="122" spans="1:85" ht="14.45" customHeight="1" x14ac:dyDescent="0.25">
      <c r="A122" s="125" t="s">
        <v>261</v>
      </c>
      <c r="B122" s="97"/>
      <c r="C122" s="413"/>
      <c r="D122" s="413"/>
      <c r="E122" s="410">
        <v>7.4</v>
      </c>
      <c r="F122" s="413"/>
      <c r="G122" s="63"/>
      <c r="H122" s="63"/>
      <c r="I122" s="63"/>
      <c r="J122" s="63"/>
      <c r="K122" s="410">
        <v>4</v>
      </c>
      <c r="L122" s="98">
        <v>1.9</v>
      </c>
      <c r="M122" s="98">
        <v>2.2999999999999998</v>
      </c>
      <c r="N122" s="98">
        <v>2.7</v>
      </c>
      <c r="O122" s="99">
        <f t="shared" si="110"/>
        <v>2.8</v>
      </c>
      <c r="P122" s="410">
        <v>9.6999999999999993</v>
      </c>
      <c r="Q122" s="63"/>
      <c r="R122" s="63"/>
      <c r="S122" s="63"/>
      <c r="T122" s="63"/>
      <c r="U122" s="413"/>
      <c r="V122" s="63"/>
      <c r="W122" s="63"/>
      <c r="X122" s="63"/>
      <c r="Y122" s="63"/>
      <c r="Z122" s="413"/>
      <c r="AA122" s="98">
        <v>-4</v>
      </c>
      <c r="AB122" s="98">
        <v>-4.2</v>
      </c>
      <c r="AC122" s="63"/>
      <c r="AD122" s="99">
        <f t="shared" si="112"/>
        <v>8.1999999999999993</v>
      </c>
      <c r="AE122" s="413"/>
      <c r="AF122" s="63"/>
      <c r="AG122" s="63"/>
      <c r="AH122" s="63"/>
      <c r="AI122" s="63"/>
      <c r="AJ122" s="413"/>
      <c r="AK122" s="63"/>
      <c r="AL122" s="63"/>
      <c r="AM122" s="63"/>
      <c r="AN122" s="63"/>
      <c r="AO122" s="413"/>
      <c r="AP122" s="63"/>
      <c r="AQ122" s="63"/>
      <c r="AR122" s="63"/>
      <c r="AS122" s="63"/>
      <c r="AT122" s="413"/>
      <c r="AU122" s="63"/>
      <c r="AV122" s="63"/>
      <c r="AW122" s="63"/>
      <c r="AX122" s="63"/>
      <c r="AY122" s="413"/>
      <c r="AZ122" s="63"/>
      <c r="BA122" s="63"/>
      <c r="BB122" s="63"/>
      <c r="BC122" s="63"/>
      <c r="BD122" s="413"/>
      <c r="BE122" s="63"/>
      <c r="BF122" s="63"/>
      <c r="BG122" s="63"/>
      <c r="BH122" s="63"/>
      <c r="BI122" s="413"/>
      <c r="BJ122" s="98">
        <v>-15</v>
      </c>
      <c r="BK122" s="63"/>
      <c r="BL122" s="63"/>
      <c r="BM122" s="63"/>
      <c r="BN122" s="413"/>
      <c r="BO122" s="63"/>
      <c r="BP122" s="63"/>
      <c r="BQ122" s="63"/>
      <c r="BR122" s="63"/>
      <c r="BS122" s="425"/>
      <c r="BT122" s="63"/>
      <c r="BU122" s="63"/>
      <c r="BV122" s="63"/>
      <c r="BW122" s="63"/>
      <c r="BX122" s="413"/>
      <c r="BY122" s="63"/>
      <c r="BZ122" s="63"/>
      <c r="CA122" s="63"/>
      <c r="CB122" s="63"/>
      <c r="CC122" s="413"/>
      <c r="CD122" s="413"/>
      <c r="CE122" s="413"/>
      <c r="CF122" s="413"/>
      <c r="CG122" s="99"/>
    </row>
    <row r="123" spans="1:85" ht="14.45" customHeight="1" x14ac:dyDescent="0.25">
      <c r="A123" s="125" t="s">
        <v>262</v>
      </c>
      <c r="B123" s="97"/>
      <c r="C123" s="413"/>
      <c r="D123" s="410">
        <v>-0.9</v>
      </c>
      <c r="E123" s="410">
        <v>0.9</v>
      </c>
      <c r="F123" s="413"/>
      <c r="G123" s="63"/>
      <c r="H123" s="63"/>
      <c r="I123" s="63"/>
      <c r="J123" s="63"/>
      <c r="K123" s="413"/>
      <c r="L123" s="63"/>
      <c r="M123" s="63"/>
      <c r="N123" s="63"/>
      <c r="O123" s="63"/>
      <c r="P123" s="413"/>
      <c r="Q123" s="63"/>
      <c r="R123" s="63"/>
      <c r="S123" s="63"/>
      <c r="T123" s="63"/>
      <c r="U123" s="413"/>
      <c r="V123" s="63"/>
      <c r="W123" s="63"/>
      <c r="X123" s="63"/>
      <c r="Y123" s="63"/>
      <c r="Z123" s="413"/>
      <c r="AA123" s="63"/>
      <c r="AB123" s="63"/>
      <c r="AC123" s="63"/>
      <c r="AD123" s="99">
        <f t="shared" si="112"/>
        <v>0</v>
      </c>
      <c r="AE123" s="413"/>
      <c r="AF123" s="63"/>
      <c r="AG123" s="63"/>
      <c r="AH123" s="63"/>
      <c r="AI123" s="63"/>
      <c r="AJ123" s="413"/>
      <c r="AK123" s="63"/>
      <c r="AL123" s="63"/>
      <c r="AM123" s="63"/>
      <c r="AN123" s="63"/>
      <c r="AO123" s="413"/>
      <c r="AP123" s="63"/>
      <c r="AQ123" s="63"/>
      <c r="AR123" s="63"/>
      <c r="AS123" s="63"/>
      <c r="AT123" s="413"/>
      <c r="AU123" s="63"/>
      <c r="AV123" s="63"/>
      <c r="AW123" s="63"/>
      <c r="AX123" s="63"/>
      <c r="AY123" s="413"/>
      <c r="AZ123" s="63"/>
      <c r="BA123" s="63"/>
      <c r="BB123" s="63"/>
      <c r="BC123" s="63"/>
      <c r="BD123" s="413"/>
      <c r="BE123" s="63"/>
      <c r="BF123" s="63"/>
      <c r="BG123" s="63"/>
      <c r="BH123" s="63"/>
      <c r="BI123" s="413"/>
      <c r="BJ123" s="63"/>
      <c r="BK123" s="63"/>
      <c r="BL123" s="63"/>
      <c r="BM123" s="63"/>
      <c r="BN123" s="413"/>
      <c r="BO123" s="63"/>
      <c r="BP123" s="63"/>
      <c r="BQ123" s="63"/>
      <c r="BR123" s="63"/>
      <c r="BS123" s="425"/>
      <c r="BT123" s="63"/>
      <c r="BU123" s="63"/>
      <c r="BV123" s="63"/>
      <c r="BW123" s="63"/>
      <c r="BX123" s="413"/>
      <c r="BY123" s="63"/>
      <c r="BZ123" s="63"/>
      <c r="CA123" s="63"/>
      <c r="CB123" s="63"/>
      <c r="CC123" s="413"/>
      <c r="CD123" s="413"/>
      <c r="CE123" s="413"/>
      <c r="CF123" s="413"/>
      <c r="CG123" s="99"/>
    </row>
    <row r="124" spans="1:85" ht="14.45" customHeight="1" x14ac:dyDescent="0.25">
      <c r="A124" s="125" t="s">
        <v>263</v>
      </c>
      <c r="B124" s="97"/>
      <c r="C124" s="413"/>
      <c r="D124" s="410">
        <v>13.5</v>
      </c>
      <c r="E124" s="410">
        <v>-0.4</v>
      </c>
      <c r="F124" s="410">
        <v>-2.8</v>
      </c>
      <c r="G124" s="63"/>
      <c r="H124" s="63"/>
      <c r="I124" s="63"/>
      <c r="J124" s="63"/>
      <c r="K124" s="410">
        <v>1.4</v>
      </c>
      <c r="L124" s="98">
        <v>-1.4</v>
      </c>
      <c r="M124" s="98">
        <v>-0.3</v>
      </c>
      <c r="N124" s="63"/>
      <c r="O124" s="99">
        <f>P124-SUM(L124,M124,N124)</f>
        <v>9.9999999999999867E-2</v>
      </c>
      <c r="P124" s="410">
        <v>-1.6</v>
      </c>
      <c r="Q124" s="63"/>
      <c r="R124" s="98">
        <v>0.9</v>
      </c>
      <c r="S124" s="98">
        <v>2.1</v>
      </c>
      <c r="T124" s="99">
        <f>U124-SUM(Q124,R124,S124)</f>
        <v>1.0999999999999996</v>
      </c>
      <c r="U124" s="410">
        <v>4.0999999999999996</v>
      </c>
      <c r="V124" s="63"/>
      <c r="W124" s="98">
        <v>-1.9</v>
      </c>
      <c r="X124" s="63"/>
      <c r="Y124" s="99">
        <f>Z124-SUM(V124,W124,X124)</f>
        <v>-3.4</v>
      </c>
      <c r="Z124" s="410">
        <v>-5.3</v>
      </c>
      <c r="AA124" s="63"/>
      <c r="AB124" s="98">
        <v>2.1</v>
      </c>
      <c r="AC124" s="63"/>
      <c r="AD124" s="99">
        <f t="shared" si="112"/>
        <v>-2.1</v>
      </c>
      <c r="AE124" s="413"/>
      <c r="AF124" s="63"/>
      <c r="AG124" s="63"/>
      <c r="AH124" s="63"/>
      <c r="AI124" s="63"/>
      <c r="AJ124" s="413"/>
      <c r="AK124" s="63"/>
      <c r="AL124" s="63"/>
      <c r="AM124" s="63"/>
      <c r="AN124" s="99">
        <f>AO124-SUM(AK124,AL124,AM124)</f>
        <v>0</v>
      </c>
      <c r="AO124" s="413"/>
      <c r="AP124" s="63"/>
      <c r="AQ124" s="98">
        <v>-6.1</v>
      </c>
      <c r="AR124" s="63"/>
      <c r="AS124" s="99">
        <f>AT124-SUM(AP124,AQ124,AR124)</f>
        <v>6.1</v>
      </c>
      <c r="AT124" s="413"/>
      <c r="AU124" s="63"/>
      <c r="AV124" s="63"/>
      <c r="AW124" s="63"/>
      <c r="AX124" s="99">
        <f>AY124-SUM(AU124,AV124,AW124)</f>
        <v>0</v>
      </c>
      <c r="AY124" s="413"/>
      <c r="AZ124" s="63"/>
      <c r="BA124" s="63"/>
      <c r="BB124" s="63"/>
      <c r="BC124" s="99">
        <f>BD124-SUM(AZ124,BA124,BB124)</f>
        <v>0</v>
      </c>
      <c r="BD124" s="413"/>
      <c r="BE124" s="63"/>
      <c r="BF124" s="63"/>
      <c r="BG124" s="63"/>
      <c r="BH124" s="63"/>
      <c r="BI124" s="413"/>
      <c r="BJ124" s="63"/>
      <c r="BK124" s="63"/>
      <c r="BL124" s="63"/>
      <c r="BM124" s="63"/>
      <c r="BN124" s="413"/>
      <c r="BO124" s="63"/>
      <c r="BP124" s="63"/>
      <c r="BQ124" s="63"/>
      <c r="BR124" s="63"/>
      <c r="BS124" s="425"/>
      <c r="BT124" s="63"/>
      <c r="BU124" s="63"/>
      <c r="BV124" s="63"/>
      <c r="BW124" s="63"/>
      <c r="BX124" s="413"/>
      <c r="BY124" s="63"/>
      <c r="BZ124" s="63"/>
      <c r="CA124" s="63"/>
      <c r="CB124" s="63"/>
      <c r="CC124" s="413"/>
      <c r="CD124" s="413"/>
      <c r="CE124" s="413"/>
      <c r="CF124" s="413"/>
      <c r="CG124" s="99"/>
    </row>
    <row r="125" spans="1:85" ht="14.45" customHeight="1" x14ac:dyDescent="0.25">
      <c r="A125" s="125" t="s">
        <v>264</v>
      </c>
      <c r="B125" s="97"/>
      <c r="C125" s="413"/>
      <c r="D125" s="413"/>
      <c r="E125" s="413"/>
      <c r="F125" s="413"/>
      <c r="G125" s="63"/>
      <c r="H125" s="63"/>
      <c r="I125" s="63"/>
      <c r="J125" s="63"/>
      <c r="K125" s="413"/>
      <c r="L125" s="63"/>
      <c r="M125" s="63"/>
      <c r="N125" s="63"/>
      <c r="O125" s="63"/>
      <c r="P125" s="413"/>
      <c r="Q125" s="63"/>
      <c r="R125" s="63"/>
      <c r="S125" s="63"/>
      <c r="T125" s="63"/>
      <c r="U125" s="413"/>
      <c r="V125" s="63"/>
      <c r="W125" s="63"/>
      <c r="X125" s="63"/>
      <c r="Y125" s="63"/>
      <c r="Z125" s="413"/>
      <c r="AA125" s="63"/>
      <c r="AB125" s="63"/>
      <c r="AC125" s="63"/>
      <c r="AD125" s="63"/>
      <c r="AE125" s="413"/>
      <c r="AF125" s="63"/>
      <c r="AG125" s="63"/>
      <c r="AH125" s="63"/>
      <c r="AI125" s="63"/>
      <c r="AJ125" s="413"/>
      <c r="AK125" s="63"/>
      <c r="AL125" s="63"/>
      <c r="AM125" s="63"/>
      <c r="AN125" s="63"/>
      <c r="AO125" s="413"/>
      <c r="AP125" s="63"/>
      <c r="AQ125" s="63"/>
      <c r="AR125" s="63"/>
      <c r="AS125" s="63"/>
      <c r="AT125" s="413"/>
      <c r="AU125" s="63"/>
      <c r="AV125" s="63"/>
      <c r="AW125" s="63"/>
      <c r="AX125" s="63"/>
      <c r="AY125" s="413"/>
      <c r="AZ125" s="63"/>
      <c r="BA125" s="63"/>
      <c r="BB125" s="63"/>
      <c r="BC125" s="63"/>
      <c r="BD125" s="413"/>
      <c r="BE125" s="63"/>
      <c r="BF125" s="63"/>
      <c r="BG125" s="63"/>
      <c r="BH125" s="63"/>
      <c r="BI125" s="413"/>
      <c r="BJ125" s="63"/>
      <c r="BK125" s="63"/>
      <c r="BL125" s="63"/>
      <c r="BM125" s="63"/>
      <c r="BN125" s="413"/>
      <c r="BO125" s="63"/>
      <c r="BP125" s="63"/>
      <c r="BQ125" s="63"/>
      <c r="BR125" s="63"/>
      <c r="BS125" s="425"/>
      <c r="BT125" s="63"/>
      <c r="BU125" s="63"/>
      <c r="BV125" s="63"/>
      <c r="BW125" s="63"/>
      <c r="BX125" s="413"/>
      <c r="BY125" s="63"/>
      <c r="BZ125" s="63"/>
      <c r="CA125" s="63"/>
      <c r="CB125" s="63"/>
      <c r="CC125" s="413"/>
      <c r="CD125" s="413"/>
      <c r="CE125" s="413"/>
      <c r="CF125" s="413"/>
      <c r="CG125" s="99"/>
    </row>
    <row r="126" spans="1:85" ht="14.45" customHeight="1" x14ac:dyDescent="0.25">
      <c r="A126" s="125" t="s">
        <v>249</v>
      </c>
      <c r="B126" s="97"/>
      <c r="C126" s="413"/>
      <c r="D126" s="410">
        <v>9</v>
      </c>
      <c r="E126" s="410">
        <v>4.0999999999999996</v>
      </c>
      <c r="F126" s="410">
        <v>-1.9</v>
      </c>
      <c r="G126" s="63"/>
      <c r="H126" s="63"/>
      <c r="I126" s="63"/>
      <c r="J126" s="63"/>
      <c r="K126" s="410">
        <v>3.2</v>
      </c>
      <c r="L126" s="98">
        <v>0.3</v>
      </c>
      <c r="M126" s="98">
        <v>-0.3</v>
      </c>
      <c r="N126" s="98">
        <v>1.2</v>
      </c>
      <c r="O126" s="99">
        <f>P126-SUM(L126,M126,N126)</f>
        <v>1.9000000000000001</v>
      </c>
      <c r="P126" s="410">
        <v>3.1</v>
      </c>
      <c r="Q126" s="98">
        <v>0.7</v>
      </c>
      <c r="R126" s="98">
        <v>1.7</v>
      </c>
      <c r="S126" s="98">
        <v>1.5</v>
      </c>
      <c r="T126" s="99">
        <f>U126-SUM(Q126,R126,S126)</f>
        <v>-2.0999999999999996</v>
      </c>
      <c r="U126" s="410">
        <v>1.8</v>
      </c>
      <c r="V126" s="98">
        <v>2.8</v>
      </c>
      <c r="W126" s="98">
        <v>-0.3</v>
      </c>
      <c r="X126" s="98">
        <v>-6.7</v>
      </c>
      <c r="Y126" s="99">
        <f>Z126-SUM(V126,W126,X126)</f>
        <v>7.7</v>
      </c>
      <c r="Z126" s="410">
        <v>3.5</v>
      </c>
      <c r="AA126" s="98">
        <v>1.9</v>
      </c>
      <c r="AB126" s="98">
        <v>4.5999999999999996</v>
      </c>
      <c r="AC126" s="98">
        <v>3.1</v>
      </c>
      <c r="AD126" s="99">
        <f>AE126-SUM(AA126,AB126,AC126)</f>
        <v>1.2000000000000011</v>
      </c>
      <c r="AE126" s="410">
        <v>10.8</v>
      </c>
      <c r="AF126" s="63"/>
      <c r="AG126" s="63"/>
      <c r="AH126" s="63"/>
      <c r="AI126" s="63"/>
      <c r="AJ126" s="413"/>
      <c r="AK126" s="63"/>
      <c r="AL126" s="98">
        <v>7</v>
      </c>
      <c r="AM126" s="98">
        <v>2.6</v>
      </c>
      <c r="AN126" s="99">
        <f>AO126-SUM(AK126,AL126,AM126)</f>
        <v>-24.5</v>
      </c>
      <c r="AO126" s="410">
        <v>-14.9</v>
      </c>
      <c r="AP126" s="98">
        <v>6.1</v>
      </c>
      <c r="AQ126" s="98">
        <v>1.9</v>
      </c>
      <c r="AR126" s="98">
        <v>6.2</v>
      </c>
      <c r="AS126" s="99">
        <f>AT126-SUM(AP126,AQ126,AR126)</f>
        <v>-16.8</v>
      </c>
      <c r="AT126" s="410">
        <v>-2.6</v>
      </c>
      <c r="AU126" s="63"/>
      <c r="AV126" s="63"/>
      <c r="AW126" s="98">
        <v>7.4</v>
      </c>
      <c r="AX126" s="99">
        <f>AY126-SUM(AU126,AV126,AW126)</f>
        <v>-7.4</v>
      </c>
      <c r="AY126" s="413"/>
      <c r="AZ126" s="98">
        <v>-7.4</v>
      </c>
      <c r="BA126" s="98">
        <v>5.0999999999999996</v>
      </c>
      <c r="BB126" s="98">
        <v>-26</v>
      </c>
      <c r="BC126" s="99">
        <f>BD126-SUM(AZ126,BA126,BB126)</f>
        <v>-22.223999999999887</v>
      </c>
      <c r="BD126" s="413">
        <f>BD127-SUM(BD109:BD125)</f>
        <v>-50.523999999999887</v>
      </c>
      <c r="BE126" s="63">
        <f>BE127-SUM(BE109:BE125)</f>
        <v>0.75399999999990541</v>
      </c>
      <c r="BF126" s="63">
        <f>BF127-SUM(BF109:BF125)</f>
        <v>-27.300999999999931</v>
      </c>
      <c r="BG126" s="99">
        <f>BG127-SUM(BG109:BG125)</f>
        <v>8.3959999999999582</v>
      </c>
      <c r="BH126" s="99">
        <f>BI126-SUM(BE126,BF126,BG126)</f>
        <v>10.294999999999845</v>
      </c>
      <c r="BI126" s="413">
        <f t="shared" ref="BI126:BS126" si="113">BI127-SUM(BI109:BI125)</f>
        <v>-7.8560000000002219</v>
      </c>
      <c r="BJ126" s="63">
        <f t="shared" si="113"/>
        <v>3.5310000000000628</v>
      </c>
      <c r="BK126" s="63">
        <f t="shared" si="113"/>
        <v>-18.022000000000162</v>
      </c>
      <c r="BL126" s="99">
        <f t="shared" si="113"/>
        <v>-13.261999999999944</v>
      </c>
      <c r="BM126" s="99">
        <f t="shared" si="113"/>
        <v>34.143000000000029</v>
      </c>
      <c r="BN126" s="413">
        <f t="shared" si="113"/>
        <v>-28.609999999999673</v>
      </c>
      <c r="BO126" s="63">
        <f t="shared" si="113"/>
        <v>1.80600000000004</v>
      </c>
      <c r="BP126" s="63">
        <f t="shared" si="113"/>
        <v>-1.2100000000000364</v>
      </c>
      <c r="BQ126" s="99">
        <f t="shared" si="113"/>
        <v>12.184999999999945</v>
      </c>
      <c r="BR126" s="99">
        <f t="shared" si="113"/>
        <v>26.375000000000455</v>
      </c>
      <c r="BS126" s="425">
        <f t="shared" si="113"/>
        <v>74.155999999999949</v>
      </c>
      <c r="BT126" s="63"/>
      <c r="BU126" s="63"/>
      <c r="BV126" s="63"/>
      <c r="BW126" s="63"/>
      <c r="BX126" s="413"/>
      <c r="BY126" s="63"/>
      <c r="BZ126" s="63"/>
      <c r="CA126" s="63"/>
      <c r="CB126" s="63"/>
      <c r="CC126" s="413"/>
      <c r="CD126" s="413"/>
      <c r="CE126" s="413"/>
      <c r="CF126" s="413"/>
      <c r="CG126" s="99"/>
    </row>
    <row r="127" spans="1:85" ht="14.45" customHeight="1" x14ac:dyDescent="0.25">
      <c r="A127" s="110" t="s">
        <v>265</v>
      </c>
      <c r="B127" s="105"/>
      <c r="C127" s="416">
        <f t="shared" ref="C127:AH127" si="114">C275</f>
        <v>822.99199999999996</v>
      </c>
      <c r="D127" s="416">
        <f t="shared" si="114"/>
        <v>873.78300000000002</v>
      </c>
      <c r="E127" s="416">
        <f t="shared" si="114"/>
        <v>931.99599999999998</v>
      </c>
      <c r="F127" s="416">
        <f t="shared" si="114"/>
        <v>960.12400000000002</v>
      </c>
      <c r="G127" s="106">
        <f t="shared" si="114"/>
        <v>229.852</v>
      </c>
      <c r="H127" s="106">
        <f t="shared" si="114"/>
        <v>258.66399999999999</v>
      </c>
      <c r="I127" s="106">
        <f t="shared" si="114"/>
        <v>258.35199999999998</v>
      </c>
      <c r="J127" s="106">
        <f t="shared" si="114"/>
        <v>235.82300000000009</v>
      </c>
      <c r="K127" s="416">
        <f t="shared" si="114"/>
        <v>982.69100000000003</v>
      </c>
      <c r="L127" s="106">
        <f t="shared" si="114"/>
        <v>232.249</v>
      </c>
      <c r="M127" s="106">
        <f t="shared" si="114"/>
        <v>273.95299999999997</v>
      </c>
      <c r="N127" s="106">
        <f t="shared" si="114"/>
        <v>272.73399999999998</v>
      </c>
      <c r="O127" s="106">
        <f t="shared" si="114"/>
        <v>262.19400000000013</v>
      </c>
      <c r="P127" s="416">
        <f t="shared" si="114"/>
        <v>1041.1300000000001</v>
      </c>
      <c r="Q127" s="106">
        <f t="shared" si="114"/>
        <v>268.88</v>
      </c>
      <c r="R127" s="106">
        <f t="shared" si="114"/>
        <v>377.36599999999999</v>
      </c>
      <c r="S127" s="106">
        <f t="shared" si="114"/>
        <v>380.27</v>
      </c>
      <c r="T127" s="106">
        <f t="shared" si="114"/>
        <v>378.90999999999985</v>
      </c>
      <c r="U127" s="416">
        <f t="shared" si="114"/>
        <v>1405.4259999999999</v>
      </c>
      <c r="V127" s="106">
        <f t="shared" si="114"/>
        <v>381.55799999999999</v>
      </c>
      <c r="W127" s="106">
        <f t="shared" si="114"/>
        <v>520.67700000000002</v>
      </c>
      <c r="X127" s="106">
        <f t="shared" si="114"/>
        <v>521.83799999999997</v>
      </c>
      <c r="Y127" s="106">
        <f t="shared" si="114"/>
        <v>516.63300000000004</v>
      </c>
      <c r="Z127" s="416">
        <f t="shared" si="114"/>
        <v>1940.7059999999999</v>
      </c>
      <c r="AA127" s="106">
        <f t="shared" si="114"/>
        <v>533.68100000000004</v>
      </c>
      <c r="AB127" s="106">
        <f t="shared" si="114"/>
        <v>754.11300000000006</v>
      </c>
      <c r="AC127" s="106">
        <f t="shared" si="114"/>
        <v>752.202</v>
      </c>
      <c r="AD127" s="106">
        <f t="shared" si="114"/>
        <v>742.72499999999991</v>
      </c>
      <c r="AE127" s="416">
        <f t="shared" si="114"/>
        <v>2782.721</v>
      </c>
      <c r="AF127" s="106">
        <f t="shared" si="114"/>
        <v>707.11599999999999</v>
      </c>
      <c r="AG127" s="106">
        <f t="shared" si="114"/>
        <v>815.29499999999996</v>
      </c>
      <c r="AH127" s="106">
        <f t="shared" si="114"/>
        <v>791.31700000000001</v>
      </c>
      <c r="AI127" s="106">
        <f t="shared" ref="AI127:BS127" si="115">AI275</f>
        <v>755.92399999999998</v>
      </c>
      <c r="AJ127" s="416">
        <f t="shared" si="115"/>
        <v>3069.652</v>
      </c>
      <c r="AK127" s="106">
        <f t="shared" si="115"/>
        <v>713.60400000000004</v>
      </c>
      <c r="AL127" s="106">
        <f t="shared" si="115"/>
        <v>837.88</v>
      </c>
      <c r="AM127" s="106">
        <f t="shared" si="115"/>
        <v>838.80499999999995</v>
      </c>
      <c r="AN127" s="106">
        <f t="shared" si="115"/>
        <v>765.75800000000027</v>
      </c>
      <c r="AO127" s="416">
        <f t="shared" si="115"/>
        <v>3156.047</v>
      </c>
      <c r="AP127" s="106">
        <f t="shared" si="115"/>
        <v>767.726</v>
      </c>
      <c r="AQ127" s="106">
        <f t="shared" si="115"/>
        <v>797.91399999999999</v>
      </c>
      <c r="AR127" s="106">
        <f t="shared" si="115"/>
        <v>856.04600000000005</v>
      </c>
      <c r="AS127" s="106">
        <f t="shared" si="115"/>
        <v>816.76200000000017</v>
      </c>
      <c r="AT127" s="416">
        <f t="shared" si="115"/>
        <v>3238.4479999999999</v>
      </c>
      <c r="AU127" s="106">
        <f t="shared" si="115"/>
        <v>821.154</v>
      </c>
      <c r="AV127" s="106">
        <f t="shared" si="115"/>
        <v>938.14599999999996</v>
      </c>
      <c r="AW127" s="106">
        <f t="shared" si="115"/>
        <v>939.72</v>
      </c>
      <c r="AX127" s="106">
        <f t="shared" si="115"/>
        <v>909.50700000000006</v>
      </c>
      <c r="AY127" s="416">
        <f t="shared" si="115"/>
        <v>3608.527</v>
      </c>
      <c r="AZ127" s="106">
        <f t="shared" si="115"/>
        <v>896.78200000000004</v>
      </c>
      <c r="BA127" s="106">
        <f t="shared" si="115"/>
        <v>1044.556</v>
      </c>
      <c r="BB127" s="106">
        <f t="shared" si="115"/>
        <v>1007.482</v>
      </c>
      <c r="BC127" s="106">
        <f t="shared" si="115"/>
        <v>974.18299999999999</v>
      </c>
      <c r="BD127" s="416">
        <f t="shared" si="115"/>
        <v>3923.0030000000002</v>
      </c>
      <c r="BE127" s="106">
        <f t="shared" si="115"/>
        <v>947.53599999999994</v>
      </c>
      <c r="BF127" s="106">
        <f t="shared" si="115"/>
        <v>1067.2550000000001</v>
      </c>
      <c r="BG127" s="106">
        <f t="shared" si="115"/>
        <v>1050.8779999999999</v>
      </c>
      <c r="BH127" s="106">
        <f t="shared" si="115"/>
        <v>989.47800000000007</v>
      </c>
      <c r="BI127" s="416">
        <f t="shared" si="115"/>
        <v>4055.1469999999999</v>
      </c>
      <c r="BJ127" s="106">
        <f t="shared" si="115"/>
        <v>951.06700000000001</v>
      </c>
      <c r="BK127" s="106">
        <f t="shared" si="115"/>
        <v>1079.2329999999999</v>
      </c>
      <c r="BL127" s="106">
        <f t="shared" si="115"/>
        <v>1067.616</v>
      </c>
      <c r="BM127" s="106">
        <f t="shared" si="115"/>
        <v>1048.6210000000001</v>
      </c>
      <c r="BN127" s="416">
        <f t="shared" si="115"/>
        <v>4146.5370000000003</v>
      </c>
      <c r="BO127" s="106">
        <f t="shared" si="115"/>
        <v>952.87300000000005</v>
      </c>
      <c r="BP127" s="106">
        <f t="shared" si="115"/>
        <v>1113.0229999999999</v>
      </c>
      <c r="BQ127" s="106">
        <f t="shared" si="115"/>
        <v>1139.8009999999999</v>
      </c>
      <c r="BR127" s="106">
        <f t="shared" si="115"/>
        <v>1149.9960000000005</v>
      </c>
      <c r="BS127" s="417">
        <f t="shared" si="115"/>
        <v>4355.6930000000002</v>
      </c>
      <c r="BT127" s="159"/>
      <c r="BU127" s="159"/>
      <c r="BV127" s="159"/>
      <c r="BW127" s="159"/>
      <c r="BX127" s="418"/>
      <c r="BY127" s="159"/>
      <c r="BZ127" s="159"/>
      <c r="CA127" s="159"/>
      <c r="CB127" s="159"/>
      <c r="CC127" s="418"/>
      <c r="CD127" s="418"/>
      <c r="CE127" s="418"/>
      <c r="CF127" s="418"/>
      <c r="CG127" s="109"/>
    </row>
    <row r="128" spans="1:85" ht="14.45" customHeight="1" x14ac:dyDescent="0.25">
      <c r="A128" s="162"/>
      <c r="B128" s="97"/>
      <c r="C128" s="413"/>
      <c r="D128" s="413"/>
      <c r="E128" s="413"/>
      <c r="F128" s="413"/>
      <c r="G128" s="63"/>
      <c r="H128" s="63"/>
      <c r="I128" s="63"/>
      <c r="J128" s="63"/>
      <c r="K128" s="413"/>
      <c r="L128" s="63"/>
      <c r="M128" s="63"/>
      <c r="N128" s="63"/>
      <c r="O128" s="63"/>
      <c r="P128" s="413"/>
      <c r="Q128" s="63"/>
      <c r="R128" s="63"/>
      <c r="S128" s="63"/>
      <c r="T128" s="63"/>
      <c r="U128" s="413"/>
      <c r="V128" s="63"/>
      <c r="W128" s="63"/>
      <c r="X128" s="63"/>
      <c r="Y128" s="63"/>
      <c r="Z128" s="413"/>
      <c r="AA128" s="63"/>
      <c r="AB128" s="63"/>
      <c r="AC128" s="63"/>
      <c r="AD128" s="63"/>
      <c r="AE128" s="413"/>
      <c r="AF128" s="63"/>
      <c r="AG128" s="63"/>
      <c r="AH128" s="63"/>
      <c r="AI128" s="63"/>
      <c r="AJ128" s="413"/>
      <c r="AK128" s="63"/>
      <c r="AL128" s="63"/>
      <c r="AM128" s="63"/>
      <c r="AN128" s="63"/>
      <c r="AO128" s="413"/>
      <c r="AP128" s="63"/>
      <c r="AQ128" s="63"/>
      <c r="AR128" s="63"/>
      <c r="AS128" s="63"/>
      <c r="AT128" s="413"/>
      <c r="AU128" s="63"/>
      <c r="AV128" s="63"/>
      <c r="AW128" s="63"/>
      <c r="AX128" s="63"/>
      <c r="AY128" s="413"/>
      <c r="AZ128" s="63"/>
      <c r="BA128" s="63"/>
      <c r="BB128" s="63"/>
      <c r="BC128" s="63"/>
      <c r="BD128" s="413"/>
      <c r="BE128" s="63"/>
      <c r="BF128" s="63"/>
      <c r="BG128" s="63"/>
      <c r="BH128" s="63"/>
      <c r="BI128" s="413"/>
      <c r="BJ128" s="63"/>
      <c r="BK128" s="63"/>
      <c r="BL128" s="63"/>
      <c r="BM128" s="63"/>
      <c r="BN128" s="413"/>
      <c r="BO128" s="63"/>
      <c r="BP128" s="63"/>
      <c r="BQ128" s="63"/>
      <c r="BR128" s="63"/>
      <c r="BS128" s="425"/>
      <c r="BT128" s="63"/>
      <c r="BU128" s="63"/>
      <c r="BV128" s="63"/>
      <c r="BW128" s="63"/>
      <c r="BX128" s="413"/>
      <c r="BY128" s="63"/>
      <c r="BZ128" s="63"/>
      <c r="CA128" s="63"/>
      <c r="CB128" s="63"/>
      <c r="CC128" s="413"/>
      <c r="CD128" s="413"/>
      <c r="CE128" s="413"/>
      <c r="CF128" s="413"/>
      <c r="CG128" s="99"/>
    </row>
    <row r="129" spans="1:85" ht="14.45" customHeight="1" x14ac:dyDescent="0.25">
      <c r="A129" s="95" t="s">
        <v>266</v>
      </c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409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109"/>
    </row>
    <row r="130" spans="1:85" ht="14.45" hidden="1" customHeight="1" x14ac:dyDescent="0.25">
      <c r="A130" s="135" t="s">
        <v>267</v>
      </c>
      <c r="B130" s="108"/>
      <c r="C130" s="423"/>
      <c r="D130" s="421">
        <f>C164</f>
        <v>525.49099999999999</v>
      </c>
      <c r="E130" s="421">
        <f>D164</f>
        <v>544.49800000000005</v>
      </c>
      <c r="F130" s="421">
        <f>E164</f>
        <v>541.71299999999997</v>
      </c>
      <c r="G130" s="112"/>
      <c r="H130" s="112"/>
      <c r="I130" s="112"/>
      <c r="J130" s="112"/>
      <c r="K130" s="421">
        <f t="shared" ref="K130:AP130" si="116">F164</f>
        <v>565.62300000000005</v>
      </c>
      <c r="L130" s="109">
        <f t="shared" si="116"/>
        <v>138.21100000000001</v>
      </c>
      <c r="M130" s="109">
        <f t="shared" si="116"/>
        <v>143.416</v>
      </c>
      <c r="N130" s="109">
        <f t="shared" si="116"/>
        <v>145.91200000000001</v>
      </c>
      <c r="O130" s="109">
        <f t="shared" si="116"/>
        <v>157.45400000000004</v>
      </c>
      <c r="P130" s="421">
        <f t="shared" si="116"/>
        <v>584.99300000000005</v>
      </c>
      <c r="Q130" s="109">
        <f t="shared" si="116"/>
        <v>144.21700000000001</v>
      </c>
      <c r="R130" s="109">
        <f t="shared" si="116"/>
        <v>154.256</v>
      </c>
      <c r="S130" s="109">
        <f t="shared" si="116"/>
        <v>156.49600000000001</v>
      </c>
      <c r="T130" s="109">
        <f t="shared" si="116"/>
        <v>164.30300000000008</v>
      </c>
      <c r="U130" s="421">
        <f t="shared" si="116"/>
        <v>619.27200000000005</v>
      </c>
      <c r="V130" s="109">
        <f t="shared" si="116"/>
        <v>167.471</v>
      </c>
      <c r="W130" s="109">
        <f t="shared" si="116"/>
        <v>199.001</v>
      </c>
      <c r="X130" s="109">
        <f t="shared" si="116"/>
        <v>210.851</v>
      </c>
      <c r="Y130" s="109">
        <f t="shared" si="116"/>
        <v>225.56500000000005</v>
      </c>
      <c r="Z130" s="421">
        <f t="shared" si="116"/>
        <v>802.88800000000003</v>
      </c>
      <c r="AA130" s="109">
        <f t="shared" si="116"/>
        <v>231.49700000000001</v>
      </c>
      <c r="AB130" s="109">
        <f t="shared" si="116"/>
        <v>264.971</v>
      </c>
      <c r="AC130" s="109">
        <f t="shared" si="116"/>
        <v>287.38900000000001</v>
      </c>
      <c r="AD130" s="109">
        <f t="shared" si="116"/>
        <v>304.00599999999997</v>
      </c>
      <c r="AE130" s="421">
        <f t="shared" si="116"/>
        <v>1087.8630000000001</v>
      </c>
      <c r="AF130" s="109">
        <f t="shared" si="116"/>
        <v>318.41300000000001</v>
      </c>
      <c r="AG130" s="109">
        <f t="shared" si="116"/>
        <v>367.86500000000001</v>
      </c>
      <c r="AH130" s="109">
        <f t="shared" si="116"/>
        <v>374.19400000000002</v>
      </c>
      <c r="AI130" s="109">
        <f t="shared" si="116"/>
        <v>384.29600000000005</v>
      </c>
      <c r="AJ130" s="421">
        <f t="shared" si="116"/>
        <v>1444.768</v>
      </c>
      <c r="AK130" s="109">
        <f t="shared" si="116"/>
        <v>376.63799999999998</v>
      </c>
      <c r="AL130" s="109">
        <f t="shared" si="116"/>
        <v>385.029</v>
      </c>
      <c r="AM130" s="109">
        <f t="shared" si="116"/>
        <v>368.31200000000001</v>
      </c>
      <c r="AN130" s="109">
        <f t="shared" si="116"/>
        <v>367.83100000000013</v>
      </c>
      <c r="AO130" s="421">
        <f t="shared" si="116"/>
        <v>1497.81</v>
      </c>
      <c r="AP130" s="109">
        <f t="shared" si="116"/>
        <v>369.154</v>
      </c>
      <c r="AQ130" s="109">
        <f t="shared" ref="AQ130:BS130" si="117">AL164</f>
        <v>368.565</v>
      </c>
      <c r="AR130" s="109">
        <f t="shared" si="117"/>
        <v>378.37799999999999</v>
      </c>
      <c r="AS130" s="109">
        <f t="shared" si="117"/>
        <v>373.65100000000007</v>
      </c>
      <c r="AT130" s="421">
        <f t="shared" si="117"/>
        <v>1489.748</v>
      </c>
      <c r="AU130" s="109">
        <f t="shared" si="117"/>
        <v>372.47399999999999</v>
      </c>
      <c r="AV130" s="109">
        <f t="shared" si="117"/>
        <v>346.18299999999999</v>
      </c>
      <c r="AW130" s="109">
        <f t="shared" si="117"/>
        <v>368.59399999999999</v>
      </c>
      <c r="AX130" s="109">
        <f t="shared" si="117"/>
        <v>368.28</v>
      </c>
      <c r="AY130" s="421">
        <f t="shared" si="117"/>
        <v>1455.5309999999999</v>
      </c>
      <c r="AZ130" s="109">
        <f t="shared" si="117"/>
        <v>354.51900000000001</v>
      </c>
      <c r="BA130" s="109">
        <f t="shared" si="117"/>
        <v>374.07900000000001</v>
      </c>
      <c r="BB130" s="109">
        <f t="shared" si="117"/>
        <v>380.68099999999998</v>
      </c>
      <c r="BC130" s="109">
        <f t="shared" si="117"/>
        <v>405.73700000000008</v>
      </c>
      <c r="BD130" s="421">
        <f t="shared" si="117"/>
        <v>1515.0160000000001</v>
      </c>
      <c r="BE130" s="109">
        <f t="shared" si="117"/>
        <v>376.59100000000001</v>
      </c>
      <c r="BF130" s="109">
        <f t="shared" si="117"/>
        <v>403.36599999999999</v>
      </c>
      <c r="BG130" s="109">
        <f t="shared" si="117"/>
        <v>431.17700000000002</v>
      </c>
      <c r="BH130" s="109">
        <f t="shared" si="117"/>
        <v>425.77299999999991</v>
      </c>
      <c r="BI130" s="421">
        <f t="shared" si="117"/>
        <v>1636.9069999999999</v>
      </c>
      <c r="BJ130" s="109">
        <f t="shared" si="117"/>
        <v>418.05200000000002</v>
      </c>
      <c r="BK130" s="109">
        <f t="shared" si="117"/>
        <v>437.90699999999998</v>
      </c>
      <c r="BL130" s="109">
        <f t="shared" si="117"/>
        <v>445.29</v>
      </c>
      <c r="BM130" s="109">
        <f t="shared" si="117"/>
        <v>463.01099999999997</v>
      </c>
      <c r="BN130" s="421">
        <f t="shared" si="117"/>
        <v>1764.26</v>
      </c>
      <c r="BO130" s="109">
        <f t="shared" si="117"/>
        <v>425.15300000000002</v>
      </c>
      <c r="BP130" s="109">
        <f t="shared" si="117"/>
        <v>457.57</v>
      </c>
      <c r="BQ130" s="109">
        <f t="shared" si="117"/>
        <v>470.98099999999999</v>
      </c>
      <c r="BR130" s="109">
        <f t="shared" si="117"/>
        <v>479.125</v>
      </c>
      <c r="BS130" s="422">
        <f t="shared" si="117"/>
        <v>1832.829</v>
      </c>
      <c r="BT130" s="112"/>
      <c r="BU130" s="112"/>
      <c r="BV130" s="112"/>
      <c r="BW130" s="112"/>
      <c r="BX130" s="423"/>
      <c r="BY130" s="112"/>
      <c r="BZ130" s="112"/>
      <c r="CA130" s="112"/>
      <c r="CB130" s="112"/>
      <c r="CC130" s="423"/>
      <c r="CD130" s="423"/>
      <c r="CE130" s="423"/>
      <c r="CF130" s="423"/>
      <c r="CG130" s="109"/>
    </row>
    <row r="131" spans="1:85" ht="14.45" hidden="1" customHeight="1" x14ac:dyDescent="0.25">
      <c r="A131" s="125" t="s">
        <v>268</v>
      </c>
      <c r="B131" s="97"/>
      <c r="C131" s="413"/>
      <c r="D131" s="410">
        <v>-3.9</v>
      </c>
      <c r="E131" s="410">
        <v>0.2</v>
      </c>
      <c r="F131" s="410">
        <v>3.7</v>
      </c>
      <c r="G131" s="63"/>
      <c r="H131" s="63"/>
      <c r="I131" s="63"/>
      <c r="J131" s="63"/>
      <c r="K131" s="410">
        <v>1.5</v>
      </c>
      <c r="L131" s="63"/>
      <c r="M131" s="98">
        <v>0.3</v>
      </c>
      <c r="N131" s="63"/>
      <c r="O131" s="99">
        <f t="shared" ref="O131:O161" si="118">P131-SUM(L131,M131,N131)</f>
        <v>-0.3</v>
      </c>
      <c r="P131" s="413"/>
      <c r="Q131" s="98">
        <v>1.3</v>
      </c>
      <c r="R131" s="98">
        <v>3.4</v>
      </c>
      <c r="S131" s="98">
        <v>3.5</v>
      </c>
      <c r="T131" s="99">
        <f>U131-SUM(Q131,R131,S131)</f>
        <v>5.1000000000000014</v>
      </c>
      <c r="U131" s="410">
        <v>13.3</v>
      </c>
      <c r="V131" s="98">
        <v>4.5</v>
      </c>
      <c r="W131" s="98">
        <v>3.4</v>
      </c>
      <c r="X131" s="63"/>
      <c r="Y131" s="99">
        <f t="shared" ref="Y131:Y161" si="119">Z131-SUM(V131,W131,X131)</f>
        <v>10.200000000000001</v>
      </c>
      <c r="Z131" s="410">
        <v>18.100000000000001</v>
      </c>
      <c r="AA131" s="98">
        <v>8.3000000000000007</v>
      </c>
      <c r="AB131" s="98">
        <v>9.5</v>
      </c>
      <c r="AC131" s="98">
        <v>8.4</v>
      </c>
      <c r="AD131" s="99">
        <f t="shared" ref="AD131:AD161" si="120">AE131-SUM(AA131,AB131,AC131)</f>
        <v>6.3999999999999986</v>
      </c>
      <c r="AE131" s="410">
        <v>32.6</v>
      </c>
      <c r="AF131" s="63"/>
      <c r="AG131" s="63"/>
      <c r="AH131" s="63"/>
      <c r="AI131" s="63"/>
      <c r="AJ131" s="413"/>
      <c r="AK131" s="98">
        <v>3</v>
      </c>
      <c r="AL131" s="98">
        <v>-9.3000000000000007</v>
      </c>
      <c r="AM131" s="98">
        <v>12.1</v>
      </c>
      <c r="AN131" s="99">
        <f>AO131-SUM(AK131,AL131,AM131)</f>
        <v>16.200000000000003</v>
      </c>
      <c r="AO131" s="410">
        <v>22</v>
      </c>
      <c r="AP131" s="98">
        <v>4.3</v>
      </c>
      <c r="AQ131" s="98">
        <v>-13.1</v>
      </c>
      <c r="AR131" s="98">
        <v>-7.9</v>
      </c>
      <c r="AS131" s="99">
        <f>AT131-SUM(AP131,AQ131,AR131)</f>
        <v>6.3000000000000025</v>
      </c>
      <c r="AT131" s="410">
        <v>-10.4</v>
      </c>
      <c r="AU131" s="98">
        <v>-10.199999999999999</v>
      </c>
      <c r="AV131" s="98">
        <v>24.2</v>
      </c>
      <c r="AW131" s="98">
        <v>9.5</v>
      </c>
      <c r="AX131" s="99">
        <f>AY131-SUM(AU131,AV131,AW131)</f>
        <v>19.700000000000003</v>
      </c>
      <c r="AY131" s="410">
        <v>43.2</v>
      </c>
      <c r="AZ131" s="98">
        <v>20</v>
      </c>
      <c r="BA131" s="98">
        <v>15.2</v>
      </c>
      <c r="BB131" s="98">
        <v>31.5</v>
      </c>
      <c r="BC131" s="99">
        <f>BD131-SUM(AZ131,BA131,BB131)</f>
        <v>8.2999999999999972</v>
      </c>
      <c r="BD131" s="410">
        <v>75</v>
      </c>
      <c r="BE131" s="98">
        <v>13</v>
      </c>
      <c r="BF131" s="98">
        <v>14</v>
      </c>
      <c r="BG131" s="98">
        <v>10</v>
      </c>
      <c r="BH131" s="99">
        <f>BI131-SUM(BE131,BF131,BG131)</f>
        <v>35</v>
      </c>
      <c r="BI131" s="410">
        <v>72</v>
      </c>
      <c r="BJ131" s="63"/>
      <c r="BK131" s="63"/>
      <c r="BL131" s="63"/>
      <c r="BM131" s="63"/>
      <c r="BN131" s="410">
        <v>48</v>
      </c>
      <c r="BO131" s="63"/>
      <c r="BP131" s="63"/>
      <c r="BQ131" s="63"/>
      <c r="BR131" s="63"/>
      <c r="BS131" s="425"/>
      <c r="BT131" s="63"/>
      <c r="BU131" s="63"/>
      <c r="BV131" s="63"/>
      <c r="BW131" s="63"/>
      <c r="BX131" s="413"/>
      <c r="BY131" s="63"/>
      <c r="BZ131" s="63"/>
      <c r="CA131" s="63"/>
      <c r="CB131" s="63"/>
      <c r="CC131" s="413"/>
      <c r="CD131" s="413"/>
      <c r="CE131" s="413"/>
      <c r="CF131" s="413"/>
      <c r="CG131" s="99"/>
    </row>
    <row r="132" spans="1:85" ht="14.45" hidden="1" customHeight="1" x14ac:dyDescent="0.25">
      <c r="A132" s="125" t="s">
        <v>269</v>
      </c>
      <c r="B132" s="97"/>
      <c r="C132" s="413"/>
      <c r="D132" s="413"/>
      <c r="E132" s="410">
        <v>1.9</v>
      </c>
      <c r="F132" s="410">
        <v>8.6</v>
      </c>
      <c r="G132" s="63"/>
      <c r="H132" s="63"/>
      <c r="I132" s="63"/>
      <c r="J132" s="63"/>
      <c r="K132" s="410">
        <v>3.8</v>
      </c>
      <c r="L132" s="98">
        <v>1</v>
      </c>
      <c r="M132" s="98">
        <v>2.2999999999999998</v>
      </c>
      <c r="N132" s="98">
        <v>3.6</v>
      </c>
      <c r="O132" s="99">
        <f t="shared" si="118"/>
        <v>7</v>
      </c>
      <c r="P132" s="410">
        <v>13.9</v>
      </c>
      <c r="Q132" s="98">
        <v>11.5</v>
      </c>
      <c r="R132" s="98">
        <v>19.5</v>
      </c>
      <c r="S132" s="98">
        <v>21.7</v>
      </c>
      <c r="T132" s="99">
        <f>U132-SUM(Q132,R132,S132)</f>
        <v>28.799999999999997</v>
      </c>
      <c r="U132" s="410">
        <v>81.5</v>
      </c>
      <c r="V132" s="98">
        <v>27.3</v>
      </c>
      <c r="W132" s="98">
        <v>35.4</v>
      </c>
      <c r="X132" s="98">
        <v>39.6</v>
      </c>
      <c r="Y132" s="99">
        <f t="shared" si="119"/>
        <v>38.799999999999983</v>
      </c>
      <c r="Z132" s="410">
        <v>141.1</v>
      </c>
      <c r="AA132" s="98">
        <v>44</v>
      </c>
      <c r="AB132" s="98">
        <v>50.3</v>
      </c>
      <c r="AC132" s="98">
        <v>45.4</v>
      </c>
      <c r="AD132" s="99">
        <f t="shared" si="120"/>
        <v>37.700000000000017</v>
      </c>
      <c r="AE132" s="410">
        <v>177.4</v>
      </c>
      <c r="AF132" s="63"/>
      <c r="AG132" s="63"/>
      <c r="AH132" s="63"/>
      <c r="AI132" s="63"/>
      <c r="AJ132" s="413"/>
      <c r="AK132" s="63"/>
      <c r="AL132" s="63"/>
      <c r="AM132" s="63"/>
      <c r="AN132" s="63"/>
      <c r="AO132" s="413"/>
      <c r="AP132" s="63"/>
      <c r="AQ132" s="63"/>
      <c r="AR132" s="63"/>
      <c r="AS132" s="63"/>
      <c r="AT132" s="413"/>
      <c r="AU132" s="63"/>
      <c r="AV132" s="63"/>
      <c r="AW132" s="63"/>
      <c r="AX132" s="63"/>
      <c r="AY132" s="413"/>
      <c r="AZ132" s="63"/>
      <c r="BA132" s="63"/>
      <c r="BB132" s="63"/>
      <c r="BC132" s="63"/>
      <c r="BD132" s="413"/>
      <c r="BE132" s="63"/>
      <c r="BF132" s="63"/>
      <c r="BG132" s="63"/>
      <c r="BH132" s="63"/>
      <c r="BI132" s="413"/>
      <c r="BJ132" s="63"/>
      <c r="BK132" s="63"/>
      <c r="BL132" s="63"/>
      <c r="BM132" s="63"/>
      <c r="BN132" s="413"/>
      <c r="BO132" s="63"/>
      <c r="BP132" s="63"/>
      <c r="BQ132" s="63"/>
      <c r="BR132" s="63"/>
      <c r="BS132" s="425"/>
      <c r="BT132" s="63"/>
      <c r="BU132" s="63"/>
      <c r="BV132" s="63"/>
      <c r="BW132" s="63"/>
      <c r="BX132" s="413"/>
      <c r="BY132" s="63"/>
      <c r="BZ132" s="63"/>
      <c r="CA132" s="63"/>
      <c r="CB132" s="63"/>
      <c r="CC132" s="413"/>
      <c r="CD132" s="413"/>
      <c r="CE132" s="413"/>
      <c r="CF132" s="413"/>
      <c r="CG132" s="99"/>
    </row>
    <row r="133" spans="1:85" ht="14.45" hidden="1" customHeight="1" x14ac:dyDescent="0.25">
      <c r="A133" s="125" t="s">
        <v>270</v>
      </c>
      <c r="B133" s="97"/>
      <c r="C133" s="413"/>
      <c r="D133" s="410">
        <v>-2</v>
      </c>
      <c r="E133" s="410">
        <v>1.8</v>
      </c>
      <c r="F133" s="413"/>
      <c r="G133" s="63"/>
      <c r="H133" s="63"/>
      <c r="I133" s="63"/>
      <c r="J133" s="63"/>
      <c r="K133" s="410">
        <v>-1.8</v>
      </c>
      <c r="L133" s="63"/>
      <c r="M133" s="98">
        <v>0.3</v>
      </c>
      <c r="N133" s="63"/>
      <c r="O133" s="99">
        <f t="shared" si="118"/>
        <v>1.0999999999999999</v>
      </c>
      <c r="P133" s="410">
        <v>1.4</v>
      </c>
      <c r="Q133" s="98">
        <v>2.2999999999999998</v>
      </c>
      <c r="R133" s="98">
        <v>3.6</v>
      </c>
      <c r="S133" s="98">
        <v>4.5</v>
      </c>
      <c r="T133" s="99">
        <f>U133-SUM(Q133,R133,S133)</f>
        <v>5</v>
      </c>
      <c r="U133" s="410">
        <v>15.4</v>
      </c>
      <c r="V133" s="98">
        <v>5.0999999999999996</v>
      </c>
      <c r="W133" s="98">
        <v>5.8</v>
      </c>
      <c r="X133" s="98">
        <v>6.5</v>
      </c>
      <c r="Y133" s="99">
        <f t="shared" si="119"/>
        <v>6.5</v>
      </c>
      <c r="Z133" s="410">
        <v>23.9</v>
      </c>
      <c r="AA133" s="98">
        <v>6.1</v>
      </c>
      <c r="AB133" s="98">
        <v>6.6</v>
      </c>
      <c r="AC133" s="98">
        <v>5.2</v>
      </c>
      <c r="AD133" s="99">
        <f t="shared" si="120"/>
        <v>6.1000000000000014</v>
      </c>
      <c r="AE133" s="410">
        <v>24</v>
      </c>
      <c r="AF133" s="63"/>
      <c r="AG133" s="63"/>
      <c r="AH133" s="63"/>
      <c r="AI133" s="63"/>
      <c r="AJ133" s="413"/>
      <c r="AK133" s="63"/>
      <c r="AL133" s="63"/>
      <c r="AM133" s="63"/>
      <c r="AN133" s="63"/>
      <c r="AO133" s="413"/>
      <c r="AP133" s="63"/>
      <c r="AQ133" s="63"/>
      <c r="AR133" s="63"/>
      <c r="AS133" s="63"/>
      <c r="AT133" s="413"/>
      <c r="AU133" s="63"/>
      <c r="AV133" s="63"/>
      <c r="AW133" s="63"/>
      <c r="AX133" s="63"/>
      <c r="AY133" s="413"/>
      <c r="AZ133" s="63"/>
      <c r="BA133" s="63"/>
      <c r="BB133" s="63"/>
      <c r="BC133" s="63"/>
      <c r="BD133" s="413"/>
      <c r="BE133" s="63"/>
      <c r="BF133" s="63"/>
      <c r="BG133" s="63"/>
      <c r="BH133" s="63"/>
      <c r="BI133" s="413"/>
      <c r="BJ133" s="63"/>
      <c r="BK133" s="63"/>
      <c r="BL133" s="63"/>
      <c r="BM133" s="63"/>
      <c r="BN133" s="413"/>
      <c r="BO133" s="63"/>
      <c r="BP133" s="63"/>
      <c r="BQ133" s="63"/>
      <c r="BR133" s="63"/>
      <c r="BS133" s="425"/>
      <c r="BT133" s="63"/>
      <c r="BU133" s="63"/>
      <c r="BV133" s="63"/>
      <c r="BW133" s="63"/>
      <c r="BX133" s="413"/>
      <c r="BY133" s="63"/>
      <c r="BZ133" s="63"/>
      <c r="CA133" s="63"/>
      <c r="CB133" s="63"/>
      <c r="CC133" s="413"/>
      <c r="CD133" s="413"/>
      <c r="CE133" s="413"/>
      <c r="CF133" s="413"/>
      <c r="CG133" s="99"/>
    </row>
    <row r="134" spans="1:85" ht="14.45" hidden="1" customHeight="1" x14ac:dyDescent="0.25">
      <c r="A134" s="125" t="s">
        <v>271</v>
      </c>
      <c r="B134" s="97"/>
      <c r="C134" s="413"/>
      <c r="D134" s="410">
        <v>3.7</v>
      </c>
      <c r="E134" s="410">
        <v>-3.7</v>
      </c>
      <c r="F134" s="413"/>
      <c r="G134" s="63"/>
      <c r="H134" s="63"/>
      <c r="I134" s="63"/>
      <c r="J134" s="63"/>
      <c r="K134" s="413"/>
      <c r="L134" s="63"/>
      <c r="M134" s="63"/>
      <c r="N134" s="63"/>
      <c r="O134" s="99">
        <f t="shared" si="118"/>
        <v>0</v>
      </c>
      <c r="P134" s="413"/>
      <c r="Q134" s="63"/>
      <c r="R134" s="63"/>
      <c r="S134" s="63"/>
      <c r="T134" s="63"/>
      <c r="U134" s="413"/>
      <c r="V134" s="63"/>
      <c r="W134" s="63"/>
      <c r="X134" s="63"/>
      <c r="Y134" s="99">
        <f t="shared" si="119"/>
        <v>0</v>
      </c>
      <c r="Z134" s="413"/>
      <c r="AA134" s="63"/>
      <c r="AB134" s="63"/>
      <c r="AC134" s="63"/>
      <c r="AD134" s="99">
        <f t="shared" si="120"/>
        <v>0</v>
      </c>
      <c r="AE134" s="413"/>
      <c r="AF134" s="63"/>
      <c r="AG134" s="63"/>
      <c r="AH134" s="63"/>
      <c r="AI134" s="63"/>
      <c r="AJ134" s="413"/>
      <c r="AK134" s="63"/>
      <c r="AL134" s="63"/>
      <c r="AM134" s="63"/>
      <c r="AN134" s="63"/>
      <c r="AO134" s="413"/>
      <c r="AP134" s="63"/>
      <c r="AQ134" s="63"/>
      <c r="AR134" s="63"/>
      <c r="AS134" s="63"/>
      <c r="AT134" s="413"/>
      <c r="AU134" s="63"/>
      <c r="AV134" s="63"/>
      <c r="AW134" s="63"/>
      <c r="AX134" s="63"/>
      <c r="AY134" s="413"/>
      <c r="AZ134" s="63"/>
      <c r="BA134" s="63"/>
      <c r="BB134" s="63"/>
      <c r="BC134" s="63"/>
      <c r="BD134" s="413"/>
      <c r="BE134" s="63"/>
      <c r="BF134" s="63"/>
      <c r="BG134" s="63"/>
      <c r="BH134" s="63"/>
      <c r="BI134" s="413"/>
      <c r="BJ134" s="63"/>
      <c r="BK134" s="63"/>
      <c r="BL134" s="63"/>
      <c r="BM134" s="63"/>
      <c r="BN134" s="413"/>
      <c r="BO134" s="63"/>
      <c r="BP134" s="63"/>
      <c r="BQ134" s="63"/>
      <c r="BR134" s="63"/>
      <c r="BS134" s="425"/>
      <c r="BT134" s="63"/>
      <c r="BU134" s="63"/>
      <c r="BV134" s="63"/>
      <c r="BW134" s="63"/>
      <c r="BX134" s="413"/>
      <c r="BY134" s="63"/>
      <c r="BZ134" s="63"/>
      <c r="CA134" s="63"/>
      <c r="CB134" s="63"/>
      <c r="CC134" s="413"/>
      <c r="CD134" s="413"/>
      <c r="CE134" s="413"/>
      <c r="CF134" s="413"/>
      <c r="CG134" s="99"/>
    </row>
    <row r="135" spans="1:85" ht="14.45" hidden="1" customHeight="1" x14ac:dyDescent="0.25">
      <c r="A135" s="125" t="s">
        <v>272</v>
      </c>
      <c r="B135" s="97"/>
      <c r="C135" s="413"/>
      <c r="D135" s="410">
        <v>7.2</v>
      </c>
      <c r="E135" s="413"/>
      <c r="F135" s="413"/>
      <c r="G135" s="63"/>
      <c r="H135" s="63"/>
      <c r="I135" s="63"/>
      <c r="J135" s="63"/>
      <c r="K135" s="413"/>
      <c r="L135" s="63"/>
      <c r="M135" s="63"/>
      <c r="N135" s="63"/>
      <c r="O135" s="99">
        <f t="shared" si="118"/>
        <v>0</v>
      </c>
      <c r="P135" s="413"/>
      <c r="Q135" s="63"/>
      <c r="R135" s="63"/>
      <c r="S135" s="63"/>
      <c r="T135" s="63"/>
      <c r="U135" s="413"/>
      <c r="V135" s="63"/>
      <c r="W135" s="63"/>
      <c r="X135" s="63"/>
      <c r="Y135" s="99">
        <f t="shared" si="119"/>
        <v>0</v>
      </c>
      <c r="Z135" s="413"/>
      <c r="AA135" s="63"/>
      <c r="AB135" s="63"/>
      <c r="AC135" s="63"/>
      <c r="AD135" s="99">
        <f t="shared" si="120"/>
        <v>0</v>
      </c>
      <c r="AE135" s="413"/>
      <c r="AF135" s="63"/>
      <c r="AG135" s="63"/>
      <c r="AH135" s="63"/>
      <c r="AI135" s="63"/>
      <c r="AJ135" s="413"/>
      <c r="AK135" s="63"/>
      <c r="AL135" s="63"/>
      <c r="AM135" s="63"/>
      <c r="AN135" s="63"/>
      <c r="AO135" s="413"/>
      <c r="AP135" s="63"/>
      <c r="AQ135" s="63"/>
      <c r="AR135" s="63"/>
      <c r="AS135" s="63"/>
      <c r="AT135" s="413"/>
      <c r="AU135" s="63"/>
      <c r="AV135" s="63"/>
      <c r="AW135" s="63"/>
      <c r="AX135" s="63"/>
      <c r="AY135" s="413"/>
      <c r="AZ135" s="63"/>
      <c r="BA135" s="63"/>
      <c r="BB135" s="63"/>
      <c r="BC135" s="63"/>
      <c r="BD135" s="413"/>
      <c r="BE135" s="63"/>
      <c r="BF135" s="63"/>
      <c r="BG135" s="63"/>
      <c r="BH135" s="63"/>
      <c r="BI135" s="413"/>
      <c r="BJ135" s="63"/>
      <c r="BK135" s="63"/>
      <c r="BL135" s="63"/>
      <c r="BM135" s="63"/>
      <c r="BN135" s="413"/>
      <c r="BO135" s="63"/>
      <c r="BP135" s="63"/>
      <c r="BQ135" s="63"/>
      <c r="BR135" s="63"/>
      <c r="BS135" s="425"/>
      <c r="BT135" s="63"/>
      <c r="BU135" s="63"/>
      <c r="BV135" s="63"/>
      <c r="BW135" s="63"/>
      <c r="BX135" s="413"/>
      <c r="BY135" s="63"/>
      <c r="BZ135" s="63"/>
      <c r="CA135" s="63"/>
      <c r="CB135" s="63"/>
      <c r="CC135" s="413"/>
      <c r="CD135" s="413"/>
      <c r="CE135" s="413"/>
      <c r="CF135" s="413"/>
      <c r="CG135" s="99"/>
    </row>
    <row r="136" spans="1:85" ht="14.45" hidden="1" customHeight="1" x14ac:dyDescent="0.25">
      <c r="A136" s="125" t="s">
        <v>273</v>
      </c>
      <c r="B136" s="97"/>
      <c r="C136" s="413"/>
      <c r="D136" s="413"/>
      <c r="E136" s="413"/>
      <c r="F136" s="413"/>
      <c r="G136" s="63"/>
      <c r="H136" s="63"/>
      <c r="I136" s="63"/>
      <c r="J136" s="63"/>
      <c r="K136" s="410">
        <v>12</v>
      </c>
      <c r="L136" s="63"/>
      <c r="M136" s="63"/>
      <c r="N136" s="63"/>
      <c r="O136" s="99">
        <f t="shared" si="118"/>
        <v>0</v>
      </c>
      <c r="P136" s="413"/>
      <c r="Q136" s="63"/>
      <c r="R136" s="63"/>
      <c r="S136" s="63"/>
      <c r="T136" s="63"/>
      <c r="U136" s="413"/>
      <c r="V136" s="63"/>
      <c r="W136" s="63"/>
      <c r="X136" s="63"/>
      <c r="Y136" s="99">
        <f t="shared" si="119"/>
        <v>0</v>
      </c>
      <c r="Z136" s="413"/>
      <c r="AA136" s="63"/>
      <c r="AB136" s="63"/>
      <c r="AC136" s="63"/>
      <c r="AD136" s="99">
        <f t="shared" si="120"/>
        <v>0</v>
      </c>
      <c r="AE136" s="413"/>
      <c r="AF136" s="63"/>
      <c r="AG136" s="63"/>
      <c r="AH136" s="63"/>
      <c r="AI136" s="63"/>
      <c r="AJ136" s="413"/>
      <c r="AK136" s="63"/>
      <c r="AL136" s="63"/>
      <c r="AM136" s="63"/>
      <c r="AN136" s="63"/>
      <c r="AO136" s="413"/>
      <c r="AP136" s="63"/>
      <c r="AQ136" s="63"/>
      <c r="AR136" s="63"/>
      <c r="AS136" s="63"/>
      <c r="AT136" s="413"/>
      <c r="AU136" s="63"/>
      <c r="AV136" s="63"/>
      <c r="AW136" s="63"/>
      <c r="AX136" s="63"/>
      <c r="AY136" s="413"/>
      <c r="AZ136" s="63"/>
      <c r="BA136" s="63"/>
      <c r="BB136" s="63"/>
      <c r="BC136" s="63"/>
      <c r="BD136" s="413"/>
      <c r="BE136" s="63"/>
      <c r="BF136" s="63"/>
      <c r="BG136" s="63"/>
      <c r="BH136" s="63"/>
      <c r="BI136" s="413"/>
      <c r="BJ136" s="63"/>
      <c r="BK136" s="63"/>
      <c r="BL136" s="63"/>
      <c r="BM136" s="63"/>
      <c r="BN136" s="413"/>
      <c r="BO136" s="63"/>
      <c r="BP136" s="63"/>
      <c r="BQ136" s="63"/>
      <c r="BR136" s="63"/>
      <c r="BS136" s="425"/>
      <c r="BT136" s="63"/>
      <c r="BU136" s="63"/>
      <c r="BV136" s="63"/>
      <c r="BW136" s="63"/>
      <c r="BX136" s="413"/>
      <c r="BY136" s="63"/>
      <c r="BZ136" s="63"/>
      <c r="CA136" s="63"/>
      <c r="CB136" s="63"/>
      <c r="CC136" s="413"/>
      <c r="CD136" s="413"/>
      <c r="CE136" s="413"/>
      <c r="CF136" s="413"/>
      <c r="CG136" s="99"/>
    </row>
    <row r="137" spans="1:85" ht="14.45" hidden="1" customHeight="1" x14ac:dyDescent="0.25">
      <c r="A137" s="125" t="s">
        <v>274</v>
      </c>
      <c r="B137" s="97"/>
      <c r="C137" s="413"/>
      <c r="D137" s="410">
        <v>-2.6</v>
      </c>
      <c r="E137" s="410">
        <v>0.5</v>
      </c>
      <c r="F137" s="413"/>
      <c r="G137" s="63"/>
      <c r="H137" s="63"/>
      <c r="I137" s="63"/>
      <c r="J137" s="63"/>
      <c r="K137" s="413"/>
      <c r="L137" s="63"/>
      <c r="M137" s="63"/>
      <c r="N137" s="63"/>
      <c r="O137" s="99">
        <f t="shared" si="118"/>
        <v>0</v>
      </c>
      <c r="P137" s="413"/>
      <c r="Q137" s="63"/>
      <c r="R137" s="63"/>
      <c r="S137" s="63"/>
      <c r="T137" s="63"/>
      <c r="U137" s="413"/>
      <c r="V137" s="63"/>
      <c r="W137" s="63"/>
      <c r="X137" s="63"/>
      <c r="Y137" s="99">
        <f t="shared" si="119"/>
        <v>0</v>
      </c>
      <c r="Z137" s="413"/>
      <c r="AA137" s="63"/>
      <c r="AB137" s="63"/>
      <c r="AC137" s="63"/>
      <c r="AD137" s="99">
        <f t="shared" si="120"/>
        <v>0</v>
      </c>
      <c r="AE137" s="413"/>
      <c r="AF137" s="63"/>
      <c r="AG137" s="63"/>
      <c r="AH137" s="63"/>
      <c r="AI137" s="63"/>
      <c r="AJ137" s="413"/>
      <c r="AK137" s="63"/>
      <c r="AL137" s="63"/>
      <c r="AM137" s="63"/>
      <c r="AN137" s="63"/>
      <c r="AO137" s="413"/>
      <c r="AP137" s="63"/>
      <c r="AQ137" s="63"/>
      <c r="AR137" s="63"/>
      <c r="AS137" s="63"/>
      <c r="AT137" s="413"/>
      <c r="AU137" s="63"/>
      <c r="AV137" s="63"/>
      <c r="AW137" s="63"/>
      <c r="AX137" s="63"/>
      <c r="AY137" s="413"/>
      <c r="AZ137" s="63"/>
      <c r="BA137" s="63"/>
      <c r="BB137" s="63"/>
      <c r="BC137" s="63"/>
      <c r="BD137" s="413"/>
      <c r="BE137" s="63"/>
      <c r="BF137" s="63"/>
      <c r="BG137" s="63"/>
      <c r="BH137" s="63"/>
      <c r="BI137" s="413"/>
      <c r="BJ137" s="63"/>
      <c r="BK137" s="63"/>
      <c r="BL137" s="63"/>
      <c r="BM137" s="63"/>
      <c r="BN137" s="413"/>
      <c r="BO137" s="63"/>
      <c r="BP137" s="63"/>
      <c r="BQ137" s="63"/>
      <c r="BR137" s="63"/>
      <c r="BS137" s="425"/>
      <c r="BT137" s="63"/>
      <c r="BU137" s="63"/>
      <c r="BV137" s="63"/>
      <c r="BW137" s="63"/>
      <c r="BX137" s="413"/>
      <c r="BY137" s="63"/>
      <c r="BZ137" s="63"/>
      <c r="CA137" s="63"/>
      <c r="CB137" s="63"/>
      <c r="CC137" s="413"/>
      <c r="CD137" s="413"/>
      <c r="CE137" s="413"/>
      <c r="CF137" s="413"/>
      <c r="CG137" s="99"/>
    </row>
    <row r="138" spans="1:85" ht="14.45" hidden="1" customHeight="1" x14ac:dyDescent="0.25">
      <c r="A138" s="125" t="s">
        <v>275</v>
      </c>
      <c r="B138" s="97"/>
      <c r="C138" s="413"/>
      <c r="D138" s="413"/>
      <c r="E138" s="413"/>
      <c r="F138" s="413"/>
      <c r="G138" s="63"/>
      <c r="H138" s="63"/>
      <c r="I138" s="63"/>
      <c r="J138" s="63"/>
      <c r="K138" s="413"/>
      <c r="L138" s="63"/>
      <c r="M138" s="63"/>
      <c r="N138" s="63"/>
      <c r="O138" s="99">
        <f t="shared" si="118"/>
        <v>0</v>
      </c>
      <c r="P138" s="413"/>
      <c r="Q138" s="63"/>
      <c r="R138" s="63"/>
      <c r="S138" s="63"/>
      <c r="T138" s="99">
        <f>U138-SUM(Q138,R138,S138)</f>
        <v>0</v>
      </c>
      <c r="U138" s="413"/>
      <c r="V138" s="63"/>
      <c r="W138" s="63"/>
      <c r="X138" s="63"/>
      <c r="Y138" s="99">
        <f t="shared" si="119"/>
        <v>0</v>
      </c>
      <c r="Z138" s="413"/>
      <c r="AA138" s="63"/>
      <c r="AB138" s="63"/>
      <c r="AC138" s="63"/>
      <c r="AD138" s="99">
        <f t="shared" si="120"/>
        <v>0</v>
      </c>
      <c r="AE138" s="413"/>
      <c r="AF138" s="63"/>
      <c r="AG138" s="63"/>
      <c r="AH138" s="63"/>
      <c r="AI138" s="63"/>
      <c r="AJ138" s="413"/>
      <c r="AK138" s="63"/>
      <c r="AL138" s="63"/>
      <c r="AM138" s="63"/>
      <c r="AN138" s="63"/>
      <c r="AO138" s="413"/>
      <c r="AP138" s="63"/>
      <c r="AQ138" s="63"/>
      <c r="AR138" s="63"/>
      <c r="AS138" s="63"/>
      <c r="AT138" s="413"/>
      <c r="AU138" s="63"/>
      <c r="AV138" s="63"/>
      <c r="AW138" s="63"/>
      <c r="AX138" s="63"/>
      <c r="AY138" s="413"/>
      <c r="AZ138" s="63"/>
      <c r="BA138" s="63"/>
      <c r="BB138" s="63"/>
      <c r="BC138" s="63"/>
      <c r="BD138" s="413"/>
      <c r="BE138" s="63"/>
      <c r="BF138" s="63"/>
      <c r="BG138" s="63"/>
      <c r="BH138" s="63"/>
      <c r="BI138" s="413"/>
      <c r="BJ138" s="63"/>
      <c r="BK138" s="63"/>
      <c r="BL138" s="63"/>
      <c r="BM138" s="63"/>
      <c r="BN138" s="413"/>
      <c r="BO138" s="63"/>
      <c r="BP138" s="63"/>
      <c r="BQ138" s="63"/>
      <c r="BR138" s="63"/>
      <c r="BS138" s="425"/>
      <c r="BT138" s="63"/>
      <c r="BU138" s="63"/>
      <c r="BV138" s="63"/>
      <c r="BW138" s="63"/>
      <c r="BX138" s="413"/>
      <c r="BY138" s="63"/>
      <c r="BZ138" s="63"/>
      <c r="CA138" s="63"/>
      <c r="CB138" s="63"/>
      <c r="CC138" s="413"/>
      <c r="CD138" s="413"/>
      <c r="CE138" s="413"/>
      <c r="CF138" s="413"/>
      <c r="CG138" s="99"/>
    </row>
    <row r="139" spans="1:85" ht="14.45" hidden="1" customHeight="1" x14ac:dyDescent="0.25">
      <c r="A139" s="125" t="s">
        <v>276</v>
      </c>
      <c r="B139" s="97"/>
      <c r="C139" s="413"/>
      <c r="D139" s="410">
        <v>4.9000000000000004</v>
      </c>
      <c r="E139" s="410">
        <v>0.7</v>
      </c>
      <c r="F139" s="413"/>
      <c r="G139" s="63"/>
      <c r="H139" s="63"/>
      <c r="I139" s="63"/>
      <c r="J139" s="63"/>
      <c r="K139" s="413"/>
      <c r="L139" s="63"/>
      <c r="M139" s="98">
        <v>0.3</v>
      </c>
      <c r="N139" s="63"/>
      <c r="O139" s="99">
        <f t="shared" si="118"/>
        <v>-0.3</v>
      </c>
      <c r="P139" s="413"/>
      <c r="Q139" s="98">
        <v>-1.3</v>
      </c>
      <c r="R139" s="63"/>
      <c r="S139" s="63"/>
      <c r="T139" s="99">
        <f>U139-SUM(Q139,R139,S139)</f>
        <v>1.3</v>
      </c>
      <c r="U139" s="413"/>
      <c r="V139" s="63"/>
      <c r="W139" s="63"/>
      <c r="X139" s="63"/>
      <c r="Y139" s="99">
        <f t="shared" si="119"/>
        <v>0</v>
      </c>
      <c r="Z139" s="413"/>
      <c r="AA139" s="63"/>
      <c r="AB139" s="98">
        <v>3.7</v>
      </c>
      <c r="AC139" s="63"/>
      <c r="AD139" s="99">
        <f t="shared" si="120"/>
        <v>3.0999999999999996</v>
      </c>
      <c r="AE139" s="410">
        <v>6.8</v>
      </c>
      <c r="AF139" s="63"/>
      <c r="AG139" s="63"/>
      <c r="AH139" s="63"/>
      <c r="AI139" s="63"/>
      <c r="AJ139" s="413"/>
      <c r="AK139" s="63"/>
      <c r="AL139" s="63"/>
      <c r="AM139" s="63"/>
      <c r="AN139" s="63"/>
      <c r="AO139" s="413"/>
      <c r="AP139" s="63"/>
      <c r="AQ139" s="63"/>
      <c r="AR139" s="63"/>
      <c r="AS139" s="63"/>
      <c r="AT139" s="413"/>
      <c r="AU139" s="98">
        <v>-6.2</v>
      </c>
      <c r="AV139" s="63"/>
      <c r="AW139" s="63"/>
      <c r="AX139" s="63">
        <f>AY139-SUM(AU139,AV139,AW139)</f>
        <v>6.2</v>
      </c>
      <c r="AY139" s="413"/>
      <c r="AZ139" s="63"/>
      <c r="BA139" s="63"/>
      <c r="BB139" s="98">
        <v>8.3000000000000007</v>
      </c>
      <c r="BC139" s="63"/>
      <c r="BD139" s="413"/>
      <c r="BE139" s="98">
        <v>13</v>
      </c>
      <c r="BF139" s="98">
        <v>9</v>
      </c>
      <c r="BG139" s="63"/>
      <c r="BH139" s="63">
        <f>BI139-SUM(BE139,BF139,BG139)</f>
        <v>8</v>
      </c>
      <c r="BI139" s="410">
        <v>30</v>
      </c>
      <c r="BJ139" s="63"/>
      <c r="BK139" s="63"/>
      <c r="BL139" s="63"/>
      <c r="BM139" s="63"/>
      <c r="BN139" s="413"/>
      <c r="BO139" s="63"/>
      <c r="BP139" s="63"/>
      <c r="BQ139" s="63"/>
      <c r="BR139" s="63"/>
      <c r="BS139" s="425"/>
      <c r="BT139" s="63"/>
      <c r="BU139" s="63"/>
      <c r="BV139" s="63"/>
      <c r="BW139" s="63"/>
      <c r="BX139" s="413"/>
      <c r="BY139" s="63"/>
      <c r="BZ139" s="63"/>
      <c r="CA139" s="63"/>
      <c r="CB139" s="63"/>
      <c r="CC139" s="413"/>
      <c r="CD139" s="413"/>
      <c r="CE139" s="413"/>
      <c r="CF139" s="413"/>
      <c r="CG139" s="99"/>
    </row>
    <row r="140" spans="1:85" ht="14.45" hidden="1" customHeight="1" x14ac:dyDescent="0.25">
      <c r="A140" s="125" t="s">
        <v>277</v>
      </c>
      <c r="B140" s="97"/>
      <c r="C140" s="413"/>
      <c r="D140" s="413"/>
      <c r="E140" s="413"/>
      <c r="F140" s="413"/>
      <c r="G140" s="63"/>
      <c r="H140" s="63"/>
      <c r="I140" s="63"/>
      <c r="J140" s="63"/>
      <c r="K140" s="413"/>
      <c r="L140" s="63"/>
      <c r="M140" s="63"/>
      <c r="N140" s="63"/>
      <c r="O140" s="99">
        <f t="shared" si="118"/>
        <v>-12</v>
      </c>
      <c r="P140" s="410">
        <v>-12</v>
      </c>
      <c r="Q140" s="63"/>
      <c r="R140" s="63"/>
      <c r="S140" s="63"/>
      <c r="T140" s="63"/>
      <c r="U140" s="413"/>
      <c r="V140" s="63"/>
      <c r="W140" s="63"/>
      <c r="X140" s="63"/>
      <c r="Y140" s="99">
        <f t="shared" si="119"/>
        <v>0</v>
      </c>
      <c r="Z140" s="413"/>
      <c r="AA140" s="63"/>
      <c r="AB140" s="63"/>
      <c r="AC140" s="63"/>
      <c r="AD140" s="99">
        <f t="shared" si="120"/>
        <v>0</v>
      </c>
      <c r="AE140" s="413"/>
      <c r="AF140" s="63"/>
      <c r="AG140" s="63"/>
      <c r="AH140" s="63"/>
      <c r="AI140" s="63"/>
      <c r="AJ140" s="413"/>
      <c r="AK140" s="63"/>
      <c r="AL140" s="63"/>
      <c r="AM140" s="63"/>
      <c r="AN140" s="63"/>
      <c r="AO140" s="413"/>
      <c r="AP140" s="63"/>
      <c r="AQ140" s="63"/>
      <c r="AR140" s="63"/>
      <c r="AS140" s="63"/>
      <c r="AT140" s="413"/>
      <c r="AU140" s="63"/>
      <c r="AV140" s="63"/>
      <c r="AW140" s="63"/>
      <c r="AX140" s="63"/>
      <c r="AY140" s="413"/>
      <c r="AZ140" s="63"/>
      <c r="BA140" s="63"/>
      <c r="BB140" s="63"/>
      <c r="BC140" s="63"/>
      <c r="BD140" s="413"/>
      <c r="BE140" s="63"/>
      <c r="BF140" s="63"/>
      <c r="BG140" s="63"/>
      <c r="BH140" s="63"/>
      <c r="BI140" s="413"/>
      <c r="BJ140" s="63"/>
      <c r="BK140" s="63"/>
      <c r="BL140" s="63"/>
      <c r="BM140" s="63"/>
      <c r="BN140" s="413"/>
      <c r="BO140" s="63"/>
      <c r="BP140" s="63"/>
      <c r="BQ140" s="63"/>
      <c r="BR140" s="63"/>
      <c r="BS140" s="425"/>
      <c r="BT140" s="63"/>
      <c r="BU140" s="63"/>
      <c r="BV140" s="63"/>
      <c r="BW140" s="63"/>
      <c r="BX140" s="413"/>
      <c r="BY140" s="63"/>
      <c r="BZ140" s="63"/>
      <c r="CA140" s="63"/>
      <c r="CB140" s="63"/>
      <c r="CC140" s="413"/>
      <c r="CD140" s="413"/>
      <c r="CE140" s="413"/>
      <c r="CF140" s="413"/>
      <c r="CG140" s="99"/>
    </row>
    <row r="141" spans="1:85" ht="14.45" hidden="1" customHeight="1" x14ac:dyDescent="0.25">
      <c r="A141" s="125" t="s">
        <v>278</v>
      </c>
      <c r="B141" s="97"/>
      <c r="C141" s="413"/>
      <c r="D141" s="413"/>
      <c r="E141" s="410">
        <v>-0.6</v>
      </c>
      <c r="F141" s="413"/>
      <c r="G141" s="63"/>
      <c r="H141" s="63"/>
      <c r="I141" s="63"/>
      <c r="J141" s="63"/>
      <c r="K141" s="413"/>
      <c r="L141" s="98">
        <v>0.8</v>
      </c>
      <c r="M141" s="63"/>
      <c r="N141" s="63"/>
      <c r="O141" s="99">
        <f t="shared" si="118"/>
        <v>-0.8</v>
      </c>
      <c r="P141" s="413"/>
      <c r="Q141" s="63"/>
      <c r="R141" s="63"/>
      <c r="S141" s="63"/>
      <c r="T141" s="63"/>
      <c r="U141" s="413"/>
      <c r="V141" s="63"/>
      <c r="W141" s="63"/>
      <c r="X141" s="63"/>
      <c r="Y141" s="99">
        <f t="shared" si="119"/>
        <v>0</v>
      </c>
      <c r="Z141" s="413"/>
      <c r="AA141" s="63"/>
      <c r="AB141" s="63"/>
      <c r="AC141" s="63"/>
      <c r="AD141" s="99">
        <f t="shared" si="120"/>
        <v>0</v>
      </c>
      <c r="AE141" s="413"/>
      <c r="AF141" s="63"/>
      <c r="AG141" s="63"/>
      <c r="AH141" s="63"/>
      <c r="AI141" s="63"/>
      <c r="AJ141" s="413"/>
      <c r="AK141" s="63"/>
      <c r="AL141" s="63"/>
      <c r="AM141" s="63"/>
      <c r="AN141" s="63"/>
      <c r="AO141" s="413"/>
      <c r="AP141" s="63"/>
      <c r="AQ141" s="63"/>
      <c r="AR141" s="63"/>
      <c r="AS141" s="63"/>
      <c r="AT141" s="413"/>
      <c r="AU141" s="63"/>
      <c r="AV141" s="63"/>
      <c r="AW141" s="63"/>
      <c r="AX141" s="63"/>
      <c r="AY141" s="413"/>
      <c r="AZ141" s="63"/>
      <c r="BA141" s="63"/>
      <c r="BB141" s="63"/>
      <c r="BC141" s="63"/>
      <c r="BD141" s="413"/>
      <c r="BE141" s="63"/>
      <c r="BF141" s="63"/>
      <c r="BG141" s="63"/>
      <c r="BH141" s="63"/>
      <c r="BI141" s="413"/>
      <c r="BJ141" s="63"/>
      <c r="BK141" s="63"/>
      <c r="BL141" s="63"/>
      <c r="BM141" s="63"/>
      <c r="BN141" s="413"/>
      <c r="BO141" s="63"/>
      <c r="BP141" s="63"/>
      <c r="BQ141" s="63"/>
      <c r="BR141" s="63"/>
      <c r="BS141" s="425"/>
      <c r="BT141" s="63"/>
      <c r="BU141" s="63"/>
      <c r="BV141" s="63"/>
      <c r="BW141" s="63"/>
      <c r="BX141" s="413"/>
      <c r="BY141" s="63"/>
      <c r="BZ141" s="63"/>
      <c r="CA141" s="63"/>
      <c r="CB141" s="63"/>
      <c r="CC141" s="413"/>
      <c r="CD141" s="413"/>
      <c r="CE141" s="413"/>
      <c r="CF141" s="413"/>
      <c r="CG141" s="99"/>
    </row>
    <row r="142" spans="1:85" ht="14.45" hidden="1" customHeight="1" x14ac:dyDescent="0.25">
      <c r="A142" s="125" t="s">
        <v>279</v>
      </c>
      <c r="B142" s="97"/>
      <c r="C142" s="413"/>
      <c r="D142" s="410">
        <v>5.3</v>
      </c>
      <c r="E142" s="410">
        <v>-2.5</v>
      </c>
      <c r="F142" s="413"/>
      <c r="G142" s="63"/>
      <c r="H142" s="63"/>
      <c r="I142" s="63"/>
      <c r="J142" s="63"/>
      <c r="K142" s="410">
        <v>2.2000000000000002</v>
      </c>
      <c r="L142" s="98">
        <v>-0.7</v>
      </c>
      <c r="M142" s="98">
        <v>3.9</v>
      </c>
      <c r="N142" s="98">
        <v>2.5</v>
      </c>
      <c r="O142" s="99">
        <f t="shared" si="118"/>
        <v>2.7</v>
      </c>
      <c r="P142" s="410">
        <v>8.4</v>
      </c>
      <c r="Q142" s="98">
        <v>2.4</v>
      </c>
      <c r="R142" s="98">
        <v>2.2000000000000002</v>
      </c>
      <c r="S142" s="98">
        <v>4.4000000000000004</v>
      </c>
      <c r="T142" s="99">
        <f>U142-SUM(Q142,R142,S142)</f>
        <v>0.19999999999999929</v>
      </c>
      <c r="U142" s="410">
        <v>9.1999999999999993</v>
      </c>
      <c r="V142" s="63"/>
      <c r="W142" s="63"/>
      <c r="X142" s="63"/>
      <c r="Y142" s="99">
        <f t="shared" si="119"/>
        <v>0</v>
      </c>
      <c r="Z142" s="413"/>
      <c r="AA142" s="63"/>
      <c r="AB142" s="63"/>
      <c r="AC142" s="63"/>
      <c r="AD142" s="99">
        <f t="shared" si="120"/>
        <v>0</v>
      </c>
      <c r="AE142" s="413"/>
      <c r="AF142" s="63"/>
      <c r="AG142" s="63"/>
      <c r="AH142" s="63"/>
      <c r="AI142" s="63"/>
      <c r="AJ142" s="413"/>
      <c r="AK142" s="63"/>
      <c r="AL142" s="63"/>
      <c r="AM142" s="63"/>
      <c r="AN142" s="63"/>
      <c r="AO142" s="413"/>
      <c r="AP142" s="63"/>
      <c r="AQ142" s="63"/>
      <c r="AR142" s="63"/>
      <c r="AS142" s="63"/>
      <c r="AT142" s="413"/>
      <c r="AU142" s="63"/>
      <c r="AV142" s="63"/>
      <c r="AW142" s="63"/>
      <c r="AX142" s="63"/>
      <c r="AY142" s="413"/>
      <c r="AZ142" s="63"/>
      <c r="BA142" s="63"/>
      <c r="BB142" s="63"/>
      <c r="BC142" s="63"/>
      <c r="BD142" s="413"/>
      <c r="BE142" s="63"/>
      <c r="BF142" s="63"/>
      <c r="BG142" s="63"/>
      <c r="BH142" s="63"/>
      <c r="BI142" s="413"/>
      <c r="BJ142" s="63"/>
      <c r="BK142" s="63"/>
      <c r="BL142" s="63"/>
      <c r="BM142" s="63"/>
      <c r="BN142" s="413"/>
      <c r="BO142" s="63"/>
      <c r="BP142" s="63"/>
      <c r="BQ142" s="63"/>
      <c r="BR142" s="63"/>
      <c r="BS142" s="425"/>
      <c r="BT142" s="63"/>
      <c r="BU142" s="63"/>
      <c r="BV142" s="63"/>
      <c r="BW142" s="63"/>
      <c r="BX142" s="413"/>
      <c r="BY142" s="63"/>
      <c r="BZ142" s="63"/>
      <c r="CA142" s="63"/>
      <c r="CB142" s="63"/>
      <c r="CC142" s="413"/>
      <c r="CD142" s="413"/>
      <c r="CE142" s="413"/>
      <c r="CF142" s="413"/>
      <c r="CG142" s="99"/>
    </row>
    <row r="143" spans="1:85" ht="14.45" hidden="1" customHeight="1" x14ac:dyDescent="0.25">
      <c r="A143" s="125" t="s">
        <v>280</v>
      </c>
      <c r="B143" s="97"/>
      <c r="C143" s="413"/>
      <c r="D143" s="413"/>
      <c r="E143" s="413"/>
      <c r="F143" s="413"/>
      <c r="G143" s="63"/>
      <c r="H143" s="63"/>
      <c r="I143" s="63"/>
      <c r="J143" s="63"/>
      <c r="K143" s="413"/>
      <c r="L143" s="63"/>
      <c r="M143" s="63"/>
      <c r="N143" s="63"/>
      <c r="O143" s="99">
        <f t="shared" si="118"/>
        <v>0</v>
      </c>
      <c r="P143" s="413"/>
      <c r="Q143" s="63"/>
      <c r="R143" s="63"/>
      <c r="S143" s="63"/>
      <c r="T143" s="99">
        <f>U143-SUM(Q143,R143,S143)</f>
        <v>0</v>
      </c>
      <c r="U143" s="413"/>
      <c r="V143" s="98">
        <v>4</v>
      </c>
      <c r="W143" s="63"/>
      <c r="X143" s="63"/>
      <c r="Y143" s="99">
        <f t="shared" si="119"/>
        <v>-4</v>
      </c>
      <c r="Z143" s="413"/>
      <c r="AA143" s="63"/>
      <c r="AB143" s="63"/>
      <c r="AC143" s="63"/>
      <c r="AD143" s="99">
        <f t="shared" si="120"/>
        <v>0</v>
      </c>
      <c r="AE143" s="413"/>
      <c r="AF143" s="63"/>
      <c r="AG143" s="63"/>
      <c r="AH143" s="63"/>
      <c r="AI143" s="63"/>
      <c r="AJ143" s="413"/>
      <c r="AK143" s="63"/>
      <c r="AL143" s="63"/>
      <c r="AM143" s="63"/>
      <c r="AN143" s="63"/>
      <c r="AO143" s="413"/>
      <c r="AP143" s="63"/>
      <c r="AQ143" s="63"/>
      <c r="AR143" s="63"/>
      <c r="AS143" s="63"/>
      <c r="AT143" s="413"/>
      <c r="AU143" s="63"/>
      <c r="AV143" s="63"/>
      <c r="AW143" s="63"/>
      <c r="AX143" s="63"/>
      <c r="AY143" s="413"/>
      <c r="AZ143" s="63"/>
      <c r="BA143" s="63"/>
      <c r="BB143" s="63"/>
      <c r="BC143" s="63"/>
      <c r="BD143" s="413"/>
      <c r="BE143" s="63"/>
      <c r="BF143" s="63"/>
      <c r="BG143" s="63"/>
      <c r="BH143" s="63"/>
      <c r="BI143" s="413"/>
      <c r="BJ143" s="63"/>
      <c r="BK143" s="63"/>
      <c r="BL143" s="63"/>
      <c r="BM143" s="63"/>
      <c r="BN143" s="413"/>
      <c r="BO143" s="63"/>
      <c r="BP143" s="63"/>
      <c r="BQ143" s="63"/>
      <c r="BR143" s="63"/>
      <c r="BS143" s="425"/>
      <c r="BT143" s="63"/>
      <c r="BU143" s="63"/>
      <c r="BV143" s="63"/>
      <c r="BW143" s="63"/>
      <c r="BX143" s="413"/>
      <c r="BY143" s="63"/>
      <c r="BZ143" s="63"/>
      <c r="CA143" s="63"/>
      <c r="CB143" s="63"/>
      <c r="CC143" s="413"/>
      <c r="CD143" s="413"/>
      <c r="CE143" s="413"/>
      <c r="CF143" s="413"/>
      <c r="CG143" s="99"/>
    </row>
    <row r="144" spans="1:85" ht="14.45" hidden="1" customHeight="1" x14ac:dyDescent="0.25">
      <c r="A144" s="125" t="s">
        <v>281</v>
      </c>
      <c r="B144" s="97"/>
      <c r="C144" s="413"/>
      <c r="D144" s="413"/>
      <c r="E144" s="413"/>
      <c r="F144" s="413"/>
      <c r="G144" s="63"/>
      <c r="H144" s="63"/>
      <c r="I144" s="63"/>
      <c r="J144" s="63"/>
      <c r="K144" s="413"/>
      <c r="L144" s="63"/>
      <c r="M144" s="98">
        <v>2</v>
      </c>
      <c r="N144" s="98">
        <v>1</v>
      </c>
      <c r="O144" s="99">
        <f t="shared" si="118"/>
        <v>4.8</v>
      </c>
      <c r="P144" s="410">
        <v>7.8</v>
      </c>
      <c r="Q144" s="98">
        <v>1</v>
      </c>
      <c r="R144" s="98">
        <v>1.1000000000000001</v>
      </c>
      <c r="S144" s="98">
        <v>4.3</v>
      </c>
      <c r="T144" s="99">
        <f>U144-SUM(Q144,R144,S144)</f>
        <v>0.69999999999999929</v>
      </c>
      <c r="U144" s="410">
        <v>7.1</v>
      </c>
      <c r="V144" s="98">
        <v>3.1</v>
      </c>
      <c r="W144" s="98">
        <v>2.8</v>
      </c>
      <c r="X144" s="63"/>
      <c r="Y144" s="99">
        <f t="shared" si="119"/>
        <v>6.4</v>
      </c>
      <c r="Z144" s="410">
        <v>12.3</v>
      </c>
      <c r="AA144" s="63"/>
      <c r="AB144" s="98">
        <v>4.5999999999999996</v>
      </c>
      <c r="AC144" s="98">
        <v>3.4</v>
      </c>
      <c r="AD144" s="99">
        <f t="shared" si="120"/>
        <v>-8</v>
      </c>
      <c r="AE144" s="413"/>
      <c r="AF144" s="63"/>
      <c r="AG144" s="63"/>
      <c r="AH144" s="63"/>
      <c r="AI144" s="63"/>
      <c r="AJ144" s="413"/>
      <c r="AK144" s="63"/>
      <c r="AL144" s="63"/>
      <c r="AM144" s="63"/>
      <c r="AN144" s="63"/>
      <c r="AO144" s="413"/>
      <c r="AP144" s="63"/>
      <c r="AQ144" s="63"/>
      <c r="AR144" s="63"/>
      <c r="AS144" s="63"/>
      <c r="AT144" s="413"/>
      <c r="AU144" s="63"/>
      <c r="AV144" s="63"/>
      <c r="AW144" s="63"/>
      <c r="AX144" s="63"/>
      <c r="AY144" s="413"/>
      <c r="AZ144" s="63"/>
      <c r="BA144" s="63"/>
      <c r="BB144" s="63"/>
      <c r="BC144" s="63"/>
      <c r="BD144" s="413"/>
      <c r="BE144" s="63"/>
      <c r="BF144" s="63"/>
      <c r="BG144" s="63"/>
      <c r="BH144" s="63"/>
      <c r="BI144" s="413"/>
      <c r="BJ144" s="63"/>
      <c r="BK144" s="63"/>
      <c r="BL144" s="63"/>
      <c r="BM144" s="63"/>
      <c r="BN144" s="413"/>
      <c r="BO144" s="63"/>
      <c r="BP144" s="63"/>
      <c r="BQ144" s="63"/>
      <c r="BR144" s="63"/>
      <c r="BS144" s="425"/>
      <c r="BT144" s="63"/>
      <c r="BU144" s="63"/>
      <c r="BV144" s="63"/>
      <c r="BW144" s="63"/>
      <c r="BX144" s="413"/>
      <c r="BY144" s="63"/>
      <c r="BZ144" s="63"/>
      <c r="CA144" s="63"/>
      <c r="CB144" s="63"/>
      <c r="CC144" s="413"/>
      <c r="CD144" s="413"/>
      <c r="CE144" s="413"/>
      <c r="CF144" s="413"/>
      <c r="CG144" s="99"/>
    </row>
    <row r="145" spans="1:85" ht="14.45" hidden="1" customHeight="1" x14ac:dyDescent="0.25">
      <c r="A145" s="125" t="s">
        <v>282</v>
      </c>
      <c r="B145" s="97"/>
      <c r="C145" s="413"/>
      <c r="D145" s="410">
        <v>2.1</v>
      </c>
      <c r="E145" s="410">
        <v>2.2999999999999998</v>
      </c>
      <c r="F145" s="410">
        <v>2.7</v>
      </c>
      <c r="G145" s="63"/>
      <c r="H145" s="63"/>
      <c r="I145" s="63"/>
      <c r="J145" s="63"/>
      <c r="K145" s="410">
        <v>-1</v>
      </c>
      <c r="L145" s="98">
        <v>1.3</v>
      </c>
      <c r="M145" s="63"/>
      <c r="N145" s="98">
        <v>1</v>
      </c>
      <c r="O145" s="99">
        <f t="shared" si="118"/>
        <v>1.6</v>
      </c>
      <c r="P145" s="410">
        <v>3.9</v>
      </c>
      <c r="Q145" s="98">
        <v>1.3</v>
      </c>
      <c r="R145" s="98">
        <v>2</v>
      </c>
      <c r="S145" s="98">
        <v>2.2000000000000002</v>
      </c>
      <c r="T145" s="99">
        <f>U145-SUM(Q145,R145,S145)</f>
        <v>0.59999999999999964</v>
      </c>
      <c r="U145" s="410">
        <v>6.1</v>
      </c>
      <c r="V145" s="98">
        <v>1.7</v>
      </c>
      <c r="W145" s="98">
        <v>2.7</v>
      </c>
      <c r="X145" s="63"/>
      <c r="Y145" s="99">
        <f t="shared" si="119"/>
        <v>7.2999999999999989</v>
      </c>
      <c r="Z145" s="410">
        <v>11.7</v>
      </c>
      <c r="AA145" s="98">
        <v>4.0999999999999996</v>
      </c>
      <c r="AB145" s="98">
        <v>4.8</v>
      </c>
      <c r="AC145" s="98">
        <v>4</v>
      </c>
      <c r="AD145" s="99">
        <f t="shared" si="120"/>
        <v>2.1000000000000014</v>
      </c>
      <c r="AE145" s="410">
        <v>15</v>
      </c>
      <c r="AF145" s="63"/>
      <c r="AG145" s="63"/>
      <c r="AH145" s="63"/>
      <c r="AI145" s="63"/>
      <c r="AJ145" s="413"/>
      <c r="AK145" s="63"/>
      <c r="AL145" s="63"/>
      <c r="AM145" s="63"/>
      <c r="AN145" s="63"/>
      <c r="AO145" s="413"/>
      <c r="AP145" s="63"/>
      <c r="AQ145" s="63"/>
      <c r="AR145" s="63"/>
      <c r="AS145" s="63"/>
      <c r="AT145" s="413"/>
      <c r="AU145" s="63"/>
      <c r="AV145" s="63"/>
      <c r="AW145" s="63"/>
      <c r="AX145" s="63"/>
      <c r="AY145" s="413"/>
      <c r="AZ145" s="63"/>
      <c r="BA145" s="63"/>
      <c r="BB145" s="63"/>
      <c r="BC145" s="63"/>
      <c r="BD145" s="413"/>
      <c r="BE145" s="63"/>
      <c r="BF145" s="63"/>
      <c r="BG145" s="63"/>
      <c r="BH145" s="63"/>
      <c r="BI145" s="413"/>
      <c r="BJ145" s="63"/>
      <c r="BK145" s="63"/>
      <c r="BL145" s="63"/>
      <c r="BM145" s="63"/>
      <c r="BN145" s="413"/>
      <c r="BO145" s="63"/>
      <c r="BP145" s="63"/>
      <c r="BQ145" s="63"/>
      <c r="BR145" s="63"/>
      <c r="BS145" s="425"/>
      <c r="BT145" s="63"/>
      <c r="BU145" s="63"/>
      <c r="BV145" s="63"/>
      <c r="BW145" s="63"/>
      <c r="BX145" s="413"/>
      <c r="BY145" s="63"/>
      <c r="BZ145" s="63"/>
      <c r="CA145" s="63"/>
      <c r="CB145" s="63"/>
      <c r="CC145" s="413"/>
      <c r="CD145" s="413"/>
      <c r="CE145" s="413"/>
      <c r="CF145" s="413"/>
      <c r="CG145" s="99"/>
    </row>
    <row r="146" spans="1:85" ht="14.45" hidden="1" customHeight="1" x14ac:dyDescent="0.25">
      <c r="A146" s="125" t="s">
        <v>283</v>
      </c>
      <c r="B146" s="97"/>
      <c r="C146" s="413"/>
      <c r="D146" s="413"/>
      <c r="E146" s="413"/>
      <c r="F146" s="410">
        <v>1</v>
      </c>
      <c r="G146" s="63"/>
      <c r="H146" s="63"/>
      <c r="I146" s="63"/>
      <c r="J146" s="63"/>
      <c r="K146" s="413"/>
      <c r="L146" s="63"/>
      <c r="M146" s="63"/>
      <c r="N146" s="63"/>
      <c r="O146" s="99">
        <f t="shared" si="118"/>
        <v>0</v>
      </c>
      <c r="P146" s="413"/>
      <c r="Q146" s="63"/>
      <c r="R146" s="63"/>
      <c r="S146" s="63"/>
      <c r="T146" s="63"/>
      <c r="U146" s="413"/>
      <c r="V146" s="63"/>
      <c r="W146" s="63"/>
      <c r="X146" s="63"/>
      <c r="Y146" s="99">
        <f t="shared" si="119"/>
        <v>0</v>
      </c>
      <c r="Z146" s="413"/>
      <c r="AA146" s="63"/>
      <c r="AB146" s="63"/>
      <c r="AC146" s="63"/>
      <c r="AD146" s="99">
        <f t="shared" si="120"/>
        <v>0</v>
      </c>
      <c r="AE146" s="413"/>
      <c r="AF146" s="63"/>
      <c r="AG146" s="63"/>
      <c r="AH146" s="63"/>
      <c r="AI146" s="63"/>
      <c r="AJ146" s="413"/>
      <c r="AK146" s="63"/>
      <c r="AL146" s="63"/>
      <c r="AM146" s="63"/>
      <c r="AN146" s="63"/>
      <c r="AO146" s="413"/>
      <c r="AP146" s="63"/>
      <c r="AQ146" s="63"/>
      <c r="AR146" s="63"/>
      <c r="AS146" s="63"/>
      <c r="AT146" s="413"/>
      <c r="AU146" s="63"/>
      <c r="AV146" s="63"/>
      <c r="AW146" s="63"/>
      <c r="AX146" s="63"/>
      <c r="AY146" s="413"/>
      <c r="AZ146" s="63"/>
      <c r="BA146" s="63"/>
      <c r="BB146" s="63"/>
      <c r="BC146" s="63"/>
      <c r="BD146" s="413"/>
      <c r="BE146" s="63"/>
      <c r="BF146" s="63"/>
      <c r="BG146" s="63"/>
      <c r="BH146" s="63"/>
      <c r="BI146" s="413"/>
      <c r="BJ146" s="63"/>
      <c r="BK146" s="63"/>
      <c r="BL146" s="63"/>
      <c r="BM146" s="63"/>
      <c r="BN146" s="413"/>
      <c r="BO146" s="63"/>
      <c r="BP146" s="63"/>
      <c r="BQ146" s="63"/>
      <c r="BR146" s="63"/>
      <c r="BS146" s="425"/>
      <c r="BT146" s="63"/>
      <c r="BU146" s="63"/>
      <c r="BV146" s="63"/>
      <c r="BW146" s="63"/>
      <c r="BX146" s="413"/>
      <c r="BY146" s="63"/>
      <c r="BZ146" s="63"/>
      <c r="CA146" s="63"/>
      <c r="CB146" s="63"/>
      <c r="CC146" s="413"/>
      <c r="CD146" s="413"/>
      <c r="CE146" s="413"/>
      <c r="CF146" s="413"/>
      <c r="CG146" s="99"/>
    </row>
    <row r="147" spans="1:85" ht="14.45" hidden="1" customHeight="1" x14ac:dyDescent="0.25">
      <c r="A147" s="125" t="s">
        <v>284</v>
      </c>
      <c r="B147" s="97"/>
      <c r="C147" s="413"/>
      <c r="D147" s="413"/>
      <c r="E147" s="413"/>
      <c r="F147" s="410">
        <v>0.8</v>
      </c>
      <c r="G147" s="63"/>
      <c r="H147" s="63"/>
      <c r="I147" s="63"/>
      <c r="J147" s="63"/>
      <c r="K147" s="413"/>
      <c r="L147" s="63"/>
      <c r="M147" s="63"/>
      <c r="N147" s="63"/>
      <c r="O147" s="99">
        <f t="shared" si="118"/>
        <v>0</v>
      </c>
      <c r="P147" s="413"/>
      <c r="Q147" s="63"/>
      <c r="R147" s="98">
        <v>1.1000000000000001</v>
      </c>
      <c r="S147" s="98">
        <v>1.5</v>
      </c>
      <c r="T147" s="99">
        <f t="shared" ref="T147:T161" si="121">U147-SUM(Q147,R147,S147)</f>
        <v>3.3000000000000003</v>
      </c>
      <c r="U147" s="410">
        <v>5.9</v>
      </c>
      <c r="V147" s="98">
        <v>2.6</v>
      </c>
      <c r="W147" s="98">
        <v>3.2</v>
      </c>
      <c r="X147" s="63"/>
      <c r="Y147" s="99">
        <f t="shared" si="119"/>
        <v>5.1999999999999993</v>
      </c>
      <c r="Z147" s="410">
        <v>11</v>
      </c>
      <c r="AA147" s="98">
        <v>3.9</v>
      </c>
      <c r="AB147" s="98">
        <v>4</v>
      </c>
      <c r="AC147" s="98">
        <v>3.7</v>
      </c>
      <c r="AD147" s="99">
        <f t="shared" si="120"/>
        <v>2.6999999999999993</v>
      </c>
      <c r="AE147" s="410">
        <v>14.3</v>
      </c>
      <c r="AF147" s="63"/>
      <c r="AG147" s="63"/>
      <c r="AH147" s="63"/>
      <c r="AI147" s="63"/>
      <c r="AJ147" s="413"/>
      <c r="AK147" s="63"/>
      <c r="AL147" s="63"/>
      <c r="AM147" s="63"/>
      <c r="AN147" s="63"/>
      <c r="AO147" s="413"/>
      <c r="AP147" s="63"/>
      <c r="AQ147" s="63"/>
      <c r="AR147" s="63"/>
      <c r="AS147" s="63"/>
      <c r="AT147" s="413"/>
      <c r="AU147" s="63"/>
      <c r="AV147" s="63"/>
      <c r="AW147" s="63"/>
      <c r="AX147" s="63"/>
      <c r="AY147" s="413"/>
      <c r="AZ147" s="63"/>
      <c r="BA147" s="63"/>
      <c r="BB147" s="63"/>
      <c r="BC147" s="63"/>
      <c r="BD147" s="413"/>
      <c r="BE147" s="63"/>
      <c r="BF147" s="63"/>
      <c r="BG147" s="63"/>
      <c r="BH147" s="63"/>
      <c r="BI147" s="413"/>
      <c r="BJ147" s="63"/>
      <c r="BK147" s="63"/>
      <c r="BL147" s="63"/>
      <c r="BM147" s="63"/>
      <c r="BN147" s="413"/>
      <c r="BO147" s="63"/>
      <c r="BP147" s="63"/>
      <c r="BQ147" s="63"/>
      <c r="BR147" s="63"/>
      <c r="BS147" s="425"/>
      <c r="BT147" s="63"/>
      <c r="BU147" s="63"/>
      <c r="BV147" s="63"/>
      <c r="BW147" s="63"/>
      <c r="BX147" s="413"/>
      <c r="BY147" s="63"/>
      <c r="BZ147" s="63"/>
      <c r="CA147" s="63"/>
      <c r="CB147" s="63"/>
      <c r="CC147" s="413"/>
      <c r="CD147" s="413"/>
      <c r="CE147" s="413"/>
      <c r="CF147" s="413"/>
      <c r="CG147" s="99"/>
    </row>
    <row r="148" spans="1:85" ht="14.45" hidden="1" customHeight="1" x14ac:dyDescent="0.25">
      <c r="A148" s="125" t="s">
        <v>285</v>
      </c>
      <c r="B148" s="97"/>
      <c r="C148" s="413"/>
      <c r="D148" s="413"/>
      <c r="E148" s="413"/>
      <c r="F148" s="413"/>
      <c r="G148" s="63"/>
      <c r="H148" s="63"/>
      <c r="I148" s="63"/>
      <c r="J148" s="63"/>
      <c r="K148" s="413"/>
      <c r="L148" s="63"/>
      <c r="M148" s="63"/>
      <c r="N148" s="63"/>
      <c r="O148" s="99">
        <f t="shared" si="118"/>
        <v>0</v>
      </c>
      <c r="P148" s="413"/>
      <c r="Q148" s="63"/>
      <c r="R148" s="98">
        <v>1.2</v>
      </c>
      <c r="S148" s="98">
        <v>1.1000000000000001</v>
      </c>
      <c r="T148" s="99">
        <f t="shared" si="121"/>
        <v>1.5</v>
      </c>
      <c r="U148" s="410">
        <v>3.8</v>
      </c>
      <c r="V148" s="98">
        <v>1.6</v>
      </c>
      <c r="W148" s="63"/>
      <c r="X148" s="63"/>
      <c r="Y148" s="99">
        <f t="shared" si="119"/>
        <v>-1.6</v>
      </c>
      <c r="Z148" s="413"/>
      <c r="AA148" s="63"/>
      <c r="AB148" s="63"/>
      <c r="AC148" s="63"/>
      <c r="AD148" s="99">
        <f t="shared" si="120"/>
        <v>0</v>
      </c>
      <c r="AE148" s="413"/>
      <c r="AF148" s="63"/>
      <c r="AG148" s="63"/>
      <c r="AH148" s="63"/>
      <c r="AI148" s="63"/>
      <c r="AJ148" s="413"/>
      <c r="AK148" s="63"/>
      <c r="AL148" s="63"/>
      <c r="AM148" s="63"/>
      <c r="AN148" s="63"/>
      <c r="AO148" s="413"/>
      <c r="AP148" s="63"/>
      <c r="AQ148" s="63"/>
      <c r="AR148" s="63"/>
      <c r="AS148" s="63"/>
      <c r="AT148" s="413"/>
      <c r="AU148" s="63"/>
      <c r="AV148" s="63"/>
      <c r="AW148" s="63"/>
      <c r="AX148" s="63"/>
      <c r="AY148" s="413"/>
      <c r="AZ148" s="63"/>
      <c r="BA148" s="63"/>
      <c r="BB148" s="63"/>
      <c r="BC148" s="63"/>
      <c r="BD148" s="413"/>
      <c r="BE148" s="63"/>
      <c r="BF148" s="63"/>
      <c r="BG148" s="63"/>
      <c r="BH148" s="63"/>
      <c r="BI148" s="413"/>
      <c r="BJ148" s="63"/>
      <c r="BK148" s="63"/>
      <c r="BL148" s="63"/>
      <c r="BM148" s="63"/>
      <c r="BN148" s="413"/>
      <c r="BO148" s="63"/>
      <c r="BP148" s="63"/>
      <c r="BQ148" s="63"/>
      <c r="BR148" s="63"/>
      <c r="BS148" s="425"/>
      <c r="BT148" s="63"/>
      <c r="BU148" s="63"/>
      <c r="BV148" s="63"/>
      <c r="BW148" s="63"/>
      <c r="BX148" s="413"/>
      <c r="BY148" s="63"/>
      <c r="BZ148" s="63"/>
      <c r="CA148" s="63"/>
      <c r="CB148" s="63"/>
      <c r="CC148" s="413"/>
      <c r="CD148" s="413"/>
      <c r="CE148" s="413"/>
      <c r="CF148" s="413"/>
      <c r="CG148" s="99"/>
    </row>
    <row r="149" spans="1:85" ht="14.45" hidden="1" customHeight="1" x14ac:dyDescent="0.25">
      <c r="A149" s="125" t="s">
        <v>286</v>
      </c>
      <c r="B149" s="97"/>
      <c r="C149" s="413"/>
      <c r="D149" s="413"/>
      <c r="E149" s="413"/>
      <c r="F149" s="413"/>
      <c r="G149" s="63"/>
      <c r="H149" s="63"/>
      <c r="I149" s="63"/>
      <c r="J149" s="63"/>
      <c r="K149" s="413"/>
      <c r="L149" s="63"/>
      <c r="M149" s="63"/>
      <c r="N149" s="63"/>
      <c r="O149" s="99">
        <f t="shared" si="118"/>
        <v>0</v>
      </c>
      <c r="P149" s="413"/>
      <c r="Q149" s="63"/>
      <c r="R149" s="98">
        <v>0.9</v>
      </c>
      <c r="S149" s="98">
        <v>1.5</v>
      </c>
      <c r="T149" s="99">
        <f t="shared" si="121"/>
        <v>1</v>
      </c>
      <c r="U149" s="410">
        <v>3.4</v>
      </c>
      <c r="V149" s="63"/>
      <c r="W149" s="63"/>
      <c r="X149" s="63"/>
      <c r="Y149" s="99">
        <f t="shared" si="119"/>
        <v>0</v>
      </c>
      <c r="Z149" s="413"/>
      <c r="AA149" s="63"/>
      <c r="AB149" s="63"/>
      <c r="AC149" s="63"/>
      <c r="AD149" s="99">
        <f t="shared" si="120"/>
        <v>0</v>
      </c>
      <c r="AE149" s="413"/>
      <c r="AF149" s="63"/>
      <c r="AG149" s="63"/>
      <c r="AH149" s="63"/>
      <c r="AI149" s="63"/>
      <c r="AJ149" s="413"/>
      <c r="AK149" s="63"/>
      <c r="AL149" s="63"/>
      <c r="AM149" s="63"/>
      <c r="AN149" s="63"/>
      <c r="AO149" s="413"/>
      <c r="AP149" s="63"/>
      <c r="AQ149" s="63"/>
      <c r="AR149" s="63"/>
      <c r="AS149" s="63"/>
      <c r="AT149" s="413"/>
      <c r="AU149" s="63"/>
      <c r="AV149" s="63"/>
      <c r="AW149" s="63"/>
      <c r="AX149" s="63"/>
      <c r="AY149" s="413"/>
      <c r="AZ149" s="63"/>
      <c r="BA149" s="63"/>
      <c r="BB149" s="63"/>
      <c r="BC149" s="63"/>
      <c r="BD149" s="413"/>
      <c r="BE149" s="63"/>
      <c r="BF149" s="63"/>
      <c r="BG149" s="63"/>
      <c r="BH149" s="63"/>
      <c r="BI149" s="413"/>
      <c r="BJ149" s="63"/>
      <c r="BK149" s="63"/>
      <c r="BL149" s="63"/>
      <c r="BM149" s="63"/>
      <c r="BN149" s="413"/>
      <c r="BO149" s="63"/>
      <c r="BP149" s="63"/>
      <c r="BQ149" s="63"/>
      <c r="BR149" s="63"/>
      <c r="BS149" s="425"/>
      <c r="BT149" s="63"/>
      <c r="BU149" s="63"/>
      <c r="BV149" s="63"/>
      <c r="BW149" s="63"/>
      <c r="BX149" s="413"/>
      <c r="BY149" s="63"/>
      <c r="BZ149" s="63"/>
      <c r="CA149" s="63"/>
      <c r="CB149" s="63"/>
      <c r="CC149" s="413"/>
      <c r="CD149" s="413"/>
      <c r="CE149" s="413"/>
      <c r="CF149" s="413"/>
      <c r="CG149" s="99"/>
    </row>
    <row r="150" spans="1:85" ht="14.45" hidden="1" customHeight="1" x14ac:dyDescent="0.25">
      <c r="A150" s="125" t="s">
        <v>287</v>
      </c>
      <c r="B150" s="97"/>
      <c r="C150" s="413"/>
      <c r="D150" s="410">
        <v>-3.5</v>
      </c>
      <c r="E150" s="410">
        <v>-2.2000000000000002</v>
      </c>
      <c r="F150" s="410">
        <v>0.7</v>
      </c>
      <c r="G150" s="63"/>
      <c r="H150" s="63"/>
      <c r="I150" s="63"/>
      <c r="J150" s="63"/>
      <c r="K150" s="413"/>
      <c r="L150" s="98">
        <v>1.1000000000000001</v>
      </c>
      <c r="M150" s="63"/>
      <c r="N150" s="63"/>
      <c r="O150" s="99">
        <f t="shared" si="118"/>
        <v>-1.1000000000000001</v>
      </c>
      <c r="P150" s="413"/>
      <c r="Q150" s="63"/>
      <c r="R150" s="98">
        <v>0.7</v>
      </c>
      <c r="S150" s="63"/>
      <c r="T150" s="99">
        <f t="shared" si="121"/>
        <v>1.5999999999999999</v>
      </c>
      <c r="U150" s="410">
        <v>2.2999999999999998</v>
      </c>
      <c r="V150" s="98">
        <v>1.3</v>
      </c>
      <c r="W150" s="63"/>
      <c r="X150" s="63"/>
      <c r="Y150" s="99">
        <f t="shared" si="119"/>
        <v>5.9</v>
      </c>
      <c r="Z150" s="410">
        <v>7.2</v>
      </c>
      <c r="AA150" s="63"/>
      <c r="AB150" s="98">
        <v>4.4000000000000004</v>
      </c>
      <c r="AC150" s="63"/>
      <c r="AD150" s="99">
        <f t="shared" si="120"/>
        <v>1.3999999999999995</v>
      </c>
      <c r="AE150" s="410">
        <v>5.8</v>
      </c>
      <c r="AF150" s="63"/>
      <c r="AG150" s="63"/>
      <c r="AH150" s="63"/>
      <c r="AI150" s="63"/>
      <c r="AJ150" s="413"/>
      <c r="AK150" s="63"/>
      <c r="AL150" s="63"/>
      <c r="AM150" s="63"/>
      <c r="AN150" s="63"/>
      <c r="AO150" s="413"/>
      <c r="AP150" s="63"/>
      <c r="AQ150" s="63"/>
      <c r="AR150" s="63"/>
      <c r="AS150" s="63"/>
      <c r="AT150" s="413"/>
      <c r="AU150" s="63"/>
      <c r="AV150" s="63"/>
      <c r="AW150" s="63"/>
      <c r="AX150" s="63"/>
      <c r="AY150" s="413"/>
      <c r="AZ150" s="63"/>
      <c r="BA150" s="63"/>
      <c r="BB150" s="63"/>
      <c r="BC150" s="63"/>
      <c r="BD150" s="413"/>
      <c r="BE150" s="63"/>
      <c r="BF150" s="63"/>
      <c r="BG150" s="63"/>
      <c r="BH150" s="63"/>
      <c r="BI150" s="413"/>
      <c r="BJ150" s="63"/>
      <c r="BK150" s="63"/>
      <c r="BL150" s="63"/>
      <c r="BM150" s="63"/>
      <c r="BN150" s="413"/>
      <c r="BO150" s="63"/>
      <c r="BP150" s="63"/>
      <c r="BQ150" s="63"/>
      <c r="BR150" s="63"/>
      <c r="BS150" s="425"/>
      <c r="BT150" s="63"/>
      <c r="BU150" s="63"/>
      <c r="BV150" s="63"/>
      <c r="BW150" s="63"/>
      <c r="BX150" s="413"/>
      <c r="BY150" s="63"/>
      <c r="BZ150" s="63"/>
      <c r="CA150" s="63"/>
      <c r="CB150" s="63"/>
      <c r="CC150" s="413"/>
      <c r="CD150" s="413"/>
      <c r="CE150" s="413"/>
      <c r="CF150" s="413"/>
      <c r="CG150" s="99"/>
    </row>
    <row r="151" spans="1:85" ht="14.45" hidden="1" customHeight="1" x14ac:dyDescent="0.25">
      <c r="A151" s="125" t="s">
        <v>288</v>
      </c>
      <c r="B151" s="97"/>
      <c r="C151" s="413"/>
      <c r="D151" s="413"/>
      <c r="E151" s="413"/>
      <c r="F151" s="413"/>
      <c r="G151" s="63"/>
      <c r="H151" s="63"/>
      <c r="I151" s="63"/>
      <c r="J151" s="63"/>
      <c r="K151" s="413"/>
      <c r="L151" s="63"/>
      <c r="M151" s="63"/>
      <c r="N151" s="63"/>
      <c r="O151" s="99">
        <f t="shared" si="118"/>
        <v>0</v>
      </c>
      <c r="P151" s="413"/>
      <c r="Q151" s="63"/>
      <c r="R151" s="98">
        <v>1.3</v>
      </c>
      <c r="S151" s="98">
        <v>1.8</v>
      </c>
      <c r="T151" s="99">
        <f t="shared" si="121"/>
        <v>2.8000000000000003</v>
      </c>
      <c r="U151" s="410">
        <v>5.9</v>
      </c>
      <c r="V151" s="98">
        <v>1.7</v>
      </c>
      <c r="W151" s="98">
        <v>1.8</v>
      </c>
      <c r="X151" s="63"/>
      <c r="Y151" s="99">
        <f t="shared" si="119"/>
        <v>3.0999999999999996</v>
      </c>
      <c r="Z151" s="410">
        <v>6.6</v>
      </c>
      <c r="AA151" s="63"/>
      <c r="AB151" s="98">
        <v>2.6</v>
      </c>
      <c r="AC151" s="63"/>
      <c r="AD151" s="99">
        <f t="shared" si="120"/>
        <v>6.5</v>
      </c>
      <c r="AE151" s="410">
        <v>9.1</v>
      </c>
      <c r="AF151" s="63"/>
      <c r="AG151" s="63"/>
      <c r="AH151" s="63"/>
      <c r="AI151" s="63"/>
      <c r="AJ151" s="413"/>
      <c r="AK151" s="63"/>
      <c r="AL151" s="63"/>
      <c r="AM151" s="63"/>
      <c r="AN151" s="63"/>
      <c r="AO151" s="413"/>
      <c r="AP151" s="63"/>
      <c r="AQ151" s="63"/>
      <c r="AR151" s="63"/>
      <c r="AS151" s="63"/>
      <c r="AT151" s="413"/>
      <c r="AU151" s="63"/>
      <c r="AV151" s="63"/>
      <c r="AW151" s="63"/>
      <c r="AX151" s="63"/>
      <c r="AY151" s="413"/>
      <c r="AZ151" s="63"/>
      <c r="BA151" s="63"/>
      <c r="BB151" s="63"/>
      <c r="BC151" s="63"/>
      <c r="BD151" s="413"/>
      <c r="BE151" s="63"/>
      <c r="BF151" s="63"/>
      <c r="BG151" s="63"/>
      <c r="BH151" s="63"/>
      <c r="BI151" s="413"/>
      <c r="BJ151" s="63"/>
      <c r="BK151" s="63"/>
      <c r="BL151" s="63"/>
      <c r="BM151" s="63"/>
      <c r="BN151" s="413"/>
      <c r="BO151" s="63"/>
      <c r="BP151" s="63"/>
      <c r="BQ151" s="63"/>
      <c r="BR151" s="63"/>
      <c r="BS151" s="425"/>
      <c r="BT151" s="63"/>
      <c r="BU151" s="63"/>
      <c r="BV151" s="63"/>
      <c r="BW151" s="63"/>
      <c r="BX151" s="413"/>
      <c r="BY151" s="63"/>
      <c r="BZ151" s="63"/>
      <c r="CA151" s="63"/>
      <c r="CB151" s="63"/>
      <c r="CC151" s="413"/>
      <c r="CD151" s="413"/>
      <c r="CE151" s="413"/>
      <c r="CF151" s="413"/>
      <c r="CG151" s="99"/>
    </row>
    <row r="152" spans="1:85" ht="14.45" hidden="1" customHeight="1" x14ac:dyDescent="0.25">
      <c r="A152" s="125" t="s">
        <v>289</v>
      </c>
      <c r="B152" s="97"/>
      <c r="C152" s="413"/>
      <c r="D152" s="410">
        <v>2.7</v>
      </c>
      <c r="E152" s="410">
        <v>-0.5</v>
      </c>
      <c r="F152" s="410">
        <v>2.4</v>
      </c>
      <c r="G152" s="63"/>
      <c r="H152" s="63"/>
      <c r="I152" s="63"/>
      <c r="J152" s="63"/>
      <c r="K152" s="410">
        <v>1.3</v>
      </c>
      <c r="L152" s="98">
        <v>1.2</v>
      </c>
      <c r="M152" s="63"/>
      <c r="N152" s="63"/>
      <c r="O152" s="99">
        <f t="shared" si="118"/>
        <v>-1.2</v>
      </c>
      <c r="P152" s="413"/>
      <c r="Q152" s="63"/>
      <c r="R152" s="98">
        <v>1.2</v>
      </c>
      <c r="S152" s="98">
        <v>1</v>
      </c>
      <c r="T152" s="99">
        <f t="shared" si="121"/>
        <v>2.5</v>
      </c>
      <c r="U152" s="410">
        <v>4.7</v>
      </c>
      <c r="V152" s="63"/>
      <c r="W152" s="98">
        <v>1.7</v>
      </c>
      <c r="X152" s="63"/>
      <c r="Y152" s="99">
        <f t="shared" si="119"/>
        <v>-1.7</v>
      </c>
      <c r="Z152" s="413"/>
      <c r="AA152" s="63"/>
      <c r="AB152" s="63"/>
      <c r="AC152" s="63"/>
      <c r="AD152" s="99">
        <f t="shared" si="120"/>
        <v>0</v>
      </c>
      <c r="AE152" s="413"/>
      <c r="AF152" s="63"/>
      <c r="AG152" s="63"/>
      <c r="AH152" s="63"/>
      <c r="AI152" s="63"/>
      <c r="AJ152" s="413"/>
      <c r="AK152" s="63"/>
      <c r="AL152" s="63"/>
      <c r="AM152" s="63"/>
      <c r="AN152" s="63"/>
      <c r="AO152" s="413"/>
      <c r="AP152" s="63"/>
      <c r="AQ152" s="63"/>
      <c r="AR152" s="63"/>
      <c r="AS152" s="63"/>
      <c r="AT152" s="413"/>
      <c r="AU152" s="63"/>
      <c r="AV152" s="63"/>
      <c r="AW152" s="63"/>
      <c r="AX152" s="63"/>
      <c r="AY152" s="413"/>
      <c r="AZ152" s="63"/>
      <c r="BA152" s="63"/>
      <c r="BB152" s="63"/>
      <c r="BC152" s="63"/>
      <c r="BD152" s="413"/>
      <c r="BE152" s="63"/>
      <c r="BF152" s="63"/>
      <c r="BG152" s="63"/>
      <c r="BH152" s="63"/>
      <c r="BI152" s="413"/>
      <c r="BJ152" s="63"/>
      <c r="BK152" s="63"/>
      <c r="BL152" s="63"/>
      <c r="BM152" s="63"/>
      <c r="BN152" s="413"/>
      <c r="BO152" s="63"/>
      <c r="BP152" s="63"/>
      <c r="BQ152" s="63"/>
      <c r="BR152" s="63"/>
      <c r="BS152" s="425"/>
      <c r="BT152" s="63"/>
      <c r="BU152" s="63"/>
      <c r="BV152" s="63"/>
      <c r="BW152" s="63"/>
      <c r="BX152" s="413"/>
      <c r="BY152" s="63"/>
      <c r="BZ152" s="63"/>
      <c r="CA152" s="63"/>
      <c r="CB152" s="63"/>
      <c r="CC152" s="413"/>
      <c r="CD152" s="413"/>
      <c r="CE152" s="413"/>
      <c r="CF152" s="413"/>
      <c r="CG152" s="99"/>
    </row>
    <row r="153" spans="1:85" ht="14.45" hidden="1" customHeight="1" x14ac:dyDescent="0.25">
      <c r="A153" s="125" t="s">
        <v>290</v>
      </c>
      <c r="B153" s="97"/>
      <c r="C153" s="413"/>
      <c r="D153" s="413"/>
      <c r="E153" s="413"/>
      <c r="F153" s="410">
        <v>1.3</v>
      </c>
      <c r="G153" s="63"/>
      <c r="H153" s="63"/>
      <c r="I153" s="63"/>
      <c r="J153" s="63"/>
      <c r="K153" s="413"/>
      <c r="L153" s="63"/>
      <c r="M153" s="63"/>
      <c r="N153" s="63"/>
      <c r="O153" s="99">
        <f t="shared" si="118"/>
        <v>1.3</v>
      </c>
      <c r="P153" s="410">
        <v>1.3</v>
      </c>
      <c r="Q153" s="98">
        <v>1.3</v>
      </c>
      <c r="R153" s="98">
        <v>1.2</v>
      </c>
      <c r="S153" s="98">
        <v>1.3</v>
      </c>
      <c r="T153" s="99">
        <f t="shared" si="121"/>
        <v>0.20000000000000018</v>
      </c>
      <c r="U153" s="410">
        <v>4</v>
      </c>
      <c r="V153" s="98">
        <v>1.3</v>
      </c>
      <c r="W153" s="98">
        <v>1.2</v>
      </c>
      <c r="X153" s="63"/>
      <c r="Y153" s="99">
        <f t="shared" si="119"/>
        <v>3.5999999999999996</v>
      </c>
      <c r="Z153" s="410">
        <v>6.1</v>
      </c>
      <c r="AA153" s="63"/>
      <c r="AB153" s="63"/>
      <c r="AC153" s="98">
        <v>2.5</v>
      </c>
      <c r="AD153" s="99">
        <f t="shared" si="120"/>
        <v>4</v>
      </c>
      <c r="AE153" s="410">
        <v>6.5</v>
      </c>
      <c r="AF153" s="63"/>
      <c r="AG153" s="63"/>
      <c r="AH153" s="63"/>
      <c r="AI153" s="63"/>
      <c r="AJ153" s="413"/>
      <c r="AK153" s="63"/>
      <c r="AL153" s="63"/>
      <c r="AM153" s="63"/>
      <c r="AN153" s="63"/>
      <c r="AO153" s="413"/>
      <c r="AP153" s="63"/>
      <c r="AQ153" s="63"/>
      <c r="AR153" s="63"/>
      <c r="AS153" s="63"/>
      <c r="AT153" s="413"/>
      <c r="AU153" s="63"/>
      <c r="AV153" s="63"/>
      <c r="AW153" s="63"/>
      <c r="AX153" s="63"/>
      <c r="AY153" s="413"/>
      <c r="AZ153" s="63"/>
      <c r="BA153" s="63"/>
      <c r="BB153" s="63"/>
      <c r="BC153" s="63"/>
      <c r="BD153" s="413"/>
      <c r="BE153" s="63"/>
      <c r="BF153" s="63"/>
      <c r="BG153" s="63"/>
      <c r="BH153" s="63"/>
      <c r="BI153" s="413"/>
      <c r="BJ153" s="63"/>
      <c r="BK153" s="63"/>
      <c r="BL153" s="63"/>
      <c r="BM153" s="63"/>
      <c r="BN153" s="413"/>
      <c r="BO153" s="63"/>
      <c r="BP153" s="63"/>
      <c r="BQ153" s="63"/>
      <c r="BR153" s="63"/>
      <c r="BS153" s="425"/>
      <c r="BT153" s="63"/>
      <c r="BU153" s="63"/>
      <c r="BV153" s="63"/>
      <c r="BW153" s="63"/>
      <c r="BX153" s="413"/>
      <c r="BY153" s="63"/>
      <c r="BZ153" s="63"/>
      <c r="CA153" s="63"/>
      <c r="CB153" s="63"/>
      <c r="CC153" s="413"/>
      <c r="CD153" s="413"/>
      <c r="CE153" s="413"/>
      <c r="CF153" s="413"/>
      <c r="CG153" s="99"/>
    </row>
    <row r="154" spans="1:85" ht="14.45" hidden="1" customHeight="1" x14ac:dyDescent="0.25">
      <c r="A154" s="125" t="s">
        <v>291</v>
      </c>
      <c r="B154" s="97"/>
      <c r="C154" s="413"/>
      <c r="D154" s="413"/>
      <c r="E154" s="413"/>
      <c r="F154" s="413"/>
      <c r="G154" s="63"/>
      <c r="H154" s="63"/>
      <c r="I154" s="63"/>
      <c r="J154" s="63"/>
      <c r="K154" s="413"/>
      <c r="L154" s="63"/>
      <c r="M154" s="63"/>
      <c r="N154" s="63"/>
      <c r="O154" s="99">
        <f t="shared" si="118"/>
        <v>0</v>
      </c>
      <c r="P154" s="413"/>
      <c r="Q154" s="63"/>
      <c r="R154" s="63"/>
      <c r="S154" s="63"/>
      <c r="T154" s="99">
        <f t="shared" si="121"/>
        <v>0</v>
      </c>
      <c r="U154" s="413"/>
      <c r="V154" s="63"/>
      <c r="W154" s="63"/>
      <c r="X154" s="63"/>
      <c r="Y154" s="99">
        <f t="shared" si="119"/>
        <v>0</v>
      </c>
      <c r="Z154" s="413"/>
      <c r="AA154" s="63"/>
      <c r="AB154" s="63"/>
      <c r="AC154" s="63"/>
      <c r="AD154" s="99">
        <f t="shared" si="120"/>
        <v>0</v>
      </c>
      <c r="AE154" s="413"/>
      <c r="AF154" s="63"/>
      <c r="AG154" s="63"/>
      <c r="AH154" s="63"/>
      <c r="AI154" s="63"/>
      <c r="AJ154" s="413"/>
      <c r="AK154" s="63"/>
      <c r="AL154" s="63"/>
      <c r="AM154" s="63"/>
      <c r="AN154" s="99">
        <f>AO154-SUM(AK154,AL154,AM154)</f>
        <v>0</v>
      </c>
      <c r="AO154" s="413"/>
      <c r="AP154" s="63"/>
      <c r="AQ154" s="98">
        <v>-8.6</v>
      </c>
      <c r="AR154" s="63"/>
      <c r="AS154" s="99">
        <f>AT154-SUM(AP154,AQ154,AR154)</f>
        <v>-19</v>
      </c>
      <c r="AT154" s="410">
        <v>-27.6</v>
      </c>
      <c r="AU154" s="63"/>
      <c r="AV154" s="63"/>
      <c r="AW154" s="63"/>
      <c r="AX154" s="63"/>
      <c r="AY154" s="413"/>
      <c r="AZ154" s="63"/>
      <c r="BA154" s="63"/>
      <c r="BB154" s="63"/>
      <c r="BC154" s="63"/>
      <c r="BD154" s="413"/>
      <c r="BE154" s="63"/>
      <c r="BF154" s="63"/>
      <c r="BG154" s="63"/>
      <c r="BH154" s="63"/>
      <c r="BI154" s="413"/>
      <c r="BJ154" s="63"/>
      <c r="BK154" s="63"/>
      <c r="BL154" s="63"/>
      <c r="BM154" s="63"/>
      <c r="BN154" s="413"/>
      <c r="BO154" s="63"/>
      <c r="BP154" s="63"/>
      <c r="BQ154" s="63"/>
      <c r="BR154" s="63"/>
      <c r="BS154" s="425"/>
      <c r="BT154" s="63"/>
      <c r="BU154" s="63"/>
      <c r="BV154" s="63"/>
      <c r="BW154" s="63"/>
      <c r="BX154" s="413"/>
      <c r="BY154" s="63"/>
      <c r="BZ154" s="63"/>
      <c r="CA154" s="63"/>
      <c r="CB154" s="63"/>
      <c r="CC154" s="413"/>
      <c r="CD154" s="413"/>
      <c r="CE154" s="413"/>
      <c r="CF154" s="413"/>
      <c r="CG154" s="99"/>
    </row>
    <row r="155" spans="1:85" ht="14.45" hidden="1" customHeight="1" x14ac:dyDescent="0.25">
      <c r="A155" s="125" t="s">
        <v>292</v>
      </c>
      <c r="B155" s="97"/>
      <c r="C155" s="413"/>
      <c r="D155" s="413"/>
      <c r="E155" s="413"/>
      <c r="F155" s="413"/>
      <c r="G155" s="63"/>
      <c r="H155" s="63"/>
      <c r="I155" s="63"/>
      <c r="J155" s="63"/>
      <c r="K155" s="413"/>
      <c r="L155" s="63"/>
      <c r="M155" s="63"/>
      <c r="N155" s="63"/>
      <c r="O155" s="99">
        <f t="shared" si="118"/>
        <v>0</v>
      </c>
      <c r="P155" s="413"/>
      <c r="Q155" s="63"/>
      <c r="R155" s="63"/>
      <c r="S155" s="63"/>
      <c r="T155" s="99">
        <f t="shared" si="121"/>
        <v>0</v>
      </c>
      <c r="U155" s="413"/>
      <c r="V155" s="63"/>
      <c r="W155" s="63"/>
      <c r="X155" s="63"/>
      <c r="Y155" s="99">
        <f t="shared" si="119"/>
        <v>0</v>
      </c>
      <c r="Z155" s="413"/>
      <c r="AA155" s="63"/>
      <c r="AB155" s="63"/>
      <c r="AC155" s="63"/>
      <c r="AD155" s="99">
        <f t="shared" si="120"/>
        <v>23.2</v>
      </c>
      <c r="AE155" s="410">
        <v>23.2</v>
      </c>
      <c r="AF155" s="63"/>
      <c r="AG155" s="63"/>
      <c r="AH155" s="63"/>
      <c r="AI155" s="63"/>
      <c r="AJ155" s="413"/>
      <c r="AK155" s="98">
        <v>-7.5</v>
      </c>
      <c r="AL155" s="98">
        <v>-7.7</v>
      </c>
      <c r="AM155" s="63"/>
      <c r="AN155" s="99">
        <f>AO155-SUM(AK155,AL155,AM155)</f>
        <v>-21.2</v>
      </c>
      <c r="AO155" s="410">
        <v>-36.4</v>
      </c>
      <c r="AP155" s="98">
        <v>-4.7</v>
      </c>
      <c r="AQ155" s="98">
        <v>-2.2000000000000002</v>
      </c>
      <c r="AR155" s="63"/>
      <c r="AS155" s="99">
        <f>AT155-SUM(AP155,AQ155,AR155)</f>
        <v>6.9</v>
      </c>
      <c r="AT155" s="413"/>
      <c r="AU155" s="63"/>
      <c r="AV155" s="63"/>
      <c r="AW155" s="63"/>
      <c r="AX155" s="63"/>
      <c r="AY155" s="413"/>
      <c r="AZ155" s="63"/>
      <c r="BA155" s="63"/>
      <c r="BB155" s="63"/>
      <c r="BC155" s="63"/>
      <c r="BD155" s="413"/>
      <c r="BE155" s="63"/>
      <c r="BF155" s="63"/>
      <c r="BG155" s="63"/>
      <c r="BH155" s="63"/>
      <c r="BI155" s="413"/>
      <c r="BJ155" s="63"/>
      <c r="BK155" s="63"/>
      <c r="BL155" s="63"/>
      <c r="BM155" s="63"/>
      <c r="BN155" s="413"/>
      <c r="BO155" s="63"/>
      <c r="BP155" s="63"/>
      <c r="BQ155" s="63"/>
      <c r="BR155" s="63"/>
      <c r="BS155" s="425"/>
      <c r="BT155" s="63"/>
      <c r="BU155" s="63"/>
      <c r="BV155" s="63"/>
      <c r="BW155" s="63"/>
      <c r="BX155" s="413"/>
      <c r="BY155" s="63"/>
      <c r="BZ155" s="63"/>
      <c r="CA155" s="63"/>
      <c r="CB155" s="63"/>
      <c r="CC155" s="413"/>
      <c r="CD155" s="413"/>
      <c r="CE155" s="413"/>
      <c r="CF155" s="413"/>
      <c r="CG155" s="99"/>
    </row>
    <row r="156" spans="1:85" ht="14.45" hidden="1" customHeight="1" x14ac:dyDescent="0.25">
      <c r="A156" s="125" t="s">
        <v>293</v>
      </c>
      <c r="B156" s="97"/>
      <c r="C156" s="413"/>
      <c r="D156" s="413"/>
      <c r="E156" s="413"/>
      <c r="F156" s="413"/>
      <c r="G156" s="63"/>
      <c r="H156" s="63"/>
      <c r="I156" s="63"/>
      <c r="J156" s="63"/>
      <c r="K156" s="413"/>
      <c r="L156" s="63"/>
      <c r="M156" s="63"/>
      <c r="N156" s="63"/>
      <c r="O156" s="99">
        <f t="shared" si="118"/>
        <v>0</v>
      </c>
      <c r="P156" s="413"/>
      <c r="Q156" s="63"/>
      <c r="R156" s="63"/>
      <c r="S156" s="63"/>
      <c r="T156" s="99">
        <f t="shared" si="121"/>
        <v>1.4</v>
      </c>
      <c r="U156" s="410">
        <v>1.4</v>
      </c>
      <c r="V156" s="63"/>
      <c r="W156" s="98">
        <v>1.1000000000000001</v>
      </c>
      <c r="X156" s="63"/>
      <c r="Y156" s="99">
        <f t="shared" si="119"/>
        <v>4.5999999999999996</v>
      </c>
      <c r="Z156" s="410">
        <v>5.7</v>
      </c>
      <c r="AA156" s="63"/>
      <c r="AB156" s="98">
        <v>2.4</v>
      </c>
      <c r="AC156" s="63"/>
      <c r="AD156" s="99">
        <f t="shared" si="120"/>
        <v>4.4000000000000004</v>
      </c>
      <c r="AE156" s="410">
        <v>6.8</v>
      </c>
      <c r="AF156" s="63"/>
      <c r="AG156" s="63"/>
      <c r="AH156" s="63"/>
      <c r="AI156" s="63"/>
      <c r="AJ156" s="413"/>
      <c r="AK156" s="63"/>
      <c r="AL156" s="63"/>
      <c r="AM156" s="63"/>
      <c r="AN156" s="63"/>
      <c r="AO156" s="413"/>
      <c r="AP156" s="63"/>
      <c r="AQ156" s="63"/>
      <c r="AR156" s="63"/>
      <c r="AS156" s="63"/>
      <c r="AT156" s="413"/>
      <c r="AU156" s="63"/>
      <c r="AV156" s="63"/>
      <c r="AW156" s="63"/>
      <c r="AX156" s="63"/>
      <c r="AY156" s="413"/>
      <c r="AZ156" s="63"/>
      <c r="BA156" s="63"/>
      <c r="BB156" s="63"/>
      <c r="BC156" s="63"/>
      <c r="BD156" s="413"/>
      <c r="BE156" s="63"/>
      <c r="BF156" s="63"/>
      <c r="BG156" s="63"/>
      <c r="BH156" s="63"/>
      <c r="BI156" s="413"/>
      <c r="BJ156" s="63"/>
      <c r="BK156" s="63"/>
      <c r="BL156" s="63"/>
      <c r="BM156" s="63"/>
      <c r="BN156" s="413"/>
      <c r="BO156" s="63"/>
      <c r="BP156" s="63"/>
      <c r="BQ156" s="63"/>
      <c r="BR156" s="63"/>
      <c r="BS156" s="425"/>
      <c r="BT156" s="63"/>
      <c r="BU156" s="63"/>
      <c r="BV156" s="63"/>
      <c r="BW156" s="63"/>
      <c r="BX156" s="413"/>
      <c r="BY156" s="63"/>
      <c r="BZ156" s="63"/>
      <c r="CA156" s="63"/>
      <c r="CB156" s="63"/>
      <c r="CC156" s="413"/>
      <c r="CD156" s="413"/>
      <c r="CE156" s="413"/>
      <c r="CF156" s="413"/>
      <c r="CG156" s="99"/>
    </row>
    <row r="157" spans="1:85" ht="14.45" hidden="1" customHeight="1" x14ac:dyDescent="0.25">
      <c r="A157" s="125" t="s">
        <v>294</v>
      </c>
      <c r="B157" s="97"/>
      <c r="C157" s="413"/>
      <c r="D157" s="413"/>
      <c r="E157" s="413"/>
      <c r="F157" s="413"/>
      <c r="G157" s="63"/>
      <c r="H157" s="63"/>
      <c r="I157" s="63"/>
      <c r="J157" s="63"/>
      <c r="K157" s="413"/>
      <c r="L157" s="63"/>
      <c r="M157" s="63"/>
      <c r="N157" s="63"/>
      <c r="O157" s="99">
        <f t="shared" si="118"/>
        <v>0</v>
      </c>
      <c r="P157" s="413"/>
      <c r="Q157" s="63"/>
      <c r="R157" s="63"/>
      <c r="S157" s="63"/>
      <c r="T157" s="99">
        <f t="shared" si="121"/>
        <v>2.4</v>
      </c>
      <c r="U157" s="410">
        <v>2.4</v>
      </c>
      <c r="V157" s="63"/>
      <c r="W157" s="63"/>
      <c r="X157" s="63"/>
      <c r="Y157" s="99">
        <f t="shared" si="119"/>
        <v>4.5999999999999996</v>
      </c>
      <c r="Z157" s="410">
        <v>4.5999999999999996</v>
      </c>
      <c r="AA157" s="63"/>
      <c r="AB157" s="63"/>
      <c r="AC157" s="63"/>
      <c r="AD157" s="99">
        <f t="shared" si="120"/>
        <v>4.5</v>
      </c>
      <c r="AE157" s="410">
        <v>4.5</v>
      </c>
      <c r="AF157" s="63"/>
      <c r="AG157" s="63"/>
      <c r="AH157" s="63"/>
      <c r="AI157" s="63"/>
      <c r="AJ157" s="413"/>
      <c r="AK157" s="63"/>
      <c r="AL157" s="63"/>
      <c r="AM157" s="63"/>
      <c r="AN157" s="63"/>
      <c r="AO157" s="413"/>
      <c r="AP157" s="63"/>
      <c r="AQ157" s="63"/>
      <c r="AR157" s="63"/>
      <c r="AS157" s="63"/>
      <c r="AT157" s="413"/>
      <c r="AU157" s="63"/>
      <c r="AV157" s="63"/>
      <c r="AW157" s="63"/>
      <c r="AX157" s="63"/>
      <c r="AY157" s="413"/>
      <c r="AZ157" s="63"/>
      <c r="BA157" s="63"/>
      <c r="BB157" s="63"/>
      <c r="BC157" s="63"/>
      <c r="BD157" s="413"/>
      <c r="BE157" s="63"/>
      <c r="BF157" s="63"/>
      <c r="BG157" s="63"/>
      <c r="BH157" s="63"/>
      <c r="BI157" s="413"/>
      <c r="BJ157" s="63"/>
      <c r="BK157" s="63"/>
      <c r="BL157" s="63"/>
      <c r="BM157" s="63"/>
      <c r="BN157" s="413"/>
      <c r="BO157" s="63"/>
      <c r="BP157" s="63"/>
      <c r="BQ157" s="63"/>
      <c r="BR157" s="63"/>
      <c r="BS157" s="425"/>
      <c r="BT157" s="63"/>
      <c r="BU157" s="63"/>
      <c r="BV157" s="63"/>
      <c r="BW157" s="63"/>
      <c r="BX157" s="413"/>
      <c r="BY157" s="63"/>
      <c r="BZ157" s="63"/>
      <c r="CA157" s="63"/>
      <c r="CB157" s="63"/>
      <c r="CC157" s="413"/>
      <c r="CD157" s="413"/>
      <c r="CE157" s="413"/>
      <c r="CF157" s="413"/>
      <c r="CG157" s="99"/>
    </row>
    <row r="158" spans="1:85" ht="14.45" hidden="1" customHeight="1" x14ac:dyDescent="0.25">
      <c r="A158" s="125" t="s">
        <v>295</v>
      </c>
      <c r="B158" s="97"/>
      <c r="C158" s="413"/>
      <c r="D158" s="413"/>
      <c r="E158" s="413"/>
      <c r="F158" s="413"/>
      <c r="G158" s="63"/>
      <c r="H158" s="63"/>
      <c r="I158" s="63"/>
      <c r="J158" s="63"/>
      <c r="K158" s="413"/>
      <c r="L158" s="63"/>
      <c r="M158" s="63"/>
      <c r="N158" s="63"/>
      <c r="O158" s="99">
        <f t="shared" si="118"/>
        <v>0</v>
      </c>
      <c r="P158" s="413"/>
      <c r="Q158" s="63"/>
      <c r="R158" s="63"/>
      <c r="S158" s="63"/>
      <c r="T158" s="99">
        <f t="shared" si="121"/>
        <v>0</v>
      </c>
      <c r="U158" s="413"/>
      <c r="V158" s="63"/>
      <c r="W158" s="98">
        <v>1.1000000000000001</v>
      </c>
      <c r="X158" s="63"/>
      <c r="Y158" s="99">
        <f t="shared" si="119"/>
        <v>3.1</v>
      </c>
      <c r="Z158" s="410">
        <v>4.2</v>
      </c>
      <c r="AA158" s="63"/>
      <c r="AB158" s="63"/>
      <c r="AC158" s="63"/>
      <c r="AD158" s="99">
        <f t="shared" si="120"/>
        <v>5</v>
      </c>
      <c r="AE158" s="410">
        <v>5</v>
      </c>
      <c r="AF158" s="63"/>
      <c r="AG158" s="63"/>
      <c r="AH158" s="63"/>
      <c r="AI158" s="63"/>
      <c r="AJ158" s="413"/>
      <c r="AK158" s="63"/>
      <c r="AL158" s="63"/>
      <c r="AM158" s="63"/>
      <c r="AN158" s="63"/>
      <c r="AO158" s="413"/>
      <c r="AP158" s="63"/>
      <c r="AQ158" s="63"/>
      <c r="AR158" s="63"/>
      <c r="AS158" s="63"/>
      <c r="AT158" s="413"/>
      <c r="AU158" s="63"/>
      <c r="AV158" s="63"/>
      <c r="AW158" s="63"/>
      <c r="AX158" s="63"/>
      <c r="AY158" s="413"/>
      <c r="AZ158" s="63"/>
      <c r="BA158" s="63"/>
      <c r="BB158" s="63"/>
      <c r="BC158" s="63"/>
      <c r="BD158" s="413"/>
      <c r="BE158" s="63"/>
      <c r="BF158" s="63"/>
      <c r="BG158" s="63"/>
      <c r="BH158" s="63"/>
      <c r="BI158" s="413"/>
      <c r="BJ158" s="63"/>
      <c r="BK158" s="63"/>
      <c r="BL158" s="63"/>
      <c r="BM158" s="63"/>
      <c r="BN158" s="413"/>
      <c r="BO158" s="63"/>
      <c r="BP158" s="63"/>
      <c r="BQ158" s="63"/>
      <c r="BR158" s="63"/>
      <c r="BS158" s="425"/>
      <c r="BT158" s="63"/>
      <c r="BU158" s="63"/>
      <c r="BV158" s="63"/>
      <c r="BW158" s="63"/>
      <c r="BX158" s="413"/>
      <c r="BY158" s="63"/>
      <c r="BZ158" s="63"/>
      <c r="CA158" s="63"/>
      <c r="CB158" s="63"/>
      <c r="CC158" s="413"/>
      <c r="CD158" s="413"/>
      <c r="CE158" s="413"/>
      <c r="CF158" s="413"/>
      <c r="CG158" s="99"/>
    </row>
    <row r="159" spans="1:85" ht="14.45" hidden="1" customHeight="1" x14ac:dyDescent="0.25">
      <c r="A159" s="125" t="s">
        <v>296</v>
      </c>
      <c r="B159" s="97"/>
      <c r="C159" s="413"/>
      <c r="D159" s="413"/>
      <c r="E159" s="413"/>
      <c r="F159" s="413"/>
      <c r="G159" s="63"/>
      <c r="H159" s="63"/>
      <c r="I159" s="63"/>
      <c r="J159" s="63"/>
      <c r="K159" s="413"/>
      <c r="L159" s="63"/>
      <c r="M159" s="63"/>
      <c r="N159" s="63"/>
      <c r="O159" s="99">
        <f t="shared" si="118"/>
        <v>0</v>
      </c>
      <c r="P159" s="413"/>
      <c r="Q159" s="63"/>
      <c r="R159" s="63"/>
      <c r="S159" s="63"/>
      <c r="T159" s="99">
        <f t="shared" si="121"/>
        <v>0</v>
      </c>
      <c r="U159" s="413"/>
      <c r="V159" s="63"/>
      <c r="W159" s="63"/>
      <c r="X159" s="63"/>
      <c r="Y159" s="99">
        <f t="shared" si="119"/>
        <v>4</v>
      </c>
      <c r="Z159" s="410">
        <v>4</v>
      </c>
      <c r="AA159" s="63"/>
      <c r="AB159" s="63"/>
      <c r="AC159" s="63"/>
      <c r="AD159" s="99">
        <f t="shared" si="120"/>
        <v>0</v>
      </c>
      <c r="AE159" s="413"/>
      <c r="AF159" s="63"/>
      <c r="AG159" s="63"/>
      <c r="AH159" s="63"/>
      <c r="AI159" s="63"/>
      <c r="AJ159" s="413"/>
      <c r="AK159" s="63"/>
      <c r="AL159" s="63"/>
      <c r="AM159" s="63"/>
      <c r="AN159" s="63"/>
      <c r="AO159" s="413"/>
      <c r="AP159" s="63"/>
      <c r="AQ159" s="63"/>
      <c r="AR159" s="63"/>
      <c r="AS159" s="63"/>
      <c r="AT159" s="413"/>
      <c r="AU159" s="63"/>
      <c r="AV159" s="63"/>
      <c r="AW159" s="63"/>
      <c r="AX159" s="63"/>
      <c r="AY159" s="413"/>
      <c r="AZ159" s="63"/>
      <c r="BA159" s="63"/>
      <c r="BB159" s="63"/>
      <c r="BC159" s="63"/>
      <c r="BD159" s="413"/>
      <c r="BE159" s="63"/>
      <c r="BF159" s="63"/>
      <c r="BG159" s="63"/>
      <c r="BH159" s="63"/>
      <c r="BI159" s="413"/>
      <c r="BJ159" s="63"/>
      <c r="BK159" s="63"/>
      <c r="BL159" s="63"/>
      <c r="BM159" s="63"/>
      <c r="BN159" s="413"/>
      <c r="BO159" s="63"/>
      <c r="BP159" s="63"/>
      <c r="BQ159" s="63"/>
      <c r="BR159" s="63"/>
      <c r="BS159" s="425"/>
      <c r="BT159" s="63"/>
      <c r="BU159" s="63"/>
      <c r="BV159" s="63"/>
      <c r="BW159" s="63"/>
      <c r="BX159" s="413"/>
      <c r="BY159" s="63"/>
      <c r="BZ159" s="63"/>
      <c r="CA159" s="63"/>
      <c r="CB159" s="63"/>
      <c r="CC159" s="413"/>
      <c r="CD159" s="413"/>
      <c r="CE159" s="413"/>
      <c r="CF159" s="413"/>
      <c r="CG159" s="99"/>
    </row>
    <row r="160" spans="1:85" ht="14.45" hidden="1" customHeight="1" x14ac:dyDescent="0.25">
      <c r="A160" s="125" t="s">
        <v>297</v>
      </c>
      <c r="B160" s="97"/>
      <c r="C160" s="413"/>
      <c r="D160" s="413"/>
      <c r="E160" s="413"/>
      <c r="F160" s="413"/>
      <c r="G160" s="63"/>
      <c r="H160" s="63"/>
      <c r="I160" s="63"/>
      <c r="J160" s="63"/>
      <c r="K160" s="413"/>
      <c r="L160" s="63"/>
      <c r="M160" s="63"/>
      <c r="N160" s="63"/>
      <c r="O160" s="99">
        <f t="shared" si="118"/>
        <v>0</v>
      </c>
      <c r="P160" s="413"/>
      <c r="Q160" s="63"/>
      <c r="R160" s="63"/>
      <c r="S160" s="63"/>
      <c r="T160" s="99">
        <f t="shared" si="121"/>
        <v>0</v>
      </c>
      <c r="U160" s="413"/>
      <c r="V160" s="63"/>
      <c r="W160" s="63"/>
      <c r="X160" s="98">
        <v>18</v>
      </c>
      <c r="Y160" s="99">
        <f t="shared" si="119"/>
        <v>1.8999999999999986</v>
      </c>
      <c r="Z160" s="410">
        <v>19.899999999999999</v>
      </c>
      <c r="AA160" s="98">
        <v>7.9</v>
      </c>
      <c r="AB160" s="98">
        <v>5.8</v>
      </c>
      <c r="AC160" s="98">
        <v>10.4</v>
      </c>
      <c r="AD160" s="99">
        <f t="shared" si="120"/>
        <v>-9.6000000000000014</v>
      </c>
      <c r="AE160" s="410">
        <v>14.5</v>
      </c>
      <c r="AF160" s="63"/>
      <c r="AG160" s="63"/>
      <c r="AH160" s="63"/>
      <c r="AI160" s="63"/>
      <c r="AJ160" s="413"/>
      <c r="AK160" s="63"/>
      <c r="AL160" s="63"/>
      <c r="AM160" s="63"/>
      <c r="AN160" s="63"/>
      <c r="AO160" s="413"/>
      <c r="AP160" s="63"/>
      <c r="AQ160" s="63"/>
      <c r="AR160" s="63"/>
      <c r="AS160" s="63"/>
      <c r="AT160" s="413"/>
      <c r="AU160" s="63"/>
      <c r="AV160" s="63"/>
      <c r="AW160" s="63"/>
      <c r="AX160" s="63"/>
      <c r="AY160" s="413"/>
      <c r="AZ160" s="63"/>
      <c r="BA160" s="63"/>
      <c r="BB160" s="63"/>
      <c r="BC160" s="63"/>
      <c r="BD160" s="413"/>
      <c r="BE160" s="63"/>
      <c r="BF160" s="63"/>
      <c r="BG160" s="63"/>
      <c r="BH160" s="63"/>
      <c r="BI160" s="413"/>
      <c r="BJ160" s="63"/>
      <c r="BK160" s="63"/>
      <c r="BL160" s="63"/>
      <c r="BM160" s="63"/>
      <c r="BN160" s="413"/>
      <c r="BO160" s="63"/>
      <c r="BP160" s="63"/>
      <c r="BQ160" s="63"/>
      <c r="BR160" s="63"/>
      <c r="BS160" s="425"/>
      <c r="BT160" s="63"/>
      <c r="BU160" s="63"/>
      <c r="BV160" s="63"/>
      <c r="BW160" s="63"/>
      <c r="BX160" s="413"/>
      <c r="BY160" s="63"/>
      <c r="BZ160" s="63"/>
      <c r="CA160" s="63"/>
      <c r="CB160" s="63"/>
      <c r="CC160" s="413"/>
      <c r="CD160" s="413"/>
      <c r="CE160" s="413"/>
      <c r="CF160" s="413"/>
      <c r="CG160" s="99"/>
    </row>
    <row r="161" spans="1:85" ht="14.45" hidden="1" customHeight="1" x14ac:dyDescent="0.25">
      <c r="A161" s="125" t="s">
        <v>298</v>
      </c>
      <c r="B161" s="97"/>
      <c r="C161" s="413"/>
      <c r="D161" s="413"/>
      <c r="E161" s="413"/>
      <c r="F161" s="413"/>
      <c r="G161" s="63"/>
      <c r="H161" s="63"/>
      <c r="I161" s="63"/>
      <c r="J161" s="63"/>
      <c r="K161" s="413"/>
      <c r="L161" s="63"/>
      <c r="M161" s="63"/>
      <c r="N161" s="63"/>
      <c r="O161" s="99">
        <f t="shared" si="118"/>
        <v>0</v>
      </c>
      <c r="P161" s="413"/>
      <c r="Q161" s="63"/>
      <c r="R161" s="63"/>
      <c r="S161" s="63"/>
      <c r="T161" s="99">
        <f t="shared" si="121"/>
        <v>1</v>
      </c>
      <c r="U161" s="410">
        <v>1</v>
      </c>
      <c r="V161" s="63"/>
      <c r="W161" s="63"/>
      <c r="X161" s="63"/>
      <c r="Y161" s="99">
        <f t="shared" si="119"/>
        <v>0</v>
      </c>
      <c r="Z161" s="413"/>
      <c r="AA161" s="63"/>
      <c r="AB161" s="63"/>
      <c r="AC161" s="63"/>
      <c r="AD161" s="99">
        <f t="shared" si="120"/>
        <v>0</v>
      </c>
      <c r="AE161" s="413"/>
      <c r="AF161" s="63"/>
      <c r="AG161" s="63"/>
      <c r="AH161" s="63"/>
      <c r="AI161" s="63"/>
      <c r="AJ161" s="413"/>
      <c r="AK161" s="63"/>
      <c r="AL161" s="63"/>
      <c r="AM161" s="63"/>
      <c r="AN161" s="63"/>
      <c r="AO161" s="413"/>
      <c r="AP161" s="63"/>
      <c r="AQ161" s="63"/>
      <c r="AR161" s="63"/>
      <c r="AS161" s="63"/>
      <c r="AT161" s="413"/>
      <c r="AU161" s="63"/>
      <c r="AV161" s="63"/>
      <c r="AW161" s="63"/>
      <c r="AX161" s="63"/>
      <c r="AY161" s="413"/>
      <c r="AZ161" s="63"/>
      <c r="BA161" s="63"/>
      <c r="BB161" s="63"/>
      <c r="BC161" s="63"/>
      <c r="BD161" s="413"/>
      <c r="BE161" s="63"/>
      <c r="BF161" s="63"/>
      <c r="BG161" s="63"/>
      <c r="BH161" s="63"/>
      <c r="BI161" s="413"/>
      <c r="BJ161" s="63"/>
      <c r="BK161" s="63"/>
      <c r="BL161" s="63"/>
      <c r="BM161" s="63"/>
      <c r="BN161" s="413"/>
      <c r="BO161" s="63"/>
      <c r="BP161" s="63"/>
      <c r="BQ161" s="63"/>
      <c r="BR161" s="63"/>
      <c r="BS161" s="425"/>
      <c r="BT161" s="63"/>
      <c r="BU161" s="63"/>
      <c r="BV161" s="63"/>
      <c r="BW161" s="63"/>
      <c r="BX161" s="413"/>
      <c r="BY161" s="63"/>
      <c r="BZ161" s="63"/>
      <c r="CA161" s="63"/>
      <c r="CB161" s="63"/>
      <c r="CC161" s="413"/>
      <c r="CD161" s="413"/>
      <c r="CE161" s="413"/>
      <c r="CF161" s="413"/>
      <c r="CG161" s="99"/>
    </row>
    <row r="162" spans="1:85" ht="14.45" hidden="1" customHeight="1" x14ac:dyDescent="0.25">
      <c r="A162" s="125" t="s">
        <v>299</v>
      </c>
      <c r="B162" s="97"/>
      <c r="C162" s="413"/>
      <c r="D162" s="413"/>
      <c r="E162" s="413"/>
      <c r="F162" s="413"/>
      <c r="G162" s="63"/>
      <c r="H162" s="63"/>
      <c r="I162" s="63"/>
      <c r="J162" s="63"/>
      <c r="K162" s="413"/>
      <c r="L162" s="63"/>
      <c r="M162" s="63"/>
      <c r="N162" s="63"/>
      <c r="O162" s="63"/>
      <c r="P162" s="413"/>
      <c r="Q162" s="63"/>
      <c r="R162" s="63"/>
      <c r="S162" s="63"/>
      <c r="T162" s="63"/>
      <c r="U162" s="413"/>
      <c r="V162" s="63"/>
      <c r="W162" s="63"/>
      <c r="X162" s="63"/>
      <c r="Y162" s="63"/>
      <c r="Z162" s="413"/>
      <c r="AA162" s="63"/>
      <c r="AB162" s="63"/>
      <c r="AC162" s="63"/>
      <c r="AD162" s="63"/>
      <c r="AE162" s="413"/>
      <c r="AF162" s="63"/>
      <c r="AG162" s="63"/>
      <c r="AH162" s="63"/>
      <c r="AI162" s="63"/>
      <c r="AJ162" s="413"/>
      <c r="AK162" s="63"/>
      <c r="AL162" s="63"/>
      <c r="AM162" s="63"/>
      <c r="AN162" s="63"/>
      <c r="AO162" s="413"/>
      <c r="AP162" s="63"/>
      <c r="AQ162" s="63"/>
      <c r="AR162" s="63"/>
      <c r="AS162" s="63"/>
      <c r="AT162" s="413"/>
      <c r="AU162" s="63"/>
      <c r="AV162" s="63"/>
      <c r="AW162" s="63"/>
      <c r="AX162" s="63">
        <f>AY162-SUM(AU162,AV162,AW162)</f>
        <v>11.2</v>
      </c>
      <c r="AY162" s="410">
        <v>11.2</v>
      </c>
      <c r="AZ162" s="63"/>
      <c r="BA162" s="98">
        <v>9.5</v>
      </c>
      <c r="BB162" s="98">
        <v>1.9</v>
      </c>
      <c r="BC162" s="63">
        <f>BD162-SUM(AZ162,BA162,BB162)</f>
        <v>3.5999999999999996</v>
      </c>
      <c r="BD162" s="410">
        <v>15</v>
      </c>
      <c r="BE162" s="63"/>
      <c r="BF162" s="98">
        <v>4</v>
      </c>
      <c r="BG162" s="98">
        <v>4</v>
      </c>
      <c r="BH162" s="63">
        <f>BI162-SUM(BE162,BF162,BG162)</f>
        <v>4</v>
      </c>
      <c r="BI162" s="410">
        <v>12</v>
      </c>
      <c r="BJ162" s="63"/>
      <c r="BK162" s="63"/>
      <c r="BL162" s="63"/>
      <c r="BM162" s="63">
        <f>BN162-SUM(BJ162,BK162,BL162)</f>
        <v>0</v>
      </c>
      <c r="BN162" s="413"/>
      <c r="BO162" s="63"/>
      <c r="BP162" s="63"/>
      <c r="BQ162" s="63"/>
      <c r="BR162" s="63">
        <f>BS162-SUM(BO162,BP162,BQ162)</f>
        <v>0</v>
      </c>
      <c r="BS162" s="425"/>
      <c r="BT162" s="63"/>
      <c r="BU162" s="63"/>
      <c r="BV162" s="63"/>
      <c r="BW162" s="63"/>
      <c r="BX162" s="413"/>
      <c r="BY162" s="63"/>
      <c r="BZ162" s="63"/>
      <c r="CA162" s="63"/>
      <c r="CB162" s="63"/>
      <c r="CC162" s="413"/>
      <c r="CD162" s="413"/>
      <c r="CE162" s="413"/>
      <c r="CF162" s="413"/>
      <c r="CG162" s="99"/>
    </row>
    <row r="163" spans="1:85" ht="14.45" hidden="1" customHeight="1" x14ac:dyDescent="0.25">
      <c r="A163" s="125" t="s">
        <v>249</v>
      </c>
      <c r="B163" s="97"/>
      <c r="C163" s="413"/>
      <c r="D163" s="410">
        <v>5.0999999999999996</v>
      </c>
      <c r="E163" s="410">
        <v>-0.7</v>
      </c>
      <c r="F163" s="410">
        <v>2.7</v>
      </c>
      <c r="G163" s="63"/>
      <c r="H163" s="63"/>
      <c r="I163" s="63"/>
      <c r="J163" s="63"/>
      <c r="K163" s="410">
        <v>1.4</v>
      </c>
      <c r="L163" s="98">
        <v>1.3</v>
      </c>
      <c r="M163" s="98">
        <v>1.7</v>
      </c>
      <c r="N163" s="98">
        <v>2.5</v>
      </c>
      <c r="O163" s="99">
        <f>P163-SUM(L163,M163,N163)</f>
        <v>4.0999999999999996</v>
      </c>
      <c r="P163" s="410">
        <v>9.6</v>
      </c>
      <c r="Q163" s="98">
        <v>3.5</v>
      </c>
      <c r="R163" s="98">
        <v>5.4</v>
      </c>
      <c r="S163" s="98">
        <v>5.6</v>
      </c>
      <c r="T163" s="99">
        <f>U163-SUM(Q163,R163,S163)</f>
        <v>1.6999999999999993</v>
      </c>
      <c r="U163" s="410">
        <v>16.2</v>
      </c>
      <c r="V163" s="98">
        <v>9.8000000000000007</v>
      </c>
      <c r="W163" s="98">
        <v>5.8</v>
      </c>
      <c r="X163" s="98">
        <v>12.4</v>
      </c>
      <c r="Y163" s="99">
        <f>Z163-SUM(V163,W163,X163)</f>
        <v>-19.399999999999999</v>
      </c>
      <c r="Z163" s="410">
        <v>8.6</v>
      </c>
      <c r="AA163" s="98">
        <v>12.6</v>
      </c>
      <c r="AB163" s="98">
        <v>4.2</v>
      </c>
      <c r="AC163" s="98">
        <v>3.8</v>
      </c>
      <c r="AD163" s="99">
        <f>AE163-SUM(AA163,AB163,AC163)</f>
        <v>-9.2000000000000011</v>
      </c>
      <c r="AE163" s="410">
        <v>11.4</v>
      </c>
      <c r="AF163" s="63"/>
      <c r="AG163" s="63"/>
      <c r="AH163" s="63"/>
      <c r="AI163" s="63"/>
      <c r="AJ163" s="413"/>
      <c r="AK163" s="98">
        <v>-2.9</v>
      </c>
      <c r="AL163" s="98">
        <v>0.6</v>
      </c>
      <c r="AM163" s="98">
        <v>-2</v>
      </c>
      <c r="AN163" s="99">
        <f>AO163-SUM(AK163,AL163,AM163)</f>
        <v>10.6</v>
      </c>
      <c r="AO163" s="410">
        <v>6.3</v>
      </c>
      <c r="AP163" s="98">
        <v>3.7</v>
      </c>
      <c r="AQ163" s="98">
        <v>1.5</v>
      </c>
      <c r="AR163" s="98">
        <v>-1.9</v>
      </c>
      <c r="AS163" s="99">
        <f>AT163-SUM(AP163,AQ163,AR163)</f>
        <v>0.49999999999999956</v>
      </c>
      <c r="AT163" s="410">
        <v>3.8</v>
      </c>
      <c r="AU163" s="98">
        <v>-1.6</v>
      </c>
      <c r="AV163" s="98">
        <v>3.7</v>
      </c>
      <c r="AW163" s="98">
        <v>2.6</v>
      </c>
      <c r="AX163" s="99">
        <f>AY163-SUM(AU163,AV163,AW163)</f>
        <v>0.39999999999999947</v>
      </c>
      <c r="AY163" s="410">
        <v>5.0999999999999996</v>
      </c>
      <c r="AZ163" s="98">
        <v>2.1</v>
      </c>
      <c r="BA163" s="98">
        <v>4.5999999999999996</v>
      </c>
      <c r="BB163" s="98">
        <v>8.8000000000000007</v>
      </c>
      <c r="BC163" s="99">
        <f t="shared" ref="BC163:BS163" si="122">BC164-SUM(BC130:BC162)</f>
        <v>8.1359999999997967</v>
      </c>
      <c r="BD163" s="467">
        <f t="shared" si="122"/>
        <v>31.890999999999849</v>
      </c>
      <c r="BE163" s="99">
        <f t="shared" si="122"/>
        <v>15.461000000000013</v>
      </c>
      <c r="BF163" s="99">
        <f t="shared" si="122"/>
        <v>7.5409999999999968</v>
      </c>
      <c r="BG163" s="99">
        <f t="shared" si="122"/>
        <v>0.11299999999999955</v>
      </c>
      <c r="BH163" s="99">
        <f t="shared" si="122"/>
        <v>-9.7619999999999436</v>
      </c>
      <c r="BI163" s="467">
        <f t="shared" si="122"/>
        <v>13.353000000000065</v>
      </c>
      <c r="BJ163" s="99">
        <f t="shared" si="122"/>
        <v>7.1009999999999991</v>
      </c>
      <c r="BK163" s="99">
        <f t="shared" si="122"/>
        <v>19.663000000000011</v>
      </c>
      <c r="BL163" s="99">
        <f t="shared" si="122"/>
        <v>25.690999999999974</v>
      </c>
      <c r="BM163" s="99">
        <f t="shared" si="122"/>
        <v>16.114000000000033</v>
      </c>
      <c r="BN163" s="467">
        <f t="shared" si="122"/>
        <v>20.56899999999996</v>
      </c>
      <c r="BO163" s="99">
        <f t="shared" si="122"/>
        <v>12.130999999999972</v>
      </c>
      <c r="BP163" s="99">
        <f t="shared" si="122"/>
        <v>12.841999999999985</v>
      </c>
      <c r="BQ163" s="99">
        <f t="shared" si="122"/>
        <v>30.90100000000001</v>
      </c>
      <c r="BR163" s="99">
        <f t="shared" si="122"/>
        <v>33.002999999999929</v>
      </c>
      <c r="BS163" s="468">
        <f t="shared" si="122"/>
        <v>88.876999999999953</v>
      </c>
      <c r="BT163" s="63"/>
      <c r="BU163" s="63"/>
      <c r="BV163" s="63"/>
      <c r="BW163" s="63"/>
      <c r="BX163" s="413"/>
      <c r="BY163" s="63"/>
      <c r="BZ163" s="63"/>
      <c r="CA163" s="63"/>
      <c r="CB163" s="63"/>
      <c r="CC163" s="413"/>
      <c r="CD163" s="413"/>
      <c r="CE163" s="413"/>
      <c r="CF163" s="413"/>
      <c r="CG163" s="99"/>
    </row>
    <row r="164" spans="1:85" ht="14.45" hidden="1" customHeight="1" x14ac:dyDescent="0.25">
      <c r="A164" s="110" t="s">
        <v>300</v>
      </c>
      <c r="B164" s="105"/>
      <c r="C164" s="416">
        <f t="shared" ref="C164:AH164" si="123">C277</f>
        <v>525.49099999999999</v>
      </c>
      <c r="D164" s="416">
        <f t="shared" si="123"/>
        <v>544.49800000000005</v>
      </c>
      <c r="E164" s="416">
        <f t="shared" si="123"/>
        <v>541.71299999999997</v>
      </c>
      <c r="F164" s="416">
        <f t="shared" si="123"/>
        <v>565.62300000000005</v>
      </c>
      <c r="G164" s="106">
        <f t="shared" si="123"/>
        <v>138.21100000000001</v>
      </c>
      <c r="H164" s="106">
        <f t="shared" si="123"/>
        <v>143.416</v>
      </c>
      <c r="I164" s="106">
        <f t="shared" si="123"/>
        <v>145.91200000000001</v>
      </c>
      <c r="J164" s="106">
        <f t="shared" si="123"/>
        <v>157.45400000000004</v>
      </c>
      <c r="K164" s="416">
        <f t="shared" si="123"/>
        <v>584.99300000000005</v>
      </c>
      <c r="L164" s="106">
        <f t="shared" si="123"/>
        <v>144.21700000000001</v>
      </c>
      <c r="M164" s="106">
        <f t="shared" si="123"/>
        <v>154.256</v>
      </c>
      <c r="N164" s="106">
        <f t="shared" si="123"/>
        <v>156.49600000000001</v>
      </c>
      <c r="O164" s="106">
        <f t="shared" si="123"/>
        <v>164.30300000000008</v>
      </c>
      <c r="P164" s="416">
        <f t="shared" si="123"/>
        <v>619.27200000000005</v>
      </c>
      <c r="Q164" s="106">
        <f t="shared" si="123"/>
        <v>167.471</v>
      </c>
      <c r="R164" s="106">
        <f t="shared" si="123"/>
        <v>199.001</v>
      </c>
      <c r="S164" s="106">
        <f t="shared" si="123"/>
        <v>210.851</v>
      </c>
      <c r="T164" s="106">
        <f t="shared" si="123"/>
        <v>225.56500000000005</v>
      </c>
      <c r="U164" s="416">
        <f t="shared" si="123"/>
        <v>802.88800000000003</v>
      </c>
      <c r="V164" s="106">
        <f t="shared" si="123"/>
        <v>231.49700000000001</v>
      </c>
      <c r="W164" s="106">
        <f t="shared" si="123"/>
        <v>264.971</v>
      </c>
      <c r="X164" s="106">
        <f t="shared" si="123"/>
        <v>287.38900000000001</v>
      </c>
      <c r="Y164" s="106">
        <f t="shared" si="123"/>
        <v>304.00599999999997</v>
      </c>
      <c r="Z164" s="416">
        <f t="shared" si="123"/>
        <v>1087.8630000000001</v>
      </c>
      <c r="AA164" s="106">
        <f t="shared" si="123"/>
        <v>318.41300000000001</v>
      </c>
      <c r="AB164" s="106">
        <f t="shared" si="123"/>
        <v>367.86500000000001</v>
      </c>
      <c r="AC164" s="106">
        <f t="shared" si="123"/>
        <v>374.19400000000002</v>
      </c>
      <c r="AD164" s="106">
        <f t="shared" si="123"/>
        <v>384.29600000000005</v>
      </c>
      <c r="AE164" s="416">
        <f t="shared" si="123"/>
        <v>1444.768</v>
      </c>
      <c r="AF164" s="106">
        <f t="shared" si="123"/>
        <v>376.63799999999998</v>
      </c>
      <c r="AG164" s="106">
        <f t="shared" si="123"/>
        <v>385.029</v>
      </c>
      <c r="AH164" s="106">
        <f t="shared" si="123"/>
        <v>368.31200000000001</v>
      </c>
      <c r="AI164" s="106">
        <f t="shared" ref="AI164:BS164" si="124">AI277</f>
        <v>367.83100000000013</v>
      </c>
      <c r="AJ164" s="416">
        <f t="shared" si="124"/>
        <v>1497.81</v>
      </c>
      <c r="AK164" s="106">
        <f t="shared" si="124"/>
        <v>369.154</v>
      </c>
      <c r="AL164" s="106">
        <f t="shared" si="124"/>
        <v>368.565</v>
      </c>
      <c r="AM164" s="106">
        <f t="shared" si="124"/>
        <v>378.37799999999999</v>
      </c>
      <c r="AN164" s="106">
        <f t="shared" si="124"/>
        <v>373.65100000000007</v>
      </c>
      <c r="AO164" s="416">
        <f t="shared" si="124"/>
        <v>1489.748</v>
      </c>
      <c r="AP164" s="106">
        <f t="shared" si="124"/>
        <v>372.47399999999999</v>
      </c>
      <c r="AQ164" s="106">
        <f t="shared" si="124"/>
        <v>346.18299999999999</v>
      </c>
      <c r="AR164" s="106">
        <f t="shared" si="124"/>
        <v>368.59399999999999</v>
      </c>
      <c r="AS164" s="106">
        <f t="shared" si="124"/>
        <v>368.28</v>
      </c>
      <c r="AT164" s="416">
        <f t="shared" si="124"/>
        <v>1455.5309999999999</v>
      </c>
      <c r="AU164" s="106">
        <f t="shared" si="124"/>
        <v>354.51900000000001</v>
      </c>
      <c r="AV164" s="106">
        <f t="shared" si="124"/>
        <v>374.07900000000001</v>
      </c>
      <c r="AW164" s="106">
        <f t="shared" si="124"/>
        <v>380.68099999999998</v>
      </c>
      <c r="AX164" s="106">
        <f t="shared" si="124"/>
        <v>405.73700000000008</v>
      </c>
      <c r="AY164" s="416">
        <f t="shared" si="124"/>
        <v>1515.0160000000001</v>
      </c>
      <c r="AZ164" s="106">
        <f t="shared" si="124"/>
        <v>376.59100000000001</v>
      </c>
      <c r="BA164" s="106">
        <f t="shared" si="124"/>
        <v>403.36599999999999</v>
      </c>
      <c r="BB164" s="106">
        <f t="shared" si="124"/>
        <v>431.17700000000002</v>
      </c>
      <c r="BC164" s="106">
        <f t="shared" si="124"/>
        <v>425.77299999999991</v>
      </c>
      <c r="BD164" s="416">
        <f t="shared" si="124"/>
        <v>1636.9069999999999</v>
      </c>
      <c r="BE164" s="106">
        <f t="shared" si="124"/>
        <v>418.05200000000002</v>
      </c>
      <c r="BF164" s="106">
        <f t="shared" si="124"/>
        <v>437.90699999999998</v>
      </c>
      <c r="BG164" s="106">
        <f t="shared" si="124"/>
        <v>445.29</v>
      </c>
      <c r="BH164" s="106">
        <f t="shared" si="124"/>
        <v>463.01099999999997</v>
      </c>
      <c r="BI164" s="416">
        <f t="shared" si="124"/>
        <v>1764.26</v>
      </c>
      <c r="BJ164" s="106">
        <f t="shared" si="124"/>
        <v>425.15300000000002</v>
      </c>
      <c r="BK164" s="106">
        <f t="shared" si="124"/>
        <v>457.57</v>
      </c>
      <c r="BL164" s="106">
        <f t="shared" si="124"/>
        <v>470.98099999999999</v>
      </c>
      <c r="BM164" s="106">
        <f t="shared" si="124"/>
        <v>479.125</v>
      </c>
      <c r="BN164" s="416">
        <f t="shared" si="124"/>
        <v>1832.829</v>
      </c>
      <c r="BO164" s="106">
        <f t="shared" si="124"/>
        <v>437.28399999999999</v>
      </c>
      <c r="BP164" s="106">
        <f t="shared" si="124"/>
        <v>470.41199999999998</v>
      </c>
      <c r="BQ164" s="106">
        <f t="shared" si="124"/>
        <v>501.88200000000001</v>
      </c>
      <c r="BR164" s="106">
        <f t="shared" si="124"/>
        <v>512.12799999999993</v>
      </c>
      <c r="BS164" s="417">
        <f t="shared" si="124"/>
        <v>1921.7059999999999</v>
      </c>
      <c r="BT164" s="159"/>
      <c r="BU164" s="159"/>
      <c r="BV164" s="159"/>
      <c r="BW164" s="159"/>
      <c r="BX164" s="418"/>
      <c r="BY164" s="159"/>
      <c r="BZ164" s="159"/>
      <c r="CA164" s="159"/>
      <c r="CB164" s="159"/>
      <c r="CC164" s="418"/>
      <c r="CD164" s="418"/>
      <c r="CE164" s="418"/>
      <c r="CF164" s="418"/>
      <c r="CG164" s="109"/>
    </row>
    <row r="165" spans="1:85" ht="14.45" customHeight="1" x14ac:dyDescent="0.25">
      <c r="A165" s="162"/>
      <c r="B165" s="97"/>
      <c r="C165" s="413"/>
      <c r="D165" s="413"/>
      <c r="E165" s="413"/>
      <c r="F165" s="413"/>
      <c r="G165" s="63"/>
      <c r="H165" s="63"/>
      <c r="I165" s="63"/>
      <c r="J165" s="63"/>
      <c r="K165" s="413"/>
      <c r="L165" s="63"/>
      <c r="M165" s="63"/>
      <c r="N165" s="63"/>
      <c r="O165" s="63"/>
      <c r="P165" s="413"/>
      <c r="Q165" s="63"/>
      <c r="R165" s="63"/>
      <c r="S165" s="63"/>
      <c r="T165" s="63"/>
      <c r="U165" s="413"/>
      <c r="V165" s="63"/>
      <c r="W165" s="63"/>
      <c r="X165" s="63"/>
      <c r="Y165" s="63"/>
      <c r="Z165" s="413"/>
      <c r="AA165" s="63"/>
      <c r="AB165" s="63"/>
      <c r="AC165" s="63"/>
      <c r="AD165" s="63"/>
      <c r="AE165" s="413"/>
      <c r="AF165" s="63"/>
      <c r="AG165" s="63"/>
      <c r="AH165" s="63"/>
      <c r="AI165" s="63"/>
      <c r="AJ165" s="413"/>
      <c r="AK165" s="63"/>
      <c r="AL165" s="63"/>
      <c r="AM165" s="63"/>
      <c r="AN165" s="63"/>
      <c r="AO165" s="413"/>
      <c r="AP165" s="63"/>
      <c r="AQ165" s="63"/>
      <c r="AR165" s="63"/>
      <c r="AS165" s="63"/>
      <c r="AT165" s="413"/>
      <c r="AU165" s="63"/>
      <c r="AV165" s="63"/>
      <c r="AW165" s="63"/>
      <c r="AX165" s="63"/>
      <c r="AY165" s="413"/>
      <c r="AZ165" s="63"/>
      <c r="BA165" s="63"/>
      <c r="BB165" s="63"/>
      <c r="BC165" s="63"/>
      <c r="BD165" s="413"/>
      <c r="BE165" s="63"/>
      <c r="BF165" s="63"/>
      <c r="BG165" s="63"/>
      <c r="BH165" s="63"/>
      <c r="BI165" s="413"/>
      <c r="BJ165" s="63"/>
      <c r="BK165" s="63"/>
      <c r="BL165" s="63"/>
      <c r="BM165" s="63"/>
      <c r="BN165" s="413"/>
      <c r="BO165" s="63"/>
      <c r="BP165" s="63"/>
      <c r="BQ165" s="63"/>
      <c r="BR165" s="63"/>
      <c r="BS165" s="425"/>
      <c r="BT165" s="63"/>
      <c r="BU165" s="63"/>
      <c r="BV165" s="63"/>
      <c r="BW165" s="63"/>
      <c r="BX165" s="413"/>
      <c r="BY165" s="63"/>
      <c r="BZ165" s="63"/>
      <c r="CA165" s="63"/>
      <c r="CB165" s="63"/>
      <c r="CC165" s="413"/>
      <c r="CD165" s="413"/>
      <c r="CE165" s="413"/>
      <c r="CF165" s="413"/>
      <c r="CG165" s="99"/>
    </row>
    <row r="166" spans="1:85" ht="14.45" customHeight="1" x14ac:dyDescent="0.25">
      <c r="A166" s="95" t="s">
        <v>301</v>
      </c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409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109"/>
    </row>
    <row r="167" spans="1:85" ht="14.45" hidden="1" customHeight="1" x14ac:dyDescent="0.25">
      <c r="A167" s="125" t="s">
        <v>302</v>
      </c>
      <c r="B167" s="97"/>
      <c r="C167" s="413"/>
      <c r="D167" s="413"/>
      <c r="E167" s="413"/>
      <c r="F167" s="413"/>
      <c r="G167" s="63"/>
      <c r="H167" s="63"/>
      <c r="I167" s="63"/>
      <c r="J167" s="63"/>
      <c r="K167" s="413"/>
      <c r="L167" s="63"/>
      <c r="M167" s="63"/>
      <c r="N167" s="63"/>
      <c r="O167" s="63"/>
      <c r="P167" s="413"/>
      <c r="Q167" s="63"/>
      <c r="R167" s="63"/>
      <c r="S167" s="98">
        <v>128.44</v>
      </c>
      <c r="T167" s="99">
        <f>U167-360.234</f>
        <v>122.43900000000002</v>
      </c>
      <c r="U167" s="410">
        <v>482.673</v>
      </c>
      <c r="V167" s="98">
        <v>123.18600000000001</v>
      </c>
      <c r="W167" s="98">
        <v>185.03800000000001</v>
      </c>
      <c r="X167" s="98">
        <v>190.601</v>
      </c>
      <c r="Y167" s="99">
        <f>Z167-SUM(V167,W167,X167)</f>
        <v>170.95799999999997</v>
      </c>
      <c r="Z167" s="410">
        <v>669.78300000000002</v>
      </c>
      <c r="AA167" s="98">
        <v>226.726</v>
      </c>
      <c r="AB167" s="98">
        <v>262.49</v>
      </c>
      <c r="AC167" s="98">
        <v>317.04000000000002</v>
      </c>
      <c r="AD167" s="99">
        <f>AE167-SUM(AA167,AB167,AC167)</f>
        <v>279.64199999999983</v>
      </c>
      <c r="AE167" s="410">
        <v>1085.8979999999999</v>
      </c>
      <c r="AF167" s="98">
        <v>242.46799999999999</v>
      </c>
      <c r="AG167" s="98">
        <v>328.68900000000002</v>
      </c>
      <c r="AH167" s="98">
        <v>341.94900000000001</v>
      </c>
      <c r="AI167" s="99">
        <f>AJ167-SUM(AF167,AG167,AH167)</f>
        <v>275.71199999999999</v>
      </c>
      <c r="AJ167" s="410">
        <v>1188.818</v>
      </c>
      <c r="AK167" s="98">
        <v>266.64299999999997</v>
      </c>
      <c r="AL167" s="98">
        <v>344.84100000000001</v>
      </c>
      <c r="AM167" s="98">
        <v>306.58800000000002</v>
      </c>
      <c r="AN167" s="99">
        <f>AO167-SUM(AK167,AL167,AM167)</f>
        <v>269.81700000000001</v>
      </c>
      <c r="AO167" s="410">
        <v>1187.8889999999999</v>
      </c>
      <c r="AP167" s="98">
        <v>284.92</v>
      </c>
      <c r="AQ167" s="98">
        <v>264.59500000000003</v>
      </c>
      <c r="AR167" s="98">
        <v>324.31200000000001</v>
      </c>
      <c r="AS167" s="99">
        <f>AT167-SUM(AP167,AQ167,AR167)</f>
        <v>300.78899999999987</v>
      </c>
      <c r="AT167" s="410">
        <v>1174.616</v>
      </c>
      <c r="AU167" s="98">
        <v>307.42500000000001</v>
      </c>
      <c r="AV167" s="63"/>
      <c r="AW167" s="63"/>
      <c r="AX167" s="63"/>
      <c r="AY167" s="413"/>
      <c r="AZ167" s="63"/>
      <c r="BA167" s="63"/>
      <c r="BB167" s="63"/>
      <c r="BC167" s="63"/>
      <c r="BD167" s="413"/>
      <c r="BE167" s="63"/>
      <c r="BF167" s="63"/>
      <c r="BG167" s="63"/>
      <c r="BH167" s="63"/>
      <c r="BI167" s="413"/>
      <c r="BJ167" s="63"/>
      <c r="BK167" s="63"/>
      <c r="BL167" s="63"/>
      <c r="BM167" s="63"/>
      <c r="BN167" s="413"/>
      <c r="BO167" s="63"/>
      <c r="BP167" s="63"/>
      <c r="BQ167" s="63"/>
      <c r="BR167" s="63"/>
      <c r="BS167" s="425"/>
      <c r="BT167" s="63"/>
      <c r="BU167" s="63"/>
      <c r="BV167" s="63"/>
      <c r="BW167" s="63"/>
      <c r="BX167" s="413"/>
      <c r="BY167" s="63"/>
      <c r="BZ167" s="63"/>
      <c r="CA167" s="63"/>
      <c r="CB167" s="63"/>
      <c r="CC167" s="413"/>
      <c r="CD167" s="413"/>
      <c r="CE167" s="413"/>
      <c r="CF167" s="413"/>
      <c r="CG167" s="99"/>
    </row>
    <row r="168" spans="1:85" ht="14.45" hidden="1" customHeight="1" x14ac:dyDescent="0.25">
      <c r="A168" s="125" t="s">
        <v>303</v>
      </c>
      <c r="B168" s="97"/>
      <c r="C168" s="413"/>
      <c r="D168" s="413"/>
      <c r="E168" s="413"/>
      <c r="F168" s="413"/>
      <c r="G168" s="63"/>
      <c r="H168" s="63"/>
      <c r="I168" s="63"/>
      <c r="J168" s="63"/>
      <c r="K168" s="413"/>
      <c r="L168" s="63"/>
      <c r="M168" s="63"/>
      <c r="N168" s="63"/>
      <c r="O168" s="63"/>
      <c r="P168" s="413"/>
      <c r="Q168" s="63"/>
      <c r="R168" s="63"/>
      <c r="S168" s="98">
        <v>27.257999999999999</v>
      </c>
      <c r="T168" s="99">
        <f>U168-48.931</f>
        <v>21.823000000000008</v>
      </c>
      <c r="U168" s="410">
        <v>70.754000000000005</v>
      </c>
      <c r="V168" s="98">
        <v>29.141999999999999</v>
      </c>
      <c r="W168" s="98">
        <v>20.283000000000001</v>
      </c>
      <c r="X168" s="98">
        <v>29.716000000000001</v>
      </c>
      <c r="Y168" s="99">
        <f>Z168-SUM(V168,W168,X168)</f>
        <v>37.396000000000015</v>
      </c>
      <c r="Z168" s="410">
        <v>116.53700000000001</v>
      </c>
      <c r="AA168" s="98">
        <v>57.793999999999997</v>
      </c>
      <c r="AB168" s="98">
        <v>16.446000000000002</v>
      </c>
      <c r="AC168" s="98">
        <v>27.855</v>
      </c>
      <c r="AD168" s="99">
        <f>AE168-SUM(AA168,AB168,AC168)</f>
        <v>37.447000000000003</v>
      </c>
      <c r="AE168" s="410">
        <v>139.542</v>
      </c>
      <c r="AF168" s="98">
        <v>34.582000000000001</v>
      </c>
      <c r="AG168" s="98">
        <v>41.475000000000001</v>
      </c>
      <c r="AH168" s="98">
        <v>34.005000000000003</v>
      </c>
      <c r="AI168" s="99">
        <f>AJ168-SUM(AF168,AG168,AH168)</f>
        <v>34.956999999999994</v>
      </c>
      <c r="AJ168" s="410">
        <v>145.01900000000001</v>
      </c>
      <c r="AK168" s="98">
        <v>33.292000000000002</v>
      </c>
      <c r="AL168" s="98">
        <v>39.220999999999997</v>
      </c>
      <c r="AM168" s="98">
        <v>36.597000000000001</v>
      </c>
      <c r="AN168" s="99">
        <f>AO168-SUM(AK168,AL168,AM168)</f>
        <v>35.838999999999999</v>
      </c>
      <c r="AO168" s="410">
        <v>144.94900000000001</v>
      </c>
      <c r="AP168" s="98">
        <v>32.991</v>
      </c>
      <c r="AQ168" s="98">
        <v>32.4</v>
      </c>
      <c r="AR168" s="98">
        <v>34.549999999999997</v>
      </c>
      <c r="AS168" s="99">
        <f>AT168-SUM(AP168,AQ168,AR168)</f>
        <v>32.933000000000007</v>
      </c>
      <c r="AT168" s="410">
        <v>132.874</v>
      </c>
      <c r="AU168" s="98">
        <v>32.694000000000003</v>
      </c>
      <c r="AV168" s="63"/>
      <c r="AW168" s="63"/>
      <c r="AX168" s="63"/>
      <c r="AY168" s="413"/>
      <c r="AZ168" s="63"/>
      <c r="BA168" s="63"/>
      <c r="BB168" s="63"/>
      <c r="BC168" s="63"/>
      <c r="BD168" s="413"/>
      <c r="BE168" s="63"/>
      <c r="BF168" s="63"/>
      <c r="BG168" s="63"/>
      <c r="BH168" s="63"/>
      <c r="BI168" s="413"/>
      <c r="BJ168" s="63"/>
      <c r="BK168" s="63"/>
      <c r="BL168" s="63"/>
      <c r="BM168" s="63"/>
      <c r="BN168" s="413"/>
      <c r="BO168" s="63"/>
      <c r="BP168" s="63"/>
      <c r="BQ168" s="63"/>
      <c r="BR168" s="63"/>
      <c r="BS168" s="425"/>
      <c r="BT168" s="63"/>
      <c r="BU168" s="63"/>
      <c r="BV168" s="63"/>
      <c r="BW168" s="63"/>
      <c r="BX168" s="413"/>
      <c r="BY168" s="63"/>
      <c r="BZ168" s="63"/>
      <c r="CA168" s="63"/>
      <c r="CB168" s="63"/>
      <c r="CC168" s="413"/>
      <c r="CD168" s="413"/>
      <c r="CE168" s="413"/>
      <c r="CF168" s="413"/>
      <c r="CG168" s="99"/>
    </row>
    <row r="169" spans="1:85" ht="14.45" hidden="1" customHeight="1" x14ac:dyDescent="0.25">
      <c r="A169" s="125" t="s">
        <v>304</v>
      </c>
      <c r="B169" s="97"/>
      <c r="C169" s="413"/>
      <c r="D169" s="413"/>
      <c r="E169" s="413"/>
      <c r="F169" s="413"/>
      <c r="G169" s="63"/>
      <c r="H169" s="63"/>
      <c r="I169" s="63"/>
      <c r="J169" s="63"/>
      <c r="K169" s="413"/>
      <c r="L169" s="63"/>
      <c r="M169" s="63"/>
      <c r="N169" s="63"/>
      <c r="O169" s="63"/>
      <c r="P169" s="413"/>
      <c r="Q169" s="63"/>
      <c r="R169" s="63"/>
      <c r="S169" s="63"/>
      <c r="T169" s="63"/>
      <c r="U169" s="413"/>
      <c r="V169" s="63"/>
      <c r="W169" s="63"/>
      <c r="X169" s="63"/>
      <c r="Y169" s="63"/>
      <c r="Z169" s="413"/>
      <c r="AA169" s="63"/>
      <c r="AB169" s="63"/>
      <c r="AC169" s="63"/>
      <c r="AD169" s="63"/>
      <c r="AE169" s="413"/>
      <c r="AF169" s="63"/>
      <c r="AG169" s="63"/>
      <c r="AH169" s="63"/>
      <c r="AI169" s="63"/>
      <c r="AJ169" s="413"/>
      <c r="AK169" s="63"/>
      <c r="AL169" s="63"/>
      <c r="AM169" s="63"/>
      <c r="AN169" s="63"/>
      <c r="AO169" s="413"/>
      <c r="AP169" s="63"/>
      <c r="AQ169" s="63"/>
      <c r="AR169" s="63"/>
      <c r="AS169" s="63"/>
      <c r="AT169" s="410">
        <v>100</v>
      </c>
      <c r="AU169" s="63"/>
      <c r="AV169" s="63"/>
      <c r="AW169" s="63"/>
      <c r="AX169" s="63"/>
      <c r="AY169" s="413"/>
      <c r="AZ169" s="63"/>
      <c r="BA169" s="63"/>
      <c r="BB169" s="63"/>
      <c r="BC169" s="63"/>
      <c r="BD169" s="413"/>
      <c r="BE169" s="63"/>
      <c r="BF169" s="63"/>
      <c r="BG169" s="63"/>
      <c r="BH169" s="63"/>
      <c r="BI169" s="413"/>
      <c r="BJ169" s="63"/>
      <c r="BK169" s="63"/>
      <c r="BL169" s="63"/>
      <c r="BM169" s="63"/>
      <c r="BN169" s="413"/>
      <c r="BO169" s="63"/>
      <c r="BP169" s="63"/>
      <c r="BQ169" s="63"/>
      <c r="BR169" s="63"/>
      <c r="BS169" s="425"/>
      <c r="BT169" s="63"/>
      <c r="BU169" s="63"/>
      <c r="BV169" s="63"/>
      <c r="BW169" s="63"/>
      <c r="BX169" s="413"/>
      <c r="BY169" s="63"/>
      <c r="BZ169" s="63"/>
      <c r="CA169" s="63"/>
      <c r="CB169" s="63"/>
      <c r="CC169" s="413"/>
      <c r="CD169" s="413"/>
      <c r="CE169" s="413"/>
      <c r="CF169" s="413"/>
      <c r="CG169" s="99"/>
    </row>
    <row r="170" spans="1:85" ht="14.45" hidden="1" customHeight="1" x14ac:dyDescent="0.25">
      <c r="A170" s="125" t="s">
        <v>305</v>
      </c>
      <c r="B170" s="97"/>
      <c r="C170" s="413"/>
      <c r="D170" s="413"/>
      <c r="E170" s="413"/>
      <c r="F170" s="413"/>
      <c r="G170" s="63"/>
      <c r="H170" s="63"/>
      <c r="I170" s="63"/>
      <c r="J170" s="63"/>
      <c r="K170" s="413"/>
      <c r="L170" s="63"/>
      <c r="M170" s="63"/>
      <c r="N170" s="63"/>
      <c r="O170" s="63"/>
      <c r="P170" s="413"/>
      <c r="Q170" s="63"/>
      <c r="R170" s="63"/>
      <c r="S170" s="98">
        <v>4.867</v>
      </c>
      <c r="T170" s="99">
        <f>U170-11.768</f>
        <v>4.4920000000000009</v>
      </c>
      <c r="U170" s="410">
        <v>16.260000000000002</v>
      </c>
      <c r="V170" s="98">
        <v>4.5609999999999999</v>
      </c>
      <c r="W170" s="98">
        <v>5.83</v>
      </c>
      <c r="X170" s="98">
        <v>5.9989999999999997</v>
      </c>
      <c r="Y170" s="99">
        <f>Z170-SUM(V170,W170,X170)</f>
        <v>5.1679999999999993</v>
      </c>
      <c r="Z170" s="410">
        <v>21.558</v>
      </c>
      <c r="AA170" s="98">
        <v>5.6210000000000004</v>
      </c>
      <c r="AB170" s="98">
        <v>6.4660000000000002</v>
      </c>
      <c r="AC170" s="98">
        <v>6.8810000000000002</v>
      </c>
      <c r="AD170" s="99">
        <f>AE170-SUM(AA170,AB170,AC170)</f>
        <v>6.4130000000000003</v>
      </c>
      <c r="AE170" s="410">
        <v>25.381</v>
      </c>
      <c r="AF170" s="98">
        <v>6.141</v>
      </c>
      <c r="AG170" s="98">
        <v>8.0890000000000004</v>
      </c>
      <c r="AH170" s="98">
        <v>7.9580000000000002</v>
      </c>
      <c r="AI170" s="99">
        <f>AJ170-SUM(AF170,AG170,AH170)</f>
        <v>7.8769999999999989</v>
      </c>
      <c r="AJ170" s="410">
        <v>30.065000000000001</v>
      </c>
      <c r="AK170" s="98">
        <v>6.9820000000000002</v>
      </c>
      <c r="AL170" s="98">
        <v>7.0670000000000002</v>
      </c>
      <c r="AM170" s="98">
        <v>4.5190000000000001</v>
      </c>
      <c r="AN170" s="99">
        <f>AO170-SUM(AK170,AL170,AM170)</f>
        <v>9.6410000000000018</v>
      </c>
      <c r="AO170" s="410">
        <v>28.209</v>
      </c>
      <c r="AP170" s="98">
        <v>6.3410000000000002</v>
      </c>
      <c r="AQ170" s="98">
        <v>4.0389999999999997</v>
      </c>
      <c r="AR170" s="98">
        <v>5.9649999999999999</v>
      </c>
      <c r="AS170" s="99">
        <f>AT170-SUM(AP170,AQ170,AR170)</f>
        <v>5.1780000000000008</v>
      </c>
      <c r="AT170" s="410">
        <v>21.523</v>
      </c>
      <c r="AU170" s="98">
        <v>5.0359999999999996</v>
      </c>
      <c r="AV170" s="63"/>
      <c r="AW170" s="63"/>
      <c r="AX170" s="63"/>
      <c r="AY170" s="413"/>
      <c r="AZ170" s="63"/>
      <c r="BA170" s="63"/>
      <c r="BB170" s="63"/>
      <c r="BC170" s="63"/>
      <c r="BD170" s="413"/>
      <c r="BE170" s="63"/>
      <c r="BF170" s="63"/>
      <c r="BG170" s="63"/>
      <c r="BH170" s="63"/>
      <c r="BI170" s="413"/>
      <c r="BJ170" s="63"/>
      <c r="BK170" s="63"/>
      <c r="BL170" s="63"/>
      <c r="BM170" s="63"/>
      <c r="BN170" s="413"/>
      <c r="BO170" s="63"/>
      <c r="BP170" s="63"/>
      <c r="BQ170" s="63"/>
      <c r="BR170" s="63"/>
      <c r="BS170" s="425"/>
      <c r="BT170" s="63"/>
      <c r="BU170" s="63"/>
      <c r="BV170" s="63"/>
      <c r="BW170" s="63"/>
      <c r="BX170" s="413"/>
      <c r="BY170" s="63"/>
      <c r="BZ170" s="63"/>
      <c r="CA170" s="63"/>
      <c r="CB170" s="63"/>
      <c r="CC170" s="413"/>
      <c r="CD170" s="413"/>
      <c r="CE170" s="413"/>
      <c r="CF170" s="413"/>
      <c r="CG170" s="99"/>
    </row>
    <row r="171" spans="1:85" ht="14.45" hidden="1" customHeight="1" x14ac:dyDescent="0.25">
      <c r="A171" s="125" t="s">
        <v>306</v>
      </c>
      <c r="B171" s="97"/>
      <c r="C171" s="413"/>
      <c r="D171" s="413"/>
      <c r="E171" s="413"/>
      <c r="F171" s="413"/>
      <c r="G171" s="63"/>
      <c r="H171" s="63"/>
      <c r="I171" s="63"/>
      <c r="J171" s="63"/>
      <c r="K171" s="413"/>
      <c r="L171" s="63"/>
      <c r="M171" s="63"/>
      <c r="N171" s="63"/>
      <c r="O171" s="63"/>
      <c r="P171" s="413"/>
      <c r="Q171" s="63"/>
      <c r="R171" s="63"/>
      <c r="S171" s="63"/>
      <c r="T171" s="63"/>
      <c r="U171" s="413"/>
      <c r="V171" s="63"/>
      <c r="W171" s="63"/>
      <c r="X171" s="63"/>
      <c r="Y171" s="63"/>
      <c r="Z171" s="413"/>
      <c r="AA171" s="63"/>
      <c r="AB171" s="63"/>
      <c r="AC171" s="63"/>
      <c r="AD171" s="99">
        <f>AE171-SUM(AA171,AB171,AC171)</f>
        <v>15.598000000000001</v>
      </c>
      <c r="AE171" s="410">
        <v>15.598000000000001</v>
      </c>
      <c r="AF171" s="63"/>
      <c r="AG171" s="63"/>
      <c r="AH171" s="63"/>
      <c r="AI171" s="63"/>
      <c r="AJ171" s="413"/>
      <c r="AK171" s="63"/>
      <c r="AL171" s="63"/>
      <c r="AM171" s="63"/>
      <c r="AN171" s="63"/>
      <c r="AO171" s="413"/>
      <c r="AP171" s="63"/>
      <c r="AQ171" s="63"/>
      <c r="AR171" s="63"/>
      <c r="AS171" s="63"/>
      <c r="AT171" s="413"/>
      <c r="AU171" s="63"/>
      <c r="AV171" s="63"/>
      <c r="AW171" s="63"/>
      <c r="AX171" s="63"/>
      <c r="AY171" s="413"/>
      <c r="AZ171" s="63"/>
      <c r="BA171" s="63"/>
      <c r="BB171" s="63"/>
      <c r="BC171" s="63"/>
      <c r="BD171" s="413"/>
      <c r="BE171" s="63"/>
      <c r="BF171" s="63"/>
      <c r="BG171" s="63"/>
      <c r="BH171" s="63"/>
      <c r="BI171" s="413"/>
      <c r="BJ171" s="63"/>
      <c r="BK171" s="63"/>
      <c r="BL171" s="63"/>
      <c r="BM171" s="63"/>
      <c r="BN171" s="413"/>
      <c r="BO171" s="63"/>
      <c r="BP171" s="63"/>
      <c r="BQ171" s="63"/>
      <c r="BR171" s="63"/>
      <c r="BS171" s="425"/>
      <c r="BT171" s="63"/>
      <c r="BU171" s="63"/>
      <c r="BV171" s="63"/>
      <c r="BW171" s="63"/>
      <c r="BX171" s="413"/>
      <c r="BY171" s="63"/>
      <c r="BZ171" s="63"/>
      <c r="CA171" s="63"/>
      <c r="CB171" s="63"/>
      <c r="CC171" s="413"/>
      <c r="CD171" s="413"/>
      <c r="CE171" s="413"/>
      <c r="CF171" s="413"/>
      <c r="CG171" s="99"/>
    </row>
    <row r="172" spans="1:85" ht="14.45" hidden="1" customHeight="1" x14ac:dyDescent="0.25">
      <c r="A172" s="130" t="s">
        <v>307</v>
      </c>
      <c r="B172" s="101"/>
      <c r="C172" s="415"/>
      <c r="D172" s="415"/>
      <c r="E172" s="415"/>
      <c r="F172" s="415"/>
      <c r="G172" s="158"/>
      <c r="H172" s="158"/>
      <c r="I172" s="158"/>
      <c r="J172" s="158"/>
      <c r="K172" s="415"/>
      <c r="L172" s="158"/>
      <c r="M172" s="158"/>
      <c r="N172" s="158"/>
      <c r="O172" s="158"/>
      <c r="P172" s="415"/>
      <c r="Q172" s="158"/>
      <c r="R172" s="158"/>
      <c r="S172" s="158"/>
      <c r="T172" s="158"/>
      <c r="U172" s="415"/>
      <c r="V172" s="158"/>
      <c r="W172" s="158"/>
      <c r="X172" s="158"/>
      <c r="Y172" s="158"/>
      <c r="Z172" s="415"/>
      <c r="AA172" s="158"/>
      <c r="AB172" s="158"/>
      <c r="AC172" s="158"/>
      <c r="AD172" s="158"/>
      <c r="AE172" s="415"/>
      <c r="AF172" s="158"/>
      <c r="AG172" s="158"/>
      <c r="AH172" s="102">
        <v>2.5459999999999998</v>
      </c>
      <c r="AI172" s="103">
        <f>AJ172-SUM(AF172,AG172,AH172)</f>
        <v>6.5170000000000012</v>
      </c>
      <c r="AJ172" s="414">
        <v>9.0630000000000006</v>
      </c>
      <c r="AK172" s="158"/>
      <c r="AL172" s="158"/>
      <c r="AM172" s="102">
        <v>3.6160000000000001</v>
      </c>
      <c r="AN172" s="103">
        <f>AO172-SUM(AK172,AL172,AM172)</f>
        <v>9.65</v>
      </c>
      <c r="AO172" s="414">
        <v>13.266</v>
      </c>
      <c r="AP172" s="102">
        <v>3.262</v>
      </c>
      <c r="AQ172" s="102">
        <v>3.988</v>
      </c>
      <c r="AR172" s="102">
        <v>4.359</v>
      </c>
      <c r="AS172" s="103">
        <f>AT172-SUM(AP172,AQ172,AR172)</f>
        <v>3.8699999999999992</v>
      </c>
      <c r="AT172" s="414">
        <v>15.478999999999999</v>
      </c>
      <c r="AU172" s="102">
        <v>4.1900000000000004</v>
      </c>
      <c r="AV172" s="158"/>
      <c r="AW172" s="158"/>
      <c r="AX172" s="158"/>
      <c r="AY172" s="415"/>
      <c r="AZ172" s="158"/>
      <c r="BA172" s="158"/>
      <c r="BB172" s="158"/>
      <c r="BC172" s="158"/>
      <c r="BD172" s="415"/>
      <c r="BE172" s="158"/>
      <c r="BF172" s="158"/>
      <c r="BG172" s="158"/>
      <c r="BH172" s="158"/>
      <c r="BI172" s="415"/>
      <c r="BJ172" s="158"/>
      <c r="BK172" s="63"/>
      <c r="BL172" s="158"/>
      <c r="BM172" s="158"/>
      <c r="BN172" s="415"/>
      <c r="BO172" s="158"/>
      <c r="BP172" s="63"/>
      <c r="BQ172" s="63"/>
      <c r="BR172" s="158"/>
      <c r="BS172" s="470"/>
      <c r="BT172" s="158"/>
      <c r="BU172" s="158"/>
      <c r="BV172" s="158"/>
      <c r="BW172" s="158"/>
      <c r="BX172" s="415"/>
      <c r="BY172" s="158"/>
      <c r="BZ172" s="158"/>
      <c r="CA172" s="158"/>
      <c r="CB172" s="158"/>
      <c r="CC172" s="415"/>
      <c r="CD172" s="415"/>
      <c r="CE172" s="415"/>
      <c r="CF172" s="415"/>
      <c r="CG172" s="99"/>
    </row>
    <row r="173" spans="1:85" ht="14.45" hidden="1" customHeight="1" x14ac:dyDescent="0.25">
      <c r="A173" s="135" t="s">
        <v>308</v>
      </c>
      <c r="B173" s="108"/>
      <c r="C173" s="423"/>
      <c r="D173" s="423"/>
      <c r="E173" s="423"/>
      <c r="F173" s="423"/>
      <c r="G173" s="112"/>
      <c r="H173" s="112"/>
      <c r="I173" s="112"/>
      <c r="J173" s="112"/>
      <c r="K173" s="423"/>
      <c r="L173" s="112"/>
      <c r="M173" s="112"/>
      <c r="N173" s="112"/>
      <c r="O173" s="112"/>
      <c r="P173" s="423"/>
      <c r="Q173" s="112"/>
      <c r="R173" s="112"/>
      <c r="S173" s="109">
        <f t="shared" ref="S173:AU173" si="125">SUM(S167:S172)</f>
        <v>160.565</v>
      </c>
      <c r="T173" s="109">
        <f t="shared" si="125"/>
        <v>148.75400000000002</v>
      </c>
      <c r="U173" s="421">
        <f t="shared" si="125"/>
        <v>569.68700000000001</v>
      </c>
      <c r="V173" s="109">
        <f t="shared" si="125"/>
        <v>156.88900000000001</v>
      </c>
      <c r="W173" s="109">
        <f t="shared" si="125"/>
        <v>211.15100000000004</v>
      </c>
      <c r="X173" s="109">
        <f t="shared" si="125"/>
        <v>226.316</v>
      </c>
      <c r="Y173" s="109">
        <f t="shared" si="125"/>
        <v>213.52199999999999</v>
      </c>
      <c r="Z173" s="421">
        <f t="shared" si="125"/>
        <v>807.87800000000004</v>
      </c>
      <c r="AA173" s="109">
        <f t="shared" si="125"/>
        <v>290.14099999999996</v>
      </c>
      <c r="AB173" s="109">
        <f t="shared" si="125"/>
        <v>285.40200000000004</v>
      </c>
      <c r="AC173" s="109">
        <f t="shared" si="125"/>
        <v>351.77600000000007</v>
      </c>
      <c r="AD173" s="109">
        <f t="shared" si="125"/>
        <v>339.09999999999985</v>
      </c>
      <c r="AE173" s="421">
        <f t="shared" si="125"/>
        <v>1266.4189999999999</v>
      </c>
      <c r="AF173" s="109">
        <f t="shared" si="125"/>
        <v>283.19100000000003</v>
      </c>
      <c r="AG173" s="109">
        <f t="shared" si="125"/>
        <v>378.25300000000004</v>
      </c>
      <c r="AH173" s="109">
        <f t="shared" si="125"/>
        <v>386.45800000000003</v>
      </c>
      <c r="AI173" s="109">
        <f t="shared" si="125"/>
        <v>325.06299999999999</v>
      </c>
      <c r="AJ173" s="421">
        <f t="shared" si="125"/>
        <v>1372.9650000000001</v>
      </c>
      <c r="AK173" s="109">
        <f t="shared" si="125"/>
        <v>306.91699999999997</v>
      </c>
      <c r="AL173" s="109">
        <f t="shared" si="125"/>
        <v>391.12900000000002</v>
      </c>
      <c r="AM173" s="109">
        <f t="shared" si="125"/>
        <v>351.32</v>
      </c>
      <c r="AN173" s="109">
        <f t="shared" si="125"/>
        <v>324.947</v>
      </c>
      <c r="AO173" s="421">
        <f t="shared" si="125"/>
        <v>1374.3130000000001</v>
      </c>
      <c r="AP173" s="109">
        <f t="shared" si="125"/>
        <v>327.51400000000001</v>
      </c>
      <c r="AQ173" s="109">
        <f t="shared" si="125"/>
        <v>305.02199999999999</v>
      </c>
      <c r="AR173" s="109">
        <f t="shared" si="125"/>
        <v>369.18599999999998</v>
      </c>
      <c r="AS173" s="109">
        <f t="shared" si="125"/>
        <v>342.76999999999987</v>
      </c>
      <c r="AT173" s="421">
        <f t="shared" si="125"/>
        <v>1444.492</v>
      </c>
      <c r="AU173" s="109">
        <f t="shared" si="125"/>
        <v>349.34500000000003</v>
      </c>
      <c r="AV173" s="163">
        <v>366.80799999999999</v>
      </c>
      <c r="AW173" s="163">
        <v>403.88900000000001</v>
      </c>
      <c r="AX173" s="109">
        <f>AY173-SUM(AU173,AV173,AW173)</f>
        <v>438.74200000000019</v>
      </c>
      <c r="AY173" s="471">
        <v>1558.7840000000001</v>
      </c>
      <c r="AZ173" s="163">
        <v>419.70800000000003</v>
      </c>
      <c r="BA173" s="163">
        <v>510.57100000000003</v>
      </c>
      <c r="BB173" s="163">
        <v>481.02100000000002</v>
      </c>
      <c r="BC173" s="109">
        <f>BD173-SUM(AZ173,BA173,BB173)</f>
        <v>456.42700000000013</v>
      </c>
      <c r="BD173" s="471">
        <v>1867.7270000000001</v>
      </c>
      <c r="BE173" s="163">
        <v>469.52699999999999</v>
      </c>
      <c r="BF173" s="163">
        <v>523.19100000000003</v>
      </c>
      <c r="BG173" s="163">
        <v>552.154</v>
      </c>
      <c r="BH173" s="109">
        <f>BI173-SUM(BE173,BF173,BG173)</f>
        <v>474.53700000000003</v>
      </c>
      <c r="BI173" s="471">
        <v>2019.4090000000001</v>
      </c>
      <c r="BJ173" s="163">
        <v>457.24400000000003</v>
      </c>
      <c r="BK173" s="164">
        <v>538.78899999999999</v>
      </c>
      <c r="BL173" s="163">
        <v>585.96699999999998</v>
      </c>
      <c r="BM173" s="109">
        <f>BN173-SUM(BJ173,BK173,BL173)</f>
        <v>527.74800000000005</v>
      </c>
      <c r="BN173" s="471">
        <v>2109.748</v>
      </c>
      <c r="BO173" s="163">
        <v>443.25599999999997</v>
      </c>
      <c r="BP173" s="164">
        <v>604.6</v>
      </c>
      <c r="BQ173" s="164">
        <v>635.84</v>
      </c>
      <c r="BR173" s="109">
        <f>BS173-SUM(BO173,BP173,BQ173)</f>
        <v>580.26900000000023</v>
      </c>
      <c r="BS173" s="472">
        <v>2263.9650000000001</v>
      </c>
      <c r="BT173" s="112"/>
      <c r="BU173" s="112"/>
      <c r="BV173" s="112"/>
      <c r="BW173" s="112"/>
      <c r="BX173" s="423"/>
      <c r="BY173" s="112"/>
      <c r="BZ173" s="112"/>
      <c r="CA173" s="112"/>
      <c r="CB173" s="112"/>
      <c r="CC173" s="423"/>
      <c r="CD173" s="423"/>
      <c r="CE173" s="423"/>
      <c r="CF173" s="423"/>
      <c r="CG173" s="109"/>
    </row>
    <row r="174" spans="1:85" ht="14.45" hidden="1" customHeight="1" x14ac:dyDescent="0.25">
      <c r="A174" s="162"/>
      <c r="B174" s="97"/>
      <c r="C174" s="413"/>
      <c r="D174" s="413"/>
      <c r="E174" s="413"/>
      <c r="F174" s="413"/>
      <c r="G174" s="63"/>
      <c r="H174" s="63"/>
      <c r="I174" s="63"/>
      <c r="J174" s="63"/>
      <c r="K174" s="413"/>
      <c r="L174" s="63"/>
      <c r="M174" s="63"/>
      <c r="N174" s="63"/>
      <c r="O174" s="63"/>
      <c r="P174" s="413"/>
      <c r="Q174" s="63"/>
      <c r="R174" s="63"/>
      <c r="S174" s="63"/>
      <c r="T174" s="63"/>
      <c r="U174" s="413"/>
      <c r="V174" s="63"/>
      <c r="W174" s="63"/>
      <c r="X174" s="63"/>
      <c r="Y174" s="63"/>
      <c r="Z174" s="413"/>
      <c r="AA174" s="63"/>
      <c r="AB174" s="63"/>
      <c r="AC174" s="63"/>
      <c r="AD174" s="63"/>
      <c r="AE174" s="413"/>
      <c r="AF174" s="63"/>
      <c r="AG174" s="63"/>
      <c r="AH174" s="63"/>
      <c r="AI174" s="63"/>
      <c r="AJ174" s="413"/>
      <c r="AK174" s="63"/>
      <c r="AL174" s="63"/>
      <c r="AM174" s="63"/>
      <c r="AN174" s="63"/>
      <c r="AO174" s="413"/>
      <c r="AP174" s="63"/>
      <c r="AQ174" s="63"/>
      <c r="AR174" s="63"/>
      <c r="AS174" s="63"/>
      <c r="AT174" s="413"/>
      <c r="AU174" s="63"/>
      <c r="AV174" s="63"/>
      <c r="AW174" s="63"/>
      <c r="AX174" s="63"/>
      <c r="AY174" s="413"/>
      <c r="AZ174" s="63"/>
      <c r="BA174" s="63"/>
      <c r="BB174" s="63"/>
      <c r="BC174" s="63"/>
      <c r="BD174" s="413"/>
      <c r="BE174" s="63"/>
      <c r="BF174" s="63"/>
      <c r="BG174" s="63"/>
      <c r="BH174" s="63"/>
      <c r="BI174" s="413"/>
      <c r="BJ174" s="63"/>
      <c r="BK174" s="63"/>
      <c r="BL174" s="63"/>
      <c r="BM174" s="63"/>
      <c r="BN174" s="413"/>
      <c r="BO174" s="63"/>
      <c r="BP174" s="63"/>
      <c r="BQ174" s="63"/>
      <c r="BR174" s="63"/>
      <c r="BS174" s="425"/>
      <c r="BT174" s="63"/>
      <c r="BU174" s="63"/>
      <c r="BV174" s="63"/>
      <c r="BW174" s="63"/>
      <c r="BX174" s="413"/>
      <c r="BY174" s="63"/>
      <c r="BZ174" s="63"/>
      <c r="CA174" s="63"/>
      <c r="CB174" s="63"/>
      <c r="CC174" s="413"/>
      <c r="CD174" s="413"/>
      <c r="CE174" s="413"/>
      <c r="CF174" s="413"/>
      <c r="CG174" s="99"/>
    </row>
    <row r="175" spans="1:85" ht="14.45" hidden="1" customHeight="1" x14ac:dyDescent="0.25">
      <c r="A175" s="125" t="s">
        <v>309</v>
      </c>
      <c r="B175" s="97"/>
      <c r="C175" s="413"/>
      <c r="D175" s="413"/>
      <c r="E175" s="413"/>
      <c r="F175" s="413"/>
      <c r="G175" s="63"/>
      <c r="H175" s="63"/>
      <c r="I175" s="63"/>
      <c r="J175" s="63"/>
      <c r="K175" s="413"/>
      <c r="L175" s="63"/>
      <c r="M175" s="63"/>
      <c r="N175" s="63"/>
      <c r="O175" s="63"/>
      <c r="P175" s="413"/>
      <c r="Q175" s="63"/>
      <c r="R175" s="63"/>
      <c r="S175" s="63"/>
      <c r="T175" s="63"/>
      <c r="U175" s="413"/>
      <c r="V175" s="63"/>
      <c r="W175" s="63"/>
      <c r="X175" s="63"/>
      <c r="Y175" s="99">
        <f t="shared" ref="Y175:Y182" si="126">Z175-SUM(V175,W175,X175)</f>
        <v>0</v>
      </c>
      <c r="Z175" s="413"/>
      <c r="AA175" s="63"/>
      <c r="AB175" s="63"/>
      <c r="AC175" s="63"/>
      <c r="AD175" s="99">
        <f t="shared" ref="AD175:AD182" si="127">AE175-SUM(AA175,AB175,AC175)</f>
        <v>91.45</v>
      </c>
      <c r="AE175" s="410">
        <v>91.45</v>
      </c>
      <c r="AF175" s="63"/>
      <c r="AG175" s="63"/>
      <c r="AH175" s="63"/>
      <c r="AI175" s="63"/>
      <c r="AJ175" s="413"/>
      <c r="AK175" s="63"/>
      <c r="AL175" s="63"/>
      <c r="AM175" s="63"/>
      <c r="AN175" s="63"/>
      <c r="AO175" s="413"/>
      <c r="AP175" s="63"/>
      <c r="AQ175" s="63"/>
      <c r="AR175" s="63"/>
      <c r="AS175" s="63"/>
      <c r="AT175" s="413"/>
      <c r="AU175" s="63"/>
      <c r="AV175" s="63"/>
      <c r="AW175" s="63"/>
      <c r="AX175" s="63"/>
      <c r="AY175" s="413"/>
      <c r="AZ175" s="63"/>
      <c r="BA175" s="63"/>
      <c r="BB175" s="63"/>
      <c r="BC175" s="63"/>
      <c r="BD175" s="413"/>
      <c r="BE175" s="63"/>
      <c r="BF175" s="63"/>
      <c r="BG175" s="63"/>
      <c r="BH175" s="63"/>
      <c r="BI175" s="413"/>
      <c r="BJ175" s="63"/>
      <c r="BK175" s="63"/>
      <c r="BL175" s="63"/>
      <c r="BM175" s="63"/>
      <c r="BN175" s="413"/>
      <c r="BO175" s="63"/>
      <c r="BP175" s="63"/>
      <c r="BQ175" s="63"/>
      <c r="BR175" s="63"/>
      <c r="BS175" s="425"/>
      <c r="BT175" s="63"/>
      <c r="BU175" s="63"/>
      <c r="BV175" s="63"/>
      <c r="BW175" s="63"/>
      <c r="BX175" s="413"/>
      <c r="BY175" s="63"/>
      <c r="BZ175" s="63"/>
      <c r="CA175" s="63"/>
      <c r="CB175" s="63"/>
      <c r="CC175" s="413"/>
      <c r="CD175" s="413"/>
      <c r="CE175" s="413"/>
      <c r="CF175" s="413"/>
      <c r="CG175" s="99"/>
    </row>
    <row r="176" spans="1:85" ht="14.45" hidden="1" customHeight="1" x14ac:dyDescent="0.25">
      <c r="A176" s="125" t="s">
        <v>310</v>
      </c>
      <c r="B176" s="97"/>
      <c r="C176" s="413"/>
      <c r="D176" s="413"/>
      <c r="E176" s="413"/>
      <c r="F176" s="413"/>
      <c r="G176" s="63"/>
      <c r="H176" s="63"/>
      <c r="I176" s="63"/>
      <c r="J176" s="63"/>
      <c r="K176" s="413"/>
      <c r="L176" s="63"/>
      <c r="M176" s="63"/>
      <c r="N176" s="63"/>
      <c r="O176" s="63"/>
      <c r="P176" s="413"/>
      <c r="Q176" s="63"/>
      <c r="R176" s="63"/>
      <c r="S176" s="98">
        <v>16.515999999999998</v>
      </c>
      <c r="T176" s="99">
        <f>U176-42.195</f>
        <v>14.088999999999999</v>
      </c>
      <c r="U176" s="410">
        <v>56.283999999999999</v>
      </c>
      <c r="V176" s="98">
        <v>15.625999999999999</v>
      </c>
      <c r="W176" s="98">
        <v>18.724</v>
      </c>
      <c r="X176" s="98">
        <v>20.097000000000001</v>
      </c>
      <c r="Y176" s="99">
        <f t="shared" si="126"/>
        <v>19.066000000000003</v>
      </c>
      <c r="Z176" s="410">
        <v>73.513000000000005</v>
      </c>
      <c r="AA176" s="98">
        <v>16.835999999999999</v>
      </c>
      <c r="AB176" s="98">
        <v>23.324999999999999</v>
      </c>
      <c r="AC176" s="98">
        <v>22.074000000000002</v>
      </c>
      <c r="AD176" s="99">
        <f t="shared" si="127"/>
        <v>20.942000000000007</v>
      </c>
      <c r="AE176" s="410">
        <v>83.177000000000007</v>
      </c>
      <c r="AF176" s="98">
        <v>20.036999999999999</v>
      </c>
      <c r="AG176" s="98">
        <v>22.655999999999999</v>
      </c>
      <c r="AH176" s="98">
        <v>22.632000000000001</v>
      </c>
      <c r="AI176" s="99">
        <f>AJ176-SUM(AF176,AG176,AH176)</f>
        <v>21.158000000000001</v>
      </c>
      <c r="AJ176" s="410">
        <v>86.483000000000004</v>
      </c>
      <c r="AK176" s="98">
        <v>22.712</v>
      </c>
      <c r="AL176" s="98">
        <v>26.311</v>
      </c>
      <c r="AM176" s="98">
        <v>25.931000000000001</v>
      </c>
      <c r="AN176" s="99">
        <f>AO176-SUM(AK176,AL176,AM176)</f>
        <v>23.059000000000012</v>
      </c>
      <c r="AO176" s="410">
        <v>98.013000000000005</v>
      </c>
      <c r="AP176" s="98">
        <v>21.545999999999999</v>
      </c>
      <c r="AQ176" s="98">
        <v>15.449</v>
      </c>
      <c r="AR176" s="98">
        <v>21.187000000000001</v>
      </c>
      <c r="AS176" s="99">
        <f>AT176-SUM(AP176,AQ176,AR176)</f>
        <v>24.784999999999997</v>
      </c>
      <c r="AT176" s="410">
        <v>82.966999999999999</v>
      </c>
      <c r="AU176" s="98">
        <v>18.350999999999999</v>
      </c>
      <c r="AV176" s="63"/>
      <c r="AW176" s="63"/>
      <c r="AX176" s="63"/>
      <c r="AY176" s="413"/>
      <c r="AZ176" s="63"/>
      <c r="BA176" s="63"/>
      <c r="BB176" s="63"/>
      <c r="BC176" s="63"/>
      <c r="BD176" s="413"/>
      <c r="BE176" s="63"/>
      <c r="BF176" s="63"/>
      <c r="BG176" s="63"/>
      <c r="BH176" s="63"/>
      <c r="BI176" s="413"/>
      <c r="BJ176" s="63"/>
      <c r="BK176" s="63"/>
      <c r="BL176" s="63"/>
      <c r="BM176" s="63"/>
      <c r="BN176" s="413"/>
      <c r="BO176" s="63"/>
      <c r="BP176" s="63"/>
      <c r="BQ176" s="63"/>
      <c r="BR176" s="63"/>
      <c r="BS176" s="425"/>
      <c r="BT176" s="63"/>
      <c r="BU176" s="63"/>
      <c r="BV176" s="63"/>
      <c r="BW176" s="63"/>
      <c r="BX176" s="413"/>
      <c r="BY176" s="63"/>
      <c r="BZ176" s="63"/>
      <c r="CA176" s="63"/>
      <c r="CB176" s="63"/>
      <c r="CC176" s="413"/>
      <c r="CD176" s="413"/>
      <c r="CE176" s="413"/>
      <c r="CF176" s="413"/>
      <c r="CG176" s="99"/>
    </row>
    <row r="177" spans="1:85" ht="14.45" hidden="1" customHeight="1" x14ac:dyDescent="0.25">
      <c r="A177" s="125" t="s">
        <v>311</v>
      </c>
      <c r="B177" s="97"/>
      <c r="C177" s="413"/>
      <c r="D177" s="413"/>
      <c r="E177" s="413"/>
      <c r="F177" s="413"/>
      <c r="G177" s="63"/>
      <c r="H177" s="63"/>
      <c r="I177" s="63"/>
      <c r="J177" s="63"/>
      <c r="K177" s="413"/>
      <c r="L177" s="63"/>
      <c r="M177" s="63"/>
      <c r="N177" s="63"/>
      <c r="O177" s="63"/>
      <c r="P177" s="413"/>
      <c r="Q177" s="63"/>
      <c r="R177" s="63"/>
      <c r="S177" s="98">
        <v>4.6210000000000004</v>
      </c>
      <c r="T177" s="99">
        <f>U177-12.562</f>
        <v>4.8379999999999992</v>
      </c>
      <c r="U177" s="410">
        <v>17.399999999999999</v>
      </c>
      <c r="V177" s="98">
        <v>5.6429999999999998</v>
      </c>
      <c r="W177" s="98">
        <v>6.8129999999999997</v>
      </c>
      <c r="X177" s="98">
        <v>7.6280000000000001</v>
      </c>
      <c r="Y177" s="99">
        <f t="shared" si="126"/>
        <v>7.5399999999999991</v>
      </c>
      <c r="Z177" s="410">
        <v>27.623999999999999</v>
      </c>
      <c r="AA177" s="98">
        <v>7.85</v>
      </c>
      <c r="AB177" s="98">
        <v>9.0020000000000007</v>
      </c>
      <c r="AC177" s="98">
        <v>9.2859999999999996</v>
      </c>
      <c r="AD177" s="99">
        <f t="shared" si="127"/>
        <v>9.1970000000000027</v>
      </c>
      <c r="AE177" s="410">
        <v>35.335000000000001</v>
      </c>
      <c r="AF177" s="98">
        <v>9.3469999999999995</v>
      </c>
      <c r="AG177" s="98">
        <v>10.353</v>
      </c>
      <c r="AH177" s="98">
        <v>10.199</v>
      </c>
      <c r="AI177" s="99">
        <f>AJ177-SUM(AF177,AG177,AH177)</f>
        <v>10.124000000000002</v>
      </c>
      <c r="AJ177" s="410">
        <v>40.023000000000003</v>
      </c>
      <c r="AK177" s="98">
        <v>10.749000000000001</v>
      </c>
      <c r="AL177" s="98">
        <v>9.8849999999999998</v>
      </c>
      <c r="AM177" s="98">
        <v>10.872999999999999</v>
      </c>
      <c r="AN177" s="99">
        <f>AO177-SUM(AK177,AL177,AM177)</f>
        <v>10.207000000000001</v>
      </c>
      <c r="AO177" s="410">
        <v>41.713999999999999</v>
      </c>
      <c r="AP177" s="98">
        <v>9.09</v>
      </c>
      <c r="AQ177" s="98">
        <v>6.3449999999999998</v>
      </c>
      <c r="AR177" s="98">
        <v>7.5549999999999997</v>
      </c>
      <c r="AS177" s="99">
        <f>AT177-SUM(AP177,AQ177,AR177)</f>
        <v>9.8200000000000038</v>
      </c>
      <c r="AT177" s="410">
        <v>32.81</v>
      </c>
      <c r="AU177" s="98">
        <v>8.8179999999999996</v>
      </c>
      <c r="AV177" s="63"/>
      <c r="AW177" s="63"/>
      <c r="AX177" s="63"/>
      <c r="AY177" s="413"/>
      <c r="AZ177" s="63"/>
      <c r="BA177" s="63"/>
      <c r="BB177" s="63"/>
      <c r="BC177" s="63"/>
      <c r="BD177" s="413"/>
      <c r="BE177" s="63"/>
      <c r="BF177" s="63"/>
      <c r="BG177" s="63"/>
      <c r="BH177" s="63"/>
      <c r="BI177" s="413"/>
      <c r="BJ177" s="63"/>
      <c r="BK177" s="63"/>
      <c r="BL177" s="63"/>
      <c r="BM177" s="63"/>
      <c r="BN177" s="413"/>
      <c r="BO177" s="63"/>
      <c r="BP177" s="63"/>
      <c r="BQ177" s="63"/>
      <c r="BR177" s="63"/>
      <c r="BS177" s="425"/>
      <c r="BT177" s="63"/>
      <c r="BU177" s="63"/>
      <c r="BV177" s="63"/>
      <c r="BW177" s="63"/>
      <c r="BX177" s="413"/>
      <c r="BY177" s="63"/>
      <c r="BZ177" s="63"/>
      <c r="CA177" s="63"/>
      <c r="CB177" s="63"/>
      <c r="CC177" s="413"/>
      <c r="CD177" s="413"/>
      <c r="CE177" s="413"/>
      <c r="CF177" s="413"/>
      <c r="CG177" s="99"/>
    </row>
    <row r="178" spans="1:85" ht="14.45" hidden="1" customHeight="1" x14ac:dyDescent="0.25">
      <c r="A178" s="125" t="s">
        <v>312</v>
      </c>
      <c r="B178" s="97"/>
      <c r="C178" s="413"/>
      <c r="D178" s="413"/>
      <c r="E178" s="413"/>
      <c r="F178" s="413"/>
      <c r="G178" s="63"/>
      <c r="H178" s="63"/>
      <c r="I178" s="63"/>
      <c r="J178" s="63"/>
      <c r="K178" s="413"/>
      <c r="L178" s="63"/>
      <c r="M178" s="63"/>
      <c r="N178" s="63"/>
      <c r="O178" s="63"/>
      <c r="P178" s="413"/>
      <c r="Q178" s="63"/>
      <c r="R178" s="63"/>
      <c r="S178" s="98">
        <v>1.2929999999999999</v>
      </c>
      <c r="T178" s="99">
        <f>U178-3.431</f>
        <v>1.2389999999999999</v>
      </c>
      <c r="U178" s="410">
        <v>4.67</v>
      </c>
      <c r="V178" s="98">
        <v>1.488</v>
      </c>
      <c r="W178" s="98">
        <v>1.835</v>
      </c>
      <c r="X178" s="98">
        <v>1.92</v>
      </c>
      <c r="Y178" s="99">
        <f t="shared" si="126"/>
        <v>1.9499999999999993</v>
      </c>
      <c r="Z178" s="410">
        <v>7.1929999999999996</v>
      </c>
      <c r="AA178" s="98">
        <v>2.093</v>
      </c>
      <c r="AB178" s="98">
        <v>3.0150000000000001</v>
      </c>
      <c r="AC178" s="98">
        <v>1.7729999999999999</v>
      </c>
      <c r="AD178" s="99">
        <f t="shared" si="127"/>
        <v>3.593</v>
      </c>
      <c r="AE178" s="410">
        <v>10.474</v>
      </c>
      <c r="AF178" s="98">
        <v>0.48099999999999998</v>
      </c>
      <c r="AG178" s="98">
        <v>4.2560000000000002</v>
      </c>
      <c r="AH178" s="98">
        <v>1.9370000000000001</v>
      </c>
      <c r="AI178" s="99">
        <f>AJ178-SUM(AF178,AG178,AH178)</f>
        <v>3.0089999999999995</v>
      </c>
      <c r="AJ178" s="410">
        <v>9.6829999999999998</v>
      </c>
      <c r="AK178" s="98">
        <v>0.435</v>
      </c>
      <c r="AL178" s="98">
        <v>1.351</v>
      </c>
      <c r="AM178" s="98">
        <v>1.6020000000000001</v>
      </c>
      <c r="AN178" s="99">
        <f>AO178-SUM(AK178,AL178,AM178)</f>
        <v>1.681</v>
      </c>
      <c r="AO178" s="410">
        <v>5.069</v>
      </c>
      <c r="AP178" s="98">
        <v>1.157</v>
      </c>
      <c r="AQ178" s="98">
        <v>1.161</v>
      </c>
      <c r="AR178" s="98">
        <v>1.151</v>
      </c>
      <c r="AS178" s="99">
        <f>AT178-SUM(AP178,AQ178,AR178)</f>
        <v>1.069</v>
      </c>
      <c r="AT178" s="410">
        <v>4.5380000000000003</v>
      </c>
      <c r="AU178" s="98">
        <v>2.508</v>
      </c>
      <c r="AV178" s="63"/>
      <c r="AW178" s="63"/>
      <c r="AX178" s="63"/>
      <c r="AY178" s="413"/>
      <c r="AZ178" s="63"/>
      <c r="BA178" s="63"/>
      <c r="BB178" s="63"/>
      <c r="BC178" s="63"/>
      <c r="BD178" s="413"/>
      <c r="BE178" s="63"/>
      <c r="BF178" s="63"/>
      <c r="BG178" s="63"/>
      <c r="BH178" s="63"/>
      <c r="BI178" s="413"/>
      <c r="BJ178" s="63"/>
      <c r="BK178" s="63"/>
      <c r="BL178" s="63"/>
      <c r="BM178" s="63"/>
      <c r="BN178" s="413"/>
      <c r="BO178" s="63"/>
      <c r="BP178" s="63"/>
      <c r="BQ178" s="63"/>
      <c r="BR178" s="63"/>
      <c r="BS178" s="425"/>
      <c r="BT178" s="63"/>
      <c r="BU178" s="63"/>
      <c r="BV178" s="63"/>
      <c r="BW178" s="63"/>
      <c r="BX178" s="413"/>
      <c r="BY178" s="63"/>
      <c r="BZ178" s="63"/>
      <c r="CA178" s="63"/>
      <c r="CB178" s="63"/>
      <c r="CC178" s="413"/>
      <c r="CD178" s="413"/>
      <c r="CE178" s="413"/>
      <c r="CF178" s="413"/>
      <c r="CG178" s="99"/>
    </row>
    <row r="179" spans="1:85" ht="14.45" hidden="1" customHeight="1" x14ac:dyDescent="0.25">
      <c r="A179" s="125" t="s">
        <v>313</v>
      </c>
      <c r="B179" s="97"/>
      <c r="C179" s="413"/>
      <c r="D179" s="413"/>
      <c r="E179" s="413"/>
      <c r="F179" s="413"/>
      <c r="G179" s="63"/>
      <c r="H179" s="63"/>
      <c r="I179" s="63"/>
      <c r="J179" s="63"/>
      <c r="K179" s="413"/>
      <c r="L179" s="63"/>
      <c r="M179" s="63"/>
      <c r="N179" s="63"/>
      <c r="O179" s="63"/>
      <c r="P179" s="413"/>
      <c r="Q179" s="63"/>
      <c r="R179" s="63"/>
      <c r="S179" s="98">
        <v>1.718</v>
      </c>
      <c r="T179" s="99">
        <f>U179-2.293</f>
        <v>0.12199999999999989</v>
      </c>
      <c r="U179" s="410">
        <v>2.415</v>
      </c>
      <c r="V179" s="98">
        <v>0.48099999999999998</v>
      </c>
      <c r="W179" s="98">
        <v>1.3360000000000001</v>
      </c>
      <c r="X179" s="98">
        <v>0.189</v>
      </c>
      <c r="Y179" s="99">
        <f t="shared" si="126"/>
        <v>5.7999999999999829E-2</v>
      </c>
      <c r="Z179" s="410">
        <v>2.0640000000000001</v>
      </c>
      <c r="AA179" s="98">
        <v>0.65600000000000003</v>
      </c>
      <c r="AB179" s="98">
        <v>0.48099999999999998</v>
      </c>
      <c r="AC179" s="98">
        <v>2.7069999999999999</v>
      </c>
      <c r="AD179" s="99">
        <f t="shared" si="127"/>
        <v>0.99900000000000011</v>
      </c>
      <c r="AE179" s="410">
        <v>4.843</v>
      </c>
      <c r="AF179" s="98">
        <v>3.8679999999999999</v>
      </c>
      <c r="AG179" s="98">
        <v>4.6139999999999999</v>
      </c>
      <c r="AH179" s="98">
        <v>1.1080000000000001</v>
      </c>
      <c r="AI179" s="99">
        <f>AJ179-SUM(AF179,AG179,AH179)</f>
        <v>-1.2789999999999999</v>
      </c>
      <c r="AJ179" s="410">
        <v>8.3109999999999999</v>
      </c>
      <c r="AK179" s="98">
        <v>0.999</v>
      </c>
      <c r="AL179" s="98">
        <v>4.5019999999999998</v>
      </c>
      <c r="AM179" s="98">
        <v>2.879</v>
      </c>
      <c r="AN179" s="99">
        <f>AO179-SUM(AK179,AL179,AM179)</f>
        <v>-0.37799999999999834</v>
      </c>
      <c r="AO179" s="410">
        <v>8.0020000000000007</v>
      </c>
      <c r="AP179" s="98">
        <v>1.7350000000000001</v>
      </c>
      <c r="AQ179" s="98">
        <v>4.1449999999999996</v>
      </c>
      <c r="AR179" s="98">
        <v>0.56499999999999995</v>
      </c>
      <c r="AS179" s="99">
        <f>AT179-SUM(AP179,AQ179,AR179)</f>
        <v>1.988999999999999</v>
      </c>
      <c r="AT179" s="410">
        <v>8.4339999999999993</v>
      </c>
      <c r="AU179" s="63"/>
      <c r="AV179" s="63"/>
      <c r="AW179" s="63"/>
      <c r="AX179" s="63"/>
      <c r="AY179" s="413"/>
      <c r="AZ179" s="63"/>
      <c r="BA179" s="63"/>
      <c r="BB179" s="63"/>
      <c r="BC179" s="63"/>
      <c r="BD179" s="413"/>
      <c r="BE179" s="63"/>
      <c r="BF179" s="63"/>
      <c r="BG179" s="63"/>
      <c r="BH179" s="63"/>
      <c r="BI179" s="413"/>
      <c r="BJ179" s="63"/>
      <c r="BK179" s="63"/>
      <c r="BL179" s="63"/>
      <c r="BM179" s="63"/>
      <c r="BN179" s="413"/>
      <c r="BO179" s="63"/>
      <c r="BP179" s="63"/>
      <c r="BQ179" s="63"/>
      <c r="BR179" s="63"/>
      <c r="BS179" s="425"/>
      <c r="BT179" s="63"/>
      <c r="BU179" s="63"/>
      <c r="BV179" s="63"/>
      <c r="BW179" s="63"/>
      <c r="BX179" s="413"/>
      <c r="BY179" s="63"/>
      <c r="BZ179" s="63"/>
      <c r="CA179" s="63"/>
      <c r="CB179" s="63"/>
      <c r="CC179" s="413"/>
      <c r="CD179" s="413"/>
      <c r="CE179" s="413"/>
      <c r="CF179" s="413"/>
      <c r="CG179" s="99"/>
    </row>
    <row r="180" spans="1:85" ht="14.45" hidden="1" customHeight="1" x14ac:dyDescent="0.25">
      <c r="A180" s="125" t="s">
        <v>314</v>
      </c>
      <c r="B180" s="97"/>
      <c r="C180" s="413"/>
      <c r="D180" s="413"/>
      <c r="E180" s="413"/>
      <c r="F180" s="413"/>
      <c r="G180" s="63"/>
      <c r="H180" s="63"/>
      <c r="I180" s="63"/>
      <c r="J180" s="63"/>
      <c r="K180" s="413"/>
      <c r="L180" s="63"/>
      <c r="M180" s="63"/>
      <c r="N180" s="63"/>
      <c r="O180" s="63"/>
      <c r="P180" s="413"/>
      <c r="Q180" s="63"/>
      <c r="R180" s="63"/>
      <c r="S180" s="63"/>
      <c r="T180" s="63"/>
      <c r="U180" s="413"/>
      <c r="V180" s="63"/>
      <c r="W180" s="63"/>
      <c r="X180" s="63"/>
      <c r="Y180" s="99">
        <f t="shared" si="126"/>
        <v>0</v>
      </c>
      <c r="Z180" s="413"/>
      <c r="AA180" s="63"/>
      <c r="AB180" s="98">
        <v>8.4</v>
      </c>
      <c r="AC180" s="63"/>
      <c r="AD180" s="99">
        <f t="shared" si="127"/>
        <v>0</v>
      </c>
      <c r="AE180" s="410">
        <v>8.4</v>
      </c>
      <c r="AF180" s="63"/>
      <c r="AG180" s="98">
        <v>3.7890000000000001</v>
      </c>
      <c r="AH180" s="63"/>
      <c r="AI180" s="99">
        <f>AJ180-SUM(AF180,AG180,AH180)</f>
        <v>0</v>
      </c>
      <c r="AJ180" s="410">
        <v>3.7890000000000001</v>
      </c>
      <c r="AK180" s="63"/>
      <c r="AL180" s="63"/>
      <c r="AM180" s="63"/>
      <c r="AN180" s="99">
        <f>AO180-SUM(AK180,AL180,AM180)</f>
        <v>0</v>
      </c>
      <c r="AO180" s="413"/>
      <c r="AP180" s="63"/>
      <c r="AQ180" s="63"/>
      <c r="AR180" s="63"/>
      <c r="AS180" s="99">
        <f>AT180-SUM(AP180,AQ180,AR180)</f>
        <v>0</v>
      </c>
      <c r="AT180" s="413"/>
      <c r="AU180" s="63"/>
      <c r="AV180" s="63"/>
      <c r="AW180" s="63"/>
      <c r="AX180" s="63"/>
      <c r="AY180" s="413"/>
      <c r="AZ180" s="63"/>
      <c r="BA180" s="63"/>
      <c r="BB180" s="63"/>
      <c r="BC180" s="63"/>
      <c r="BD180" s="413"/>
      <c r="BE180" s="63"/>
      <c r="BF180" s="63"/>
      <c r="BG180" s="63"/>
      <c r="BH180" s="63"/>
      <c r="BI180" s="413"/>
      <c r="BJ180" s="63"/>
      <c r="BK180" s="63"/>
      <c r="BL180" s="63"/>
      <c r="BM180" s="63"/>
      <c r="BN180" s="413"/>
      <c r="BO180" s="63"/>
      <c r="BP180" s="63"/>
      <c r="BQ180" s="63"/>
      <c r="BR180" s="63"/>
      <c r="BS180" s="425"/>
      <c r="BT180" s="63"/>
      <c r="BU180" s="63"/>
      <c r="BV180" s="63"/>
      <c r="BW180" s="63"/>
      <c r="BX180" s="413"/>
      <c r="BY180" s="63"/>
      <c r="BZ180" s="63"/>
      <c r="CA180" s="63"/>
      <c r="CB180" s="63"/>
      <c r="CC180" s="413"/>
      <c r="CD180" s="413"/>
      <c r="CE180" s="413"/>
      <c r="CF180" s="413"/>
      <c r="CG180" s="99"/>
    </row>
    <row r="181" spans="1:85" ht="14.45" hidden="1" customHeight="1" x14ac:dyDescent="0.25">
      <c r="A181" s="125" t="s">
        <v>315</v>
      </c>
      <c r="B181" s="97"/>
      <c r="C181" s="413"/>
      <c r="D181" s="413"/>
      <c r="E181" s="413"/>
      <c r="F181" s="413"/>
      <c r="G181" s="63"/>
      <c r="H181" s="63"/>
      <c r="I181" s="63"/>
      <c r="J181" s="63"/>
      <c r="K181" s="413"/>
      <c r="L181" s="63"/>
      <c r="M181" s="63"/>
      <c r="N181" s="63"/>
      <c r="O181" s="63"/>
      <c r="P181" s="413"/>
      <c r="Q181" s="63"/>
      <c r="R181" s="63"/>
      <c r="S181" s="63"/>
      <c r="T181" s="63"/>
      <c r="U181" s="413"/>
      <c r="V181" s="63"/>
      <c r="W181" s="63"/>
      <c r="X181" s="63"/>
      <c r="Y181" s="99">
        <f t="shared" si="126"/>
        <v>0</v>
      </c>
      <c r="Z181" s="413"/>
      <c r="AA181" s="63"/>
      <c r="AB181" s="63"/>
      <c r="AC181" s="63"/>
      <c r="AD181" s="99">
        <f t="shared" si="127"/>
        <v>12.364000000000001</v>
      </c>
      <c r="AE181" s="410">
        <v>12.364000000000001</v>
      </c>
      <c r="AF181" s="63"/>
      <c r="AG181" s="63"/>
      <c r="AH181" s="63"/>
      <c r="AI181" s="63"/>
      <c r="AJ181" s="413"/>
      <c r="AK181" s="63"/>
      <c r="AL181" s="63"/>
      <c r="AM181" s="63"/>
      <c r="AN181" s="63"/>
      <c r="AO181" s="413"/>
      <c r="AP181" s="63"/>
      <c r="AQ181" s="63"/>
      <c r="AR181" s="63"/>
      <c r="AS181" s="63"/>
      <c r="AT181" s="413"/>
      <c r="AU181" s="63"/>
      <c r="AV181" s="63"/>
      <c r="AW181" s="63"/>
      <c r="AX181" s="63"/>
      <c r="AY181" s="413"/>
      <c r="AZ181" s="63"/>
      <c r="BA181" s="63"/>
      <c r="BB181" s="63"/>
      <c r="BC181" s="63"/>
      <c r="BD181" s="413"/>
      <c r="BE181" s="63"/>
      <c r="BF181" s="63"/>
      <c r="BG181" s="63"/>
      <c r="BH181" s="63"/>
      <c r="BI181" s="413"/>
      <c r="BJ181" s="63"/>
      <c r="BK181" s="63"/>
      <c r="BL181" s="63"/>
      <c r="BM181" s="63"/>
      <c r="BN181" s="413"/>
      <c r="BO181" s="63"/>
      <c r="BP181" s="63"/>
      <c r="BQ181" s="63"/>
      <c r="BR181" s="63"/>
      <c r="BS181" s="425"/>
      <c r="BT181" s="63"/>
      <c r="BU181" s="63"/>
      <c r="BV181" s="63"/>
      <c r="BW181" s="63"/>
      <c r="BX181" s="413"/>
      <c r="BY181" s="63"/>
      <c r="BZ181" s="63"/>
      <c r="CA181" s="63"/>
      <c r="CB181" s="63"/>
      <c r="CC181" s="413"/>
      <c r="CD181" s="413"/>
      <c r="CE181" s="413"/>
      <c r="CF181" s="413"/>
      <c r="CG181" s="99"/>
    </row>
    <row r="182" spans="1:85" ht="14.45" hidden="1" customHeight="1" x14ac:dyDescent="0.25">
      <c r="A182" s="125" t="s">
        <v>316</v>
      </c>
      <c r="B182" s="97"/>
      <c r="C182" s="413"/>
      <c r="D182" s="413"/>
      <c r="E182" s="413"/>
      <c r="F182" s="413"/>
      <c r="G182" s="63"/>
      <c r="H182" s="63"/>
      <c r="I182" s="63"/>
      <c r="J182" s="63"/>
      <c r="K182" s="413"/>
      <c r="L182" s="63"/>
      <c r="M182" s="63"/>
      <c r="N182" s="63"/>
      <c r="O182" s="63"/>
      <c r="P182" s="413"/>
      <c r="Q182" s="63"/>
      <c r="R182" s="63"/>
      <c r="S182" s="63"/>
      <c r="T182" s="63"/>
      <c r="U182" s="413"/>
      <c r="V182" s="63"/>
      <c r="W182" s="63"/>
      <c r="X182" s="63"/>
      <c r="Y182" s="99">
        <f t="shared" si="126"/>
        <v>0</v>
      </c>
      <c r="Z182" s="413"/>
      <c r="AA182" s="63"/>
      <c r="AB182" s="63"/>
      <c r="AC182" s="63"/>
      <c r="AD182" s="99">
        <f t="shared" si="127"/>
        <v>30.646999999999998</v>
      </c>
      <c r="AE182" s="410">
        <v>30.646999999999998</v>
      </c>
      <c r="AF182" s="63"/>
      <c r="AG182" s="63"/>
      <c r="AH182" s="63"/>
      <c r="AI182" s="99">
        <f>AJ182-SUM(AF182,AG182,AH182)</f>
        <v>1.32</v>
      </c>
      <c r="AJ182" s="410">
        <v>1.32</v>
      </c>
      <c r="AK182" s="63"/>
      <c r="AL182" s="63"/>
      <c r="AM182" s="63"/>
      <c r="AN182" s="99">
        <f>AO182-SUM(AK182,AL182,AM182)</f>
        <v>0</v>
      </c>
      <c r="AO182" s="413"/>
      <c r="AP182" s="63"/>
      <c r="AQ182" s="63"/>
      <c r="AR182" s="63"/>
      <c r="AS182" s="99">
        <f>AT182-SUM(AP182,AQ182,AR182)</f>
        <v>0</v>
      </c>
      <c r="AT182" s="413"/>
      <c r="AU182" s="63"/>
      <c r="AV182" s="63"/>
      <c r="AW182" s="63"/>
      <c r="AX182" s="63"/>
      <c r="AY182" s="413"/>
      <c r="AZ182" s="63"/>
      <c r="BA182" s="63"/>
      <c r="BB182" s="63"/>
      <c r="BC182" s="63"/>
      <c r="BD182" s="413"/>
      <c r="BE182" s="63"/>
      <c r="BF182" s="63"/>
      <c r="BG182" s="63"/>
      <c r="BH182" s="63"/>
      <c r="BI182" s="413"/>
      <c r="BJ182" s="63"/>
      <c r="BK182" s="63"/>
      <c r="BL182" s="63"/>
      <c r="BM182" s="63"/>
      <c r="BN182" s="413"/>
      <c r="BO182" s="63"/>
      <c r="BP182" s="63"/>
      <c r="BQ182" s="63"/>
      <c r="BR182" s="63"/>
      <c r="BS182" s="425"/>
      <c r="BT182" s="63"/>
      <c r="BU182" s="63"/>
      <c r="BV182" s="63"/>
      <c r="BW182" s="63"/>
      <c r="BX182" s="413"/>
      <c r="BY182" s="63"/>
      <c r="BZ182" s="63"/>
      <c r="CA182" s="63"/>
      <c r="CB182" s="63"/>
      <c r="CC182" s="413"/>
      <c r="CD182" s="413"/>
      <c r="CE182" s="413"/>
      <c r="CF182" s="413"/>
      <c r="CG182" s="99"/>
    </row>
    <row r="183" spans="1:85" ht="14.45" hidden="1" customHeight="1" x14ac:dyDescent="0.25">
      <c r="A183" s="110" t="s">
        <v>317</v>
      </c>
      <c r="B183" s="105"/>
      <c r="C183" s="418"/>
      <c r="D183" s="418"/>
      <c r="E183" s="418"/>
      <c r="F183" s="418"/>
      <c r="G183" s="159"/>
      <c r="H183" s="159"/>
      <c r="I183" s="159"/>
      <c r="J183" s="159"/>
      <c r="K183" s="418"/>
      <c r="L183" s="159"/>
      <c r="M183" s="159"/>
      <c r="N183" s="159"/>
      <c r="O183" s="159"/>
      <c r="P183" s="418"/>
      <c r="Q183" s="159"/>
      <c r="R183" s="159"/>
      <c r="S183" s="106">
        <f t="shared" ref="S183:AU183" si="128">SUM(S175:S182)</f>
        <v>24.148</v>
      </c>
      <c r="T183" s="106">
        <f t="shared" si="128"/>
        <v>20.288</v>
      </c>
      <c r="U183" s="416">
        <f t="shared" si="128"/>
        <v>80.769000000000005</v>
      </c>
      <c r="V183" s="106">
        <f t="shared" si="128"/>
        <v>23.238</v>
      </c>
      <c r="W183" s="106">
        <f t="shared" si="128"/>
        <v>28.707999999999998</v>
      </c>
      <c r="X183" s="106">
        <f t="shared" si="128"/>
        <v>29.834000000000003</v>
      </c>
      <c r="Y183" s="106">
        <f t="shared" si="128"/>
        <v>28.614000000000001</v>
      </c>
      <c r="Z183" s="416">
        <f t="shared" si="128"/>
        <v>110.39400000000001</v>
      </c>
      <c r="AA183" s="106">
        <f t="shared" si="128"/>
        <v>27.434999999999999</v>
      </c>
      <c r="AB183" s="106">
        <f t="shared" si="128"/>
        <v>44.222999999999999</v>
      </c>
      <c r="AC183" s="106">
        <f t="shared" si="128"/>
        <v>35.840000000000003</v>
      </c>
      <c r="AD183" s="106">
        <f t="shared" si="128"/>
        <v>169.19200000000001</v>
      </c>
      <c r="AE183" s="416">
        <f t="shared" si="128"/>
        <v>276.69</v>
      </c>
      <c r="AF183" s="106">
        <f t="shared" si="128"/>
        <v>33.733000000000004</v>
      </c>
      <c r="AG183" s="106">
        <f t="shared" si="128"/>
        <v>45.667999999999999</v>
      </c>
      <c r="AH183" s="106">
        <f t="shared" si="128"/>
        <v>35.875999999999998</v>
      </c>
      <c r="AI183" s="106">
        <f t="shared" si="128"/>
        <v>34.332000000000001</v>
      </c>
      <c r="AJ183" s="416">
        <f t="shared" si="128"/>
        <v>149.60899999999998</v>
      </c>
      <c r="AK183" s="106">
        <f t="shared" si="128"/>
        <v>34.895000000000003</v>
      </c>
      <c r="AL183" s="106">
        <f t="shared" si="128"/>
        <v>42.048999999999999</v>
      </c>
      <c r="AM183" s="106">
        <f t="shared" si="128"/>
        <v>41.284999999999997</v>
      </c>
      <c r="AN183" s="106">
        <f t="shared" si="128"/>
        <v>34.56900000000001</v>
      </c>
      <c r="AO183" s="416">
        <f t="shared" si="128"/>
        <v>152.798</v>
      </c>
      <c r="AP183" s="106">
        <f t="shared" si="128"/>
        <v>33.527999999999999</v>
      </c>
      <c r="AQ183" s="106">
        <f t="shared" si="128"/>
        <v>27.1</v>
      </c>
      <c r="AR183" s="106">
        <f t="shared" si="128"/>
        <v>30.458000000000002</v>
      </c>
      <c r="AS183" s="106">
        <f t="shared" si="128"/>
        <v>37.663000000000004</v>
      </c>
      <c r="AT183" s="416">
        <f t="shared" si="128"/>
        <v>128.749</v>
      </c>
      <c r="AU183" s="106">
        <f t="shared" si="128"/>
        <v>29.676999999999996</v>
      </c>
      <c r="AV183" s="164">
        <v>50.325000000000003</v>
      </c>
      <c r="AW183" s="164">
        <v>51.024000000000001</v>
      </c>
      <c r="AX183" s="106">
        <f>AY183-SUM(AU183,AV183,AW183)</f>
        <v>76.046999999999997</v>
      </c>
      <c r="AY183" s="473">
        <v>207.07300000000001</v>
      </c>
      <c r="AZ183" s="164">
        <v>59.668999999999997</v>
      </c>
      <c r="BA183" s="164">
        <v>60.600999999999999</v>
      </c>
      <c r="BB183" s="164">
        <v>67.540000000000006</v>
      </c>
      <c r="BC183" s="106">
        <f>BD183-SUM(AZ183,BA183,BB183)</f>
        <v>68.523000000000025</v>
      </c>
      <c r="BD183" s="473">
        <v>256.33300000000003</v>
      </c>
      <c r="BE183" s="164">
        <v>47.439</v>
      </c>
      <c r="BF183" s="164">
        <v>55.494999999999997</v>
      </c>
      <c r="BG183" s="164">
        <v>67.89</v>
      </c>
      <c r="BH183" s="106">
        <f>BI183-SUM(BE183,BF183,BG183)</f>
        <v>83.147999999999996</v>
      </c>
      <c r="BI183" s="473">
        <v>253.97200000000001</v>
      </c>
      <c r="BJ183" s="164">
        <v>55.398000000000003</v>
      </c>
      <c r="BK183" s="164">
        <v>63.804000000000002</v>
      </c>
      <c r="BL183" s="164">
        <v>65.591999999999999</v>
      </c>
      <c r="BM183" s="106">
        <f>BN183-SUM(BJ183,BK183,BL183)</f>
        <v>89.52800000000002</v>
      </c>
      <c r="BN183" s="473">
        <v>274.322</v>
      </c>
      <c r="BO183" s="164">
        <v>80.045000000000002</v>
      </c>
      <c r="BP183" s="164">
        <v>88.998999999999995</v>
      </c>
      <c r="BQ183" s="164">
        <v>92.412999999999997</v>
      </c>
      <c r="BR183" s="106">
        <f>BS183-SUM(BO183,BP183,BQ183)</f>
        <v>120.56</v>
      </c>
      <c r="BS183" s="474">
        <v>382.017</v>
      </c>
      <c r="BT183" s="159"/>
      <c r="BU183" s="159"/>
      <c r="BV183" s="159"/>
      <c r="BW183" s="159"/>
      <c r="BX183" s="418"/>
      <c r="BY183" s="159"/>
      <c r="BZ183" s="159"/>
      <c r="CA183" s="159"/>
      <c r="CB183" s="159"/>
      <c r="CC183" s="418"/>
      <c r="CD183" s="418"/>
      <c r="CE183" s="418"/>
      <c r="CF183" s="418"/>
      <c r="CG183" s="109"/>
    </row>
    <row r="184" spans="1:85" ht="14.45" hidden="1" customHeight="1" x14ac:dyDescent="0.25">
      <c r="A184" s="111"/>
      <c r="B184" s="108"/>
      <c r="C184" s="423"/>
      <c r="D184" s="423"/>
      <c r="E184" s="423"/>
      <c r="F184" s="423"/>
      <c r="G184" s="112"/>
      <c r="H184" s="112"/>
      <c r="I184" s="112"/>
      <c r="J184" s="112"/>
      <c r="K184" s="423"/>
      <c r="L184" s="112"/>
      <c r="M184" s="112"/>
      <c r="N184" s="112"/>
      <c r="O184" s="112"/>
      <c r="P184" s="423"/>
      <c r="Q184" s="112"/>
      <c r="R184" s="112"/>
      <c r="S184" s="112"/>
      <c r="T184" s="112"/>
      <c r="U184" s="423"/>
      <c r="V184" s="112"/>
      <c r="W184" s="112"/>
      <c r="X184" s="112"/>
      <c r="Y184" s="112"/>
      <c r="Z184" s="423"/>
      <c r="AA184" s="112"/>
      <c r="AB184" s="112"/>
      <c r="AC184" s="112"/>
      <c r="AD184" s="112"/>
      <c r="AE184" s="423"/>
      <c r="AF184" s="112"/>
      <c r="AG184" s="112"/>
      <c r="AH184" s="112"/>
      <c r="AI184" s="112"/>
      <c r="AJ184" s="423"/>
      <c r="AK184" s="112"/>
      <c r="AL184" s="112"/>
      <c r="AM184" s="112"/>
      <c r="AN184" s="112"/>
      <c r="AO184" s="423"/>
      <c r="AP184" s="112"/>
      <c r="AQ184" s="112"/>
      <c r="AR184" s="112"/>
      <c r="AS184" s="112"/>
      <c r="AT184" s="423"/>
      <c r="AU184" s="112"/>
      <c r="AV184" s="112"/>
      <c r="AW184" s="112"/>
      <c r="AX184" s="112"/>
      <c r="AY184" s="423"/>
      <c r="AZ184" s="112"/>
      <c r="BA184" s="112"/>
      <c r="BB184" s="112"/>
      <c r="BC184" s="112"/>
      <c r="BD184" s="423"/>
      <c r="BE184" s="112"/>
      <c r="BF184" s="112"/>
      <c r="BG184" s="112"/>
      <c r="BH184" s="112"/>
      <c r="BI184" s="423"/>
      <c r="BJ184" s="112"/>
      <c r="BK184" s="112"/>
      <c r="BL184" s="112"/>
      <c r="BM184" s="112"/>
      <c r="BN184" s="423"/>
      <c r="BO184" s="112"/>
      <c r="BP184" s="112"/>
      <c r="BQ184" s="112"/>
      <c r="BR184" s="112"/>
      <c r="BS184" s="424"/>
      <c r="BT184" s="112"/>
      <c r="BU184" s="112"/>
      <c r="BV184" s="112"/>
      <c r="BW184" s="112"/>
      <c r="BX184" s="423"/>
      <c r="BY184" s="112"/>
      <c r="BZ184" s="112"/>
      <c r="CA184" s="112"/>
      <c r="CB184" s="112"/>
      <c r="CC184" s="423"/>
      <c r="CD184" s="423"/>
      <c r="CE184" s="423"/>
      <c r="CF184" s="423"/>
      <c r="CG184" s="109"/>
    </row>
    <row r="185" spans="1:85" ht="14.45" hidden="1" customHeight="1" x14ac:dyDescent="0.25">
      <c r="A185" s="113" t="s">
        <v>318</v>
      </c>
      <c r="B185" s="97"/>
      <c r="C185" s="413"/>
      <c r="D185" s="413"/>
      <c r="E185" s="413"/>
      <c r="F185" s="413"/>
      <c r="G185" s="63"/>
      <c r="H185" s="63"/>
      <c r="I185" s="63"/>
      <c r="J185" s="63"/>
      <c r="K185" s="413"/>
      <c r="L185" s="63"/>
      <c r="M185" s="63"/>
      <c r="N185" s="63"/>
      <c r="O185" s="63"/>
      <c r="P185" s="413"/>
      <c r="Q185" s="63"/>
      <c r="R185" s="63"/>
      <c r="S185" s="98">
        <v>2.4</v>
      </c>
      <c r="T185" s="99">
        <f>U185</f>
        <v>4</v>
      </c>
      <c r="U185" s="410">
        <v>4</v>
      </c>
      <c r="V185" s="98">
        <v>5</v>
      </c>
      <c r="W185" s="98">
        <v>7.9</v>
      </c>
      <c r="X185" s="98">
        <v>10.5</v>
      </c>
      <c r="Y185" s="99">
        <f>Z185</f>
        <v>13.5</v>
      </c>
      <c r="Z185" s="410">
        <v>13.5</v>
      </c>
      <c r="AA185" s="98">
        <v>0</v>
      </c>
      <c r="AB185" s="98">
        <v>6.6</v>
      </c>
      <c r="AC185" s="98">
        <v>11.7</v>
      </c>
      <c r="AD185" s="99">
        <f>AE185</f>
        <v>16.7</v>
      </c>
      <c r="AE185" s="410">
        <v>16.7</v>
      </c>
      <c r="AF185" s="98">
        <v>5.9</v>
      </c>
      <c r="AG185" s="98">
        <v>11.3</v>
      </c>
      <c r="AH185" s="98">
        <v>18.3</v>
      </c>
      <c r="AI185" s="99">
        <f>AJ185</f>
        <v>24.7</v>
      </c>
      <c r="AJ185" s="410">
        <v>24.7</v>
      </c>
      <c r="AK185" s="98">
        <v>6.2</v>
      </c>
      <c r="AL185" s="98">
        <v>12.8</v>
      </c>
      <c r="AM185" s="98">
        <v>18.8</v>
      </c>
      <c r="AN185" s="99">
        <f>AO185</f>
        <v>27.2</v>
      </c>
      <c r="AO185" s="410">
        <v>27.2</v>
      </c>
      <c r="AP185" s="98">
        <v>10.5</v>
      </c>
      <c r="AQ185" s="98">
        <v>20.5</v>
      </c>
      <c r="AR185" s="98">
        <v>32</v>
      </c>
      <c r="AS185" s="99">
        <f>AT185</f>
        <v>43.4</v>
      </c>
      <c r="AT185" s="410">
        <v>43.4</v>
      </c>
      <c r="AU185" s="98">
        <v>10</v>
      </c>
      <c r="AV185" s="98">
        <v>19.899999999999999</v>
      </c>
      <c r="AW185" s="98">
        <v>28.6</v>
      </c>
      <c r="AX185" s="99">
        <f>AY185</f>
        <v>39.1</v>
      </c>
      <c r="AY185" s="410">
        <v>39.1</v>
      </c>
      <c r="AZ185" s="98">
        <v>9.8000000000000007</v>
      </c>
      <c r="BA185" s="98">
        <v>18.7</v>
      </c>
      <c r="BB185" s="98">
        <v>28.4</v>
      </c>
      <c r="BC185" s="99">
        <f>BD185</f>
        <v>36.5</v>
      </c>
      <c r="BD185" s="410">
        <v>36.5</v>
      </c>
      <c r="BE185" s="98">
        <v>6.5</v>
      </c>
      <c r="BF185" s="98">
        <v>13.4</v>
      </c>
      <c r="BG185" s="98">
        <v>21</v>
      </c>
      <c r="BH185" s="99">
        <f>BI185</f>
        <v>28.2</v>
      </c>
      <c r="BI185" s="410">
        <v>28.2</v>
      </c>
      <c r="BJ185" s="98">
        <v>9.6999999999999993</v>
      </c>
      <c r="BK185" s="98">
        <v>23.7</v>
      </c>
      <c r="BL185" s="98">
        <v>44.2</v>
      </c>
      <c r="BM185" s="99">
        <f>BN185</f>
        <v>64.3</v>
      </c>
      <c r="BN185" s="410">
        <v>64.3</v>
      </c>
      <c r="BO185" s="98">
        <v>19.8</v>
      </c>
      <c r="BP185" s="98">
        <v>35.200000000000003</v>
      </c>
      <c r="BQ185" s="98">
        <v>51.6</v>
      </c>
      <c r="BR185" s="99">
        <f>BS185</f>
        <v>68.900000000000006</v>
      </c>
      <c r="BS185" s="419">
        <v>68.900000000000006</v>
      </c>
      <c r="BT185" s="63"/>
      <c r="BU185" s="63"/>
      <c r="BV185" s="63"/>
      <c r="BW185" s="63"/>
      <c r="BX185" s="413"/>
      <c r="BY185" s="63"/>
      <c r="BZ185" s="63"/>
      <c r="CA185" s="63"/>
      <c r="CB185" s="63"/>
      <c r="CC185" s="413"/>
      <c r="CD185" s="413"/>
      <c r="CE185" s="413"/>
      <c r="CF185" s="413"/>
      <c r="CG185" s="99"/>
    </row>
    <row r="186" spans="1:85" ht="14.45" hidden="1" customHeight="1" x14ac:dyDescent="0.25">
      <c r="A186" s="135" t="s">
        <v>319</v>
      </c>
      <c r="B186" s="108"/>
      <c r="C186" s="423"/>
      <c r="D186" s="423"/>
      <c r="E186" s="423"/>
      <c r="F186" s="423"/>
      <c r="G186" s="112"/>
      <c r="H186" s="112"/>
      <c r="I186" s="112"/>
      <c r="J186" s="112"/>
      <c r="K186" s="423"/>
      <c r="L186" s="112"/>
      <c r="M186" s="112"/>
      <c r="N186" s="112"/>
      <c r="O186" s="112"/>
      <c r="P186" s="423"/>
      <c r="Q186" s="112"/>
      <c r="R186" s="112"/>
      <c r="S186" s="112"/>
      <c r="T186" s="109">
        <f>T185-S185</f>
        <v>1.6</v>
      </c>
      <c r="U186" s="421">
        <f>U185</f>
        <v>4</v>
      </c>
      <c r="V186" s="109">
        <f>V185</f>
        <v>5</v>
      </c>
      <c r="W186" s="109">
        <f>W185-V185</f>
        <v>2.9000000000000004</v>
      </c>
      <c r="X186" s="109">
        <f>X185-W185</f>
        <v>2.5999999999999996</v>
      </c>
      <c r="Y186" s="109">
        <f>Y185-X185</f>
        <v>3</v>
      </c>
      <c r="Z186" s="421">
        <f>SUM(V186,W186,X186,Y186)</f>
        <v>13.5</v>
      </c>
      <c r="AA186" s="109">
        <f>AA185</f>
        <v>0</v>
      </c>
      <c r="AB186" s="109">
        <f>AB185-AA185</f>
        <v>6.6</v>
      </c>
      <c r="AC186" s="109">
        <f>AC185-AB185</f>
        <v>5.0999999999999996</v>
      </c>
      <c r="AD186" s="109">
        <f>AD185-AC185</f>
        <v>5</v>
      </c>
      <c r="AE186" s="421">
        <f>SUM(AA186,AB186,AC186,AD186)</f>
        <v>16.7</v>
      </c>
      <c r="AF186" s="109">
        <f>AF185</f>
        <v>5.9</v>
      </c>
      <c r="AG186" s="109">
        <f>AG185-AF185</f>
        <v>5.4</v>
      </c>
      <c r="AH186" s="109">
        <f>AH185-AG185</f>
        <v>7</v>
      </c>
      <c r="AI186" s="109">
        <f>AI185-AH185</f>
        <v>6.3999999999999986</v>
      </c>
      <c r="AJ186" s="421">
        <f>SUM(AF186,AG186,AH186,AI186)</f>
        <v>24.7</v>
      </c>
      <c r="AK186" s="109">
        <f>AK185</f>
        <v>6.2</v>
      </c>
      <c r="AL186" s="109">
        <f>AL185-AK185</f>
        <v>6.6000000000000005</v>
      </c>
      <c r="AM186" s="109">
        <f>AM185-AL185</f>
        <v>6</v>
      </c>
      <c r="AN186" s="109">
        <f>AN185-AM185</f>
        <v>8.3999999999999986</v>
      </c>
      <c r="AO186" s="421">
        <f>SUM(AK186,AL186,AM186,AN186)</f>
        <v>27.2</v>
      </c>
      <c r="AP186" s="109">
        <f>AP185</f>
        <v>10.5</v>
      </c>
      <c r="AQ186" s="109">
        <f>AQ185-AP185</f>
        <v>10</v>
      </c>
      <c r="AR186" s="109">
        <f>AR185-AQ185</f>
        <v>11.5</v>
      </c>
      <c r="AS186" s="109">
        <f>AS185-AR185</f>
        <v>11.399999999999999</v>
      </c>
      <c r="AT186" s="421">
        <f>SUM(AP186,AQ186,AR186,AS186)</f>
        <v>43.4</v>
      </c>
      <c r="AU186" s="109">
        <f>AU185</f>
        <v>10</v>
      </c>
      <c r="AV186" s="109">
        <f>AV185-AU185</f>
        <v>9.8999999999999986</v>
      </c>
      <c r="AW186" s="109">
        <f>AW185-AV185</f>
        <v>8.7000000000000028</v>
      </c>
      <c r="AX186" s="109">
        <f>AX185-AW185</f>
        <v>10.5</v>
      </c>
      <c r="AY186" s="421">
        <f>SUM(AU186,AV186,AW186,AX186)</f>
        <v>39.1</v>
      </c>
      <c r="AZ186" s="109">
        <f>AZ185</f>
        <v>9.8000000000000007</v>
      </c>
      <c r="BA186" s="109">
        <f>BA185-AZ185</f>
        <v>8.8999999999999986</v>
      </c>
      <c r="BB186" s="109">
        <f>BB185-BA185</f>
        <v>9.6999999999999993</v>
      </c>
      <c r="BC186" s="109">
        <f>BC185-BB185</f>
        <v>8.1000000000000014</v>
      </c>
      <c r="BD186" s="421">
        <f>SUM(AZ186,BA186,BB186,BC186)</f>
        <v>36.5</v>
      </c>
      <c r="BE186" s="109">
        <f>BE185</f>
        <v>6.5</v>
      </c>
      <c r="BF186" s="109">
        <f>BF185-BE185</f>
        <v>6.9</v>
      </c>
      <c r="BG186" s="109">
        <f>BG185-BF185</f>
        <v>7.6</v>
      </c>
      <c r="BH186" s="109">
        <f>BH185-BG185</f>
        <v>7.1999999999999993</v>
      </c>
      <c r="BI186" s="421">
        <f>SUM(BE186,BF186,BG186,BH186)</f>
        <v>28.2</v>
      </c>
      <c r="BJ186" s="109">
        <f>BJ185</f>
        <v>9.6999999999999993</v>
      </c>
      <c r="BK186" s="109">
        <f>BK185-BJ185</f>
        <v>14</v>
      </c>
      <c r="BL186" s="109">
        <f>BL185-BK185</f>
        <v>20.500000000000004</v>
      </c>
      <c r="BM186" s="109">
        <f>BM185-BL185</f>
        <v>20.099999999999994</v>
      </c>
      <c r="BN186" s="421">
        <f>SUM(BJ186,BK186,BL186,BM186)</f>
        <v>64.3</v>
      </c>
      <c r="BO186" s="109">
        <f>BO185</f>
        <v>19.8</v>
      </c>
      <c r="BP186" s="109">
        <f>BP185-BO185</f>
        <v>15.400000000000002</v>
      </c>
      <c r="BQ186" s="109">
        <f>BQ185-BP185</f>
        <v>16.399999999999999</v>
      </c>
      <c r="BR186" s="109">
        <f>BR185-BQ185</f>
        <v>17.300000000000004</v>
      </c>
      <c r="BS186" s="422">
        <f>SUM(BO186,BP186,BQ186,BR186)</f>
        <v>68.900000000000006</v>
      </c>
      <c r="BT186" s="112"/>
      <c r="BU186" s="112"/>
      <c r="BV186" s="112"/>
      <c r="BW186" s="112"/>
      <c r="BX186" s="423"/>
      <c r="BY186" s="112"/>
      <c r="BZ186" s="112"/>
      <c r="CA186" s="112"/>
      <c r="CB186" s="112"/>
      <c r="CC186" s="423"/>
      <c r="CD186" s="423"/>
      <c r="CE186" s="423"/>
      <c r="CF186" s="423"/>
      <c r="CG186" s="109"/>
    </row>
    <row r="187" spans="1:85" ht="14.45" hidden="1" customHeight="1" x14ac:dyDescent="0.25">
      <c r="A187" s="162"/>
      <c r="B187" s="97"/>
      <c r="C187" s="413"/>
      <c r="D187" s="413"/>
      <c r="E187" s="413"/>
      <c r="F187" s="413"/>
      <c r="G187" s="63"/>
      <c r="H187" s="63"/>
      <c r="I187" s="63"/>
      <c r="J187" s="63"/>
      <c r="K187" s="413"/>
      <c r="L187" s="63"/>
      <c r="M187" s="63"/>
      <c r="N187" s="63"/>
      <c r="O187" s="63"/>
      <c r="P187" s="413"/>
      <c r="Q187" s="63"/>
      <c r="R187" s="63"/>
      <c r="S187" s="63"/>
      <c r="T187" s="63"/>
      <c r="U187" s="413"/>
      <c r="V187" s="63"/>
      <c r="W187" s="63"/>
      <c r="X187" s="63"/>
      <c r="Y187" s="63"/>
      <c r="Z187" s="413"/>
      <c r="AA187" s="63"/>
      <c r="AB187" s="63"/>
      <c r="AC187" s="63"/>
      <c r="AD187" s="63"/>
      <c r="AE187" s="413"/>
      <c r="AF187" s="63"/>
      <c r="AG187" s="63"/>
      <c r="AH187" s="63"/>
      <c r="AI187" s="63"/>
      <c r="AJ187" s="413"/>
      <c r="AK187" s="63"/>
      <c r="AL187" s="63"/>
      <c r="AM187" s="63"/>
      <c r="AN187" s="63"/>
      <c r="AO187" s="413"/>
      <c r="AP187" s="63"/>
      <c r="AQ187" s="63"/>
      <c r="AR187" s="63"/>
      <c r="AS187" s="63"/>
      <c r="AT187" s="413"/>
      <c r="AU187" s="63"/>
      <c r="AV187" s="63"/>
      <c r="AW187" s="63"/>
      <c r="AX187" s="63"/>
      <c r="AY187" s="413"/>
      <c r="AZ187" s="63"/>
      <c r="BA187" s="63"/>
      <c r="BB187" s="63"/>
      <c r="BC187" s="63"/>
      <c r="BD187" s="413"/>
      <c r="BE187" s="63"/>
      <c r="BF187" s="63"/>
      <c r="BG187" s="63"/>
      <c r="BH187" s="63"/>
      <c r="BI187" s="413"/>
      <c r="BJ187" s="63"/>
      <c r="BK187" s="63"/>
      <c r="BL187" s="63"/>
      <c r="BM187" s="63"/>
      <c r="BN187" s="413"/>
      <c r="BO187" s="63"/>
      <c r="BP187" s="63"/>
      <c r="BQ187" s="63"/>
      <c r="BR187" s="63"/>
      <c r="BS187" s="425"/>
      <c r="BT187" s="63"/>
      <c r="BU187" s="63"/>
      <c r="BV187" s="63"/>
      <c r="BW187" s="63"/>
      <c r="BX187" s="413"/>
      <c r="BY187" s="63"/>
      <c r="BZ187" s="63"/>
      <c r="CA187" s="63"/>
      <c r="CB187" s="63"/>
      <c r="CC187" s="413"/>
      <c r="CD187" s="413"/>
      <c r="CE187" s="413"/>
      <c r="CF187" s="413"/>
      <c r="CG187" s="99"/>
    </row>
    <row r="188" spans="1:85" ht="14.45" hidden="1" customHeight="1" x14ac:dyDescent="0.25">
      <c r="A188" s="125" t="s">
        <v>320</v>
      </c>
      <c r="B188" s="97"/>
      <c r="C188" s="413"/>
      <c r="D188" s="413"/>
      <c r="E188" s="413"/>
      <c r="F188" s="413"/>
      <c r="G188" s="63"/>
      <c r="H188" s="63"/>
      <c r="I188" s="63"/>
      <c r="J188" s="63"/>
      <c r="K188" s="413"/>
      <c r="L188" s="63"/>
      <c r="M188" s="63"/>
      <c r="N188" s="63"/>
      <c r="O188" s="63"/>
      <c r="P188" s="413"/>
      <c r="Q188" s="63"/>
      <c r="R188" s="63"/>
      <c r="S188" s="98">
        <v>15.18</v>
      </c>
      <c r="T188" s="99">
        <f>U188-47.596</f>
        <v>15.661000000000001</v>
      </c>
      <c r="U188" s="410">
        <v>63.256999999999998</v>
      </c>
      <c r="V188" s="98">
        <v>16.968</v>
      </c>
      <c r="W188" s="98">
        <v>20.341000000000001</v>
      </c>
      <c r="X188" s="98">
        <v>20.53</v>
      </c>
      <c r="Y188" s="99">
        <f>Z188-SUM(V188,W188,X188)</f>
        <v>22.284000000000006</v>
      </c>
      <c r="Z188" s="410">
        <v>80.123000000000005</v>
      </c>
      <c r="AA188" s="98">
        <v>23.335999999999999</v>
      </c>
      <c r="AB188" s="98">
        <v>27.620999999999999</v>
      </c>
      <c r="AC188" s="98">
        <v>29.344000000000001</v>
      </c>
      <c r="AD188" s="99">
        <f>AE188-SUM(AA188,AB188,AC188)</f>
        <v>28.227000000000018</v>
      </c>
      <c r="AE188" s="410">
        <v>108.52800000000001</v>
      </c>
      <c r="AF188" s="98">
        <v>29.169</v>
      </c>
      <c r="AG188" s="98">
        <v>34.796999999999997</v>
      </c>
      <c r="AH188" s="98">
        <v>32.378999999999998</v>
      </c>
      <c r="AI188" s="99">
        <f>AJ188-SUM(AF188,AG188,AH188)</f>
        <v>29.007000000000005</v>
      </c>
      <c r="AJ188" s="410">
        <v>125.352</v>
      </c>
      <c r="AK188" s="98">
        <v>34.326000000000001</v>
      </c>
      <c r="AL188" s="98">
        <v>36.613999999999997</v>
      </c>
      <c r="AM188" s="98">
        <v>31.178000000000001</v>
      </c>
      <c r="AN188" s="99">
        <f>AO188-SUM(AK188,AL188,AM188)</f>
        <v>30.210000000000008</v>
      </c>
      <c r="AO188" s="410">
        <v>132.328</v>
      </c>
      <c r="AP188" s="98">
        <v>31.027999999999999</v>
      </c>
      <c r="AQ188" s="98">
        <v>32.610999999999997</v>
      </c>
      <c r="AR188" s="98">
        <v>31.196000000000002</v>
      </c>
      <c r="AS188" s="99">
        <f>AT188-SUM(AP188,AQ188,AR188)</f>
        <v>30.824000000000012</v>
      </c>
      <c r="AT188" s="410">
        <v>125.65900000000001</v>
      </c>
      <c r="AU188" s="98">
        <v>27.544</v>
      </c>
      <c r="AV188" s="98">
        <v>34.029000000000003</v>
      </c>
      <c r="AW188" s="98">
        <v>31.417000000000002</v>
      </c>
      <c r="AX188" s="99">
        <f>AY188-SUM(AU188,AV188,AW188)</f>
        <v>32.151999999999987</v>
      </c>
      <c r="AY188" s="410">
        <v>125.142</v>
      </c>
      <c r="AZ188" s="98">
        <v>32.021999999999998</v>
      </c>
      <c r="BA188" s="98">
        <v>41.246000000000002</v>
      </c>
      <c r="BB188" s="98">
        <v>40.357999999999997</v>
      </c>
      <c r="BC188" s="99">
        <f>BD188-SUM(AZ188,BA188,BB188)</f>
        <v>40.341000000000008</v>
      </c>
      <c r="BD188" s="410">
        <v>153.96700000000001</v>
      </c>
      <c r="BE188" s="98">
        <v>42.826999999999998</v>
      </c>
      <c r="BF188" s="98">
        <v>39.759</v>
      </c>
      <c r="BG188" s="98">
        <v>31.087</v>
      </c>
      <c r="BH188" s="99">
        <f>BI188-SUM(BE188,BF188,BG188)</f>
        <v>33.224999999999994</v>
      </c>
      <c r="BI188" s="410">
        <v>146.898</v>
      </c>
      <c r="BJ188" s="98">
        <v>36.963999999999999</v>
      </c>
      <c r="BK188" s="98">
        <v>37.131999999999998</v>
      </c>
      <c r="BL188" s="98">
        <v>34.887</v>
      </c>
      <c r="BM188" s="99">
        <f>BN188-SUM(BJ188,BK188,BL188)</f>
        <v>33.224999999999994</v>
      </c>
      <c r="BN188" s="410">
        <v>142.208</v>
      </c>
      <c r="BO188" s="98">
        <v>27.274000000000001</v>
      </c>
      <c r="BP188" s="98">
        <v>29.265999999999998</v>
      </c>
      <c r="BQ188" s="98">
        <v>32.061</v>
      </c>
      <c r="BR188" s="99">
        <f>BS188-SUM(BO188,BP188,BQ188)</f>
        <v>30.742999999999995</v>
      </c>
      <c r="BS188" s="419">
        <v>119.34399999999999</v>
      </c>
      <c r="BT188" s="63"/>
      <c r="BU188" s="63"/>
      <c r="BV188" s="63"/>
      <c r="BW188" s="63"/>
      <c r="BX188" s="413"/>
      <c r="BY188" s="63"/>
      <c r="BZ188" s="63"/>
      <c r="CA188" s="63"/>
      <c r="CB188" s="63"/>
      <c r="CC188" s="413"/>
      <c r="CD188" s="413"/>
      <c r="CE188" s="413"/>
      <c r="CF188" s="413"/>
      <c r="CG188" s="99"/>
    </row>
    <row r="189" spans="1:85" ht="14.45" hidden="1" customHeight="1" x14ac:dyDescent="0.25">
      <c r="A189" s="130" t="s">
        <v>321</v>
      </c>
      <c r="B189" s="101"/>
      <c r="C189" s="415"/>
      <c r="D189" s="415"/>
      <c r="E189" s="415"/>
      <c r="F189" s="415"/>
      <c r="G189" s="158"/>
      <c r="H189" s="158"/>
      <c r="I189" s="158"/>
      <c r="J189" s="158"/>
      <c r="K189" s="415"/>
      <c r="L189" s="158"/>
      <c r="M189" s="158"/>
      <c r="N189" s="158"/>
      <c r="O189" s="158"/>
      <c r="P189" s="415"/>
      <c r="Q189" s="158"/>
      <c r="R189" s="158"/>
      <c r="S189" s="102">
        <v>38.500999999999998</v>
      </c>
      <c r="T189" s="103">
        <f>U189-107.165</f>
        <v>37.345999999999989</v>
      </c>
      <c r="U189" s="414">
        <v>144.511</v>
      </c>
      <c r="V189" s="102">
        <v>33.222000000000001</v>
      </c>
      <c r="W189" s="102">
        <v>42.51</v>
      </c>
      <c r="X189" s="102">
        <v>39.831000000000003</v>
      </c>
      <c r="Y189" s="103">
        <f>Z189-SUM(V189,W189,X189)</f>
        <v>34.314999999999984</v>
      </c>
      <c r="Z189" s="414">
        <v>149.87799999999999</v>
      </c>
      <c r="AA189" s="102">
        <v>33.634</v>
      </c>
      <c r="AB189" s="102">
        <v>40.506999999999998</v>
      </c>
      <c r="AC189" s="102">
        <v>37.267000000000003</v>
      </c>
      <c r="AD189" s="103">
        <f>AE189-SUM(AA189,AB189,AC189)</f>
        <v>37.103000000000009</v>
      </c>
      <c r="AE189" s="414">
        <v>148.511</v>
      </c>
      <c r="AF189" s="102">
        <v>38.076000000000001</v>
      </c>
      <c r="AG189" s="102">
        <v>41.084000000000003</v>
      </c>
      <c r="AH189" s="102">
        <v>38.569000000000003</v>
      </c>
      <c r="AI189" s="103">
        <f>AJ189-SUM(AF189,AG189,AH189)</f>
        <v>37.853999999999999</v>
      </c>
      <c r="AJ189" s="414">
        <v>155.583</v>
      </c>
      <c r="AK189" s="102">
        <v>37.445999999999998</v>
      </c>
      <c r="AL189" s="102">
        <v>39.993000000000002</v>
      </c>
      <c r="AM189" s="102">
        <v>42.87</v>
      </c>
      <c r="AN189" s="103">
        <f>AO189-SUM(AK189,AL189,AM189)</f>
        <v>39.879999999999995</v>
      </c>
      <c r="AO189" s="414">
        <v>160.18899999999999</v>
      </c>
      <c r="AP189" s="102">
        <v>41.834000000000003</v>
      </c>
      <c r="AQ189" s="102">
        <v>40.384999999999998</v>
      </c>
      <c r="AR189" s="102">
        <v>37.006</v>
      </c>
      <c r="AS189" s="103">
        <f>AT189-SUM(AP189,AQ189,AR189)</f>
        <v>36.63300000000001</v>
      </c>
      <c r="AT189" s="414">
        <v>155.858</v>
      </c>
      <c r="AU189" s="102">
        <v>41.253</v>
      </c>
      <c r="AV189" s="102">
        <v>42.557000000000002</v>
      </c>
      <c r="AW189" s="102">
        <v>41.866999999999997</v>
      </c>
      <c r="AX189" s="103">
        <f>AY189-SUM(AU189,AV189,AW189)</f>
        <v>43.722000000000008</v>
      </c>
      <c r="AY189" s="414">
        <v>169.399</v>
      </c>
      <c r="AZ189" s="102">
        <v>45.366</v>
      </c>
      <c r="BA189" s="102">
        <v>50.561999999999998</v>
      </c>
      <c r="BB189" s="102">
        <v>48.585000000000001</v>
      </c>
      <c r="BC189" s="103">
        <f>BD189-SUM(AZ189,BA189,BB189)</f>
        <v>48.74799999999999</v>
      </c>
      <c r="BD189" s="414">
        <v>193.261</v>
      </c>
      <c r="BE189" s="102">
        <v>49.604999999999997</v>
      </c>
      <c r="BF189" s="102">
        <v>53.106999999999999</v>
      </c>
      <c r="BG189" s="102">
        <v>47.505000000000003</v>
      </c>
      <c r="BH189" s="103">
        <f>BI189-SUM(BE189,BF189,BG189)</f>
        <v>50.02200000000002</v>
      </c>
      <c r="BI189" s="414">
        <v>200.239</v>
      </c>
      <c r="BJ189" s="102">
        <v>50.555999999999997</v>
      </c>
      <c r="BK189" s="102">
        <v>49.369</v>
      </c>
      <c r="BL189" s="102">
        <v>55.055999999999997</v>
      </c>
      <c r="BM189" s="103">
        <f>BN189-SUM(BJ189,BK189,BL189)</f>
        <v>58.336000000000013</v>
      </c>
      <c r="BN189" s="414">
        <v>213.31700000000001</v>
      </c>
      <c r="BO189" s="102">
        <v>53.018000000000001</v>
      </c>
      <c r="BP189" s="102">
        <v>57.125999999999998</v>
      </c>
      <c r="BQ189" s="102">
        <v>55.381</v>
      </c>
      <c r="BR189" s="103">
        <f>BS189-SUM(BO189,BP189,BQ189)</f>
        <v>56.918000000000006</v>
      </c>
      <c r="BS189" s="420">
        <v>222.44300000000001</v>
      </c>
      <c r="BT189" s="158"/>
      <c r="BU189" s="158"/>
      <c r="BV189" s="158"/>
      <c r="BW189" s="158"/>
      <c r="BX189" s="415"/>
      <c r="BY189" s="158"/>
      <c r="BZ189" s="158"/>
      <c r="CA189" s="158"/>
      <c r="CB189" s="158"/>
      <c r="CC189" s="415"/>
      <c r="CD189" s="415"/>
      <c r="CE189" s="415"/>
      <c r="CF189" s="415"/>
      <c r="CG189" s="99"/>
    </row>
    <row r="190" spans="1:85" ht="14.45" hidden="1" customHeight="1" x14ac:dyDescent="0.25">
      <c r="A190" s="135" t="s">
        <v>322</v>
      </c>
      <c r="B190" s="108"/>
      <c r="C190" s="423"/>
      <c r="D190" s="423"/>
      <c r="E190" s="423"/>
      <c r="F190" s="423"/>
      <c r="G190" s="112"/>
      <c r="H190" s="112"/>
      <c r="I190" s="112"/>
      <c r="J190" s="112"/>
      <c r="K190" s="423"/>
      <c r="L190" s="112"/>
      <c r="M190" s="112"/>
      <c r="N190" s="112"/>
      <c r="O190" s="112"/>
      <c r="P190" s="423"/>
      <c r="Q190" s="112"/>
      <c r="R190" s="112"/>
      <c r="S190" s="109">
        <f t="shared" ref="S190:AX190" si="129">SUM(S188:S189)</f>
        <v>53.680999999999997</v>
      </c>
      <c r="T190" s="109">
        <f t="shared" si="129"/>
        <v>53.006999999999991</v>
      </c>
      <c r="U190" s="421">
        <f t="shared" si="129"/>
        <v>207.768</v>
      </c>
      <c r="V190" s="109">
        <f t="shared" si="129"/>
        <v>50.19</v>
      </c>
      <c r="W190" s="109">
        <f t="shared" si="129"/>
        <v>62.850999999999999</v>
      </c>
      <c r="X190" s="109">
        <f t="shared" si="129"/>
        <v>60.361000000000004</v>
      </c>
      <c r="Y190" s="109">
        <f t="shared" si="129"/>
        <v>56.59899999999999</v>
      </c>
      <c r="Z190" s="421">
        <f t="shared" si="129"/>
        <v>230.00099999999998</v>
      </c>
      <c r="AA190" s="109">
        <f t="shared" si="129"/>
        <v>56.97</v>
      </c>
      <c r="AB190" s="109">
        <f t="shared" si="129"/>
        <v>68.128</v>
      </c>
      <c r="AC190" s="109">
        <f t="shared" si="129"/>
        <v>66.611000000000004</v>
      </c>
      <c r="AD190" s="109">
        <f t="shared" si="129"/>
        <v>65.330000000000027</v>
      </c>
      <c r="AE190" s="421">
        <f t="shared" si="129"/>
        <v>257.03899999999999</v>
      </c>
      <c r="AF190" s="109">
        <f t="shared" si="129"/>
        <v>67.245000000000005</v>
      </c>
      <c r="AG190" s="109">
        <f t="shared" si="129"/>
        <v>75.881</v>
      </c>
      <c r="AH190" s="109">
        <f t="shared" si="129"/>
        <v>70.948000000000008</v>
      </c>
      <c r="AI190" s="109">
        <f t="shared" si="129"/>
        <v>66.861000000000004</v>
      </c>
      <c r="AJ190" s="421">
        <f t="shared" si="129"/>
        <v>280.935</v>
      </c>
      <c r="AK190" s="109">
        <f t="shared" si="129"/>
        <v>71.771999999999991</v>
      </c>
      <c r="AL190" s="109">
        <f t="shared" si="129"/>
        <v>76.606999999999999</v>
      </c>
      <c r="AM190" s="109">
        <f t="shared" si="129"/>
        <v>74.048000000000002</v>
      </c>
      <c r="AN190" s="109">
        <f t="shared" si="129"/>
        <v>70.09</v>
      </c>
      <c r="AO190" s="421">
        <f t="shared" si="129"/>
        <v>292.517</v>
      </c>
      <c r="AP190" s="109">
        <f t="shared" si="129"/>
        <v>72.861999999999995</v>
      </c>
      <c r="AQ190" s="109">
        <f t="shared" si="129"/>
        <v>72.995999999999995</v>
      </c>
      <c r="AR190" s="109">
        <f t="shared" si="129"/>
        <v>68.201999999999998</v>
      </c>
      <c r="AS190" s="109">
        <f t="shared" si="129"/>
        <v>67.457000000000022</v>
      </c>
      <c r="AT190" s="421">
        <f t="shared" si="129"/>
        <v>281.517</v>
      </c>
      <c r="AU190" s="109">
        <f t="shared" si="129"/>
        <v>68.796999999999997</v>
      </c>
      <c r="AV190" s="109">
        <f t="shared" si="129"/>
        <v>76.586000000000013</v>
      </c>
      <c r="AW190" s="109">
        <f t="shared" si="129"/>
        <v>73.283999999999992</v>
      </c>
      <c r="AX190" s="109">
        <f t="shared" si="129"/>
        <v>75.873999999999995</v>
      </c>
      <c r="AY190" s="421">
        <f t="shared" ref="AY190:BS190" si="130">SUM(AY188:AY189)</f>
        <v>294.541</v>
      </c>
      <c r="AZ190" s="109">
        <f t="shared" si="130"/>
        <v>77.388000000000005</v>
      </c>
      <c r="BA190" s="109">
        <f t="shared" si="130"/>
        <v>91.807999999999993</v>
      </c>
      <c r="BB190" s="109">
        <f t="shared" si="130"/>
        <v>88.942999999999998</v>
      </c>
      <c r="BC190" s="109">
        <f t="shared" si="130"/>
        <v>89.088999999999999</v>
      </c>
      <c r="BD190" s="421">
        <f t="shared" si="130"/>
        <v>347.22800000000001</v>
      </c>
      <c r="BE190" s="109">
        <f t="shared" si="130"/>
        <v>92.431999999999988</v>
      </c>
      <c r="BF190" s="109">
        <f t="shared" si="130"/>
        <v>92.866</v>
      </c>
      <c r="BG190" s="109">
        <f t="shared" si="130"/>
        <v>78.591999999999999</v>
      </c>
      <c r="BH190" s="109">
        <f t="shared" si="130"/>
        <v>83.247000000000014</v>
      </c>
      <c r="BI190" s="421">
        <f t="shared" si="130"/>
        <v>347.137</v>
      </c>
      <c r="BJ190" s="109">
        <f t="shared" si="130"/>
        <v>87.52</v>
      </c>
      <c r="BK190" s="109">
        <f t="shared" si="130"/>
        <v>86.501000000000005</v>
      </c>
      <c r="BL190" s="109">
        <f t="shared" si="130"/>
        <v>89.942999999999998</v>
      </c>
      <c r="BM190" s="109">
        <f t="shared" si="130"/>
        <v>91.561000000000007</v>
      </c>
      <c r="BN190" s="421">
        <f t="shared" si="130"/>
        <v>355.52499999999998</v>
      </c>
      <c r="BO190" s="109">
        <f t="shared" si="130"/>
        <v>80.292000000000002</v>
      </c>
      <c r="BP190" s="109">
        <f t="shared" si="130"/>
        <v>86.391999999999996</v>
      </c>
      <c r="BQ190" s="109">
        <f t="shared" si="130"/>
        <v>87.442000000000007</v>
      </c>
      <c r="BR190" s="109">
        <f t="shared" si="130"/>
        <v>87.661000000000001</v>
      </c>
      <c r="BS190" s="422">
        <f t="shared" si="130"/>
        <v>341.78700000000003</v>
      </c>
      <c r="BT190" s="112"/>
      <c r="BU190" s="112"/>
      <c r="BV190" s="112"/>
      <c r="BW190" s="112"/>
      <c r="BX190" s="423"/>
      <c r="BY190" s="112"/>
      <c r="BZ190" s="112"/>
      <c r="CA190" s="112"/>
      <c r="CB190" s="112"/>
      <c r="CC190" s="423"/>
      <c r="CD190" s="423"/>
      <c r="CE190" s="423"/>
      <c r="CF190" s="423"/>
      <c r="CG190" s="109"/>
    </row>
    <row r="191" spans="1:85" ht="14.45" hidden="1" customHeight="1" x14ac:dyDescent="0.25">
      <c r="A191" s="162"/>
      <c r="B191" s="97"/>
      <c r="C191" s="413"/>
      <c r="D191" s="413"/>
      <c r="E191" s="413"/>
      <c r="F191" s="413"/>
      <c r="G191" s="63"/>
      <c r="H191" s="63"/>
      <c r="I191" s="63"/>
      <c r="J191" s="63"/>
      <c r="K191" s="413"/>
      <c r="L191" s="63"/>
      <c r="M191" s="63"/>
      <c r="N191" s="63"/>
      <c r="O191" s="63"/>
      <c r="P191" s="413"/>
      <c r="Q191" s="63"/>
      <c r="R191" s="63"/>
      <c r="S191" s="63"/>
      <c r="T191" s="63"/>
      <c r="U191" s="413"/>
      <c r="V191" s="63"/>
      <c r="W191" s="63"/>
      <c r="X191" s="63"/>
      <c r="Y191" s="63"/>
      <c r="Z191" s="413"/>
      <c r="AA191" s="63"/>
      <c r="AB191" s="63"/>
      <c r="AC191" s="63"/>
      <c r="AD191" s="63"/>
      <c r="AE191" s="413"/>
      <c r="AF191" s="63"/>
      <c r="AG191" s="63"/>
      <c r="AH191" s="63"/>
      <c r="AI191" s="63"/>
      <c r="AJ191" s="413"/>
      <c r="AK191" s="63"/>
      <c r="AL191" s="63"/>
      <c r="AM191" s="63"/>
      <c r="AN191" s="63"/>
      <c r="AO191" s="413"/>
      <c r="AP191" s="63"/>
      <c r="AQ191" s="63"/>
      <c r="AR191" s="63"/>
      <c r="AS191" s="63"/>
      <c r="AT191" s="413"/>
      <c r="AU191" s="63"/>
      <c r="AV191" s="63"/>
      <c r="AW191" s="63"/>
      <c r="AX191" s="63"/>
      <c r="AY191" s="413"/>
      <c r="AZ191" s="63"/>
      <c r="BA191" s="63"/>
      <c r="BB191" s="63"/>
      <c r="BC191" s="63"/>
      <c r="BD191" s="413"/>
      <c r="BE191" s="63"/>
      <c r="BF191" s="63"/>
      <c r="BG191" s="63"/>
      <c r="BH191" s="63"/>
      <c r="BI191" s="413"/>
      <c r="BJ191" s="63"/>
      <c r="BK191" s="63"/>
      <c r="BL191" s="63"/>
      <c r="BM191" s="63"/>
      <c r="BN191" s="413"/>
      <c r="BO191" s="63"/>
      <c r="BP191" s="63"/>
      <c r="BQ191" s="63"/>
      <c r="BR191" s="63"/>
      <c r="BS191" s="425"/>
      <c r="BT191" s="63"/>
      <c r="BU191" s="63"/>
      <c r="BV191" s="63"/>
      <c r="BW191" s="63"/>
      <c r="BX191" s="413"/>
      <c r="BY191" s="63"/>
      <c r="BZ191" s="63"/>
      <c r="CA191" s="63"/>
      <c r="CB191" s="63"/>
      <c r="CC191" s="413"/>
      <c r="CD191" s="413"/>
      <c r="CE191" s="413"/>
      <c r="CF191" s="413"/>
      <c r="CG191" s="99"/>
    </row>
    <row r="192" spans="1:85" ht="14.45" hidden="1" customHeight="1" x14ac:dyDescent="0.25">
      <c r="A192" s="113" t="s">
        <v>323</v>
      </c>
      <c r="B192" s="97"/>
      <c r="C192" s="413"/>
      <c r="D192" s="413"/>
      <c r="E192" s="413"/>
      <c r="F192" s="413"/>
      <c r="G192" s="63"/>
      <c r="H192" s="63"/>
      <c r="I192" s="63"/>
      <c r="J192" s="63"/>
      <c r="K192" s="413"/>
      <c r="L192" s="63"/>
      <c r="M192" s="63"/>
      <c r="N192" s="63"/>
      <c r="O192" s="63"/>
      <c r="P192" s="413"/>
      <c r="Q192" s="63"/>
      <c r="R192" s="63"/>
      <c r="S192" s="63"/>
      <c r="T192" s="63"/>
      <c r="U192" s="410">
        <v>28.3</v>
      </c>
      <c r="V192" s="98">
        <v>6.5</v>
      </c>
      <c r="W192" s="98">
        <v>15.1</v>
      </c>
      <c r="X192" s="98">
        <v>23.2</v>
      </c>
      <c r="Y192" s="99">
        <f>Z192</f>
        <v>29.9</v>
      </c>
      <c r="Z192" s="410">
        <v>29.9</v>
      </c>
      <c r="AA192" s="98">
        <v>6.7</v>
      </c>
      <c r="AB192" s="98">
        <v>15</v>
      </c>
      <c r="AC192" s="98">
        <v>22.6</v>
      </c>
      <c r="AD192" s="99">
        <f>AE192</f>
        <v>29.9</v>
      </c>
      <c r="AE192" s="410">
        <v>29.9</v>
      </c>
      <c r="AF192" s="98">
        <v>7.2</v>
      </c>
      <c r="AG192" s="98">
        <v>15</v>
      </c>
      <c r="AH192" s="98">
        <v>22.2</v>
      </c>
      <c r="AI192" s="99">
        <f>AJ192</f>
        <v>29.2</v>
      </c>
      <c r="AJ192" s="410">
        <v>29.2</v>
      </c>
      <c r="AK192" s="98">
        <v>6.8</v>
      </c>
      <c r="AL192" s="98">
        <v>14.3</v>
      </c>
      <c r="AM192" s="98">
        <v>22.2</v>
      </c>
      <c r="AN192" s="99">
        <f>AO192</f>
        <v>29.4</v>
      </c>
      <c r="AO192" s="410">
        <v>29.4</v>
      </c>
      <c r="AP192" s="98">
        <v>7.7</v>
      </c>
      <c r="AQ192" s="98">
        <v>15.1</v>
      </c>
      <c r="AR192" s="98">
        <v>21.9</v>
      </c>
      <c r="AS192" s="99">
        <f>AT192</f>
        <v>28.3</v>
      </c>
      <c r="AT192" s="410">
        <v>28.3</v>
      </c>
      <c r="AU192" s="98">
        <v>7.2</v>
      </c>
      <c r="AV192" s="98">
        <v>14.3</v>
      </c>
      <c r="AW192" s="98">
        <v>21</v>
      </c>
      <c r="AX192" s="99">
        <f>AY192</f>
        <v>28</v>
      </c>
      <c r="AY192" s="410">
        <v>28</v>
      </c>
      <c r="AZ192" s="98">
        <v>6.5</v>
      </c>
      <c r="BA192" s="98">
        <v>13.4</v>
      </c>
      <c r="BB192" s="98">
        <v>20.100000000000001</v>
      </c>
      <c r="BC192" s="99">
        <f>BD192</f>
        <v>26.9</v>
      </c>
      <c r="BD192" s="410">
        <v>26.9</v>
      </c>
      <c r="BE192" s="98">
        <v>6.2</v>
      </c>
      <c r="BF192" s="98">
        <v>13.1</v>
      </c>
      <c r="BG192" s="98">
        <v>19.3</v>
      </c>
      <c r="BH192" s="99">
        <f>BI192</f>
        <v>25.3</v>
      </c>
      <c r="BI192" s="410">
        <v>25.3</v>
      </c>
      <c r="BJ192" s="98">
        <v>6.1</v>
      </c>
      <c r="BK192" s="98">
        <v>11.9</v>
      </c>
      <c r="BL192" s="98">
        <v>19</v>
      </c>
      <c r="BM192" s="99">
        <f>BN192</f>
        <v>26.5</v>
      </c>
      <c r="BN192" s="410">
        <v>26.5</v>
      </c>
      <c r="BO192" s="98">
        <v>6.3</v>
      </c>
      <c r="BP192" s="98">
        <v>13.3</v>
      </c>
      <c r="BQ192" s="98">
        <v>20.399999999999999</v>
      </c>
      <c r="BR192" s="99">
        <f>BS192</f>
        <v>27.3</v>
      </c>
      <c r="BS192" s="419">
        <v>27.3</v>
      </c>
      <c r="BT192" s="63"/>
      <c r="BU192" s="63"/>
      <c r="BV192" s="63"/>
      <c r="BW192" s="63"/>
      <c r="BX192" s="413"/>
      <c r="BY192" s="63"/>
      <c r="BZ192" s="63"/>
      <c r="CA192" s="63"/>
      <c r="CB192" s="63"/>
      <c r="CC192" s="413"/>
      <c r="CD192" s="413"/>
      <c r="CE192" s="413"/>
      <c r="CF192" s="413"/>
      <c r="CG192" s="99"/>
    </row>
    <row r="193" spans="1:85" ht="14.45" hidden="1" customHeight="1" x14ac:dyDescent="0.25">
      <c r="A193" s="135" t="s">
        <v>324</v>
      </c>
      <c r="B193" s="108"/>
      <c r="C193" s="423"/>
      <c r="D193" s="423"/>
      <c r="E193" s="423"/>
      <c r="F193" s="423"/>
      <c r="G193" s="112"/>
      <c r="H193" s="112"/>
      <c r="I193" s="112"/>
      <c r="J193" s="112"/>
      <c r="K193" s="423"/>
      <c r="L193" s="112"/>
      <c r="M193" s="112"/>
      <c r="N193" s="112"/>
      <c r="O193" s="112"/>
      <c r="P193" s="423"/>
      <c r="Q193" s="112"/>
      <c r="R193" s="112"/>
      <c r="S193" s="112"/>
      <c r="T193" s="112"/>
      <c r="U193" s="421">
        <f>U192</f>
        <v>28.3</v>
      </c>
      <c r="V193" s="109">
        <f>V192</f>
        <v>6.5</v>
      </c>
      <c r="W193" s="109">
        <f>W192-V192</f>
        <v>8.6</v>
      </c>
      <c r="X193" s="109">
        <f>X192-W192</f>
        <v>8.1</v>
      </c>
      <c r="Y193" s="109">
        <f>Y192-X192</f>
        <v>6.6999999999999993</v>
      </c>
      <c r="Z193" s="421">
        <f>SUM(V193,W193,X193,Y193)</f>
        <v>29.9</v>
      </c>
      <c r="AA193" s="109">
        <f>AA192</f>
        <v>6.7</v>
      </c>
      <c r="AB193" s="109">
        <f>AB192-AA192</f>
        <v>8.3000000000000007</v>
      </c>
      <c r="AC193" s="109">
        <f>AC192-AB192</f>
        <v>7.6000000000000014</v>
      </c>
      <c r="AD193" s="109">
        <f>AD192-AC192</f>
        <v>7.2999999999999972</v>
      </c>
      <c r="AE193" s="421">
        <f>SUM(AA193,AB193,AC193,AD193)</f>
        <v>29.9</v>
      </c>
      <c r="AF193" s="109">
        <f>AF192</f>
        <v>7.2</v>
      </c>
      <c r="AG193" s="109">
        <f>AG192-AF192</f>
        <v>7.8</v>
      </c>
      <c r="AH193" s="109">
        <f>AH192-AG192</f>
        <v>7.1999999999999993</v>
      </c>
      <c r="AI193" s="109">
        <f>AI192-AH192</f>
        <v>7</v>
      </c>
      <c r="AJ193" s="421">
        <f>SUM(AF193,AG193,AH193,AI193)</f>
        <v>29.2</v>
      </c>
      <c r="AK193" s="109">
        <f>AK192</f>
        <v>6.8</v>
      </c>
      <c r="AL193" s="109">
        <f>AL192-AK192</f>
        <v>7.5000000000000009</v>
      </c>
      <c r="AM193" s="109">
        <f>AM192-AL192</f>
        <v>7.8999999999999986</v>
      </c>
      <c r="AN193" s="109">
        <f>AN192-AM192</f>
        <v>7.1999999999999993</v>
      </c>
      <c r="AO193" s="421">
        <f>SUM(AK193,AL193,AM193,AN193)</f>
        <v>29.4</v>
      </c>
      <c r="AP193" s="109">
        <f>AP192</f>
        <v>7.7</v>
      </c>
      <c r="AQ193" s="109">
        <f>AQ192-AP192</f>
        <v>7.3999999999999995</v>
      </c>
      <c r="AR193" s="109">
        <f>AR192-AQ192</f>
        <v>6.7999999999999989</v>
      </c>
      <c r="AS193" s="109">
        <f>AS192-AR192</f>
        <v>6.4000000000000021</v>
      </c>
      <c r="AT193" s="421">
        <f>SUM(AP193,AQ193,AR193,AS193)</f>
        <v>28.3</v>
      </c>
      <c r="AU193" s="109">
        <f>AU192</f>
        <v>7.2</v>
      </c>
      <c r="AV193" s="109">
        <f>AV192-AU192</f>
        <v>7.1000000000000005</v>
      </c>
      <c r="AW193" s="109">
        <f>AW192-AV192</f>
        <v>6.6999999999999993</v>
      </c>
      <c r="AX193" s="109">
        <f>AX192-AW192</f>
        <v>7</v>
      </c>
      <c r="AY193" s="421">
        <f>SUM(AU193,AV193,AW193,AX193)</f>
        <v>28</v>
      </c>
      <c r="AZ193" s="109">
        <f>AZ192</f>
        <v>6.5</v>
      </c>
      <c r="BA193" s="109">
        <f>BA192-AZ192</f>
        <v>6.9</v>
      </c>
      <c r="BB193" s="109">
        <f>BB192-BA192</f>
        <v>6.7000000000000011</v>
      </c>
      <c r="BC193" s="109">
        <f>BC192-BB192</f>
        <v>6.7999999999999972</v>
      </c>
      <c r="BD193" s="421">
        <f>SUM(AZ193,BA193,BB193,BC193)</f>
        <v>26.9</v>
      </c>
      <c r="BE193" s="109">
        <f>BE192</f>
        <v>6.2</v>
      </c>
      <c r="BF193" s="109">
        <f>BF192-BE192</f>
        <v>6.8999999999999995</v>
      </c>
      <c r="BG193" s="109">
        <f>BG192-BF192</f>
        <v>6.2000000000000011</v>
      </c>
      <c r="BH193" s="109">
        <f>BH192-BG192</f>
        <v>6</v>
      </c>
      <c r="BI193" s="421">
        <f>SUM(BE193,BF193,BG193,BH193)</f>
        <v>25.3</v>
      </c>
      <c r="BJ193" s="109">
        <f>BJ192</f>
        <v>6.1</v>
      </c>
      <c r="BK193" s="109">
        <f>BK192-BJ192</f>
        <v>5.8000000000000007</v>
      </c>
      <c r="BL193" s="109">
        <f>BL192-BK192</f>
        <v>7.1</v>
      </c>
      <c r="BM193" s="109">
        <f>BM192-BL192</f>
        <v>7.5</v>
      </c>
      <c r="BN193" s="421">
        <f>SUM(BJ193,BK193,BL193,BM193)</f>
        <v>26.5</v>
      </c>
      <c r="BO193" s="109">
        <f>BO192</f>
        <v>6.3</v>
      </c>
      <c r="BP193" s="109">
        <f>BP192-BO192</f>
        <v>7.0000000000000009</v>
      </c>
      <c r="BQ193" s="109">
        <f>BQ192-BP192</f>
        <v>7.0999999999999979</v>
      </c>
      <c r="BR193" s="109">
        <f>BR192-BQ192</f>
        <v>6.9000000000000021</v>
      </c>
      <c r="BS193" s="422">
        <f>SUM(BO193,BP193,BQ193,BR193)</f>
        <v>27.3</v>
      </c>
      <c r="BT193" s="112"/>
      <c r="BU193" s="112"/>
      <c r="BV193" s="112"/>
      <c r="BW193" s="112"/>
      <c r="BX193" s="423"/>
      <c r="BY193" s="112"/>
      <c r="BZ193" s="112"/>
      <c r="CA193" s="112"/>
      <c r="CB193" s="112"/>
      <c r="CC193" s="423"/>
      <c r="CD193" s="423"/>
      <c r="CE193" s="423"/>
      <c r="CF193" s="423"/>
      <c r="CG193" s="109"/>
    </row>
    <row r="194" spans="1:85" ht="14.45" hidden="1" customHeight="1" x14ac:dyDescent="0.25">
      <c r="A194" s="162"/>
      <c r="B194" s="97"/>
      <c r="C194" s="413"/>
      <c r="D194" s="413"/>
      <c r="E194" s="413"/>
      <c r="F194" s="413"/>
      <c r="G194" s="63"/>
      <c r="H194" s="63"/>
      <c r="I194" s="63"/>
      <c r="J194" s="63"/>
      <c r="K194" s="413"/>
      <c r="L194" s="63"/>
      <c r="M194" s="63"/>
      <c r="N194" s="63"/>
      <c r="O194" s="63"/>
      <c r="P194" s="413"/>
      <c r="Q194" s="63"/>
      <c r="R194" s="63"/>
      <c r="S194" s="63"/>
      <c r="T194" s="63"/>
      <c r="U194" s="413"/>
      <c r="V194" s="63"/>
      <c r="W194" s="63"/>
      <c r="X194" s="63"/>
      <c r="Y194" s="63"/>
      <c r="Z194" s="413"/>
      <c r="AA194" s="63"/>
      <c r="AB194" s="63"/>
      <c r="AC194" s="63"/>
      <c r="AD194" s="63"/>
      <c r="AE194" s="413"/>
      <c r="AF194" s="63"/>
      <c r="AG194" s="63"/>
      <c r="AH194" s="63"/>
      <c r="AI194" s="63"/>
      <c r="AJ194" s="413"/>
      <c r="AK194" s="63"/>
      <c r="AL194" s="63"/>
      <c r="AM194" s="63"/>
      <c r="AN194" s="63"/>
      <c r="AO194" s="413"/>
      <c r="AP194" s="63"/>
      <c r="AQ194" s="63"/>
      <c r="AR194" s="63"/>
      <c r="AS194" s="63"/>
      <c r="AT194" s="413"/>
      <c r="AU194" s="63"/>
      <c r="AV194" s="63"/>
      <c r="AW194" s="63"/>
      <c r="AX194" s="63"/>
      <c r="AY194" s="413"/>
      <c r="AZ194" s="63"/>
      <c r="BA194" s="63"/>
      <c r="BB194" s="63"/>
      <c r="BC194" s="63"/>
      <c r="BD194" s="413"/>
      <c r="BE194" s="63"/>
      <c r="BF194" s="63"/>
      <c r="BG194" s="63"/>
      <c r="BH194" s="63"/>
      <c r="BI194" s="413"/>
      <c r="BJ194" s="63"/>
      <c r="BK194" s="63"/>
      <c r="BL194" s="63"/>
      <c r="BM194" s="63"/>
      <c r="BN194" s="413"/>
      <c r="BO194" s="63"/>
      <c r="BP194" s="63"/>
      <c r="BQ194" s="63"/>
      <c r="BR194" s="63"/>
      <c r="BS194" s="425"/>
      <c r="BT194" s="63"/>
      <c r="BU194" s="63"/>
      <c r="BV194" s="63"/>
      <c r="BW194" s="63"/>
      <c r="BX194" s="413"/>
      <c r="BY194" s="63"/>
      <c r="BZ194" s="63"/>
      <c r="CA194" s="63"/>
      <c r="CB194" s="63"/>
      <c r="CC194" s="413"/>
      <c r="CD194" s="413"/>
      <c r="CE194" s="413"/>
      <c r="CF194" s="413"/>
      <c r="CG194" s="99"/>
    </row>
    <row r="195" spans="1:85" ht="14.45" hidden="1" customHeight="1" x14ac:dyDescent="0.25">
      <c r="A195" s="165" t="s">
        <v>325</v>
      </c>
      <c r="B195" s="166"/>
      <c r="C195" s="475"/>
      <c r="D195" s="475"/>
      <c r="E195" s="475"/>
      <c r="F195" s="475"/>
      <c r="G195" s="168"/>
      <c r="H195" s="168"/>
      <c r="I195" s="168"/>
      <c r="J195" s="168"/>
      <c r="K195" s="475"/>
      <c r="L195" s="168"/>
      <c r="M195" s="168"/>
      <c r="N195" s="168"/>
      <c r="O195" s="168"/>
      <c r="P195" s="475"/>
      <c r="Q195" s="168"/>
      <c r="R195" s="168"/>
      <c r="S195" s="168"/>
      <c r="T195" s="168"/>
      <c r="U195" s="476">
        <f t="shared" ref="U195:AZ195" si="131">U189/U193</f>
        <v>5.106395759717314</v>
      </c>
      <c r="V195" s="167">
        <f t="shared" si="131"/>
        <v>5.1110769230769231</v>
      </c>
      <c r="W195" s="168">
        <f t="shared" si="131"/>
        <v>4.9430232558139533</v>
      </c>
      <c r="X195" s="168">
        <f t="shared" si="131"/>
        <v>4.9174074074074081</v>
      </c>
      <c r="Y195" s="167">
        <f t="shared" si="131"/>
        <v>5.121641791044774</v>
      </c>
      <c r="Z195" s="476">
        <f t="shared" si="131"/>
        <v>5.0126421404682269</v>
      </c>
      <c r="AA195" s="168">
        <f t="shared" si="131"/>
        <v>5.0199999999999996</v>
      </c>
      <c r="AB195" s="168">
        <f t="shared" si="131"/>
        <v>4.8803614457831319</v>
      </c>
      <c r="AC195" s="168">
        <f t="shared" si="131"/>
        <v>4.9035526315789468</v>
      </c>
      <c r="AD195" s="167">
        <f t="shared" si="131"/>
        <v>5.0826027397260303</v>
      </c>
      <c r="AE195" s="476">
        <f t="shared" si="131"/>
        <v>4.9669230769230772</v>
      </c>
      <c r="AF195" s="168">
        <f t="shared" si="131"/>
        <v>5.2883333333333331</v>
      </c>
      <c r="AG195" s="168">
        <f t="shared" si="131"/>
        <v>5.2671794871794875</v>
      </c>
      <c r="AH195" s="168">
        <f t="shared" si="131"/>
        <v>5.3568055555555567</v>
      </c>
      <c r="AI195" s="167">
        <f t="shared" si="131"/>
        <v>5.4077142857142855</v>
      </c>
      <c r="AJ195" s="476">
        <f t="shared" si="131"/>
        <v>5.3281849315068497</v>
      </c>
      <c r="AK195" s="168">
        <f t="shared" si="131"/>
        <v>5.506764705882353</v>
      </c>
      <c r="AL195" s="168">
        <f t="shared" si="131"/>
        <v>5.3323999999999998</v>
      </c>
      <c r="AM195" s="168">
        <f t="shared" si="131"/>
        <v>5.4265822784810132</v>
      </c>
      <c r="AN195" s="167">
        <f t="shared" si="131"/>
        <v>5.5388888888888888</v>
      </c>
      <c r="AO195" s="476">
        <f t="shared" si="131"/>
        <v>5.4486054421768708</v>
      </c>
      <c r="AP195" s="168">
        <f t="shared" si="131"/>
        <v>5.432987012987013</v>
      </c>
      <c r="AQ195" s="168">
        <f t="shared" si="131"/>
        <v>5.4574324324324328</v>
      </c>
      <c r="AR195" s="168">
        <f t="shared" si="131"/>
        <v>5.4420588235294129</v>
      </c>
      <c r="AS195" s="167">
        <f t="shared" si="131"/>
        <v>5.7239062499999998</v>
      </c>
      <c r="AT195" s="476">
        <f t="shared" si="131"/>
        <v>5.5073498233215545</v>
      </c>
      <c r="AU195" s="168">
        <f t="shared" si="131"/>
        <v>5.7295833333333333</v>
      </c>
      <c r="AV195" s="168">
        <f t="shared" si="131"/>
        <v>5.9939436619718309</v>
      </c>
      <c r="AW195" s="168">
        <f t="shared" si="131"/>
        <v>6.2488059701492542</v>
      </c>
      <c r="AX195" s="167">
        <f t="shared" si="131"/>
        <v>6.2460000000000013</v>
      </c>
      <c r="AY195" s="476">
        <f t="shared" si="131"/>
        <v>6.0499642857142861</v>
      </c>
      <c r="AZ195" s="168">
        <f t="shared" si="131"/>
        <v>6.9793846153846157</v>
      </c>
      <c r="BA195" s="168">
        <f t="shared" ref="BA195:BS195" si="132">BA189/BA193</f>
        <v>7.327826086956521</v>
      </c>
      <c r="BB195" s="168">
        <f t="shared" si="132"/>
        <v>7.2514925373134318</v>
      </c>
      <c r="BC195" s="167">
        <f t="shared" si="132"/>
        <v>7.1688235294117666</v>
      </c>
      <c r="BD195" s="476">
        <f t="shared" si="132"/>
        <v>7.1844237918215619</v>
      </c>
      <c r="BE195" s="168">
        <f t="shared" si="132"/>
        <v>8.0008064516129025</v>
      </c>
      <c r="BF195" s="168">
        <f t="shared" si="132"/>
        <v>7.6966666666666672</v>
      </c>
      <c r="BG195" s="168">
        <f t="shared" si="132"/>
        <v>7.6620967741935475</v>
      </c>
      <c r="BH195" s="167">
        <f t="shared" si="132"/>
        <v>8.3370000000000033</v>
      </c>
      <c r="BI195" s="476">
        <f t="shared" si="132"/>
        <v>7.9145849802371542</v>
      </c>
      <c r="BJ195" s="168">
        <f t="shared" si="132"/>
        <v>8.2878688524590167</v>
      </c>
      <c r="BK195" s="168">
        <f t="shared" si="132"/>
        <v>8.5118965517241367</v>
      </c>
      <c r="BL195" s="168">
        <f t="shared" si="132"/>
        <v>7.7543661971830984</v>
      </c>
      <c r="BM195" s="167">
        <f t="shared" si="132"/>
        <v>7.7781333333333347</v>
      </c>
      <c r="BN195" s="476">
        <f t="shared" si="132"/>
        <v>8.0496981132075476</v>
      </c>
      <c r="BO195" s="168">
        <f t="shared" si="132"/>
        <v>8.4155555555555566</v>
      </c>
      <c r="BP195" s="168">
        <f t="shared" si="132"/>
        <v>8.1608571428571413</v>
      </c>
      <c r="BQ195" s="168">
        <f t="shared" si="132"/>
        <v>7.800140845070425</v>
      </c>
      <c r="BR195" s="167">
        <f t="shared" si="132"/>
        <v>8.2489855072463758</v>
      </c>
      <c r="BS195" s="477">
        <f t="shared" si="132"/>
        <v>8.1480952380952392</v>
      </c>
      <c r="BT195" s="168"/>
      <c r="BU195" s="168"/>
      <c r="BV195" s="168"/>
      <c r="BW195" s="168"/>
      <c r="BX195" s="475"/>
      <c r="BY195" s="168"/>
      <c r="BZ195" s="168"/>
      <c r="CA195" s="168"/>
      <c r="CB195" s="168"/>
      <c r="CC195" s="475"/>
      <c r="CD195" s="475"/>
      <c r="CE195" s="475"/>
      <c r="CF195" s="475"/>
      <c r="CG195" s="167"/>
    </row>
    <row r="196" spans="1:85" ht="14.45" customHeight="1" x14ac:dyDescent="0.25">
      <c r="A196" s="162"/>
      <c r="B196" s="97"/>
      <c r="C196" s="413"/>
      <c r="D196" s="413"/>
      <c r="E196" s="413"/>
      <c r="F196" s="413"/>
      <c r="G196" s="63"/>
      <c r="H196" s="63"/>
      <c r="I196" s="63"/>
      <c r="J196" s="63"/>
      <c r="K196" s="413"/>
      <c r="L196" s="63"/>
      <c r="M196" s="63"/>
      <c r="N196" s="63"/>
      <c r="O196" s="63"/>
      <c r="P196" s="413"/>
      <c r="Q196" s="63"/>
      <c r="R196" s="63"/>
      <c r="S196" s="63"/>
      <c r="T196" s="63"/>
      <c r="U196" s="413"/>
      <c r="V196" s="63"/>
      <c r="W196" s="63"/>
      <c r="X196" s="63"/>
      <c r="Y196" s="63"/>
      <c r="Z196" s="413"/>
      <c r="AA196" s="63"/>
      <c r="AB196" s="63"/>
      <c r="AC196" s="63"/>
      <c r="AD196" s="63"/>
      <c r="AE196" s="413"/>
      <c r="AF196" s="63"/>
      <c r="AG196" s="63"/>
      <c r="AH196" s="63"/>
      <c r="AI196" s="63"/>
      <c r="AJ196" s="413"/>
      <c r="AK196" s="63"/>
      <c r="AL196" s="63"/>
      <c r="AM196" s="63"/>
      <c r="AN196" s="63"/>
      <c r="AO196" s="413"/>
      <c r="AP196" s="63"/>
      <c r="AQ196" s="63"/>
      <c r="AR196" s="63"/>
      <c r="AS196" s="63"/>
      <c r="AT196" s="413"/>
      <c r="AU196" s="63"/>
      <c r="AV196" s="63"/>
      <c r="AW196" s="63"/>
      <c r="AX196" s="63"/>
      <c r="AY196" s="413"/>
      <c r="AZ196" s="63"/>
      <c r="BA196" s="63"/>
      <c r="BB196" s="63"/>
      <c r="BC196" s="63"/>
      <c r="BD196" s="413"/>
      <c r="BE196" s="63"/>
      <c r="BF196" s="63"/>
      <c r="BG196" s="63"/>
      <c r="BH196" s="63"/>
      <c r="BI196" s="413"/>
      <c r="BJ196" s="63"/>
      <c r="BK196" s="63"/>
      <c r="BL196" s="63"/>
      <c r="BM196" s="63"/>
      <c r="BN196" s="413"/>
      <c r="BO196" s="63"/>
      <c r="BP196" s="63"/>
      <c r="BQ196" s="63"/>
      <c r="BR196" s="63"/>
      <c r="BS196" s="425"/>
      <c r="BT196" s="63"/>
      <c r="BU196" s="63"/>
      <c r="BV196" s="63"/>
      <c r="BW196" s="63"/>
      <c r="BX196" s="413"/>
      <c r="BY196" s="63"/>
      <c r="BZ196" s="63"/>
      <c r="CA196" s="63"/>
      <c r="CB196" s="63"/>
      <c r="CC196" s="413"/>
      <c r="CD196" s="413"/>
      <c r="CE196" s="413"/>
      <c r="CF196" s="413"/>
      <c r="CG196" s="99"/>
    </row>
    <row r="197" spans="1:85" ht="14.45" customHeight="1" x14ac:dyDescent="0.25">
      <c r="A197" s="95" t="s">
        <v>326</v>
      </c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409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109"/>
    </row>
    <row r="198" spans="1:85" ht="14.45" hidden="1" customHeight="1" x14ac:dyDescent="0.25">
      <c r="A198" s="125" t="s">
        <v>327</v>
      </c>
      <c r="B198" s="97"/>
      <c r="C198" s="413"/>
      <c r="D198" s="413"/>
      <c r="E198" s="413"/>
      <c r="F198" s="413"/>
      <c r="G198" s="63"/>
      <c r="H198" s="63"/>
      <c r="I198" s="63"/>
      <c r="J198" s="63"/>
      <c r="K198" s="413"/>
      <c r="L198" s="63"/>
      <c r="M198" s="63"/>
      <c r="N198" s="63"/>
      <c r="O198" s="63"/>
      <c r="P198" s="413"/>
      <c r="Q198" s="63"/>
      <c r="R198" s="63"/>
      <c r="S198" s="63"/>
      <c r="T198" s="63"/>
      <c r="U198" s="413"/>
      <c r="V198" s="63"/>
      <c r="W198" s="63"/>
      <c r="X198" s="63"/>
      <c r="Y198" s="63"/>
      <c r="Z198" s="413"/>
      <c r="AA198" s="63"/>
      <c r="AB198" s="63"/>
      <c r="AC198" s="63"/>
      <c r="AD198" s="63"/>
      <c r="AE198" s="413"/>
      <c r="AF198" s="98">
        <v>1.1259999999999999</v>
      </c>
      <c r="AG198" s="98">
        <v>1.1100000000000001</v>
      </c>
      <c r="AH198" s="98">
        <v>1.1100000000000001</v>
      </c>
      <c r="AI198" s="99">
        <f>AJ198-SUM(AF198,AG198,AH198)</f>
        <v>1.0919999999999996</v>
      </c>
      <c r="AJ198" s="410">
        <v>4.4379999999999997</v>
      </c>
      <c r="AK198" s="98">
        <v>1.1100000000000001</v>
      </c>
      <c r="AL198" s="98">
        <v>1.151</v>
      </c>
      <c r="AM198" s="98">
        <v>1.1319999999999999</v>
      </c>
      <c r="AN198" s="99">
        <f>AO198-SUM(AK198,AL198,AM198)</f>
        <v>1.1320000000000006</v>
      </c>
      <c r="AO198" s="410">
        <v>4.5250000000000004</v>
      </c>
      <c r="AP198" s="98">
        <v>0.82599999999999996</v>
      </c>
      <c r="AQ198" s="98">
        <v>0.82599999999999996</v>
      </c>
      <c r="AR198" s="98">
        <v>0.82599999999999996</v>
      </c>
      <c r="AS198" s="99">
        <f>AT198-SUM(AP198,AQ198,AR198)</f>
        <v>0.82600000000000007</v>
      </c>
      <c r="AT198" s="410">
        <v>3.3039999999999998</v>
      </c>
      <c r="AU198" s="98">
        <v>0.94499999999999995</v>
      </c>
      <c r="AV198" s="98">
        <v>0.94499999999999995</v>
      </c>
      <c r="AW198" s="98">
        <v>0.94399999999999995</v>
      </c>
      <c r="AX198" s="99">
        <f>AY198-SUM(AU198,AV198,AW198)</f>
        <v>0.94400000000000039</v>
      </c>
      <c r="AY198" s="410">
        <v>3.778</v>
      </c>
      <c r="AZ198" s="98">
        <v>0.96299999999999997</v>
      </c>
      <c r="BA198" s="98">
        <v>0.96399999999999997</v>
      </c>
      <c r="BB198" s="98">
        <v>0.96299999999999997</v>
      </c>
      <c r="BC198" s="99">
        <f>BD198-SUM(AZ198,BA198,BB198)</f>
        <v>0.96399999999999997</v>
      </c>
      <c r="BD198" s="410">
        <v>3.8540000000000001</v>
      </c>
      <c r="BE198" s="98">
        <v>0.98299999999999998</v>
      </c>
      <c r="BF198" s="98">
        <v>0.98299999999999998</v>
      </c>
      <c r="BG198" s="98">
        <v>0.98299999999999998</v>
      </c>
      <c r="BH198" s="99">
        <f>BI198-SUM(BE198,BF198,BG198)</f>
        <v>0.98200000000000021</v>
      </c>
      <c r="BI198" s="410">
        <v>3.931</v>
      </c>
      <c r="BJ198" s="98">
        <v>1</v>
      </c>
      <c r="BK198" s="98">
        <v>1</v>
      </c>
      <c r="BL198" s="98">
        <v>1</v>
      </c>
      <c r="BM198" s="99">
        <f>BN198-SUM(BJ198,BK198,BL198)</f>
        <v>1.0099999999999998</v>
      </c>
      <c r="BN198" s="410">
        <v>4.01</v>
      </c>
      <c r="BO198" s="98">
        <v>1</v>
      </c>
      <c r="BP198" s="98">
        <v>1</v>
      </c>
      <c r="BQ198" s="98">
        <v>1</v>
      </c>
      <c r="BR198" s="99">
        <f>BS198-SUM(BO198,BP198,BQ198)</f>
        <v>1.0999999999999996</v>
      </c>
      <c r="BS198" s="419">
        <v>4.0999999999999996</v>
      </c>
      <c r="BT198" s="63"/>
      <c r="BU198" s="63"/>
      <c r="BV198" s="63"/>
      <c r="BW198" s="63"/>
      <c r="BX198" s="413"/>
      <c r="BY198" s="63"/>
      <c r="BZ198" s="63"/>
      <c r="CA198" s="63"/>
      <c r="CB198" s="63"/>
      <c r="CC198" s="413"/>
      <c r="CD198" s="413"/>
      <c r="CE198" s="413"/>
      <c r="CF198" s="413"/>
      <c r="CG198" s="99"/>
    </row>
    <row r="199" spans="1:85" ht="14.45" hidden="1" customHeight="1" x14ac:dyDescent="0.25">
      <c r="A199" s="130" t="s">
        <v>328</v>
      </c>
      <c r="B199" s="101"/>
      <c r="C199" s="415"/>
      <c r="D199" s="415"/>
      <c r="E199" s="415"/>
      <c r="F199" s="415"/>
      <c r="G199" s="158"/>
      <c r="H199" s="158"/>
      <c r="I199" s="158"/>
      <c r="J199" s="158"/>
      <c r="K199" s="415"/>
      <c r="L199" s="158"/>
      <c r="M199" s="158"/>
      <c r="N199" s="158"/>
      <c r="O199" s="158"/>
      <c r="P199" s="415"/>
      <c r="Q199" s="158"/>
      <c r="R199" s="158"/>
      <c r="S199" s="158"/>
      <c r="T199" s="158"/>
      <c r="U199" s="415"/>
      <c r="V199" s="158"/>
      <c r="W199" s="158"/>
      <c r="X199" s="158"/>
      <c r="Y199" s="158"/>
      <c r="Z199" s="415"/>
      <c r="AA199" s="158"/>
      <c r="AB199" s="158"/>
      <c r="AC199" s="158"/>
      <c r="AD199" s="158"/>
      <c r="AE199" s="415"/>
      <c r="AF199" s="102">
        <v>1.0489999999999999</v>
      </c>
      <c r="AG199" s="102">
        <v>1.0489999999999999</v>
      </c>
      <c r="AH199" s="102">
        <v>1.0489999999999999</v>
      </c>
      <c r="AI199" s="103">
        <f>AJ199-SUM(AF199,AG199,AH199)</f>
        <v>1.0530000000000004</v>
      </c>
      <c r="AJ199" s="414">
        <v>4.2</v>
      </c>
      <c r="AK199" s="102">
        <v>1.08</v>
      </c>
      <c r="AL199" s="102">
        <v>1.081</v>
      </c>
      <c r="AM199" s="102">
        <v>1.08</v>
      </c>
      <c r="AN199" s="103">
        <f>AO199-SUM(AK199,AL199,AM199)</f>
        <v>1.113</v>
      </c>
      <c r="AO199" s="414">
        <v>4.3540000000000001</v>
      </c>
      <c r="AP199" s="102">
        <v>1.113</v>
      </c>
      <c r="AQ199" s="102">
        <v>1.113</v>
      </c>
      <c r="AR199" s="102">
        <v>1.1120000000000001</v>
      </c>
      <c r="AS199" s="103">
        <f>AT199-SUM(AP199,AQ199,AR199)</f>
        <v>1.1129999999999995</v>
      </c>
      <c r="AT199" s="414">
        <v>4.4509999999999996</v>
      </c>
      <c r="AU199" s="102">
        <v>1.113</v>
      </c>
      <c r="AV199" s="102">
        <v>1.113</v>
      </c>
      <c r="AW199" s="102">
        <v>1.1120000000000001</v>
      </c>
      <c r="AX199" s="103">
        <f>AY199-SUM(AU199,AV199,AW199)</f>
        <v>1.1129999999999995</v>
      </c>
      <c r="AY199" s="414">
        <v>4.4509999999999996</v>
      </c>
      <c r="AZ199" s="102">
        <v>0.92700000000000005</v>
      </c>
      <c r="BA199" s="102">
        <v>0</v>
      </c>
      <c r="BB199" s="102">
        <v>0</v>
      </c>
      <c r="BC199" s="103">
        <f>BD199-SUM(AZ199,BA199,BB199)</f>
        <v>0</v>
      </c>
      <c r="BD199" s="414">
        <v>0.92700000000000005</v>
      </c>
      <c r="BE199" s="102">
        <v>0</v>
      </c>
      <c r="BF199" s="102">
        <v>0</v>
      </c>
      <c r="BG199" s="158"/>
      <c r="BH199" s="103">
        <f>BI199-SUM(BE199,BF199,BG199)</f>
        <v>0</v>
      </c>
      <c r="BI199" s="414">
        <v>0</v>
      </c>
      <c r="BJ199" s="102">
        <v>0</v>
      </c>
      <c r="BK199" s="102">
        <v>0</v>
      </c>
      <c r="BL199" s="102">
        <v>0</v>
      </c>
      <c r="BM199" s="103">
        <f>BN199-SUM(BJ199,BK199,BL199)</f>
        <v>0</v>
      </c>
      <c r="BN199" s="414">
        <v>0</v>
      </c>
      <c r="BO199" s="102">
        <v>0</v>
      </c>
      <c r="BP199" s="102">
        <v>0</v>
      </c>
      <c r="BQ199" s="102">
        <v>0</v>
      </c>
      <c r="BR199" s="103">
        <f>BS199-SUM(BO199,BP199,BQ199)</f>
        <v>0</v>
      </c>
      <c r="BS199" s="420">
        <v>0</v>
      </c>
      <c r="BT199" s="158"/>
      <c r="BU199" s="158"/>
      <c r="BV199" s="158"/>
      <c r="BW199" s="158"/>
      <c r="BX199" s="415"/>
      <c r="BY199" s="158"/>
      <c r="BZ199" s="158"/>
      <c r="CA199" s="158"/>
      <c r="CB199" s="158"/>
      <c r="CC199" s="415"/>
      <c r="CD199" s="415"/>
      <c r="CE199" s="415"/>
      <c r="CF199" s="415"/>
      <c r="CG199" s="99"/>
    </row>
    <row r="200" spans="1:85" ht="14.45" hidden="1" customHeight="1" x14ac:dyDescent="0.25">
      <c r="A200" s="135" t="s">
        <v>329</v>
      </c>
      <c r="B200" s="108"/>
      <c r="C200" s="423"/>
      <c r="D200" s="423"/>
      <c r="E200" s="423"/>
      <c r="F200" s="423"/>
      <c r="G200" s="112"/>
      <c r="H200" s="112"/>
      <c r="I200" s="112"/>
      <c r="J200" s="112"/>
      <c r="K200" s="423"/>
      <c r="L200" s="112"/>
      <c r="M200" s="112"/>
      <c r="N200" s="112"/>
      <c r="O200" s="112"/>
      <c r="P200" s="423"/>
      <c r="Q200" s="112"/>
      <c r="R200" s="112"/>
      <c r="S200" s="112"/>
      <c r="T200" s="112"/>
      <c r="U200" s="423"/>
      <c r="V200" s="112"/>
      <c r="W200" s="112"/>
      <c r="X200" s="112"/>
      <c r="Y200" s="112"/>
      <c r="Z200" s="423"/>
      <c r="AA200" s="112"/>
      <c r="AB200" s="112"/>
      <c r="AC200" s="112"/>
      <c r="AD200" s="112"/>
      <c r="AE200" s="423"/>
      <c r="AF200" s="109">
        <f t="shared" ref="AF200:BS200" si="133">SUM(AF198:AF199)</f>
        <v>2.1749999999999998</v>
      </c>
      <c r="AG200" s="109">
        <f t="shared" si="133"/>
        <v>2.1589999999999998</v>
      </c>
      <c r="AH200" s="109">
        <f t="shared" si="133"/>
        <v>2.1589999999999998</v>
      </c>
      <c r="AI200" s="109">
        <f t="shared" si="133"/>
        <v>2.145</v>
      </c>
      <c r="AJ200" s="421">
        <f t="shared" si="133"/>
        <v>8.6379999999999999</v>
      </c>
      <c r="AK200" s="109">
        <f t="shared" si="133"/>
        <v>2.1900000000000004</v>
      </c>
      <c r="AL200" s="109">
        <f t="shared" si="133"/>
        <v>2.2320000000000002</v>
      </c>
      <c r="AM200" s="109">
        <f t="shared" si="133"/>
        <v>2.2119999999999997</v>
      </c>
      <c r="AN200" s="109">
        <f t="shared" si="133"/>
        <v>2.2450000000000006</v>
      </c>
      <c r="AO200" s="421">
        <f t="shared" si="133"/>
        <v>8.8790000000000013</v>
      </c>
      <c r="AP200" s="109">
        <f t="shared" si="133"/>
        <v>1.9390000000000001</v>
      </c>
      <c r="AQ200" s="109">
        <f t="shared" si="133"/>
        <v>1.9390000000000001</v>
      </c>
      <c r="AR200" s="109">
        <f t="shared" si="133"/>
        <v>1.9380000000000002</v>
      </c>
      <c r="AS200" s="109">
        <f t="shared" si="133"/>
        <v>1.9389999999999996</v>
      </c>
      <c r="AT200" s="421">
        <f t="shared" si="133"/>
        <v>7.754999999999999</v>
      </c>
      <c r="AU200" s="109">
        <f t="shared" si="133"/>
        <v>2.0579999999999998</v>
      </c>
      <c r="AV200" s="109">
        <f t="shared" si="133"/>
        <v>2.0579999999999998</v>
      </c>
      <c r="AW200" s="109">
        <f t="shared" si="133"/>
        <v>2.056</v>
      </c>
      <c r="AX200" s="109">
        <f t="shared" si="133"/>
        <v>2.0569999999999999</v>
      </c>
      <c r="AY200" s="421">
        <f t="shared" si="133"/>
        <v>8.2289999999999992</v>
      </c>
      <c r="AZ200" s="109">
        <f t="shared" si="133"/>
        <v>1.8900000000000001</v>
      </c>
      <c r="BA200" s="109">
        <f t="shared" si="133"/>
        <v>0.96399999999999997</v>
      </c>
      <c r="BB200" s="109">
        <f t="shared" si="133"/>
        <v>0.96299999999999997</v>
      </c>
      <c r="BC200" s="109">
        <f t="shared" si="133"/>
        <v>0.96399999999999997</v>
      </c>
      <c r="BD200" s="421">
        <f t="shared" si="133"/>
        <v>4.7810000000000006</v>
      </c>
      <c r="BE200" s="109">
        <f t="shared" si="133"/>
        <v>0.98299999999999998</v>
      </c>
      <c r="BF200" s="109">
        <f t="shared" si="133"/>
        <v>0.98299999999999998</v>
      </c>
      <c r="BG200" s="109">
        <f t="shared" si="133"/>
        <v>0.98299999999999998</v>
      </c>
      <c r="BH200" s="109">
        <f t="shared" si="133"/>
        <v>0.98200000000000021</v>
      </c>
      <c r="BI200" s="421">
        <f t="shared" si="133"/>
        <v>3.931</v>
      </c>
      <c r="BJ200" s="109">
        <f t="shared" si="133"/>
        <v>1</v>
      </c>
      <c r="BK200" s="109">
        <f t="shared" si="133"/>
        <v>1</v>
      </c>
      <c r="BL200" s="109">
        <f t="shared" si="133"/>
        <v>1</v>
      </c>
      <c r="BM200" s="109">
        <f t="shared" si="133"/>
        <v>1.0099999999999998</v>
      </c>
      <c r="BN200" s="421">
        <f t="shared" si="133"/>
        <v>4.01</v>
      </c>
      <c r="BO200" s="109">
        <f t="shared" si="133"/>
        <v>1</v>
      </c>
      <c r="BP200" s="109">
        <f t="shared" si="133"/>
        <v>1</v>
      </c>
      <c r="BQ200" s="109">
        <f t="shared" si="133"/>
        <v>1</v>
      </c>
      <c r="BR200" s="109">
        <f t="shared" si="133"/>
        <v>1.0999999999999996</v>
      </c>
      <c r="BS200" s="422">
        <f t="shared" si="133"/>
        <v>4.0999999999999996</v>
      </c>
      <c r="BT200" s="112"/>
      <c r="BU200" s="112"/>
      <c r="BV200" s="112"/>
      <c r="BW200" s="112"/>
      <c r="BX200" s="423"/>
      <c r="BY200" s="112"/>
      <c r="BZ200" s="112"/>
      <c r="CA200" s="112"/>
      <c r="CB200" s="112"/>
      <c r="CC200" s="423"/>
      <c r="CD200" s="423"/>
      <c r="CE200" s="423"/>
      <c r="CF200" s="423"/>
      <c r="CG200" s="109"/>
    </row>
    <row r="201" spans="1:85" ht="14.45" customHeight="1" x14ac:dyDescent="0.25">
      <c r="A201" s="162"/>
      <c r="B201" s="97"/>
      <c r="C201" s="413"/>
      <c r="D201" s="413"/>
      <c r="E201" s="413"/>
      <c r="F201" s="413"/>
      <c r="G201" s="63"/>
      <c r="H201" s="63"/>
      <c r="I201" s="63"/>
      <c r="J201" s="63"/>
      <c r="K201" s="413"/>
      <c r="L201" s="63"/>
      <c r="M201" s="63"/>
      <c r="N201" s="63"/>
      <c r="O201" s="63"/>
      <c r="P201" s="413"/>
      <c r="Q201" s="63"/>
      <c r="R201" s="63"/>
      <c r="S201" s="63"/>
      <c r="T201" s="63"/>
      <c r="U201" s="413"/>
      <c r="V201" s="63"/>
      <c r="W201" s="63"/>
      <c r="X201" s="63"/>
      <c r="Y201" s="63"/>
      <c r="Z201" s="413"/>
      <c r="AA201" s="63"/>
      <c r="AB201" s="63"/>
      <c r="AC201" s="63"/>
      <c r="AD201" s="63"/>
      <c r="AE201" s="413"/>
      <c r="AF201" s="63"/>
      <c r="AG201" s="63"/>
      <c r="AH201" s="63"/>
      <c r="AI201" s="63"/>
      <c r="AJ201" s="413"/>
      <c r="AK201" s="63"/>
      <c r="AL201" s="63"/>
      <c r="AM201" s="63"/>
      <c r="AN201" s="63"/>
      <c r="AO201" s="413"/>
      <c r="AP201" s="63"/>
      <c r="AQ201" s="63"/>
      <c r="AR201" s="63"/>
      <c r="AS201" s="63"/>
      <c r="AT201" s="413"/>
      <c r="AU201" s="63"/>
      <c r="AV201" s="63"/>
      <c r="AW201" s="63"/>
      <c r="AX201" s="63"/>
      <c r="AY201" s="413"/>
      <c r="AZ201" s="63"/>
      <c r="BA201" s="63"/>
      <c r="BB201" s="63"/>
      <c r="BC201" s="63"/>
      <c r="BD201" s="413"/>
      <c r="BE201" s="63"/>
      <c r="BF201" s="63"/>
      <c r="BG201" s="63"/>
      <c r="BH201" s="63"/>
      <c r="BI201" s="413"/>
      <c r="BJ201" s="63"/>
      <c r="BK201" s="63"/>
      <c r="BL201" s="63"/>
      <c r="BM201" s="63"/>
      <c r="BN201" s="413"/>
      <c r="BO201" s="63"/>
      <c r="BP201" s="63"/>
      <c r="BQ201" s="63"/>
      <c r="BR201" s="63"/>
      <c r="BS201" s="425"/>
      <c r="BT201" s="63"/>
      <c r="BU201" s="63"/>
      <c r="BV201" s="63"/>
      <c r="BW201" s="63"/>
      <c r="BX201" s="413"/>
      <c r="BY201" s="63"/>
      <c r="BZ201" s="63"/>
      <c r="CA201" s="63"/>
      <c r="CB201" s="63"/>
      <c r="CC201" s="413"/>
      <c r="CD201" s="413"/>
      <c r="CE201" s="413"/>
      <c r="CF201" s="413"/>
      <c r="CG201" s="99"/>
    </row>
    <row r="202" spans="1:85" ht="14.45" customHeight="1" x14ac:dyDescent="0.25">
      <c r="A202" s="95" t="s">
        <v>330</v>
      </c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409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109"/>
    </row>
    <row r="203" spans="1:85" ht="14.45" hidden="1" customHeight="1" x14ac:dyDescent="0.25">
      <c r="A203" s="143" t="s">
        <v>331</v>
      </c>
      <c r="B203" s="114"/>
      <c r="C203" s="428"/>
      <c r="D203" s="428"/>
      <c r="E203" s="428"/>
      <c r="F203" s="428"/>
      <c r="G203" s="160"/>
      <c r="H203" s="160"/>
      <c r="I203" s="160"/>
      <c r="J203" s="160"/>
      <c r="K203" s="428"/>
      <c r="L203" s="160"/>
      <c r="M203" s="160"/>
      <c r="N203" s="160"/>
      <c r="O203" s="160"/>
      <c r="P203" s="428"/>
      <c r="Q203" s="160"/>
      <c r="R203" s="169">
        <v>0.22</v>
      </c>
      <c r="S203" s="169">
        <v>0.22</v>
      </c>
      <c r="T203" s="115">
        <f>U203</f>
        <v>0.22</v>
      </c>
      <c r="U203" s="478">
        <v>0.22</v>
      </c>
      <c r="V203" s="169">
        <v>0.2</v>
      </c>
      <c r="W203" s="169">
        <v>0.2</v>
      </c>
      <c r="X203" s="169">
        <v>0.2</v>
      </c>
      <c r="Y203" s="115">
        <f>Z203</f>
        <v>0.2</v>
      </c>
      <c r="Z203" s="478">
        <v>0.2</v>
      </c>
      <c r="AA203" s="169">
        <v>0.2</v>
      </c>
      <c r="AB203" s="169">
        <v>0.19</v>
      </c>
      <c r="AC203" s="169">
        <v>0.19</v>
      </c>
      <c r="AD203" s="115">
        <f>AE203</f>
        <v>0.19</v>
      </c>
      <c r="AE203" s="478">
        <v>0.19</v>
      </c>
      <c r="AF203" s="169">
        <v>0.19</v>
      </c>
      <c r="AG203" s="169">
        <v>0.19</v>
      </c>
      <c r="AH203" s="169">
        <v>0.19</v>
      </c>
      <c r="AI203" s="115">
        <f>AJ203</f>
        <v>0.19</v>
      </c>
      <c r="AJ203" s="478">
        <v>0.19</v>
      </c>
      <c r="AK203" s="169">
        <v>0.2</v>
      </c>
      <c r="AL203" s="169">
        <v>0.19</v>
      </c>
      <c r="AM203" s="169">
        <v>0.19</v>
      </c>
      <c r="AN203" s="115">
        <f>AO203</f>
        <v>0.19</v>
      </c>
      <c r="AO203" s="478">
        <v>0.19</v>
      </c>
      <c r="AP203" s="169">
        <v>0.2</v>
      </c>
      <c r="AQ203" s="169">
        <v>0.2</v>
      </c>
      <c r="AR203" s="169">
        <v>0.19</v>
      </c>
      <c r="AS203" s="115">
        <f>AT203</f>
        <v>0.19</v>
      </c>
      <c r="AT203" s="478">
        <v>0.19</v>
      </c>
      <c r="AU203" s="169">
        <v>0.2</v>
      </c>
      <c r="AV203" s="169">
        <v>0.2</v>
      </c>
      <c r="AW203" s="169">
        <v>0.2</v>
      </c>
      <c r="AX203" s="115">
        <f>AY203</f>
        <v>0.2</v>
      </c>
      <c r="AY203" s="478">
        <v>0.2</v>
      </c>
      <c r="AZ203" s="169">
        <v>0.2</v>
      </c>
      <c r="BA203" s="169">
        <v>0.2</v>
      </c>
      <c r="BB203" s="169">
        <v>0.2</v>
      </c>
      <c r="BC203" s="115">
        <f>BD203</f>
        <v>0.2</v>
      </c>
      <c r="BD203" s="478">
        <v>0.2</v>
      </c>
      <c r="BE203" s="169">
        <v>0.21</v>
      </c>
      <c r="BF203" s="169">
        <v>0.21</v>
      </c>
      <c r="BG203" s="169">
        <v>0.21</v>
      </c>
      <c r="BH203" s="115">
        <f>BI203</f>
        <v>0.21</v>
      </c>
      <c r="BI203" s="478">
        <v>0.21</v>
      </c>
      <c r="BJ203" s="169">
        <v>0.21</v>
      </c>
      <c r="BK203" s="169">
        <v>0.21</v>
      </c>
      <c r="BL203" s="169">
        <v>0.21</v>
      </c>
      <c r="BM203" s="115">
        <f>BN203</f>
        <v>0.21</v>
      </c>
      <c r="BN203" s="478">
        <v>0.21</v>
      </c>
      <c r="BO203" s="169">
        <v>0.21</v>
      </c>
      <c r="BP203" s="169">
        <v>0.21</v>
      </c>
      <c r="BQ203" s="169">
        <v>0.21</v>
      </c>
      <c r="BR203" s="115">
        <f>BS203</f>
        <v>0.21</v>
      </c>
      <c r="BS203" s="479">
        <v>0.21</v>
      </c>
      <c r="BT203" s="160"/>
      <c r="BU203" s="160"/>
      <c r="BV203" s="160"/>
      <c r="BW203" s="160"/>
      <c r="BX203" s="428"/>
      <c r="BY203" s="160"/>
      <c r="BZ203" s="160"/>
      <c r="CA203" s="160"/>
      <c r="CB203" s="160"/>
      <c r="CC203" s="428"/>
      <c r="CD203" s="428"/>
      <c r="CE203" s="428"/>
      <c r="CF203" s="428"/>
      <c r="CG203" s="115"/>
    </row>
    <row r="204" spans="1:85" ht="14.45" hidden="1" customHeight="1" x14ac:dyDescent="0.25">
      <c r="A204" s="143" t="s">
        <v>332</v>
      </c>
      <c r="B204" s="114"/>
      <c r="C204" s="428"/>
      <c r="D204" s="428"/>
      <c r="E204" s="428"/>
      <c r="F204" s="428"/>
      <c r="G204" s="160"/>
      <c r="H204" s="160"/>
      <c r="I204" s="160"/>
      <c r="J204" s="160"/>
      <c r="K204" s="428"/>
      <c r="L204" s="160"/>
      <c r="M204" s="160"/>
      <c r="N204" s="160"/>
      <c r="O204" s="160"/>
      <c r="P204" s="428"/>
      <c r="Q204" s="160"/>
      <c r="R204" s="160"/>
      <c r="S204" s="160"/>
      <c r="T204" s="115">
        <f>U204</f>
        <v>0.06</v>
      </c>
      <c r="U204" s="478">
        <v>0.06</v>
      </c>
      <c r="V204" s="169">
        <v>7.0000000000000007E-2</v>
      </c>
      <c r="W204" s="169">
        <v>0.06</v>
      </c>
      <c r="X204" s="169">
        <v>0.06</v>
      </c>
      <c r="Y204" s="115">
        <f>Z204</f>
        <v>0.06</v>
      </c>
      <c r="Z204" s="478">
        <v>0.06</v>
      </c>
      <c r="AA204" s="169">
        <v>0.08</v>
      </c>
      <c r="AB204" s="169">
        <v>0.09</v>
      </c>
      <c r="AC204" s="169">
        <v>0.09</v>
      </c>
      <c r="AD204" s="115">
        <f>AE204</f>
        <v>0.1</v>
      </c>
      <c r="AE204" s="478">
        <v>0.1</v>
      </c>
      <c r="AF204" s="169">
        <v>0.12</v>
      </c>
      <c r="AG204" s="169">
        <v>0.12</v>
      </c>
      <c r="AH204" s="169">
        <v>0.11</v>
      </c>
      <c r="AI204" s="115">
        <f>AJ204</f>
        <v>0.11</v>
      </c>
      <c r="AJ204" s="478">
        <v>0.11</v>
      </c>
      <c r="AK204" s="169">
        <v>0.12</v>
      </c>
      <c r="AL204" s="169">
        <v>0.12</v>
      </c>
      <c r="AM204" s="169">
        <v>0.12</v>
      </c>
      <c r="AN204" s="115">
        <f>AO204</f>
        <v>0.12</v>
      </c>
      <c r="AO204" s="478">
        <v>0.12</v>
      </c>
      <c r="AP204" s="169">
        <v>0.13</v>
      </c>
      <c r="AQ204" s="169">
        <v>0.14000000000000001</v>
      </c>
      <c r="AR204" s="169">
        <v>0.13</v>
      </c>
      <c r="AS204" s="115">
        <f>AT204</f>
        <v>0.13</v>
      </c>
      <c r="AT204" s="478">
        <v>0.13</v>
      </c>
      <c r="AU204" s="169">
        <v>0.13</v>
      </c>
      <c r="AV204" s="169">
        <v>0.13</v>
      </c>
      <c r="AW204" s="169">
        <v>0.13</v>
      </c>
      <c r="AX204" s="115">
        <f>AY204</f>
        <v>0.13</v>
      </c>
      <c r="AY204" s="478">
        <v>0.13</v>
      </c>
      <c r="AZ204" s="169">
        <v>0.12</v>
      </c>
      <c r="BA204" s="169">
        <v>0.12</v>
      </c>
      <c r="BB204" s="169">
        <v>0.12</v>
      </c>
      <c r="BC204" s="115">
        <f>BD204</f>
        <v>0.12</v>
      </c>
      <c r="BD204" s="478">
        <v>0.12</v>
      </c>
      <c r="BE204" s="169">
        <v>0.11</v>
      </c>
      <c r="BF204" s="169">
        <v>0.11</v>
      </c>
      <c r="BG204" s="169">
        <v>0.12</v>
      </c>
      <c r="BH204" s="115">
        <f>BI204</f>
        <v>0.14000000000000001</v>
      </c>
      <c r="BI204" s="478">
        <v>0.14000000000000001</v>
      </c>
      <c r="BJ204" s="169">
        <v>0.15</v>
      </c>
      <c r="BK204" s="169">
        <v>0.15</v>
      </c>
      <c r="BL204" s="169">
        <v>0.15</v>
      </c>
      <c r="BM204" s="115">
        <f>BN204</f>
        <v>0.15</v>
      </c>
      <c r="BN204" s="478">
        <v>0.15</v>
      </c>
      <c r="BO204" s="169">
        <v>0.15</v>
      </c>
      <c r="BP204" s="169">
        <v>0.15</v>
      </c>
      <c r="BQ204" s="169">
        <v>0.15</v>
      </c>
      <c r="BR204" s="115">
        <f>BS204</f>
        <v>0.15</v>
      </c>
      <c r="BS204" s="479">
        <v>0.15</v>
      </c>
      <c r="BT204" s="160"/>
      <c r="BU204" s="160"/>
      <c r="BV204" s="160"/>
      <c r="BW204" s="160"/>
      <c r="BX204" s="428"/>
      <c r="BY204" s="160"/>
      <c r="BZ204" s="160"/>
      <c r="CA204" s="160"/>
      <c r="CB204" s="160"/>
      <c r="CC204" s="428"/>
      <c r="CD204" s="428"/>
      <c r="CE204" s="428"/>
      <c r="CF204" s="428"/>
      <c r="CG204" s="115"/>
    </row>
    <row r="205" spans="1:85" ht="14.45" hidden="1" customHeight="1" x14ac:dyDescent="0.25">
      <c r="A205" s="143" t="s">
        <v>333</v>
      </c>
      <c r="B205" s="114"/>
      <c r="C205" s="428"/>
      <c r="D205" s="428"/>
      <c r="E205" s="428"/>
      <c r="F205" s="428"/>
      <c r="G205" s="160"/>
      <c r="H205" s="160"/>
      <c r="I205" s="160"/>
      <c r="J205" s="160"/>
      <c r="K205" s="428"/>
      <c r="L205" s="160"/>
      <c r="M205" s="160"/>
      <c r="N205" s="160"/>
      <c r="O205" s="160"/>
      <c r="P205" s="428"/>
      <c r="Q205" s="160"/>
      <c r="R205" s="169">
        <v>0.08</v>
      </c>
      <c r="S205" s="169">
        <v>7.0000000000000007E-2</v>
      </c>
      <c r="T205" s="115">
        <f>U205</f>
        <v>7.0000000000000007E-2</v>
      </c>
      <c r="U205" s="478">
        <v>7.0000000000000007E-2</v>
      </c>
      <c r="V205" s="169">
        <v>0.09</v>
      </c>
      <c r="W205" s="169">
        <v>0.08</v>
      </c>
      <c r="X205" s="169">
        <v>0.08</v>
      </c>
      <c r="Y205" s="115">
        <f>Z205</f>
        <v>0.08</v>
      </c>
      <c r="Z205" s="478">
        <v>0.08</v>
      </c>
      <c r="AA205" s="169">
        <v>7.0000000000000007E-2</v>
      </c>
      <c r="AB205" s="169">
        <v>7.0000000000000007E-2</v>
      </c>
      <c r="AC205" s="169">
        <v>0.06</v>
      </c>
      <c r="AD205" s="115">
        <f>AE205</f>
        <v>0.06</v>
      </c>
      <c r="AE205" s="478">
        <v>0.06</v>
      </c>
      <c r="AF205" s="160"/>
      <c r="AG205" s="160"/>
      <c r="AH205" s="160"/>
      <c r="AI205" s="160"/>
      <c r="AJ205" s="428"/>
      <c r="AK205" s="160"/>
      <c r="AL205" s="160"/>
      <c r="AM205" s="160"/>
      <c r="AN205" s="160"/>
      <c r="AO205" s="428"/>
      <c r="AP205" s="160"/>
      <c r="AQ205" s="160"/>
      <c r="AR205" s="160"/>
      <c r="AS205" s="160"/>
      <c r="AT205" s="428"/>
      <c r="AU205" s="160"/>
      <c r="AV205" s="160"/>
      <c r="AW205" s="160"/>
      <c r="AX205" s="160"/>
      <c r="AY205" s="428"/>
      <c r="AZ205" s="160"/>
      <c r="BA205" s="160"/>
      <c r="BB205" s="160"/>
      <c r="BC205" s="160"/>
      <c r="BD205" s="428"/>
      <c r="BE205" s="160"/>
      <c r="BF205" s="160"/>
      <c r="BG205" s="160"/>
      <c r="BH205" s="160"/>
      <c r="BI205" s="428"/>
      <c r="BJ205" s="160"/>
      <c r="BK205" s="160"/>
      <c r="BL205" s="160"/>
      <c r="BM205" s="160"/>
      <c r="BN205" s="428"/>
      <c r="BO205" s="160"/>
      <c r="BP205" s="160"/>
      <c r="BQ205" s="160"/>
      <c r="BR205" s="160"/>
      <c r="BS205" s="480"/>
      <c r="BT205" s="160"/>
      <c r="BU205" s="160"/>
      <c r="BV205" s="160"/>
      <c r="BW205" s="160"/>
      <c r="BX205" s="428"/>
      <c r="BY205" s="160"/>
      <c r="BZ205" s="160"/>
      <c r="CA205" s="160"/>
      <c r="CB205" s="160"/>
      <c r="CC205" s="428"/>
      <c r="CD205" s="428"/>
      <c r="CE205" s="428"/>
      <c r="CF205" s="428"/>
      <c r="CG205" s="115"/>
    </row>
    <row r="206" spans="1:85" ht="14.45" hidden="1" customHeight="1" x14ac:dyDescent="0.25">
      <c r="A206" s="91" t="s">
        <v>334</v>
      </c>
      <c r="B206" s="116"/>
      <c r="C206" s="431"/>
      <c r="D206" s="431"/>
      <c r="E206" s="431"/>
      <c r="F206" s="431"/>
      <c r="G206" s="161"/>
      <c r="H206" s="161"/>
      <c r="I206" s="161"/>
      <c r="J206" s="161"/>
      <c r="K206" s="431"/>
      <c r="L206" s="161"/>
      <c r="M206" s="161"/>
      <c r="N206" s="161"/>
      <c r="O206" s="161"/>
      <c r="P206" s="431"/>
      <c r="Q206" s="161"/>
      <c r="R206" s="117">
        <f t="shared" ref="R206:AW206" si="134">SUM(R203:R205)</f>
        <v>0.3</v>
      </c>
      <c r="S206" s="117">
        <f t="shared" si="134"/>
        <v>0.29000000000000004</v>
      </c>
      <c r="T206" s="117">
        <f t="shared" si="134"/>
        <v>0.35000000000000003</v>
      </c>
      <c r="U206" s="429">
        <f t="shared" si="134"/>
        <v>0.35000000000000003</v>
      </c>
      <c r="V206" s="117">
        <f t="shared" si="134"/>
        <v>0.36</v>
      </c>
      <c r="W206" s="117">
        <f t="shared" si="134"/>
        <v>0.34</v>
      </c>
      <c r="X206" s="117">
        <f t="shared" si="134"/>
        <v>0.34</v>
      </c>
      <c r="Y206" s="117">
        <f t="shared" si="134"/>
        <v>0.34</v>
      </c>
      <c r="Z206" s="429">
        <f t="shared" si="134"/>
        <v>0.34</v>
      </c>
      <c r="AA206" s="117">
        <f t="shared" si="134"/>
        <v>0.35000000000000003</v>
      </c>
      <c r="AB206" s="117">
        <f t="shared" si="134"/>
        <v>0.35000000000000003</v>
      </c>
      <c r="AC206" s="117">
        <f t="shared" si="134"/>
        <v>0.34</v>
      </c>
      <c r="AD206" s="117">
        <f t="shared" si="134"/>
        <v>0.35000000000000003</v>
      </c>
      <c r="AE206" s="429">
        <f t="shared" si="134"/>
        <v>0.35000000000000003</v>
      </c>
      <c r="AF206" s="117">
        <f t="shared" si="134"/>
        <v>0.31</v>
      </c>
      <c r="AG206" s="117">
        <f t="shared" si="134"/>
        <v>0.31</v>
      </c>
      <c r="AH206" s="117">
        <f t="shared" si="134"/>
        <v>0.3</v>
      </c>
      <c r="AI206" s="117">
        <f t="shared" si="134"/>
        <v>0.3</v>
      </c>
      <c r="AJ206" s="429">
        <f t="shared" si="134"/>
        <v>0.3</v>
      </c>
      <c r="AK206" s="117">
        <f t="shared" si="134"/>
        <v>0.32</v>
      </c>
      <c r="AL206" s="117">
        <f t="shared" si="134"/>
        <v>0.31</v>
      </c>
      <c r="AM206" s="117">
        <f t="shared" si="134"/>
        <v>0.31</v>
      </c>
      <c r="AN206" s="117">
        <f t="shared" si="134"/>
        <v>0.31</v>
      </c>
      <c r="AO206" s="429">
        <f t="shared" si="134"/>
        <v>0.31</v>
      </c>
      <c r="AP206" s="117">
        <f t="shared" si="134"/>
        <v>0.33</v>
      </c>
      <c r="AQ206" s="117">
        <f t="shared" si="134"/>
        <v>0.34</v>
      </c>
      <c r="AR206" s="117">
        <f t="shared" si="134"/>
        <v>0.32</v>
      </c>
      <c r="AS206" s="117">
        <f t="shared" si="134"/>
        <v>0.32</v>
      </c>
      <c r="AT206" s="429">
        <f t="shared" si="134"/>
        <v>0.32</v>
      </c>
      <c r="AU206" s="117">
        <f t="shared" si="134"/>
        <v>0.33</v>
      </c>
      <c r="AV206" s="117">
        <f t="shared" si="134"/>
        <v>0.33</v>
      </c>
      <c r="AW206" s="117">
        <f t="shared" si="134"/>
        <v>0.33</v>
      </c>
      <c r="AX206" s="117">
        <f t="shared" ref="AX206:BS206" si="135">SUM(AX203:AX205)</f>
        <v>0.33</v>
      </c>
      <c r="AY206" s="429">
        <f t="shared" si="135"/>
        <v>0.33</v>
      </c>
      <c r="AZ206" s="117">
        <f t="shared" si="135"/>
        <v>0.32</v>
      </c>
      <c r="BA206" s="117">
        <f t="shared" si="135"/>
        <v>0.32</v>
      </c>
      <c r="BB206" s="117">
        <f t="shared" si="135"/>
        <v>0.32</v>
      </c>
      <c r="BC206" s="117">
        <f t="shared" si="135"/>
        <v>0.32</v>
      </c>
      <c r="BD206" s="429">
        <f t="shared" si="135"/>
        <v>0.32</v>
      </c>
      <c r="BE206" s="117">
        <f t="shared" si="135"/>
        <v>0.32</v>
      </c>
      <c r="BF206" s="117">
        <f t="shared" si="135"/>
        <v>0.32</v>
      </c>
      <c r="BG206" s="117">
        <f t="shared" si="135"/>
        <v>0.32999999999999996</v>
      </c>
      <c r="BH206" s="117">
        <f t="shared" si="135"/>
        <v>0.35</v>
      </c>
      <c r="BI206" s="429">
        <f t="shared" si="135"/>
        <v>0.35</v>
      </c>
      <c r="BJ206" s="117">
        <f t="shared" si="135"/>
        <v>0.36</v>
      </c>
      <c r="BK206" s="117">
        <f t="shared" si="135"/>
        <v>0.36</v>
      </c>
      <c r="BL206" s="117">
        <f t="shared" si="135"/>
        <v>0.36</v>
      </c>
      <c r="BM206" s="117">
        <f t="shared" si="135"/>
        <v>0.36</v>
      </c>
      <c r="BN206" s="429">
        <f t="shared" si="135"/>
        <v>0.36</v>
      </c>
      <c r="BO206" s="117">
        <f t="shared" si="135"/>
        <v>0.36</v>
      </c>
      <c r="BP206" s="117">
        <f t="shared" si="135"/>
        <v>0.36</v>
      </c>
      <c r="BQ206" s="117">
        <f t="shared" si="135"/>
        <v>0.36</v>
      </c>
      <c r="BR206" s="117">
        <f t="shared" si="135"/>
        <v>0.36</v>
      </c>
      <c r="BS206" s="430">
        <f t="shared" si="135"/>
        <v>0.36</v>
      </c>
      <c r="BT206" s="161"/>
      <c r="BU206" s="161"/>
      <c r="BV206" s="161"/>
      <c r="BW206" s="161"/>
      <c r="BX206" s="431"/>
      <c r="BY206" s="161"/>
      <c r="BZ206" s="161"/>
      <c r="CA206" s="161"/>
      <c r="CB206" s="161"/>
      <c r="CC206" s="431"/>
      <c r="CD206" s="431"/>
      <c r="CE206" s="431"/>
      <c r="CF206" s="431"/>
      <c r="CG206" s="236"/>
    </row>
    <row r="207" spans="1:85" ht="14.45" hidden="1" customHeight="1" x14ac:dyDescent="0.25">
      <c r="A207" s="170"/>
      <c r="B207" s="114"/>
      <c r="C207" s="428"/>
      <c r="D207" s="428"/>
      <c r="E207" s="428"/>
      <c r="F207" s="428"/>
      <c r="G207" s="160"/>
      <c r="H207" s="160"/>
      <c r="I207" s="160"/>
      <c r="J207" s="160"/>
      <c r="K207" s="428"/>
      <c r="L207" s="160"/>
      <c r="M207" s="160"/>
      <c r="N207" s="160"/>
      <c r="O207" s="160"/>
      <c r="P207" s="428"/>
      <c r="Q207" s="160"/>
      <c r="R207" s="160"/>
      <c r="S207" s="160"/>
      <c r="T207" s="160"/>
      <c r="U207" s="428"/>
      <c r="V207" s="160"/>
      <c r="W207" s="160"/>
      <c r="X207" s="160"/>
      <c r="Y207" s="160"/>
      <c r="Z207" s="428"/>
      <c r="AA207" s="160"/>
      <c r="AB207" s="160"/>
      <c r="AC207" s="160"/>
      <c r="AD207" s="160"/>
      <c r="AE207" s="428"/>
      <c r="AF207" s="160"/>
      <c r="AG207" s="160"/>
      <c r="AH207" s="160"/>
      <c r="AI207" s="160"/>
      <c r="AJ207" s="428"/>
      <c r="AK207" s="160"/>
      <c r="AL207" s="160"/>
      <c r="AM207" s="160"/>
      <c r="AN207" s="160"/>
      <c r="AO207" s="428"/>
      <c r="AP207" s="160"/>
      <c r="AQ207" s="160"/>
      <c r="AR207" s="160"/>
      <c r="AS207" s="160"/>
      <c r="AT207" s="428"/>
      <c r="AU207" s="160"/>
      <c r="AV207" s="160"/>
      <c r="AW207" s="160"/>
      <c r="AX207" s="160"/>
      <c r="AY207" s="428"/>
      <c r="AZ207" s="160"/>
      <c r="BA207" s="160"/>
      <c r="BB207" s="160"/>
      <c r="BC207" s="160"/>
      <c r="BD207" s="428"/>
      <c r="BE207" s="160"/>
      <c r="BF207" s="160"/>
      <c r="BG207" s="160"/>
      <c r="BH207" s="160"/>
      <c r="BI207" s="428"/>
      <c r="BJ207" s="160"/>
      <c r="BK207" s="160"/>
      <c r="BL207" s="160"/>
      <c r="BM207" s="160"/>
      <c r="BN207" s="428"/>
      <c r="BO207" s="160"/>
      <c r="BP207" s="160"/>
      <c r="BQ207" s="160"/>
      <c r="BR207" s="160"/>
      <c r="BS207" s="480"/>
      <c r="BT207" s="160"/>
      <c r="BU207" s="160"/>
      <c r="BV207" s="160"/>
      <c r="BW207" s="160"/>
      <c r="BX207" s="428"/>
      <c r="BY207" s="160"/>
      <c r="BZ207" s="160"/>
      <c r="CA207" s="160"/>
      <c r="CB207" s="160"/>
      <c r="CC207" s="428"/>
      <c r="CD207" s="428"/>
      <c r="CE207" s="428"/>
      <c r="CF207" s="428"/>
      <c r="CG207" s="115"/>
    </row>
    <row r="208" spans="1:85" ht="14.45" hidden="1" customHeight="1" x14ac:dyDescent="0.25">
      <c r="A208" s="143" t="s">
        <v>335</v>
      </c>
      <c r="B208" s="114"/>
      <c r="C208" s="428"/>
      <c r="D208" s="428"/>
      <c r="E208" s="428"/>
      <c r="F208" s="428"/>
      <c r="G208" s="160"/>
      <c r="H208" s="160"/>
      <c r="I208" s="160"/>
      <c r="J208" s="160"/>
      <c r="K208" s="428"/>
      <c r="L208" s="160"/>
      <c r="M208" s="160"/>
      <c r="N208" s="160"/>
      <c r="O208" s="160"/>
      <c r="P208" s="428"/>
      <c r="Q208" s="160"/>
      <c r="R208" s="169">
        <v>0.15</v>
      </c>
      <c r="S208" s="169">
        <v>0.15</v>
      </c>
      <c r="T208" s="115">
        <f>U208</f>
        <v>0.15</v>
      </c>
      <c r="U208" s="478">
        <v>0.15</v>
      </c>
      <c r="V208" s="169">
        <v>0.14000000000000001</v>
      </c>
      <c r="W208" s="169">
        <v>0.14000000000000001</v>
      </c>
      <c r="X208" s="169">
        <v>0.14000000000000001</v>
      </c>
      <c r="Y208" s="115">
        <f>Z208</f>
        <v>0.14000000000000001</v>
      </c>
      <c r="Z208" s="478">
        <v>0.14000000000000001</v>
      </c>
      <c r="AA208" s="169">
        <v>0.14000000000000001</v>
      </c>
      <c r="AB208" s="169">
        <v>0.14000000000000001</v>
      </c>
      <c r="AC208" s="169">
        <v>0.14000000000000001</v>
      </c>
      <c r="AD208" s="115">
        <f>AE208</f>
        <v>0.13</v>
      </c>
      <c r="AE208" s="478">
        <v>0.13</v>
      </c>
      <c r="AF208" s="169">
        <v>0.14000000000000001</v>
      </c>
      <c r="AG208" s="169">
        <v>0.13</v>
      </c>
      <c r="AH208" s="169">
        <v>0.14000000000000001</v>
      </c>
      <c r="AI208" s="115">
        <f>AJ208</f>
        <v>0.14000000000000001</v>
      </c>
      <c r="AJ208" s="478">
        <v>0.14000000000000001</v>
      </c>
      <c r="AK208" s="169">
        <v>0.14000000000000001</v>
      </c>
      <c r="AL208" s="169">
        <v>0.14000000000000001</v>
      </c>
      <c r="AM208" s="169">
        <v>0.14000000000000001</v>
      </c>
      <c r="AN208" s="115">
        <f>AO208</f>
        <v>0.13</v>
      </c>
      <c r="AO208" s="478">
        <v>0.13</v>
      </c>
      <c r="AP208" s="169">
        <v>0.14000000000000001</v>
      </c>
      <c r="AQ208" s="169">
        <v>0.14000000000000001</v>
      </c>
      <c r="AR208" s="169">
        <v>0.14000000000000001</v>
      </c>
      <c r="AS208" s="115">
        <f>AT208</f>
        <v>0.14000000000000001</v>
      </c>
      <c r="AT208" s="478">
        <v>0.14000000000000001</v>
      </c>
      <c r="AU208" s="169">
        <v>0.14000000000000001</v>
      </c>
      <c r="AV208" s="169">
        <v>0.14000000000000001</v>
      </c>
      <c r="AW208" s="169">
        <v>0.14000000000000001</v>
      </c>
      <c r="AX208" s="115">
        <f>AY208</f>
        <v>0.14000000000000001</v>
      </c>
      <c r="AY208" s="478">
        <v>0.14000000000000001</v>
      </c>
      <c r="AZ208" s="169">
        <v>0.15</v>
      </c>
      <c r="BA208" s="169">
        <v>0.15</v>
      </c>
      <c r="BB208" s="169">
        <v>0.16</v>
      </c>
      <c r="BC208" s="115">
        <f>BD208</f>
        <v>0.16</v>
      </c>
      <c r="BD208" s="478">
        <v>0.16</v>
      </c>
      <c r="BE208" s="169">
        <v>0.16</v>
      </c>
      <c r="BF208" s="169">
        <v>0.16</v>
      </c>
      <c r="BG208" s="169">
        <v>0.16</v>
      </c>
      <c r="BH208" s="115">
        <f>BI208</f>
        <v>0.17</v>
      </c>
      <c r="BI208" s="478">
        <v>0.17</v>
      </c>
      <c r="BJ208" s="169">
        <v>0.17</v>
      </c>
      <c r="BK208" s="169">
        <v>0.17</v>
      </c>
      <c r="BL208" s="169">
        <v>0.17</v>
      </c>
      <c r="BM208" s="115">
        <f>BN208</f>
        <v>0.17</v>
      </c>
      <c r="BN208" s="478">
        <v>0.17</v>
      </c>
      <c r="BO208" s="169">
        <v>0.17</v>
      </c>
      <c r="BP208" s="169">
        <v>0.17</v>
      </c>
      <c r="BQ208" s="169">
        <v>0.17</v>
      </c>
      <c r="BR208" s="115">
        <f>BS208</f>
        <v>0.17</v>
      </c>
      <c r="BS208" s="479">
        <v>0.17</v>
      </c>
      <c r="BT208" s="160"/>
      <c r="BU208" s="160"/>
      <c r="BV208" s="160"/>
      <c r="BW208" s="160"/>
      <c r="BX208" s="428"/>
      <c r="BY208" s="160"/>
      <c r="BZ208" s="160"/>
      <c r="CA208" s="160"/>
      <c r="CB208" s="160"/>
      <c r="CC208" s="428"/>
      <c r="CD208" s="428"/>
      <c r="CE208" s="428"/>
      <c r="CF208" s="428"/>
      <c r="CG208" s="115"/>
    </row>
    <row r="209" spans="1:85" ht="14.45" hidden="1" customHeight="1" x14ac:dyDescent="0.25">
      <c r="A209" s="143" t="s">
        <v>336</v>
      </c>
      <c r="B209" s="114"/>
      <c r="C209" s="428"/>
      <c r="D209" s="428"/>
      <c r="E209" s="428"/>
      <c r="F209" s="428"/>
      <c r="G209" s="160"/>
      <c r="H209" s="160"/>
      <c r="I209" s="160"/>
      <c r="J209" s="160"/>
      <c r="K209" s="428"/>
      <c r="L209" s="160"/>
      <c r="M209" s="160"/>
      <c r="N209" s="160"/>
      <c r="O209" s="160"/>
      <c r="P209" s="428"/>
      <c r="Q209" s="160"/>
      <c r="R209" s="160"/>
      <c r="S209" s="160"/>
      <c r="T209" s="115">
        <f>U209</f>
        <v>0.05</v>
      </c>
      <c r="U209" s="478">
        <v>0.05</v>
      </c>
      <c r="V209" s="169">
        <v>0.05</v>
      </c>
      <c r="W209" s="169">
        <v>0.04</v>
      </c>
      <c r="X209" s="169">
        <v>0.04</v>
      </c>
      <c r="Y209" s="115">
        <f>Z209</f>
        <v>0.05</v>
      </c>
      <c r="Z209" s="478">
        <v>0.05</v>
      </c>
      <c r="AA209" s="169">
        <v>0.06</v>
      </c>
      <c r="AB209" s="169">
        <v>7.0000000000000007E-2</v>
      </c>
      <c r="AC209" s="169">
        <v>7.0000000000000007E-2</v>
      </c>
      <c r="AD209" s="115">
        <f>AE209</f>
        <v>7.0000000000000007E-2</v>
      </c>
      <c r="AE209" s="478">
        <v>7.0000000000000007E-2</v>
      </c>
      <c r="AF209" s="169">
        <v>0.08</v>
      </c>
      <c r="AG209" s="169">
        <v>0.08</v>
      </c>
      <c r="AH209" s="169">
        <v>0.08</v>
      </c>
      <c r="AI209" s="115">
        <f>AJ209</f>
        <v>0.08</v>
      </c>
      <c r="AJ209" s="478">
        <v>0.08</v>
      </c>
      <c r="AK209" s="169">
        <v>0.09</v>
      </c>
      <c r="AL209" s="169">
        <v>0.08</v>
      </c>
      <c r="AM209" s="169">
        <v>0.08</v>
      </c>
      <c r="AN209" s="115">
        <f>AO209</f>
        <v>0.08</v>
      </c>
      <c r="AO209" s="478">
        <v>0.08</v>
      </c>
      <c r="AP209" s="169">
        <v>0.09</v>
      </c>
      <c r="AQ209" s="169">
        <v>0.1</v>
      </c>
      <c r="AR209" s="169">
        <v>0.1</v>
      </c>
      <c r="AS209" s="115">
        <f>AT209</f>
        <v>0.1</v>
      </c>
      <c r="AT209" s="478">
        <v>0.1</v>
      </c>
      <c r="AU209" s="169">
        <v>0.09</v>
      </c>
      <c r="AV209" s="169">
        <v>0.09</v>
      </c>
      <c r="AW209" s="169">
        <v>0.09</v>
      </c>
      <c r="AX209" s="115">
        <f>AY209</f>
        <v>0.09</v>
      </c>
      <c r="AY209" s="478">
        <v>0.09</v>
      </c>
      <c r="AZ209" s="169">
        <v>0.09</v>
      </c>
      <c r="BA209" s="169">
        <v>0.09</v>
      </c>
      <c r="BB209" s="169">
        <v>0.09</v>
      </c>
      <c r="BC209" s="115">
        <f>BD209</f>
        <v>0.1</v>
      </c>
      <c r="BD209" s="478">
        <v>0.1</v>
      </c>
      <c r="BE209" s="169">
        <v>0.09</v>
      </c>
      <c r="BF209" s="169">
        <v>0.09</v>
      </c>
      <c r="BG209" s="169">
        <v>0.09</v>
      </c>
      <c r="BH209" s="115">
        <f>BI209</f>
        <v>0.11</v>
      </c>
      <c r="BI209" s="478">
        <v>0.11</v>
      </c>
      <c r="BJ209" s="169">
        <v>0.12</v>
      </c>
      <c r="BK209" s="169">
        <v>0.12</v>
      </c>
      <c r="BL209" s="169">
        <v>0.12</v>
      </c>
      <c r="BM209" s="115">
        <f>BN209</f>
        <v>0.12</v>
      </c>
      <c r="BN209" s="478">
        <v>0.12</v>
      </c>
      <c r="BO209" s="169">
        <v>0.12</v>
      </c>
      <c r="BP209" s="169">
        <v>0.12</v>
      </c>
      <c r="BQ209" s="169">
        <v>0.12</v>
      </c>
      <c r="BR209" s="115">
        <f>BS209</f>
        <v>0.12</v>
      </c>
      <c r="BS209" s="479">
        <v>0.12</v>
      </c>
      <c r="BT209" s="160"/>
      <c r="BU209" s="160"/>
      <c r="BV209" s="160"/>
      <c r="BW209" s="160"/>
      <c r="BX209" s="428"/>
      <c r="BY209" s="160"/>
      <c r="BZ209" s="160"/>
      <c r="CA209" s="160"/>
      <c r="CB209" s="160"/>
      <c r="CC209" s="428"/>
      <c r="CD209" s="428"/>
      <c r="CE209" s="428"/>
      <c r="CF209" s="428"/>
      <c r="CG209" s="115"/>
    </row>
    <row r="210" spans="1:85" ht="14.45" hidden="1" customHeight="1" x14ac:dyDescent="0.25">
      <c r="A210" s="143" t="s">
        <v>337</v>
      </c>
      <c r="B210" s="114"/>
      <c r="C210" s="428"/>
      <c r="D210" s="428"/>
      <c r="E210" s="428"/>
      <c r="F210" s="428"/>
      <c r="G210" s="160"/>
      <c r="H210" s="160"/>
      <c r="I210" s="160"/>
      <c r="J210" s="160"/>
      <c r="K210" s="428"/>
      <c r="L210" s="160"/>
      <c r="M210" s="160"/>
      <c r="N210" s="160"/>
      <c r="O210" s="160"/>
      <c r="P210" s="428"/>
      <c r="Q210" s="160"/>
      <c r="R210" s="169">
        <v>0.05</v>
      </c>
      <c r="S210" s="169">
        <v>0.05</v>
      </c>
      <c r="T210" s="115">
        <f>U210</f>
        <v>0.05</v>
      </c>
      <c r="U210" s="478">
        <v>0.05</v>
      </c>
      <c r="V210" s="169">
        <v>0.06</v>
      </c>
      <c r="W210" s="169">
        <v>0.06</v>
      </c>
      <c r="X210" s="169">
        <v>0.06</v>
      </c>
      <c r="Y210" s="115">
        <f>Z210</f>
        <v>0.05</v>
      </c>
      <c r="Z210" s="478">
        <v>0.05</v>
      </c>
      <c r="AA210" s="169">
        <v>0.05</v>
      </c>
      <c r="AB210" s="169">
        <v>0.04</v>
      </c>
      <c r="AC210" s="169">
        <v>0.04</v>
      </c>
      <c r="AD210" s="115">
        <f>AE210</f>
        <v>0.04</v>
      </c>
      <c r="AE210" s="478">
        <v>0.04</v>
      </c>
      <c r="AF210" s="160"/>
      <c r="AG210" s="160"/>
      <c r="AH210" s="160"/>
      <c r="AI210" s="160"/>
      <c r="AJ210" s="428"/>
      <c r="AK210" s="160"/>
      <c r="AL210" s="160"/>
      <c r="AM210" s="160"/>
      <c r="AN210" s="160"/>
      <c r="AO210" s="428"/>
      <c r="AP210" s="160"/>
      <c r="AQ210" s="160"/>
      <c r="AR210" s="160"/>
      <c r="AS210" s="160"/>
      <c r="AT210" s="428"/>
      <c r="AU210" s="160"/>
      <c r="AV210" s="160"/>
      <c r="AW210" s="160"/>
      <c r="AX210" s="160"/>
      <c r="AY210" s="428"/>
      <c r="AZ210" s="160"/>
      <c r="BA210" s="160"/>
      <c r="BB210" s="160"/>
      <c r="BC210" s="160"/>
      <c r="BD210" s="428"/>
      <c r="BE210" s="160"/>
      <c r="BF210" s="160"/>
      <c r="BG210" s="160"/>
      <c r="BH210" s="160"/>
      <c r="BI210" s="428"/>
      <c r="BJ210" s="160"/>
      <c r="BK210" s="160"/>
      <c r="BL210" s="160"/>
      <c r="BM210" s="160"/>
      <c r="BN210" s="428"/>
      <c r="BO210" s="160"/>
      <c r="BP210" s="160"/>
      <c r="BQ210" s="160"/>
      <c r="BR210" s="160"/>
      <c r="BS210" s="480"/>
      <c r="BT210" s="160"/>
      <c r="BU210" s="160"/>
      <c r="BV210" s="160"/>
      <c r="BW210" s="160"/>
      <c r="BX210" s="428"/>
      <c r="BY210" s="160"/>
      <c r="BZ210" s="160"/>
      <c r="CA210" s="160"/>
      <c r="CB210" s="160"/>
      <c r="CC210" s="428"/>
      <c r="CD210" s="428"/>
      <c r="CE210" s="428"/>
      <c r="CF210" s="428"/>
      <c r="CG210" s="115"/>
    </row>
    <row r="211" spans="1:85" ht="14.45" hidden="1" customHeight="1" x14ac:dyDescent="0.25">
      <c r="A211" s="91" t="s">
        <v>338</v>
      </c>
      <c r="B211" s="116"/>
      <c r="C211" s="431"/>
      <c r="D211" s="431"/>
      <c r="E211" s="431"/>
      <c r="F211" s="431"/>
      <c r="G211" s="161"/>
      <c r="H211" s="161"/>
      <c r="I211" s="161"/>
      <c r="J211" s="161"/>
      <c r="K211" s="431"/>
      <c r="L211" s="161"/>
      <c r="M211" s="161"/>
      <c r="N211" s="161"/>
      <c r="O211" s="161"/>
      <c r="P211" s="431"/>
      <c r="Q211" s="161"/>
      <c r="R211" s="117">
        <f t="shared" ref="R211:AW211" si="136">SUM(R208:R210)</f>
        <v>0.2</v>
      </c>
      <c r="S211" s="117">
        <f t="shared" si="136"/>
        <v>0.2</v>
      </c>
      <c r="T211" s="117">
        <f t="shared" si="136"/>
        <v>0.25</v>
      </c>
      <c r="U211" s="429">
        <f t="shared" si="136"/>
        <v>0.25</v>
      </c>
      <c r="V211" s="117">
        <f t="shared" si="136"/>
        <v>0.25</v>
      </c>
      <c r="W211" s="117">
        <f t="shared" si="136"/>
        <v>0.24000000000000002</v>
      </c>
      <c r="X211" s="117">
        <f t="shared" si="136"/>
        <v>0.24000000000000002</v>
      </c>
      <c r="Y211" s="117">
        <f t="shared" si="136"/>
        <v>0.24</v>
      </c>
      <c r="Z211" s="429">
        <f t="shared" si="136"/>
        <v>0.24</v>
      </c>
      <c r="AA211" s="117">
        <f t="shared" si="136"/>
        <v>0.25</v>
      </c>
      <c r="AB211" s="117">
        <f t="shared" si="136"/>
        <v>0.25</v>
      </c>
      <c r="AC211" s="117">
        <f t="shared" si="136"/>
        <v>0.25</v>
      </c>
      <c r="AD211" s="117">
        <f t="shared" si="136"/>
        <v>0.24000000000000002</v>
      </c>
      <c r="AE211" s="429">
        <f t="shared" si="136"/>
        <v>0.24000000000000002</v>
      </c>
      <c r="AF211" s="117">
        <f t="shared" si="136"/>
        <v>0.22000000000000003</v>
      </c>
      <c r="AG211" s="117">
        <f t="shared" si="136"/>
        <v>0.21000000000000002</v>
      </c>
      <c r="AH211" s="117">
        <f t="shared" si="136"/>
        <v>0.22000000000000003</v>
      </c>
      <c r="AI211" s="117">
        <f t="shared" si="136"/>
        <v>0.22000000000000003</v>
      </c>
      <c r="AJ211" s="429">
        <f t="shared" si="136"/>
        <v>0.22000000000000003</v>
      </c>
      <c r="AK211" s="117">
        <f t="shared" si="136"/>
        <v>0.23</v>
      </c>
      <c r="AL211" s="117">
        <f t="shared" si="136"/>
        <v>0.22000000000000003</v>
      </c>
      <c r="AM211" s="117">
        <f t="shared" si="136"/>
        <v>0.22000000000000003</v>
      </c>
      <c r="AN211" s="117">
        <f t="shared" si="136"/>
        <v>0.21000000000000002</v>
      </c>
      <c r="AO211" s="429">
        <f t="shared" si="136"/>
        <v>0.21000000000000002</v>
      </c>
      <c r="AP211" s="117">
        <f t="shared" si="136"/>
        <v>0.23</v>
      </c>
      <c r="AQ211" s="117">
        <f t="shared" si="136"/>
        <v>0.24000000000000002</v>
      </c>
      <c r="AR211" s="117">
        <f t="shared" si="136"/>
        <v>0.24000000000000002</v>
      </c>
      <c r="AS211" s="117">
        <f t="shared" si="136"/>
        <v>0.24000000000000002</v>
      </c>
      <c r="AT211" s="429">
        <f t="shared" si="136"/>
        <v>0.24000000000000002</v>
      </c>
      <c r="AU211" s="117">
        <f t="shared" si="136"/>
        <v>0.23</v>
      </c>
      <c r="AV211" s="117">
        <f t="shared" si="136"/>
        <v>0.23</v>
      </c>
      <c r="AW211" s="117">
        <f t="shared" si="136"/>
        <v>0.23</v>
      </c>
      <c r="AX211" s="117">
        <f t="shared" ref="AX211:BS211" si="137">SUM(AX208:AX210)</f>
        <v>0.23</v>
      </c>
      <c r="AY211" s="429">
        <f t="shared" si="137"/>
        <v>0.23</v>
      </c>
      <c r="AZ211" s="117">
        <f t="shared" si="137"/>
        <v>0.24</v>
      </c>
      <c r="BA211" s="117">
        <f t="shared" si="137"/>
        <v>0.24</v>
      </c>
      <c r="BB211" s="117">
        <f t="shared" si="137"/>
        <v>0.25</v>
      </c>
      <c r="BC211" s="117">
        <f t="shared" si="137"/>
        <v>0.26</v>
      </c>
      <c r="BD211" s="429">
        <f t="shared" si="137"/>
        <v>0.26</v>
      </c>
      <c r="BE211" s="117">
        <f t="shared" si="137"/>
        <v>0.25</v>
      </c>
      <c r="BF211" s="117">
        <f t="shared" si="137"/>
        <v>0.25</v>
      </c>
      <c r="BG211" s="117">
        <f t="shared" si="137"/>
        <v>0.25</v>
      </c>
      <c r="BH211" s="117">
        <f t="shared" si="137"/>
        <v>0.28000000000000003</v>
      </c>
      <c r="BI211" s="429">
        <f t="shared" si="137"/>
        <v>0.28000000000000003</v>
      </c>
      <c r="BJ211" s="117">
        <f t="shared" si="137"/>
        <v>0.29000000000000004</v>
      </c>
      <c r="BK211" s="117">
        <f t="shared" si="137"/>
        <v>0.29000000000000004</v>
      </c>
      <c r="BL211" s="117">
        <f t="shared" si="137"/>
        <v>0.29000000000000004</v>
      </c>
      <c r="BM211" s="117">
        <f t="shared" si="137"/>
        <v>0.29000000000000004</v>
      </c>
      <c r="BN211" s="429">
        <f t="shared" si="137"/>
        <v>0.29000000000000004</v>
      </c>
      <c r="BO211" s="117">
        <f t="shared" si="137"/>
        <v>0.29000000000000004</v>
      </c>
      <c r="BP211" s="117">
        <f t="shared" si="137"/>
        <v>0.29000000000000004</v>
      </c>
      <c r="BQ211" s="117">
        <f t="shared" si="137"/>
        <v>0.29000000000000004</v>
      </c>
      <c r="BR211" s="117">
        <f t="shared" si="137"/>
        <v>0.29000000000000004</v>
      </c>
      <c r="BS211" s="430">
        <f t="shared" si="137"/>
        <v>0.29000000000000004</v>
      </c>
      <c r="BT211" s="161"/>
      <c r="BU211" s="161"/>
      <c r="BV211" s="161"/>
      <c r="BW211" s="161"/>
      <c r="BX211" s="431"/>
      <c r="BY211" s="161"/>
      <c r="BZ211" s="161"/>
      <c r="CA211" s="161"/>
      <c r="CB211" s="161"/>
      <c r="CC211" s="431"/>
      <c r="CD211" s="431"/>
      <c r="CE211" s="431"/>
      <c r="CF211" s="431"/>
      <c r="CG211" s="236"/>
    </row>
    <row r="212" spans="1:85" ht="14.45" customHeight="1" x14ac:dyDescent="0.25">
      <c r="A212" s="162"/>
      <c r="B212" s="97"/>
      <c r="C212" s="413"/>
      <c r="D212" s="413"/>
      <c r="E212" s="413"/>
      <c r="F212" s="413"/>
      <c r="G212" s="63"/>
      <c r="H212" s="63"/>
      <c r="I212" s="63"/>
      <c r="J212" s="63"/>
      <c r="K212" s="413"/>
      <c r="L212" s="63"/>
      <c r="M212" s="63"/>
      <c r="N212" s="63"/>
      <c r="O212" s="63"/>
      <c r="P212" s="413"/>
      <c r="Q212" s="63"/>
      <c r="R212" s="63"/>
      <c r="S212" s="63"/>
      <c r="T212" s="63"/>
      <c r="U212" s="413"/>
      <c r="V212" s="63"/>
      <c r="W212" s="63"/>
      <c r="X212" s="63"/>
      <c r="Y212" s="63"/>
      <c r="Z212" s="413"/>
      <c r="AA212" s="63"/>
      <c r="AB212" s="63"/>
      <c r="AC212" s="63"/>
      <c r="AD212" s="63"/>
      <c r="AE212" s="413"/>
      <c r="AF212" s="63"/>
      <c r="AG212" s="63"/>
      <c r="AH212" s="63"/>
      <c r="AI212" s="63"/>
      <c r="AJ212" s="413"/>
      <c r="AK212" s="63"/>
      <c r="AL212" s="63"/>
      <c r="AM212" s="63"/>
      <c r="AN212" s="63"/>
      <c r="AO212" s="413"/>
      <c r="AP212" s="63"/>
      <c r="AQ212" s="63"/>
      <c r="AR212" s="63"/>
      <c r="AS212" s="63"/>
      <c r="AT212" s="413"/>
      <c r="AU212" s="63"/>
      <c r="AV212" s="63"/>
      <c r="AW212" s="63"/>
      <c r="AX212" s="63"/>
      <c r="AY212" s="413"/>
      <c r="AZ212" s="63"/>
      <c r="BA212" s="63"/>
      <c r="BB212" s="63"/>
      <c r="BC212" s="63"/>
      <c r="BD212" s="413"/>
      <c r="BE212" s="63"/>
      <c r="BF212" s="63"/>
      <c r="BG212" s="63"/>
      <c r="BH212" s="63"/>
      <c r="BI212" s="413"/>
      <c r="BJ212" s="63"/>
      <c r="BK212" s="63"/>
      <c r="BL212" s="63"/>
      <c r="BM212" s="63"/>
      <c r="BN212" s="413"/>
      <c r="BO212" s="63"/>
      <c r="BP212" s="63"/>
      <c r="BQ212" s="63"/>
      <c r="BR212" s="63"/>
      <c r="BS212" s="425"/>
      <c r="BT212" s="63"/>
      <c r="BU212" s="63"/>
      <c r="BV212" s="63"/>
      <c r="BW212" s="63"/>
      <c r="BX212" s="413"/>
      <c r="BY212" s="63"/>
      <c r="BZ212" s="63"/>
      <c r="CA212" s="63"/>
      <c r="CB212" s="63"/>
      <c r="CC212" s="413"/>
      <c r="CD212" s="413"/>
      <c r="CE212" s="413"/>
      <c r="CF212" s="413"/>
      <c r="CG212" s="99"/>
    </row>
    <row r="213" spans="1:85" ht="14.45" customHeight="1" x14ac:dyDescent="0.25">
      <c r="A213" s="95" t="s">
        <v>339</v>
      </c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409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109"/>
    </row>
    <row r="214" spans="1:85" ht="14.45" hidden="1" customHeight="1" x14ac:dyDescent="0.25">
      <c r="A214" s="171" t="s">
        <v>340</v>
      </c>
      <c r="B214" s="172"/>
      <c r="C214" s="481"/>
      <c r="D214" s="481"/>
      <c r="E214" s="481"/>
      <c r="F214" s="481"/>
      <c r="G214" s="173"/>
      <c r="H214" s="173"/>
      <c r="I214" s="173"/>
      <c r="J214" s="173"/>
      <c r="K214" s="481"/>
      <c r="L214" s="173"/>
      <c r="M214" s="173"/>
      <c r="N214" s="173"/>
      <c r="O214" s="173"/>
      <c r="P214" s="481"/>
      <c r="Q214" s="173"/>
      <c r="R214" s="173"/>
      <c r="S214" s="173"/>
      <c r="T214" s="173"/>
      <c r="U214" s="481"/>
      <c r="V214" s="173"/>
      <c r="W214" s="173"/>
      <c r="X214" s="173"/>
      <c r="Y214" s="173"/>
      <c r="Z214" s="481"/>
      <c r="AA214" s="173"/>
      <c r="AB214" s="173"/>
      <c r="AC214" s="173"/>
      <c r="AD214" s="173"/>
      <c r="AE214" s="482">
        <v>19</v>
      </c>
      <c r="AF214" s="173"/>
      <c r="AG214" s="173"/>
      <c r="AH214" s="173"/>
      <c r="AI214" s="173"/>
      <c r="AJ214" s="482">
        <v>19</v>
      </c>
      <c r="AK214" s="173"/>
      <c r="AL214" s="173"/>
      <c r="AM214" s="173"/>
      <c r="AN214" s="173"/>
      <c r="AO214" s="482">
        <v>18</v>
      </c>
      <c r="AP214" s="173"/>
      <c r="AQ214" s="173"/>
      <c r="AR214" s="173"/>
      <c r="AS214" s="173"/>
      <c r="AT214" s="482">
        <v>17</v>
      </c>
      <c r="AU214" s="173"/>
      <c r="AV214" s="173"/>
      <c r="AW214" s="173"/>
      <c r="AX214" s="173"/>
      <c r="AY214" s="482">
        <v>17</v>
      </c>
      <c r="AZ214" s="173"/>
      <c r="BA214" s="173"/>
      <c r="BB214" s="173"/>
      <c r="BC214" s="173"/>
      <c r="BD214" s="482">
        <v>17</v>
      </c>
      <c r="BE214" s="173"/>
      <c r="BF214" s="173"/>
      <c r="BG214" s="173"/>
      <c r="BH214" s="173"/>
      <c r="BI214" s="482">
        <v>17</v>
      </c>
      <c r="BJ214" s="173"/>
      <c r="BK214" s="173"/>
      <c r="BL214" s="173"/>
      <c r="BM214" s="173"/>
      <c r="BN214" s="482">
        <v>17</v>
      </c>
      <c r="BO214" s="173"/>
      <c r="BP214" s="173"/>
      <c r="BQ214" s="173"/>
      <c r="BR214" s="173"/>
      <c r="BS214" s="483">
        <v>17</v>
      </c>
      <c r="BT214" s="173"/>
      <c r="BU214" s="173"/>
      <c r="BV214" s="173"/>
      <c r="BW214" s="173"/>
      <c r="BX214" s="481"/>
      <c r="BY214" s="173"/>
      <c r="BZ214" s="173"/>
      <c r="CA214" s="173"/>
      <c r="CB214" s="173"/>
      <c r="CC214" s="481"/>
      <c r="CD214" s="481"/>
      <c r="CE214" s="481"/>
      <c r="CF214" s="481"/>
      <c r="CG214" s="370"/>
    </row>
    <row r="215" spans="1:85" ht="14.45" hidden="1" customHeight="1" x14ac:dyDescent="0.25">
      <c r="A215" s="171" t="s">
        <v>341</v>
      </c>
      <c r="B215" s="172"/>
      <c r="C215" s="481"/>
      <c r="D215" s="481"/>
      <c r="E215" s="481"/>
      <c r="F215" s="481"/>
      <c r="G215" s="173"/>
      <c r="H215" s="173"/>
      <c r="I215" s="173"/>
      <c r="J215" s="173"/>
      <c r="K215" s="481"/>
      <c r="L215" s="173"/>
      <c r="M215" s="173"/>
      <c r="N215" s="173"/>
      <c r="O215" s="173"/>
      <c r="P215" s="481"/>
      <c r="Q215" s="173"/>
      <c r="R215" s="173"/>
      <c r="S215" s="173"/>
      <c r="T215" s="173"/>
      <c r="U215" s="481"/>
      <c r="V215" s="173"/>
      <c r="W215" s="173"/>
      <c r="X215" s="173"/>
      <c r="Y215" s="173"/>
      <c r="Z215" s="481"/>
      <c r="AA215" s="173"/>
      <c r="AB215" s="173"/>
      <c r="AC215" s="173"/>
      <c r="AD215" s="173"/>
      <c r="AE215" s="481"/>
      <c r="AF215" s="173"/>
      <c r="AG215" s="173"/>
      <c r="AH215" s="173"/>
      <c r="AI215" s="173"/>
      <c r="AJ215" s="481"/>
      <c r="AK215" s="173"/>
      <c r="AL215" s="173"/>
      <c r="AM215" s="173"/>
      <c r="AN215" s="173"/>
      <c r="AO215" s="482">
        <v>13</v>
      </c>
      <c r="AP215" s="173"/>
      <c r="AQ215" s="173"/>
      <c r="AR215" s="173"/>
      <c r="AS215" s="173"/>
      <c r="AT215" s="482">
        <v>13</v>
      </c>
      <c r="AU215" s="173"/>
      <c r="AV215" s="173"/>
      <c r="AW215" s="173"/>
      <c r="AX215" s="173"/>
      <c r="AY215" s="482">
        <v>12</v>
      </c>
      <c r="AZ215" s="173"/>
      <c r="BA215" s="173"/>
      <c r="BB215" s="173"/>
      <c r="BC215" s="173"/>
      <c r="BD215" s="482">
        <v>12</v>
      </c>
      <c r="BE215" s="173"/>
      <c r="BF215" s="173"/>
      <c r="BG215" s="173"/>
      <c r="BH215" s="173"/>
      <c r="BI215" s="482">
        <v>12</v>
      </c>
      <c r="BJ215" s="173"/>
      <c r="BK215" s="173"/>
      <c r="BL215" s="173"/>
      <c r="BM215" s="173"/>
      <c r="BN215" s="482">
        <v>12</v>
      </c>
      <c r="BO215" s="173"/>
      <c r="BP215" s="173"/>
      <c r="BQ215" s="173"/>
      <c r="BR215" s="173"/>
      <c r="BS215" s="484"/>
      <c r="BT215" s="173"/>
      <c r="BU215" s="173"/>
      <c r="BV215" s="173"/>
      <c r="BW215" s="173"/>
      <c r="BX215" s="481"/>
      <c r="BY215" s="173"/>
      <c r="BZ215" s="173"/>
      <c r="CA215" s="173"/>
      <c r="CB215" s="173"/>
      <c r="CC215" s="481"/>
      <c r="CD215" s="481"/>
      <c r="CE215" s="481"/>
      <c r="CF215" s="481"/>
      <c r="CG215" s="370"/>
    </row>
    <row r="216" spans="1:85" ht="14.45" hidden="1" customHeight="1" x14ac:dyDescent="0.25">
      <c r="A216" s="171" t="s">
        <v>342</v>
      </c>
      <c r="B216" s="172"/>
      <c r="C216" s="481"/>
      <c r="D216" s="481"/>
      <c r="E216" s="481"/>
      <c r="F216" s="481"/>
      <c r="G216" s="173"/>
      <c r="H216" s="173"/>
      <c r="I216" s="173"/>
      <c r="J216" s="173"/>
      <c r="K216" s="481"/>
      <c r="L216" s="173"/>
      <c r="M216" s="173"/>
      <c r="N216" s="173"/>
      <c r="O216" s="173"/>
      <c r="P216" s="481"/>
      <c r="Q216" s="173"/>
      <c r="R216" s="173"/>
      <c r="S216" s="173"/>
      <c r="T216" s="173"/>
      <c r="U216" s="481"/>
      <c r="V216" s="173"/>
      <c r="W216" s="173"/>
      <c r="X216" s="173"/>
      <c r="Y216" s="173"/>
      <c r="Z216" s="481"/>
      <c r="AA216" s="173"/>
      <c r="AB216" s="173"/>
      <c r="AC216" s="173"/>
      <c r="AD216" s="173"/>
      <c r="AE216" s="482">
        <v>7</v>
      </c>
      <c r="AF216" s="173"/>
      <c r="AG216" s="173"/>
      <c r="AH216" s="173"/>
      <c r="AI216" s="173"/>
      <c r="AJ216" s="482">
        <v>7</v>
      </c>
      <c r="AK216" s="173"/>
      <c r="AL216" s="173"/>
      <c r="AM216" s="173"/>
      <c r="AN216" s="173"/>
      <c r="AO216" s="481"/>
      <c r="AP216" s="173"/>
      <c r="AQ216" s="173"/>
      <c r="AR216" s="173"/>
      <c r="AS216" s="173"/>
      <c r="AT216" s="481"/>
      <c r="AU216" s="173"/>
      <c r="AV216" s="173"/>
      <c r="AW216" s="173"/>
      <c r="AX216" s="173"/>
      <c r="AY216" s="481"/>
      <c r="AZ216" s="173"/>
      <c r="BA216" s="173"/>
      <c r="BB216" s="173"/>
      <c r="BC216" s="173"/>
      <c r="BD216" s="481"/>
      <c r="BE216" s="173"/>
      <c r="BF216" s="173"/>
      <c r="BG216" s="173"/>
      <c r="BH216" s="173"/>
      <c r="BI216" s="481"/>
      <c r="BJ216" s="173"/>
      <c r="BK216" s="173"/>
      <c r="BL216" s="173"/>
      <c r="BM216" s="173"/>
      <c r="BN216" s="481"/>
      <c r="BO216" s="173"/>
      <c r="BP216" s="173"/>
      <c r="BQ216" s="173"/>
      <c r="BR216" s="173"/>
      <c r="BS216" s="484"/>
      <c r="BT216" s="173"/>
      <c r="BU216" s="173"/>
      <c r="BV216" s="173"/>
      <c r="BW216" s="173"/>
      <c r="BX216" s="481"/>
      <c r="BY216" s="173"/>
      <c r="BZ216" s="173"/>
      <c r="CA216" s="173"/>
      <c r="CB216" s="173"/>
      <c r="CC216" s="481"/>
      <c r="CD216" s="481"/>
      <c r="CE216" s="481"/>
      <c r="CF216" s="481"/>
      <c r="CG216" s="370"/>
    </row>
    <row r="217" spans="1:85" ht="14.45" hidden="1" customHeight="1" x14ac:dyDescent="0.25">
      <c r="A217" s="171" t="s">
        <v>343</v>
      </c>
      <c r="B217" s="172"/>
      <c r="C217" s="481"/>
      <c r="D217" s="481"/>
      <c r="E217" s="481"/>
      <c r="F217" s="481"/>
      <c r="G217" s="173"/>
      <c r="H217" s="173"/>
      <c r="I217" s="173"/>
      <c r="J217" s="173"/>
      <c r="K217" s="481"/>
      <c r="L217" s="173"/>
      <c r="M217" s="173"/>
      <c r="N217" s="173"/>
      <c r="O217" s="173"/>
      <c r="P217" s="481"/>
      <c r="Q217" s="173"/>
      <c r="R217" s="173"/>
      <c r="S217" s="173"/>
      <c r="T217" s="173"/>
      <c r="U217" s="481"/>
      <c r="V217" s="173"/>
      <c r="W217" s="173"/>
      <c r="X217" s="173"/>
      <c r="Y217" s="173"/>
      <c r="Z217" s="481"/>
      <c r="AA217" s="173"/>
      <c r="AB217" s="173"/>
      <c r="AC217" s="173"/>
      <c r="AD217" s="173"/>
      <c r="AE217" s="482">
        <v>14</v>
      </c>
      <c r="AF217" s="173"/>
      <c r="AG217" s="173"/>
      <c r="AH217" s="173"/>
      <c r="AI217" s="173"/>
      <c r="AJ217" s="482">
        <v>14</v>
      </c>
      <c r="AK217" s="173"/>
      <c r="AL217" s="173"/>
      <c r="AM217" s="173"/>
      <c r="AN217" s="173"/>
      <c r="AO217" s="481"/>
      <c r="AP217" s="173"/>
      <c r="AQ217" s="173"/>
      <c r="AR217" s="173"/>
      <c r="AS217" s="173"/>
      <c r="AT217" s="481"/>
      <c r="AU217" s="173"/>
      <c r="AV217" s="173"/>
      <c r="AW217" s="173"/>
      <c r="AX217" s="173"/>
      <c r="AY217" s="481"/>
      <c r="AZ217" s="173"/>
      <c r="BA217" s="173"/>
      <c r="BB217" s="173"/>
      <c r="BC217" s="173"/>
      <c r="BD217" s="481"/>
      <c r="BE217" s="173"/>
      <c r="BF217" s="173"/>
      <c r="BG217" s="173"/>
      <c r="BH217" s="173"/>
      <c r="BI217" s="481"/>
      <c r="BJ217" s="173"/>
      <c r="BK217" s="173"/>
      <c r="BL217" s="173"/>
      <c r="BM217" s="173"/>
      <c r="BN217" s="481"/>
      <c r="BO217" s="173"/>
      <c r="BP217" s="173"/>
      <c r="BQ217" s="173"/>
      <c r="BR217" s="173"/>
      <c r="BS217" s="484"/>
      <c r="BT217" s="173"/>
      <c r="BU217" s="173"/>
      <c r="BV217" s="173"/>
      <c r="BW217" s="173"/>
      <c r="BX217" s="481"/>
      <c r="BY217" s="173"/>
      <c r="BZ217" s="173"/>
      <c r="CA217" s="173"/>
      <c r="CB217" s="173"/>
      <c r="CC217" s="481"/>
      <c r="CD217" s="481"/>
      <c r="CE217" s="481"/>
      <c r="CF217" s="481"/>
      <c r="CG217" s="370"/>
    </row>
    <row r="218" spans="1:85" ht="14.45" hidden="1" customHeight="1" x14ac:dyDescent="0.25">
      <c r="A218" s="171" t="s">
        <v>344</v>
      </c>
      <c r="B218" s="172"/>
      <c r="C218" s="481"/>
      <c r="D218" s="481"/>
      <c r="E218" s="481"/>
      <c r="F218" s="481"/>
      <c r="G218" s="173"/>
      <c r="H218" s="173"/>
      <c r="I218" s="173"/>
      <c r="J218" s="173"/>
      <c r="K218" s="481"/>
      <c r="L218" s="173"/>
      <c r="M218" s="173"/>
      <c r="N218" s="173"/>
      <c r="O218" s="173"/>
      <c r="P218" s="481"/>
      <c r="Q218" s="173"/>
      <c r="R218" s="173"/>
      <c r="S218" s="173"/>
      <c r="T218" s="173"/>
      <c r="U218" s="481"/>
      <c r="V218" s="173"/>
      <c r="W218" s="173"/>
      <c r="X218" s="173"/>
      <c r="Y218" s="173"/>
      <c r="Z218" s="481"/>
      <c r="AA218" s="173"/>
      <c r="AB218" s="173"/>
      <c r="AC218" s="173"/>
      <c r="AD218" s="173"/>
      <c r="AE218" s="482">
        <v>13</v>
      </c>
      <c r="AF218" s="173"/>
      <c r="AG218" s="173"/>
      <c r="AH218" s="173"/>
      <c r="AI218" s="173"/>
      <c r="AJ218" s="482">
        <v>13</v>
      </c>
      <c r="AK218" s="173"/>
      <c r="AL218" s="173"/>
      <c r="AM218" s="173"/>
      <c r="AN218" s="173"/>
      <c r="AO218" s="482">
        <v>12</v>
      </c>
      <c r="AP218" s="173"/>
      <c r="AQ218" s="173"/>
      <c r="AR218" s="173"/>
      <c r="AS218" s="173"/>
      <c r="AT218" s="482">
        <v>11</v>
      </c>
      <c r="AU218" s="173"/>
      <c r="AV218" s="173"/>
      <c r="AW218" s="173"/>
      <c r="AX218" s="173"/>
      <c r="AY218" s="482">
        <v>11</v>
      </c>
      <c r="AZ218" s="173"/>
      <c r="BA218" s="173"/>
      <c r="BB218" s="173"/>
      <c r="BC218" s="173"/>
      <c r="BD218" s="482">
        <v>11</v>
      </c>
      <c r="BE218" s="173"/>
      <c r="BF218" s="173"/>
      <c r="BG218" s="173"/>
      <c r="BH218" s="173"/>
      <c r="BI218" s="482">
        <v>11</v>
      </c>
      <c r="BJ218" s="173"/>
      <c r="BK218" s="173"/>
      <c r="BL218" s="173"/>
      <c r="BM218" s="173"/>
      <c r="BN218" s="482">
        <v>11</v>
      </c>
      <c r="BO218" s="173"/>
      <c r="BP218" s="173"/>
      <c r="BQ218" s="173"/>
      <c r="BR218" s="173"/>
      <c r="BS218" s="483">
        <v>20</v>
      </c>
      <c r="BT218" s="173"/>
      <c r="BU218" s="173"/>
      <c r="BV218" s="173"/>
      <c r="BW218" s="173"/>
      <c r="BX218" s="481"/>
      <c r="BY218" s="173"/>
      <c r="BZ218" s="173"/>
      <c r="CA218" s="173"/>
      <c r="CB218" s="173"/>
      <c r="CC218" s="481"/>
      <c r="CD218" s="481"/>
      <c r="CE218" s="481"/>
      <c r="CF218" s="481"/>
      <c r="CG218" s="370"/>
    </row>
    <row r="219" spans="1:85" ht="14.45" hidden="1" customHeight="1" x14ac:dyDescent="0.25">
      <c r="A219" s="171" t="s">
        <v>345</v>
      </c>
      <c r="B219" s="172"/>
      <c r="C219" s="481"/>
      <c r="D219" s="481"/>
      <c r="E219" s="481"/>
      <c r="F219" s="481"/>
      <c r="G219" s="173"/>
      <c r="H219" s="173"/>
      <c r="I219" s="173"/>
      <c r="J219" s="173"/>
      <c r="K219" s="481"/>
      <c r="L219" s="173"/>
      <c r="M219" s="173"/>
      <c r="N219" s="173"/>
      <c r="O219" s="173"/>
      <c r="P219" s="481"/>
      <c r="Q219" s="173"/>
      <c r="R219" s="173"/>
      <c r="S219" s="173"/>
      <c r="T219" s="173"/>
      <c r="U219" s="481"/>
      <c r="V219" s="173"/>
      <c r="W219" s="173"/>
      <c r="X219" s="173"/>
      <c r="Y219" s="173"/>
      <c r="Z219" s="481"/>
      <c r="AA219" s="173"/>
      <c r="AB219" s="173"/>
      <c r="AC219" s="173"/>
      <c r="AD219" s="173"/>
      <c r="AE219" s="482">
        <v>3</v>
      </c>
      <c r="AF219" s="173"/>
      <c r="AG219" s="173"/>
      <c r="AH219" s="173"/>
      <c r="AI219" s="173"/>
      <c r="AJ219" s="482">
        <v>3</v>
      </c>
      <c r="AK219" s="173"/>
      <c r="AL219" s="173"/>
      <c r="AM219" s="173"/>
      <c r="AN219" s="173"/>
      <c r="AO219" s="482">
        <v>10</v>
      </c>
      <c r="AP219" s="173"/>
      <c r="AQ219" s="173"/>
      <c r="AR219" s="173"/>
      <c r="AS219" s="173"/>
      <c r="AT219" s="482">
        <v>10</v>
      </c>
      <c r="AU219" s="173"/>
      <c r="AV219" s="173"/>
      <c r="AW219" s="173"/>
      <c r="AX219" s="173"/>
      <c r="AY219" s="482">
        <v>10</v>
      </c>
      <c r="AZ219" s="173"/>
      <c r="BA219" s="173"/>
      <c r="BB219" s="173"/>
      <c r="BC219" s="173"/>
      <c r="BD219" s="482">
        <v>10</v>
      </c>
      <c r="BE219" s="173"/>
      <c r="BF219" s="173"/>
      <c r="BG219" s="173"/>
      <c r="BH219" s="173"/>
      <c r="BI219" s="482">
        <v>10</v>
      </c>
      <c r="BJ219" s="173"/>
      <c r="BK219" s="173"/>
      <c r="BL219" s="173"/>
      <c r="BM219" s="173"/>
      <c r="BN219" s="482">
        <v>10</v>
      </c>
      <c r="BO219" s="173"/>
      <c r="BP219" s="173"/>
      <c r="BQ219" s="173"/>
      <c r="BR219" s="173"/>
      <c r="BS219" s="483">
        <v>10</v>
      </c>
      <c r="BT219" s="173"/>
      <c r="BU219" s="173"/>
      <c r="BV219" s="173"/>
      <c r="BW219" s="173"/>
      <c r="BX219" s="481"/>
      <c r="BY219" s="173"/>
      <c r="BZ219" s="173"/>
      <c r="CA219" s="173"/>
      <c r="CB219" s="173"/>
      <c r="CC219" s="481"/>
      <c r="CD219" s="481"/>
      <c r="CE219" s="481"/>
      <c r="CF219" s="481"/>
      <c r="CG219" s="370"/>
    </row>
    <row r="220" spans="1:85" ht="14.45" hidden="1" customHeight="1" x14ac:dyDescent="0.25">
      <c r="A220" s="171" t="s">
        <v>346</v>
      </c>
      <c r="B220" s="172"/>
      <c r="C220" s="481"/>
      <c r="D220" s="481"/>
      <c r="E220" s="481"/>
      <c r="F220" s="481"/>
      <c r="G220" s="173"/>
      <c r="H220" s="173"/>
      <c r="I220" s="173"/>
      <c r="J220" s="173"/>
      <c r="K220" s="481"/>
      <c r="L220" s="173"/>
      <c r="M220" s="173"/>
      <c r="N220" s="173"/>
      <c r="O220" s="173"/>
      <c r="P220" s="481"/>
      <c r="Q220" s="173"/>
      <c r="R220" s="173"/>
      <c r="S220" s="173"/>
      <c r="T220" s="173"/>
      <c r="U220" s="481"/>
      <c r="V220" s="173"/>
      <c r="W220" s="173"/>
      <c r="X220" s="173"/>
      <c r="Y220" s="173"/>
      <c r="Z220" s="481"/>
      <c r="AA220" s="173"/>
      <c r="AB220" s="173"/>
      <c r="AC220" s="173"/>
      <c r="AD220" s="173"/>
      <c r="AE220" s="482">
        <v>11</v>
      </c>
      <c r="AF220" s="173"/>
      <c r="AG220" s="173"/>
      <c r="AH220" s="173"/>
      <c r="AI220" s="173"/>
      <c r="AJ220" s="482">
        <v>11</v>
      </c>
      <c r="AK220" s="173"/>
      <c r="AL220" s="173"/>
      <c r="AM220" s="173"/>
      <c r="AN220" s="173"/>
      <c r="AO220" s="481"/>
      <c r="AP220" s="173"/>
      <c r="AQ220" s="173"/>
      <c r="AR220" s="173"/>
      <c r="AS220" s="173"/>
      <c r="AT220" s="481"/>
      <c r="AU220" s="173"/>
      <c r="AV220" s="173"/>
      <c r="AW220" s="173"/>
      <c r="AX220" s="173"/>
      <c r="AY220" s="481"/>
      <c r="AZ220" s="173"/>
      <c r="BA220" s="173"/>
      <c r="BB220" s="173"/>
      <c r="BC220" s="173"/>
      <c r="BD220" s="481"/>
      <c r="BE220" s="173"/>
      <c r="BF220" s="173"/>
      <c r="BG220" s="173"/>
      <c r="BH220" s="173"/>
      <c r="BI220" s="481"/>
      <c r="BJ220" s="173"/>
      <c r="BK220" s="173"/>
      <c r="BL220" s="173"/>
      <c r="BM220" s="173"/>
      <c r="BN220" s="481"/>
      <c r="BO220" s="173"/>
      <c r="BP220" s="173"/>
      <c r="BQ220" s="173"/>
      <c r="BR220" s="173"/>
      <c r="BS220" s="484"/>
      <c r="BT220" s="173"/>
      <c r="BU220" s="173"/>
      <c r="BV220" s="173"/>
      <c r="BW220" s="173"/>
      <c r="BX220" s="481"/>
      <c r="BY220" s="173"/>
      <c r="BZ220" s="173"/>
      <c r="CA220" s="173"/>
      <c r="CB220" s="173"/>
      <c r="CC220" s="481"/>
      <c r="CD220" s="481"/>
      <c r="CE220" s="481"/>
      <c r="CF220" s="481"/>
      <c r="CG220" s="370"/>
    </row>
    <row r="221" spans="1:85" ht="14.45" hidden="1" customHeight="1" x14ac:dyDescent="0.25">
      <c r="A221" s="171" t="s">
        <v>347</v>
      </c>
      <c r="B221" s="172"/>
      <c r="C221" s="481"/>
      <c r="D221" s="481"/>
      <c r="E221" s="481"/>
      <c r="F221" s="481"/>
      <c r="G221" s="173"/>
      <c r="H221" s="173"/>
      <c r="I221" s="173"/>
      <c r="J221" s="173"/>
      <c r="K221" s="481"/>
      <c r="L221" s="173"/>
      <c r="M221" s="173"/>
      <c r="N221" s="173"/>
      <c r="O221" s="173"/>
      <c r="P221" s="481"/>
      <c r="Q221" s="173"/>
      <c r="R221" s="173"/>
      <c r="S221" s="173"/>
      <c r="T221" s="173"/>
      <c r="U221" s="481"/>
      <c r="V221" s="173"/>
      <c r="W221" s="173"/>
      <c r="X221" s="173"/>
      <c r="Y221" s="173"/>
      <c r="Z221" s="481"/>
      <c r="AA221" s="173"/>
      <c r="AB221" s="173"/>
      <c r="AC221" s="173"/>
      <c r="AD221" s="173"/>
      <c r="AE221" s="482">
        <v>7</v>
      </c>
      <c r="AF221" s="173"/>
      <c r="AG221" s="173"/>
      <c r="AH221" s="173"/>
      <c r="AI221" s="173"/>
      <c r="AJ221" s="482">
        <v>7</v>
      </c>
      <c r="AK221" s="173"/>
      <c r="AL221" s="173"/>
      <c r="AM221" s="173"/>
      <c r="AN221" s="173"/>
      <c r="AO221" s="481"/>
      <c r="AP221" s="173"/>
      <c r="AQ221" s="173"/>
      <c r="AR221" s="173"/>
      <c r="AS221" s="173"/>
      <c r="AT221" s="481"/>
      <c r="AU221" s="173"/>
      <c r="AV221" s="173"/>
      <c r="AW221" s="173"/>
      <c r="AX221" s="173"/>
      <c r="AY221" s="481"/>
      <c r="AZ221" s="173"/>
      <c r="BA221" s="173"/>
      <c r="BB221" s="173"/>
      <c r="BC221" s="173"/>
      <c r="BD221" s="481"/>
      <c r="BE221" s="173"/>
      <c r="BF221" s="173"/>
      <c r="BG221" s="173"/>
      <c r="BH221" s="173"/>
      <c r="BI221" s="481"/>
      <c r="BJ221" s="173"/>
      <c r="BK221" s="173"/>
      <c r="BL221" s="173"/>
      <c r="BM221" s="173"/>
      <c r="BN221" s="481"/>
      <c r="BO221" s="173"/>
      <c r="BP221" s="173"/>
      <c r="BQ221" s="173"/>
      <c r="BR221" s="173"/>
      <c r="BS221" s="484"/>
      <c r="BT221" s="173"/>
      <c r="BU221" s="173"/>
      <c r="BV221" s="173"/>
      <c r="BW221" s="173"/>
      <c r="BX221" s="481"/>
      <c r="BY221" s="173"/>
      <c r="BZ221" s="173"/>
      <c r="CA221" s="173"/>
      <c r="CB221" s="173"/>
      <c r="CC221" s="481"/>
      <c r="CD221" s="481"/>
      <c r="CE221" s="481"/>
      <c r="CF221" s="481"/>
      <c r="CG221" s="370"/>
    </row>
    <row r="222" spans="1:85" ht="14.45" hidden="1" customHeight="1" x14ac:dyDescent="0.25">
      <c r="A222" s="174" t="s">
        <v>348</v>
      </c>
      <c r="B222" s="175"/>
      <c r="C222" s="485"/>
      <c r="D222" s="485"/>
      <c r="E222" s="485"/>
      <c r="F222" s="485"/>
      <c r="G222" s="176"/>
      <c r="H222" s="176"/>
      <c r="I222" s="176"/>
      <c r="J222" s="176"/>
      <c r="K222" s="485"/>
      <c r="L222" s="176"/>
      <c r="M222" s="176"/>
      <c r="N222" s="176"/>
      <c r="O222" s="176"/>
      <c r="P222" s="485"/>
      <c r="Q222" s="176"/>
      <c r="R222" s="176"/>
      <c r="S222" s="176"/>
      <c r="T222" s="176"/>
      <c r="U222" s="485"/>
      <c r="V222" s="176"/>
      <c r="W222" s="176"/>
      <c r="X222" s="176"/>
      <c r="Y222" s="176"/>
      <c r="Z222" s="485"/>
      <c r="AA222" s="176"/>
      <c r="AB222" s="176"/>
      <c r="AC222" s="176"/>
      <c r="AD222" s="176"/>
      <c r="AE222" s="485"/>
      <c r="AF222" s="176"/>
      <c r="AG222" s="176"/>
      <c r="AH222" s="176"/>
      <c r="AI222" s="176"/>
      <c r="AJ222" s="485"/>
      <c r="AK222" s="176"/>
      <c r="AL222" s="176"/>
      <c r="AM222" s="176"/>
      <c r="AN222" s="176"/>
      <c r="AO222" s="486">
        <v>18</v>
      </c>
      <c r="AP222" s="176"/>
      <c r="AQ222" s="176"/>
      <c r="AR222" s="176"/>
      <c r="AS222" s="176"/>
      <c r="AT222" s="486">
        <v>17</v>
      </c>
      <c r="AU222" s="176"/>
      <c r="AV222" s="176"/>
      <c r="AW222" s="176"/>
      <c r="AX222" s="176"/>
      <c r="AY222" s="486">
        <v>10</v>
      </c>
      <c r="AZ222" s="176"/>
      <c r="BA222" s="176"/>
      <c r="BB222" s="176"/>
      <c r="BC222" s="176"/>
      <c r="BD222" s="486">
        <v>10</v>
      </c>
      <c r="BE222" s="176"/>
      <c r="BF222" s="176"/>
      <c r="BG222" s="176"/>
      <c r="BH222" s="176"/>
      <c r="BI222" s="486">
        <v>10</v>
      </c>
      <c r="BJ222" s="176"/>
      <c r="BK222" s="176"/>
      <c r="BL222" s="176"/>
      <c r="BM222" s="176"/>
      <c r="BN222" s="486">
        <v>10</v>
      </c>
      <c r="BO222" s="176"/>
      <c r="BP222" s="176"/>
      <c r="BQ222" s="176"/>
      <c r="BR222" s="176"/>
      <c r="BS222" s="487">
        <v>13</v>
      </c>
      <c r="BT222" s="176"/>
      <c r="BU222" s="176"/>
      <c r="BV222" s="176"/>
      <c r="BW222" s="176"/>
      <c r="BX222" s="485"/>
      <c r="BY222" s="176"/>
      <c r="BZ222" s="176"/>
      <c r="CA222" s="176"/>
      <c r="CB222" s="176"/>
      <c r="CC222" s="485"/>
      <c r="CD222" s="485"/>
      <c r="CE222" s="485"/>
      <c r="CF222" s="485"/>
      <c r="CG222" s="370"/>
    </row>
    <row r="223" spans="1:85" ht="14.45" hidden="1" customHeight="1" x14ac:dyDescent="0.25">
      <c r="A223" s="177" t="s">
        <v>349</v>
      </c>
      <c r="B223" s="178"/>
      <c r="C223" s="488"/>
      <c r="D223" s="488"/>
      <c r="E223" s="488"/>
      <c r="F223" s="488"/>
      <c r="G223" s="179"/>
      <c r="H223" s="179"/>
      <c r="I223" s="179"/>
      <c r="J223" s="179"/>
      <c r="K223" s="488"/>
      <c r="L223" s="179"/>
      <c r="M223" s="179"/>
      <c r="N223" s="179"/>
      <c r="O223" s="179"/>
      <c r="P223" s="488"/>
      <c r="Q223" s="179"/>
      <c r="R223" s="179"/>
      <c r="S223" s="179"/>
      <c r="T223" s="179"/>
      <c r="U223" s="488"/>
      <c r="V223" s="179"/>
      <c r="W223" s="179"/>
      <c r="X223" s="179"/>
      <c r="Y223" s="179"/>
      <c r="Z223" s="488"/>
      <c r="AA223" s="179"/>
      <c r="AB223" s="179"/>
      <c r="AC223" s="179"/>
      <c r="AD223" s="179"/>
      <c r="AE223" s="489">
        <f>SUM(AE214:AE222)</f>
        <v>74</v>
      </c>
      <c r="AF223" s="179"/>
      <c r="AG223" s="179"/>
      <c r="AH223" s="179"/>
      <c r="AI223" s="179"/>
      <c r="AJ223" s="489">
        <f>SUM(AJ214:AJ222)</f>
        <v>74</v>
      </c>
      <c r="AK223" s="179"/>
      <c r="AL223" s="179"/>
      <c r="AM223" s="179"/>
      <c r="AN223" s="179"/>
      <c r="AO223" s="489">
        <f>SUM(AO214:AO222)</f>
        <v>71</v>
      </c>
      <c r="AP223" s="179"/>
      <c r="AQ223" s="179"/>
      <c r="AR223" s="179"/>
      <c r="AS223" s="179"/>
      <c r="AT223" s="489">
        <f>SUM(AT214:AT222)</f>
        <v>68</v>
      </c>
      <c r="AU223" s="179"/>
      <c r="AV223" s="179"/>
      <c r="AW223" s="179"/>
      <c r="AX223" s="179"/>
      <c r="AY223" s="489">
        <f>SUM(AY214:AY222)</f>
        <v>60</v>
      </c>
      <c r="AZ223" s="179"/>
      <c r="BA223" s="179"/>
      <c r="BB223" s="179"/>
      <c r="BC223" s="179"/>
      <c r="BD223" s="489">
        <f>SUM(BD214:BD222)</f>
        <v>60</v>
      </c>
      <c r="BE223" s="179"/>
      <c r="BF223" s="179"/>
      <c r="BG223" s="179"/>
      <c r="BH223" s="179"/>
      <c r="BI223" s="489">
        <f>SUM(BI214:BI222)</f>
        <v>60</v>
      </c>
      <c r="BJ223" s="179"/>
      <c r="BK223" s="179"/>
      <c r="BL223" s="179"/>
      <c r="BM223" s="179"/>
      <c r="BN223" s="489">
        <f>SUM(BN214:BN222)</f>
        <v>60</v>
      </c>
      <c r="BO223" s="179"/>
      <c r="BP223" s="179"/>
      <c r="BQ223" s="179"/>
      <c r="BR223" s="179"/>
      <c r="BS223" s="490">
        <f>SUM(BS214:BS222)</f>
        <v>60</v>
      </c>
      <c r="BT223" s="179"/>
      <c r="BU223" s="179"/>
      <c r="BV223" s="179"/>
      <c r="BW223" s="179"/>
      <c r="BX223" s="488"/>
      <c r="BY223" s="179"/>
      <c r="BZ223" s="179"/>
      <c r="CA223" s="179"/>
      <c r="CB223" s="179"/>
      <c r="CC223" s="488"/>
      <c r="CD223" s="488"/>
      <c r="CE223" s="488"/>
      <c r="CF223" s="488"/>
      <c r="CG223" s="491"/>
    </row>
    <row r="224" spans="1:85" ht="14.45" customHeight="1" x14ac:dyDescent="0.25">
      <c r="A224" s="162"/>
      <c r="B224" s="97"/>
      <c r="C224" s="413"/>
      <c r="D224" s="413"/>
      <c r="E224" s="413"/>
      <c r="F224" s="413"/>
      <c r="G224" s="63"/>
      <c r="H224" s="63"/>
      <c r="I224" s="63"/>
      <c r="J224" s="63"/>
      <c r="K224" s="413"/>
      <c r="L224" s="63"/>
      <c r="M224" s="63"/>
      <c r="N224" s="63"/>
      <c r="O224" s="63"/>
      <c r="P224" s="413"/>
      <c r="Q224" s="63"/>
      <c r="R224" s="63"/>
      <c r="S224" s="63"/>
      <c r="T224" s="63"/>
      <c r="U224" s="413"/>
      <c r="V224" s="63"/>
      <c r="W224" s="63"/>
      <c r="X224" s="63"/>
      <c r="Y224" s="63"/>
      <c r="Z224" s="413"/>
      <c r="AA224" s="63"/>
      <c r="AB224" s="63"/>
      <c r="AC224" s="63"/>
      <c r="AD224" s="63"/>
      <c r="AE224" s="413"/>
      <c r="AF224" s="63"/>
      <c r="AG224" s="63"/>
      <c r="AH224" s="63"/>
      <c r="AI224" s="63"/>
      <c r="AJ224" s="413"/>
      <c r="AK224" s="63"/>
      <c r="AL224" s="63"/>
      <c r="AM224" s="63"/>
      <c r="AN224" s="63"/>
      <c r="AO224" s="413"/>
      <c r="AP224" s="63"/>
      <c r="AQ224" s="63"/>
      <c r="AR224" s="63"/>
      <c r="AS224" s="63"/>
      <c r="AT224" s="413"/>
      <c r="AU224" s="63"/>
      <c r="AV224" s="63"/>
      <c r="AW224" s="63"/>
      <c r="AX224" s="63"/>
      <c r="AY224" s="413"/>
      <c r="AZ224" s="63"/>
      <c r="BA224" s="63"/>
      <c r="BB224" s="63"/>
      <c r="BC224" s="63"/>
      <c r="BD224" s="413"/>
      <c r="BE224" s="63"/>
      <c r="BF224" s="63"/>
      <c r="BG224" s="63"/>
      <c r="BH224" s="63"/>
      <c r="BI224" s="413"/>
      <c r="BJ224" s="63"/>
      <c r="BK224" s="63"/>
      <c r="BL224" s="63"/>
      <c r="BM224" s="63"/>
      <c r="BN224" s="413"/>
      <c r="BO224" s="63"/>
      <c r="BP224" s="63"/>
      <c r="BQ224" s="63"/>
      <c r="BR224" s="63"/>
      <c r="BS224" s="425"/>
      <c r="BT224" s="63"/>
      <c r="BU224" s="63"/>
      <c r="BV224" s="63"/>
      <c r="BW224" s="63"/>
      <c r="BX224" s="413"/>
      <c r="BY224" s="63"/>
      <c r="BZ224" s="63"/>
      <c r="CA224" s="63"/>
      <c r="CB224" s="63"/>
      <c r="CC224" s="413"/>
      <c r="CD224" s="413"/>
      <c r="CE224" s="413"/>
      <c r="CF224" s="413"/>
      <c r="CG224" s="99"/>
    </row>
    <row r="225" spans="1:85" ht="14.45" customHeight="1" x14ac:dyDescent="0.25">
      <c r="A225" s="95" t="s">
        <v>350</v>
      </c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409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109"/>
    </row>
    <row r="226" spans="1:85" ht="14.45" hidden="1" customHeight="1" x14ac:dyDescent="0.25">
      <c r="A226" s="171" t="s">
        <v>351</v>
      </c>
      <c r="B226" s="172"/>
      <c r="C226" s="481"/>
      <c r="D226" s="481"/>
      <c r="E226" s="481"/>
      <c r="F226" s="481"/>
      <c r="G226" s="173"/>
      <c r="H226" s="173"/>
      <c r="I226" s="173"/>
      <c r="J226" s="173"/>
      <c r="K226" s="481"/>
      <c r="L226" s="173"/>
      <c r="M226" s="173"/>
      <c r="N226" s="173"/>
      <c r="O226" s="173"/>
      <c r="P226" s="481"/>
      <c r="Q226" s="173"/>
      <c r="R226" s="173"/>
      <c r="S226" s="173"/>
      <c r="T226" s="173"/>
      <c r="U226" s="481"/>
      <c r="V226" s="173"/>
      <c r="W226" s="173"/>
      <c r="X226" s="173"/>
      <c r="Y226" s="173"/>
      <c r="Z226" s="482">
        <v>11300</v>
      </c>
      <c r="AA226" s="173"/>
      <c r="AB226" s="173"/>
      <c r="AC226" s="173"/>
      <c r="AD226" s="173"/>
      <c r="AE226" s="482">
        <v>14500</v>
      </c>
      <c r="AF226" s="173"/>
      <c r="AG226" s="173"/>
      <c r="AH226" s="173"/>
      <c r="AI226" s="173"/>
      <c r="AJ226" s="482">
        <v>14200</v>
      </c>
      <c r="AK226" s="173"/>
      <c r="AL226" s="173"/>
      <c r="AM226" s="173"/>
      <c r="AN226" s="173"/>
      <c r="AO226" s="482">
        <v>14800</v>
      </c>
      <c r="AP226" s="173"/>
      <c r="AQ226" s="173"/>
      <c r="AR226" s="173"/>
      <c r="AS226" s="173"/>
      <c r="AT226" s="482">
        <v>14000</v>
      </c>
      <c r="AU226" s="173"/>
      <c r="AV226" s="173"/>
      <c r="AW226" s="173"/>
      <c r="AX226" s="173"/>
      <c r="AY226" s="482">
        <v>14100</v>
      </c>
      <c r="AZ226" s="173"/>
      <c r="BA226" s="173"/>
      <c r="BB226" s="173"/>
      <c r="BC226" s="173"/>
      <c r="BD226" s="482">
        <v>15000</v>
      </c>
      <c r="BE226" s="173"/>
      <c r="BF226" s="173"/>
      <c r="BG226" s="173"/>
      <c r="BH226" s="173"/>
      <c r="BI226" s="482">
        <v>15000</v>
      </c>
      <c r="BJ226" s="173"/>
      <c r="BK226" s="173"/>
      <c r="BL226" s="173"/>
      <c r="BM226" s="173"/>
      <c r="BN226" s="482">
        <v>15000</v>
      </c>
      <c r="BO226" s="173"/>
      <c r="BP226" s="173"/>
      <c r="BQ226" s="173"/>
      <c r="BR226" s="173"/>
      <c r="BS226" s="483">
        <v>15000</v>
      </c>
      <c r="BT226" s="173"/>
      <c r="BU226" s="173"/>
      <c r="BV226" s="173"/>
      <c r="BW226" s="173"/>
      <c r="BX226" s="481"/>
      <c r="BY226" s="173"/>
      <c r="BZ226" s="173"/>
      <c r="CA226" s="173"/>
      <c r="CB226" s="173"/>
      <c r="CC226" s="481"/>
      <c r="CD226" s="481"/>
      <c r="CE226" s="481"/>
      <c r="CF226" s="481"/>
      <c r="CG226" s="370"/>
    </row>
    <row r="227" spans="1:85" ht="14.45" hidden="1" customHeight="1" x14ac:dyDescent="0.25">
      <c r="A227" s="174" t="s">
        <v>352</v>
      </c>
      <c r="B227" s="175"/>
      <c r="C227" s="485"/>
      <c r="D227" s="485"/>
      <c r="E227" s="485"/>
      <c r="F227" s="485"/>
      <c r="G227" s="176"/>
      <c r="H227" s="176"/>
      <c r="I227" s="176"/>
      <c r="J227" s="176"/>
      <c r="K227" s="485"/>
      <c r="L227" s="176"/>
      <c r="M227" s="176"/>
      <c r="N227" s="176"/>
      <c r="O227" s="176"/>
      <c r="P227" s="485"/>
      <c r="Q227" s="176"/>
      <c r="R227" s="176"/>
      <c r="S227" s="176"/>
      <c r="T227" s="176"/>
      <c r="U227" s="485"/>
      <c r="V227" s="176"/>
      <c r="W227" s="176"/>
      <c r="X227" s="176"/>
      <c r="Y227" s="176"/>
      <c r="Z227" s="486">
        <v>1900</v>
      </c>
      <c r="AA227" s="176"/>
      <c r="AB227" s="176"/>
      <c r="AC227" s="176"/>
      <c r="AD227" s="176"/>
      <c r="AE227" s="486">
        <v>2000</v>
      </c>
      <c r="AF227" s="176"/>
      <c r="AG227" s="176"/>
      <c r="AH227" s="176"/>
      <c r="AI227" s="176"/>
      <c r="AJ227" s="486">
        <v>2000</v>
      </c>
      <c r="AK227" s="176"/>
      <c r="AL227" s="176"/>
      <c r="AM227" s="176"/>
      <c r="AN227" s="176"/>
      <c r="AO227" s="486">
        <v>2100</v>
      </c>
      <c r="AP227" s="176"/>
      <c r="AQ227" s="176"/>
      <c r="AR227" s="176"/>
      <c r="AS227" s="176"/>
      <c r="AT227" s="486">
        <v>1800</v>
      </c>
      <c r="AU227" s="176"/>
      <c r="AV227" s="176"/>
      <c r="AW227" s="176"/>
      <c r="AX227" s="176"/>
      <c r="AY227" s="486">
        <v>1900</v>
      </c>
      <c r="AZ227" s="176"/>
      <c r="BA227" s="176"/>
      <c r="BB227" s="176"/>
      <c r="BC227" s="176"/>
      <c r="BD227" s="486">
        <v>2000</v>
      </c>
      <c r="BE227" s="176"/>
      <c r="BF227" s="176"/>
      <c r="BG227" s="176"/>
      <c r="BH227" s="176"/>
      <c r="BI227" s="486">
        <v>2000</v>
      </c>
      <c r="BJ227" s="176"/>
      <c r="BK227" s="176"/>
      <c r="BL227" s="176"/>
      <c r="BM227" s="176"/>
      <c r="BN227" s="486">
        <v>2000</v>
      </c>
      <c r="BO227" s="176"/>
      <c r="BP227" s="176"/>
      <c r="BQ227" s="176"/>
      <c r="BR227" s="176"/>
      <c r="BS227" s="487">
        <v>2000</v>
      </c>
      <c r="BT227" s="176"/>
      <c r="BU227" s="176"/>
      <c r="BV227" s="176"/>
      <c r="BW227" s="176"/>
      <c r="BX227" s="485"/>
      <c r="BY227" s="176"/>
      <c r="BZ227" s="176"/>
      <c r="CA227" s="176"/>
      <c r="CB227" s="176"/>
      <c r="CC227" s="485"/>
      <c r="CD227" s="485"/>
      <c r="CE227" s="485"/>
      <c r="CF227" s="485"/>
      <c r="CG227" s="370"/>
    </row>
    <row r="228" spans="1:85" ht="14.45" hidden="1" customHeight="1" x14ac:dyDescent="0.25">
      <c r="A228" s="177" t="s">
        <v>353</v>
      </c>
      <c r="B228" s="178"/>
      <c r="C228" s="488"/>
      <c r="D228" s="488"/>
      <c r="E228" s="488"/>
      <c r="F228" s="488"/>
      <c r="G228" s="179"/>
      <c r="H228" s="179"/>
      <c r="I228" s="179"/>
      <c r="J228" s="179"/>
      <c r="K228" s="488"/>
      <c r="L228" s="179"/>
      <c r="M228" s="179"/>
      <c r="N228" s="179"/>
      <c r="O228" s="179"/>
      <c r="P228" s="488"/>
      <c r="Q228" s="179"/>
      <c r="R228" s="179"/>
      <c r="S228" s="179"/>
      <c r="T228" s="179"/>
      <c r="U228" s="488"/>
      <c r="V228" s="179"/>
      <c r="W228" s="179"/>
      <c r="X228" s="179"/>
      <c r="Y228" s="179"/>
      <c r="Z228" s="489">
        <f>SUM(Z226:Z227)</f>
        <v>13200</v>
      </c>
      <c r="AA228" s="179"/>
      <c r="AB228" s="179"/>
      <c r="AC228" s="179"/>
      <c r="AD228" s="179"/>
      <c r="AE228" s="489">
        <f>SUM(AE226:AE227)</f>
        <v>16500</v>
      </c>
      <c r="AF228" s="179"/>
      <c r="AG228" s="179"/>
      <c r="AH228" s="179"/>
      <c r="AI228" s="179"/>
      <c r="AJ228" s="489">
        <f>SUM(AJ226:AJ227)</f>
        <v>16200</v>
      </c>
      <c r="AK228" s="179"/>
      <c r="AL228" s="179"/>
      <c r="AM228" s="179"/>
      <c r="AN228" s="179"/>
      <c r="AO228" s="489">
        <f>SUM(AO226:AO227)</f>
        <v>16900</v>
      </c>
      <c r="AP228" s="179"/>
      <c r="AQ228" s="179"/>
      <c r="AR228" s="179"/>
      <c r="AS228" s="179"/>
      <c r="AT228" s="489">
        <f>SUM(AT226:AT227)</f>
        <v>15800</v>
      </c>
      <c r="AU228" s="179"/>
      <c r="AV228" s="179"/>
      <c r="AW228" s="179"/>
      <c r="AX228" s="179"/>
      <c r="AY228" s="489">
        <f>SUM(AY226:AY227)</f>
        <v>16000</v>
      </c>
      <c r="AZ228" s="179"/>
      <c r="BA228" s="179"/>
      <c r="BB228" s="179"/>
      <c r="BC228" s="179"/>
      <c r="BD228" s="489">
        <f>SUM(BD226:BD227)</f>
        <v>17000</v>
      </c>
      <c r="BE228" s="179"/>
      <c r="BF228" s="179"/>
      <c r="BG228" s="179"/>
      <c r="BH228" s="179"/>
      <c r="BI228" s="489">
        <f>SUM(BI226:BI227)</f>
        <v>17000</v>
      </c>
      <c r="BJ228" s="179"/>
      <c r="BK228" s="179"/>
      <c r="BL228" s="179"/>
      <c r="BM228" s="179"/>
      <c r="BN228" s="489">
        <f>SUM(BN226:BN227)</f>
        <v>17000</v>
      </c>
      <c r="BO228" s="179"/>
      <c r="BP228" s="179"/>
      <c r="BQ228" s="179"/>
      <c r="BR228" s="179"/>
      <c r="BS228" s="490">
        <f>SUM(BS226:BS227)</f>
        <v>17000</v>
      </c>
      <c r="BT228" s="179"/>
      <c r="BU228" s="179"/>
      <c r="BV228" s="179"/>
      <c r="BW228" s="179"/>
      <c r="BX228" s="488"/>
      <c r="BY228" s="179"/>
      <c r="BZ228" s="179"/>
      <c r="CA228" s="179"/>
      <c r="CB228" s="179"/>
      <c r="CC228" s="488"/>
      <c r="CD228" s="488"/>
      <c r="CE228" s="488"/>
      <c r="CF228" s="488"/>
      <c r="CG228" s="491"/>
    </row>
    <row r="229" spans="1:85" ht="14.45" customHeight="1" x14ac:dyDescent="0.25">
      <c r="A229" s="162"/>
      <c r="B229" s="97"/>
      <c r="C229" s="413"/>
      <c r="D229" s="413"/>
      <c r="E229" s="413"/>
      <c r="F229" s="413"/>
      <c r="G229" s="63"/>
      <c r="H229" s="63"/>
      <c r="I229" s="63"/>
      <c r="J229" s="63"/>
      <c r="K229" s="413"/>
      <c r="L229" s="63"/>
      <c r="M229" s="63"/>
      <c r="N229" s="63"/>
      <c r="O229" s="63"/>
      <c r="P229" s="413"/>
      <c r="Q229" s="63"/>
      <c r="R229" s="63"/>
      <c r="S229" s="63"/>
      <c r="T229" s="63"/>
      <c r="U229" s="413"/>
      <c r="V229" s="63"/>
      <c r="W229" s="63"/>
      <c r="X229" s="63"/>
      <c r="Y229" s="63"/>
      <c r="Z229" s="413"/>
      <c r="AA229" s="63"/>
      <c r="AB229" s="63"/>
      <c r="AC229" s="63"/>
      <c r="AD229" s="63"/>
      <c r="AE229" s="413"/>
      <c r="AF229" s="63"/>
      <c r="AG229" s="63"/>
      <c r="AH229" s="63"/>
      <c r="AI229" s="63"/>
      <c r="AJ229" s="413"/>
      <c r="AK229" s="63"/>
      <c r="AL229" s="63"/>
      <c r="AM229" s="63"/>
      <c r="AN229" s="63"/>
      <c r="AO229" s="413"/>
      <c r="AP229" s="63"/>
      <c r="AQ229" s="63"/>
      <c r="AR229" s="63"/>
      <c r="AS229" s="63"/>
      <c r="AT229" s="413"/>
      <c r="AU229" s="63"/>
      <c r="AV229" s="63"/>
      <c r="AW229" s="63"/>
      <c r="AX229" s="63"/>
      <c r="AY229" s="413"/>
      <c r="AZ229" s="63"/>
      <c r="BA229" s="63"/>
      <c r="BB229" s="63"/>
      <c r="BC229" s="63"/>
      <c r="BD229" s="413"/>
      <c r="BE229" s="63"/>
      <c r="BF229" s="63"/>
      <c r="BG229" s="63"/>
      <c r="BH229" s="63"/>
      <c r="BI229" s="413"/>
      <c r="BJ229" s="63"/>
      <c r="BK229" s="63"/>
      <c r="BL229" s="63"/>
      <c r="BM229" s="63"/>
      <c r="BN229" s="413"/>
      <c r="BO229" s="63"/>
      <c r="BP229" s="63"/>
      <c r="BQ229" s="63"/>
      <c r="BR229" s="63"/>
      <c r="BS229" s="425"/>
      <c r="BT229" s="63"/>
      <c r="BU229" s="63"/>
      <c r="BV229" s="63"/>
      <c r="BW229" s="63"/>
      <c r="BX229" s="413"/>
      <c r="BY229" s="63"/>
      <c r="BZ229" s="63"/>
      <c r="CA229" s="63"/>
      <c r="CB229" s="63"/>
      <c r="CC229" s="413"/>
      <c r="CD229" s="413"/>
      <c r="CE229" s="413"/>
      <c r="CF229" s="413"/>
      <c r="CG229" s="99"/>
    </row>
    <row r="230" spans="1:85" ht="14.45" customHeight="1" x14ac:dyDescent="0.25">
      <c r="A230" s="95" t="s">
        <v>354</v>
      </c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409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109"/>
    </row>
    <row r="231" spans="1:85" ht="14.45" hidden="1" customHeight="1" x14ac:dyDescent="0.25">
      <c r="A231" s="180" t="s">
        <v>355</v>
      </c>
      <c r="B231" s="97"/>
      <c r="C231" s="413"/>
      <c r="D231" s="413"/>
      <c r="E231" s="413"/>
      <c r="F231" s="413"/>
      <c r="G231" s="63"/>
      <c r="H231" s="63"/>
      <c r="I231" s="63"/>
      <c r="J231" s="63"/>
      <c r="K231" s="413"/>
      <c r="L231" s="63"/>
      <c r="M231" s="63"/>
      <c r="N231" s="63"/>
      <c r="O231" s="63"/>
      <c r="P231" s="413"/>
      <c r="Q231" s="63"/>
      <c r="R231" s="63"/>
      <c r="S231" s="63"/>
      <c r="T231" s="63"/>
      <c r="U231" s="413"/>
      <c r="V231" s="63"/>
      <c r="W231" s="63"/>
      <c r="X231" s="63"/>
      <c r="Y231" s="63"/>
      <c r="Z231" s="413"/>
      <c r="AA231" s="63"/>
      <c r="AB231" s="63"/>
      <c r="AC231" s="63"/>
      <c r="AD231" s="63"/>
      <c r="AE231" s="413"/>
      <c r="AF231" s="63"/>
      <c r="AG231" s="63"/>
      <c r="AH231" s="63"/>
      <c r="AI231" s="63"/>
      <c r="AJ231" s="413"/>
      <c r="AK231" s="98">
        <v>1.341</v>
      </c>
      <c r="AL231" s="98">
        <v>1.3420000000000001</v>
      </c>
      <c r="AM231" s="98">
        <v>1.3560000000000001</v>
      </c>
      <c r="AN231" s="63">
        <f>AO231-SUM(AK231,AL231,AM231)</f>
        <v>1.3570000000000002</v>
      </c>
      <c r="AO231" s="410">
        <v>5.3959999999999999</v>
      </c>
      <c r="AP231" s="98">
        <v>1.385</v>
      </c>
      <c r="AQ231" s="98">
        <v>1.385</v>
      </c>
      <c r="AR231" s="98">
        <v>1.397</v>
      </c>
      <c r="AS231" s="63"/>
      <c r="AT231" s="413"/>
      <c r="AU231" s="63"/>
      <c r="AV231" s="63"/>
      <c r="AW231" s="63"/>
      <c r="AX231" s="63"/>
      <c r="AY231" s="413"/>
      <c r="AZ231" s="63"/>
      <c r="BA231" s="63"/>
      <c r="BB231" s="63"/>
      <c r="BC231" s="63"/>
      <c r="BD231" s="413"/>
      <c r="BE231" s="63"/>
      <c r="BF231" s="63"/>
      <c r="BG231" s="63"/>
      <c r="BH231" s="63"/>
      <c r="BI231" s="413"/>
      <c r="BJ231" s="63"/>
      <c r="BK231" s="63"/>
      <c r="BL231" s="63"/>
      <c r="BM231" s="63"/>
      <c r="BN231" s="413"/>
      <c r="BO231" s="63"/>
      <c r="BP231" s="63"/>
      <c r="BQ231" s="63"/>
      <c r="BR231" s="63"/>
      <c r="BS231" s="425"/>
      <c r="BT231" s="63"/>
      <c r="BU231" s="63"/>
      <c r="BV231" s="63"/>
      <c r="BW231" s="63"/>
      <c r="BX231" s="413"/>
      <c r="BY231" s="63"/>
      <c r="BZ231" s="63"/>
      <c r="CA231" s="63"/>
      <c r="CB231" s="63"/>
      <c r="CC231" s="413"/>
      <c r="CD231" s="413"/>
      <c r="CE231" s="413"/>
      <c r="CF231" s="413"/>
      <c r="CG231" s="99"/>
    </row>
    <row r="232" spans="1:85" ht="14.45" hidden="1" customHeight="1" x14ac:dyDescent="0.25">
      <c r="A232" s="180" t="s">
        <v>356</v>
      </c>
      <c r="B232" s="97"/>
      <c r="C232" s="413"/>
      <c r="D232" s="413"/>
      <c r="E232" s="413"/>
      <c r="F232" s="413"/>
      <c r="G232" s="63"/>
      <c r="H232" s="63"/>
      <c r="I232" s="63"/>
      <c r="J232" s="63"/>
      <c r="K232" s="413"/>
      <c r="L232" s="63"/>
      <c r="M232" s="63"/>
      <c r="N232" s="63"/>
      <c r="O232" s="63"/>
      <c r="P232" s="413"/>
      <c r="Q232" s="63"/>
      <c r="R232" s="63"/>
      <c r="S232" s="63"/>
      <c r="T232" s="63"/>
      <c r="U232" s="413"/>
      <c r="V232" s="63"/>
      <c r="W232" s="63"/>
      <c r="X232" s="63"/>
      <c r="Y232" s="63"/>
      <c r="Z232" s="413"/>
      <c r="AA232" s="63"/>
      <c r="AB232" s="63"/>
      <c r="AC232" s="63"/>
      <c r="AD232" s="63"/>
      <c r="AE232" s="413"/>
      <c r="AF232" s="63"/>
      <c r="AG232" s="63"/>
      <c r="AH232" s="63"/>
      <c r="AI232" s="63"/>
      <c r="AJ232" s="413"/>
      <c r="AK232" s="98">
        <v>2.8959999999999999</v>
      </c>
      <c r="AL232" s="98">
        <v>3.0259999999999998</v>
      </c>
      <c r="AM232" s="98">
        <v>3.7170000000000001</v>
      </c>
      <c r="AN232" s="63">
        <f>AO232-SUM(AK232,AL232,AM232)</f>
        <v>3.7850000000000001</v>
      </c>
      <c r="AO232" s="410">
        <v>13.423999999999999</v>
      </c>
      <c r="AP232" s="98">
        <v>4.6689999999999996</v>
      </c>
      <c r="AQ232" s="98">
        <v>4.71</v>
      </c>
      <c r="AR232" s="98">
        <v>4.8460000000000001</v>
      </c>
      <c r="AS232" s="63"/>
      <c r="AT232" s="413"/>
      <c r="AU232" s="63"/>
      <c r="AV232" s="63"/>
      <c r="AW232" s="63"/>
      <c r="AX232" s="63"/>
      <c r="AY232" s="413"/>
      <c r="AZ232" s="63"/>
      <c r="BA232" s="63"/>
      <c r="BB232" s="63"/>
      <c r="BC232" s="63"/>
      <c r="BD232" s="413"/>
      <c r="BE232" s="63"/>
      <c r="BF232" s="63"/>
      <c r="BG232" s="63"/>
      <c r="BH232" s="63"/>
      <c r="BI232" s="413"/>
      <c r="BJ232" s="63"/>
      <c r="BK232" s="63"/>
      <c r="BL232" s="63"/>
      <c r="BM232" s="63"/>
      <c r="BN232" s="413"/>
      <c r="BO232" s="63"/>
      <c r="BP232" s="63"/>
      <c r="BQ232" s="63"/>
      <c r="BR232" s="63"/>
      <c r="BS232" s="425"/>
      <c r="BT232" s="63"/>
      <c r="BU232" s="63"/>
      <c r="BV232" s="63"/>
      <c r="BW232" s="63"/>
      <c r="BX232" s="413"/>
      <c r="BY232" s="63"/>
      <c r="BZ232" s="63"/>
      <c r="CA232" s="63"/>
      <c r="CB232" s="63"/>
      <c r="CC232" s="413"/>
      <c r="CD232" s="413"/>
      <c r="CE232" s="413"/>
      <c r="CF232" s="413"/>
      <c r="CG232" s="99"/>
    </row>
    <row r="233" spans="1:85" ht="14.45" hidden="1" customHeight="1" x14ac:dyDescent="0.25">
      <c r="A233" s="181" t="s">
        <v>357</v>
      </c>
      <c r="B233" s="182"/>
      <c r="C233" s="492"/>
      <c r="D233" s="492"/>
      <c r="E233" s="492"/>
      <c r="F233" s="492"/>
      <c r="G233" s="183"/>
      <c r="H233" s="183"/>
      <c r="I233" s="183"/>
      <c r="J233" s="183"/>
      <c r="K233" s="492"/>
      <c r="L233" s="183"/>
      <c r="M233" s="183"/>
      <c r="N233" s="183"/>
      <c r="O233" s="183"/>
      <c r="P233" s="492"/>
      <c r="Q233" s="183"/>
      <c r="R233" s="183"/>
      <c r="S233" s="183"/>
      <c r="T233" s="183"/>
      <c r="U233" s="492"/>
      <c r="V233" s="183"/>
      <c r="W233" s="183"/>
      <c r="X233" s="183"/>
      <c r="Y233" s="183"/>
      <c r="Z233" s="492"/>
      <c r="AA233" s="183"/>
      <c r="AB233" s="183"/>
      <c r="AC233" s="183"/>
      <c r="AD233" s="183"/>
      <c r="AE233" s="492"/>
      <c r="AF233" s="183"/>
      <c r="AG233" s="183"/>
      <c r="AH233" s="183"/>
      <c r="AI233" s="183"/>
      <c r="AJ233" s="492"/>
      <c r="AK233" s="183">
        <f t="shared" ref="AK233:AR233" si="138">SUM(AK231:AK232)</f>
        <v>4.2370000000000001</v>
      </c>
      <c r="AL233" s="183">
        <f t="shared" si="138"/>
        <v>4.3680000000000003</v>
      </c>
      <c r="AM233" s="183">
        <f t="shared" si="138"/>
        <v>5.0730000000000004</v>
      </c>
      <c r="AN233" s="183">
        <f t="shared" si="138"/>
        <v>5.1420000000000003</v>
      </c>
      <c r="AO233" s="492">
        <f t="shared" si="138"/>
        <v>18.82</v>
      </c>
      <c r="AP233" s="183">
        <f t="shared" si="138"/>
        <v>6.0539999999999994</v>
      </c>
      <c r="AQ233" s="183">
        <f t="shared" si="138"/>
        <v>6.0949999999999998</v>
      </c>
      <c r="AR233" s="183">
        <f t="shared" si="138"/>
        <v>6.2430000000000003</v>
      </c>
      <c r="AS233" s="183">
        <f>AT233-SUM(AP233,AQ233,AR233)</f>
        <v>6.4310000000000009</v>
      </c>
      <c r="AT233" s="493">
        <v>24.823</v>
      </c>
      <c r="AU233" s="184">
        <v>6.2539999999999996</v>
      </c>
      <c r="AV233" s="184">
        <v>6.5650000000000004</v>
      </c>
      <c r="AW233" s="184">
        <v>6.8280000000000003</v>
      </c>
      <c r="AX233" s="183">
        <f>AY233-SUM(AU233,AV233,AW233)</f>
        <v>6.7380000000000031</v>
      </c>
      <c r="AY233" s="493">
        <v>26.385000000000002</v>
      </c>
      <c r="AZ233" s="184">
        <v>7.3029999999999999</v>
      </c>
      <c r="BA233" s="184">
        <v>7.3360000000000003</v>
      </c>
      <c r="BB233" s="184">
        <v>7.75</v>
      </c>
      <c r="BC233" s="183">
        <f>BD233-SUM(AZ233,BA233,BB233)</f>
        <v>8.0950000000000024</v>
      </c>
      <c r="BD233" s="493">
        <v>30.484000000000002</v>
      </c>
      <c r="BE233" s="184">
        <v>8.2729999999999997</v>
      </c>
      <c r="BF233" s="184">
        <v>8.3049999999999997</v>
      </c>
      <c r="BG233" s="184">
        <v>8.2929999999999993</v>
      </c>
      <c r="BH233" s="183">
        <f>BI233-SUM(BE233,BF233,BG233)</f>
        <v>8.0880000000000045</v>
      </c>
      <c r="BI233" s="493">
        <v>32.959000000000003</v>
      </c>
      <c r="BJ233" s="184">
        <v>7.7889999999999997</v>
      </c>
      <c r="BK233" s="184">
        <v>7.4749999999999996</v>
      </c>
      <c r="BL233" s="184">
        <v>7.2889999999999997</v>
      </c>
      <c r="BM233" s="183">
        <f>BN233-SUM(BJ233,BK233,BL233)</f>
        <v>7.0630000000000024</v>
      </c>
      <c r="BN233" s="493">
        <v>29.616</v>
      </c>
      <c r="BO233" s="184">
        <v>6.5940000000000003</v>
      </c>
      <c r="BP233" s="184">
        <v>6.6390000000000002</v>
      </c>
      <c r="BQ233" s="184">
        <v>7.2080000000000002</v>
      </c>
      <c r="BR233" s="183">
        <f>BS233-SUM(BO233,BP233,BQ233)</f>
        <v>7.1379999999999981</v>
      </c>
      <c r="BS233" s="494">
        <v>27.579000000000001</v>
      </c>
      <c r="BT233" s="183"/>
      <c r="BU233" s="183"/>
      <c r="BV233" s="183"/>
      <c r="BW233" s="183"/>
      <c r="BX233" s="492"/>
      <c r="BY233" s="183"/>
      <c r="BZ233" s="183"/>
      <c r="CA233" s="183"/>
      <c r="CB233" s="183"/>
      <c r="CC233" s="492"/>
      <c r="CD233" s="492"/>
      <c r="CE233" s="492"/>
      <c r="CF233" s="492"/>
      <c r="CG233" s="99"/>
    </row>
    <row r="234" spans="1:85" ht="14.45" hidden="1" customHeight="1" x14ac:dyDescent="0.25">
      <c r="A234" s="180" t="s">
        <v>358</v>
      </c>
      <c r="B234" s="97"/>
      <c r="C234" s="413"/>
      <c r="D234" s="413"/>
      <c r="E234" s="413"/>
      <c r="F234" s="413"/>
      <c r="G234" s="63"/>
      <c r="H234" s="63"/>
      <c r="I234" s="63"/>
      <c r="J234" s="63"/>
      <c r="K234" s="413"/>
      <c r="L234" s="63"/>
      <c r="M234" s="63"/>
      <c r="N234" s="63"/>
      <c r="O234" s="63"/>
      <c r="P234" s="413"/>
      <c r="Q234" s="63"/>
      <c r="R234" s="63"/>
      <c r="S234" s="63"/>
      <c r="T234" s="63"/>
      <c r="U234" s="413"/>
      <c r="V234" s="63"/>
      <c r="W234" s="63"/>
      <c r="X234" s="63"/>
      <c r="Y234" s="63"/>
      <c r="Z234" s="413"/>
      <c r="AA234" s="63"/>
      <c r="AB234" s="63"/>
      <c r="AC234" s="63"/>
      <c r="AD234" s="63"/>
      <c r="AE234" s="413"/>
      <c r="AF234" s="63"/>
      <c r="AG234" s="63"/>
      <c r="AH234" s="63"/>
      <c r="AI234" s="63"/>
      <c r="AJ234" s="413"/>
      <c r="AK234" s="98">
        <v>2.262</v>
      </c>
      <c r="AL234" s="98">
        <v>2.3170000000000002</v>
      </c>
      <c r="AM234" s="98">
        <v>2.8140000000000001</v>
      </c>
      <c r="AN234" s="63">
        <f>AO234-SUM(AK234,AL234,AM234)</f>
        <v>2.8739999999999988</v>
      </c>
      <c r="AO234" s="410">
        <v>10.266999999999999</v>
      </c>
      <c r="AP234" s="98">
        <v>2.6</v>
      </c>
      <c r="AQ234" s="98">
        <v>3.0569999999999999</v>
      </c>
      <c r="AR234" s="98">
        <v>3.7109999999999999</v>
      </c>
      <c r="AS234" s="63"/>
      <c r="AT234" s="413"/>
      <c r="AU234" s="63"/>
      <c r="AV234" s="63"/>
      <c r="AW234" s="63"/>
      <c r="AX234" s="63"/>
      <c r="AY234" s="413"/>
      <c r="AZ234" s="63"/>
      <c r="BA234" s="63"/>
      <c r="BB234" s="63"/>
      <c r="BC234" s="63"/>
      <c r="BD234" s="413"/>
      <c r="BE234" s="63"/>
      <c r="BF234" s="63"/>
      <c r="BG234" s="63"/>
      <c r="BH234" s="63"/>
      <c r="BI234" s="413"/>
      <c r="BJ234" s="63"/>
      <c r="BK234" s="63"/>
      <c r="BL234" s="63"/>
      <c r="BM234" s="63"/>
      <c r="BN234" s="413"/>
      <c r="BO234" s="63"/>
      <c r="BP234" s="63"/>
      <c r="BQ234" s="63"/>
      <c r="BR234" s="63"/>
      <c r="BS234" s="425"/>
      <c r="BT234" s="63"/>
      <c r="BU234" s="63"/>
      <c r="BV234" s="63"/>
      <c r="BW234" s="63"/>
      <c r="BX234" s="413"/>
      <c r="BY234" s="63"/>
      <c r="BZ234" s="63"/>
      <c r="CA234" s="63"/>
      <c r="CB234" s="63"/>
      <c r="CC234" s="413"/>
      <c r="CD234" s="413"/>
      <c r="CE234" s="413"/>
      <c r="CF234" s="413"/>
      <c r="CG234" s="99"/>
    </row>
    <row r="235" spans="1:85" ht="14.45" hidden="1" customHeight="1" x14ac:dyDescent="0.25">
      <c r="A235" s="180" t="s">
        <v>359</v>
      </c>
      <c r="B235" s="97"/>
      <c r="C235" s="413"/>
      <c r="D235" s="413"/>
      <c r="E235" s="413"/>
      <c r="F235" s="413"/>
      <c r="G235" s="63"/>
      <c r="H235" s="63"/>
      <c r="I235" s="63"/>
      <c r="J235" s="63"/>
      <c r="K235" s="413"/>
      <c r="L235" s="63"/>
      <c r="M235" s="63"/>
      <c r="N235" s="63"/>
      <c r="O235" s="63"/>
      <c r="P235" s="413"/>
      <c r="Q235" s="63"/>
      <c r="R235" s="63"/>
      <c r="S235" s="63"/>
      <c r="T235" s="63"/>
      <c r="U235" s="413"/>
      <c r="V235" s="63"/>
      <c r="W235" s="63"/>
      <c r="X235" s="63"/>
      <c r="Y235" s="63"/>
      <c r="Z235" s="413"/>
      <c r="AA235" s="63"/>
      <c r="AB235" s="63"/>
      <c r="AC235" s="63"/>
      <c r="AD235" s="63"/>
      <c r="AE235" s="413"/>
      <c r="AF235" s="63"/>
      <c r="AG235" s="63"/>
      <c r="AH235" s="63"/>
      <c r="AI235" s="63"/>
      <c r="AJ235" s="413"/>
      <c r="AK235" s="98">
        <v>1.0589999999999999</v>
      </c>
      <c r="AL235" s="98">
        <v>0.77900000000000003</v>
      </c>
      <c r="AM235" s="98">
        <v>0.83799999999999997</v>
      </c>
      <c r="AN235" s="63">
        <f>AO235-SUM(AK235,AL235,AM235)</f>
        <v>0.66199999999999992</v>
      </c>
      <c r="AO235" s="410">
        <v>3.3380000000000001</v>
      </c>
      <c r="AP235" s="98">
        <v>0.89</v>
      </c>
      <c r="AQ235" s="98">
        <v>0.45100000000000001</v>
      </c>
      <c r="AR235" s="98">
        <v>0.27100000000000002</v>
      </c>
      <c r="AS235" s="63"/>
      <c r="AT235" s="413"/>
      <c r="AU235" s="63"/>
      <c r="AV235" s="63"/>
      <c r="AW235" s="63"/>
      <c r="AX235" s="63"/>
      <c r="AY235" s="413"/>
      <c r="AZ235" s="63"/>
      <c r="BA235" s="63"/>
      <c r="BB235" s="63"/>
      <c r="BC235" s="63"/>
      <c r="BD235" s="413"/>
      <c r="BE235" s="63"/>
      <c r="BF235" s="63"/>
      <c r="BG235" s="63"/>
      <c r="BH235" s="63"/>
      <c r="BI235" s="413"/>
      <c r="BJ235" s="63"/>
      <c r="BK235" s="63"/>
      <c r="BL235" s="63"/>
      <c r="BM235" s="63"/>
      <c r="BN235" s="413"/>
      <c r="BO235" s="63"/>
      <c r="BP235" s="63"/>
      <c r="BQ235" s="63"/>
      <c r="BR235" s="63"/>
      <c r="BS235" s="425"/>
      <c r="BT235" s="63"/>
      <c r="BU235" s="63"/>
      <c r="BV235" s="63"/>
      <c r="BW235" s="63"/>
      <c r="BX235" s="413"/>
      <c r="BY235" s="63"/>
      <c r="BZ235" s="63"/>
      <c r="CA235" s="63"/>
      <c r="CB235" s="63"/>
      <c r="CC235" s="413"/>
      <c r="CD235" s="413"/>
      <c r="CE235" s="413"/>
      <c r="CF235" s="413"/>
      <c r="CG235" s="99"/>
    </row>
    <row r="236" spans="1:85" ht="14.45" hidden="1" customHeight="1" x14ac:dyDescent="0.25">
      <c r="A236" s="185" t="s">
        <v>360</v>
      </c>
      <c r="B236" s="186"/>
      <c r="C236" s="495"/>
      <c r="D236" s="495"/>
      <c r="E236" s="495"/>
      <c r="F236" s="495"/>
      <c r="G236" s="187"/>
      <c r="H236" s="187"/>
      <c r="I236" s="187"/>
      <c r="J236" s="187"/>
      <c r="K236" s="495"/>
      <c r="L236" s="187"/>
      <c r="M236" s="187"/>
      <c r="N236" s="187"/>
      <c r="O236" s="187"/>
      <c r="P236" s="495"/>
      <c r="Q236" s="187"/>
      <c r="R236" s="187"/>
      <c r="S236" s="187"/>
      <c r="T236" s="187"/>
      <c r="U236" s="495"/>
      <c r="V236" s="187"/>
      <c r="W236" s="187"/>
      <c r="X236" s="187"/>
      <c r="Y236" s="187"/>
      <c r="Z236" s="495"/>
      <c r="AA236" s="187"/>
      <c r="AB236" s="187"/>
      <c r="AC236" s="187"/>
      <c r="AD236" s="187"/>
      <c r="AE236" s="495"/>
      <c r="AF236" s="187"/>
      <c r="AG236" s="187"/>
      <c r="AH236" s="187"/>
      <c r="AI236" s="187"/>
      <c r="AJ236" s="495"/>
      <c r="AK236" s="187">
        <f t="shared" ref="AK236:AR236" si="139">SUM(AK234:AK235)</f>
        <v>3.3209999999999997</v>
      </c>
      <c r="AL236" s="187">
        <f t="shared" si="139"/>
        <v>3.0960000000000001</v>
      </c>
      <c r="AM236" s="187">
        <f t="shared" si="139"/>
        <v>3.6520000000000001</v>
      </c>
      <c r="AN236" s="187">
        <f t="shared" si="139"/>
        <v>3.5359999999999987</v>
      </c>
      <c r="AO236" s="495">
        <f t="shared" si="139"/>
        <v>13.605</v>
      </c>
      <c r="AP236" s="187">
        <f t="shared" si="139"/>
        <v>3.49</v>
      </c>
      <c r="AQ236" s="187">
        <f t="shared" si="139"/>
        <v>3.508</v>
      </c>
      <c r="AR236" s="187">
        <f t="shared" si="139"/>
        <v>3.9819999999999998</v>
      </c>
      <c r="AS236" s="187">
        <f>AT236-SUM(AP236,AQ236,AR236)</f>
        <v>4.3249999999999993</v>
      </c>
      <c r="AT236" s="496">
        <v>15.305</v>
      </c>
      <c r="AU236" s="188">
        <v>3.8769999999999998</v>
      </c>
      <c r="AV236" s="188">
        <v>4.4939999999999998</v>
      </c>
      <c r="AW236" s="188">
        <v>4.5609999999999999</v>
      </c>
      <c r="AX236" s="187">
        <f>AY236-SUM(AU236,AV236,AW236)</f>
        <v>4.3130000000000024</v>
      </c>
      <c r="AY236" s="496">
        <v>17.245000000000001</v>
      </c>
      <c r="AZ236" s="188">
        <v>3.58</v>
      </c>
      <c r="BA236" s="188">
        <v>3.6949999999999998</v>
      </c>
      <c r="BB236" s="188">
        <v>3.7309999999999999</v>
      </c>
      <c r="BC236" s="187">
        <f>BD236-SUM(AZ236,BA236,BB236)</f>
        <v>4.0589999999999993</v>
      </c>
      <c r="BD236" s="496">
        <v>15.065</v>
      </c>
      <c r="BE236" s="188">
        <v>3.7650000000000001</v>
      </c>
      <c r="BF236" s="188">
        <v>4.0259999999999998</v>
      </c>
      <c r="BG236" s="188">
        <v>4.1509999999999998</v>
      </c>
      <c r="BH236" s="187">
        <f>BI236-SUM(BE236,BF236,BG236)</f>
        <v>4.052999999999999</v>
      </c>
      <c r="BI236" s="496">
        <v>15.994999999999999</v>
      </c>
      <c r="BJ236" s="188">
        <v>3.03</v>
      </c>
      <c r="BK236" s="188">
        <v>3.3690000000000002</v>
      </c>
      <c r="BL236" s="188">
        <v>3.4209999999999998</v>
      </c>
      <c r="BM236" s="187">
        <f>BN236-SUM(BJ236,BK236,BL236)</f>
        <v>2.9960000000000004</v>
      </c>
      <c r="BN236" s="496">
        <v>12.816000000000001</v>
      </c>
      <c r="BO236" s="188">
        <v>2.0870000000000002</v>
      </c>
      <c r="BP236" s="188">
        <v>1.83</v>
      </c>
      <c r="BQ236" s="188">
        <v>1.9079999999999999</v>
      </c>
      <c r="BR236" s="187">
        <f>BS236-SUM(BO236,BP236,BQ236)</f>
        <v>2.1269999999999998</v>
      </c>
      <c r="BS236" s="497">
        <v>7.952</v>
      </c>
      <c r="BT236" s="187"/>
      <c r="BU236" s="187"/>
      <c r="BV236" s="187"/>
      <c r="BW236" s="187"/>
      <c r="BX236" s="495"/>
      <c r="BY236" s="187"/>
      <c r="BZ236" s="187"/>
      <c r="CA236" s="187"/>
      <c r="CB236" s="187"/>
      <c r="CC236" s="495"/>
      <c r="CD236" s="495"/>
      <c r="CE236" s="495"/>
      <c r="CF236" s="495"/>
      <c r="CG236" s="99"/>
    </row>
    <row r="237" spans="1:85" ht="14.45" hidden="1" customHeight="1" x14ac:dyDescent="0.25">
      <c r="A237" s="189" t="s">
        <v>361</v>
      </c>
      <c r="B237" s="97"/>
      <c r="C237" s="413"/>
      <c r="D237" s="413"/>
      <c r="E237" s="413"/>
      <c r="F237" s="413"/>
      <c r="G237" s="63"/>
      <c r="H237" s="63"/>
      <c r="I237" s="63"/>
      <c r="J237" s="63"/>
      <c r="K237" s="413"/>
      <c r="L237" s="63"/>
      <c r="M237" s="63"/>
      <c r="N237" s="63"/>
      <c r="O237" s="63"/>
      <c r="P237" s="413"/>
      <c r="Q237" s="63"/>
      <c r="R237" s="63"/>
      <c r="S237" s="63"/>
      <c r="T237" s="63"/>
      <c r="U237" s="413"/>
      <c r="V237" s="63"/>
      <c r="W237" s="63"/>
      <c r="X237" s="63"/>
      <c r="Y237" s="63"/>
      <c r="Z237" s="413"/>
      <c r="AA237" s="63"/>
      <c r="AB237" s="63"/>
      <c r="AC237" s="63"/>
      <c r="AD237" s="63"/>
      <c r="AE237" s="413"/>
      <c r="AF237" s="63"/>
      <c r="AG237" s="63"/>
      <c r="AH237" s="63"/>
      <c r="AI237" s="63"/>
      <c r="AJ237" s="413"/>
      <c r="AK237" s="63">
        <f t="shared" ref="AK237:BS237" si="140">AK233+AK236</f>
        <v>7.5579999999999998</v>
      </c>
      <c r="AL237" s="63">
        <f t="shared" si="140"/>
        <v>7.4640000000000004</v>
      </c>
      <c r="AM237" s="63">
        <f t="shared" si="140"/>
        <v>8.7250000000000014</v>
      </c>
      <c r="AN237" s="63">
        <f t="shared" si="140"/>
        <v>8.677999999999999</v>
      </c>
      <c r="AO237" s="413">
        <f t="shared" si="140"/>
        <v>32.424999999999997</v>
      </c>
      <c r="AP237" s="63">
        <f t="shared" si="140"/>
        <v>9.5440000000000005</v>
      </c>
      <c r="AQ237" s="63">
        <f t="shared" si="140"/>
        <v>9.6029999999999998</v>
      </c>
      <c r="AR237" s="63">
        <f t="shared" si="140"/>
        <v>10.225</v>
      </c>
      <c r="AS237" s="63">
        <f t="shared" si="140"/>
        <v>10.756</v>
      </c>
      <c r="AT237" s="413">
        <f t="shared" si="140"/>
        <v>40.128</v>
      </c>
      <c r="AU237" s="63">
        <f t="shared" si="140"/>
        <v>10.131</v>
      </c>
      <c r="AV237" s="63">
        <f t="shared" si="140"/>
        <v>11.059000000000001</v>
      </c>
      <c r="AW237" s="63">
        <f t="shared" si="140"/>
        <v>11.388999999999999</v>
      </c>
      <c r="AX237" s="63">
        <f t="shared" si="140"/>
        <v>11.051000000000005</v>
      </c>
      <c r="AY237" s="413">
        <f t="shared" si="140"/>
        <v>43.63</v>
      </c>
      <c r="AZ237" s="63">
        <f t="shared" si="140"/>
        <v>10.882999999999999</v>
      </c>
      <c r="BA237" s="63">
        <f t="shared" si="140"/>
        <v>11.031000000000001</v>
      </c>
      <c r="BB237" s="63">
        <f t="shared" si="140"/>
        <v>11.481</v>
      </c>
      <c r="BC237" s="63">
        <f t="shared" si="140"/>
        <v>12.154000000000002</v>
      </c>
      <c r="BD237" s="413">
        <f t="shared" si="140"/>
        <v>45.548999999999999</v>
      </c>
      <c r="BE237" s="63">
        <f t="shared" si="140"/>
        <v>12.038</v>
      </c>
      <c r="BF237" s="63">
        <f t="shared" si="140"/>
        <v>12.331</v>
      </c>
      <c r="BG237" s="63">
        <f t="shared" si="140"/>
        <v>12.443999999999999</v>
      </c>
      <c r="BH237" s="63">
        <f t="shared" si="140"/>
        <v>12.141000000000004</v>
      </c>
      <c r="BI237" s="413">
        <f t="shared" si="140"/>
        <v>48.954000000000001</v>
      </c>
      <c r="BJ237" s="63">
        <f t="shared" si="140"/>
        <v>10.818999999999999</v>
      </c>
      <c r="BK237" s="63">
        <f t="shared" si="140"/>
        <v>10.843999999999999</v>
      </c>
      <c r="BL237" s="63">
        <f t="shared" si="140"/>
        <v>10.709999999999999</v>
      </c>
      <c r="BM237" s="63">
        <f t="shared" si="140"/>
        <v>10.059000000000003</v>
      </c>
      <c r="BN237" s="413">
        <f t="shared" si="140"/>
        <v>42.432000000000002</v>
      </c>
      <c r="BO237" s="63">
        <f t="shared" si="140"/>
        <v>8.6810000000000009</v>
      </c>
      <c r="BP237" s="63">
        <f t="shared" si="140"/>
        <v>8.4690000000000012</v>
      </c>
      <c r="BQ237" s="63">
        <f t="shared" si="140"/>
        <v>9.1159999999999997</v>
      </c>
      <c r="BR237" s="63">
        <f t="shared" si="140"/>
        <v>9.264999999999997</v>
      </c>
      <c r="BS237" s="425">
        <f t="shared" si="140"/>
        <v>35.530999999999999</v>
      </c>
      <c r="BT237" s="63"/>
      <c r="BU237" s="63"/>
      <c r="BV237" s="63"/>
      <c r="BW237" s="63"/>
      <c r="BX237" s="413"/>
      <c r="BY237" s="63"/>
      <c r="BZ237" s="63"/>
      <c r="CA237" s="63"/>
      <c r="CB237" s="63"/>
      <c r="CC237" s="413"/>
      <c r="CD237" s="413"/>
      <c r="CE237" s="413"/>
      <c r="CF237" s="413"/>
      <c r="CG237" s="99"/>
    </row>
    <row r="238" spans="1:85" ht="14.45" hidden="1" customHeight="1" x14ac:dyDescent="0.25">
      <c r="A238" s="180" t="s">
        <v>362</v>
      </c>
      <c r="B238" s="97"/>
      <c r="C238" s="413"/>
      <c r="D238" s="413"/>
      <c r="E238" s="413"/>
      <c r="F238" s="413"/>
      <c r="G238" s="63"/>
      <c r="H238" s="63"/>
      <c r="I238" s="63"/>
      <c r="J238" s="63"/>
      <c r="K238" s="413"/>
      <c r="L238" s="63"/>
      <c r="M238" s="63"/>
      <c r="N238" s="63"/>
      <c r="O238" s="63"/>
      <c r="P238" s="413"/>
      <c r="Q238" s="63"/>
      <c r="R238" s="63"/>
      <c r="S238" s="63"/>
      <c r="T238" s="63"/>
      <c r="U238" s="413"/>
      <c r="V238" s="63"/>
      <c r="W238" s="63"/>
      <c r="X238" s="63"/>
      <c r="Y238" s="63"/>
      <c r="Z238" s="413"/>
      <c r="AA238" s="63"/>
      <c r="AB238" s="63"/>
      <c r="AC238" s="63"/>
      <c r="AD238" s="63"/>
      <c r="AE238" s="413"/>
      <c r="AF238" s="63"/>
      <c r="AG238" s="63"/>
      <c r="AH238" s="63"/>
      <c r="AI238" s="63"/>
      <c r="AJ238" s="413"/>
      <c r="AK238" s="98">
        <v>0.35299999999999998</v>
      </c>
      <c r="AL238" s="98">
        <v>0.35399999999999998</v>
      </c>
      <c r="AM238" s="98">
        <v>0.35299999999999998</v>
      </c>
      <c r="AN238" s="63">
        <f>AO238-SUM(AK238,AL238,AM238)</f>
        <v>0.35399999999999987</v>
      </c>
      <c r="AO238" s="410">
        <v>1.4139999999999999</v>
      </c>
      <c r="AP238" s="98">
        <v>0.35399999999999998</v>
      </c>
      <c r="AQ238" s="98">
        <v>0.35299999999999998</v>
      </c>
      <c r="AR238" s="98">
        <v>0.64300000000000002</v>
      </c>
      <c r="AS238" s="63"/>
      <c r="AT238" s="413"/>
      <c r="AU238" s="63"/>
      <c r="AV238" s="63"/>
      <c r="AW238" s="63"/>
      <c r="AX238" s="63"/>
      <c r="AY238" s="413"/>
      <c r="AZ238" s="63"/>
      <c r="BA238" s="63"/>
      <c r="BB238" s="63"/>
      <c r="BC238" s="63"/>
      <c r="BD238" s="413"/>
      <c r="BE238" s="63"/>
      <c r="BF238" s="63"/>
      <c r="BG238" s="63"/>
      <c r="BH238" s="63"/>
      <c r="BI238" s="413"/>
      <c r="BJ238" s="63"/>
      <c r="BK238" s="63"/>
      <c r="BL238" s="63"/>
      <c r="BM238" s="63"/>
      <c r="BN238" s="413"/>
      <c r="BO238" s="63"/>
      <c r="BP238" s="63"/>
      <c r="BQ238" s="63"/>
      <c r="BR238" s="63"/>
      <c r="BS238" s="425"/>
      <c r="BT238" s="63"/>
      <c r="BU238" s="63"/>
      <c r="BV238" s="63"/>
      <c r="BW238" s="63"/>
      <c r="BX238" s="413"/>
      <c r="BY238" s="63"/>
      <c r="BZ238" s="63"/>
      <c r="CA238" s="63"/>
      <c r="CB238" s="63"/>
      <c r="CC238" s="413"/>
      <c r="CD238" s="413"/>
      <c r="CE238" s="413"/>
      <c r="CF238" s="413"/>
      <c r="CG238" s="99"/>
    </row>
    <row r="239" spans="1:85" ht="14.45" hidden="1" customHeight="1" x14ac:dyDescent="0.25">
      <c r="A239" s="190" t="s">
        <v>363</v>
      </c>
      <c r="B239" s="101"/>
      <c r="C239" s="415"/>
      <c r="D239" s="415"/>
      <c r="E239" s="415"/>
      <c r="F239" s="415"/>
      <c r="G239" s="158"/>
      <c r="H239" s="158"/>
      <c r="I239" s="158"/>
      <c r="J239" s="158"/>
      <c r="K239" s="415"/>
      <c r="L239" s="158"/>
      <c r="M239" s="158"/>
      <c r="N239" s="158"/>
      <c r="O239" s="158"/>
      <c r="P239" s="415"/>
      <c r="Q239" s="158"/>
      <c r="R239" s="158"/>
      <c r="S239" s="158"/>
      <c r="T239" s="158"/>
      <c r="U239" s="415"/>
      <c r="V239" s="158"/>
      <c r="W239" s="158"/>
      <c r="X239" s="158"/>
      <c r="Y239" s="158"/>
      <c r="Z239" s="415"/>
      <c r="AA239" s="158"/>
      <c r="AB239" s="158"/>
      <c r="AC239" s="158"/>
      <c r="AD239" s="158"/>
      <c r="AE239" s="415"/>
      <c r="AF239" s="158"/>
      <c r="AG239" s="158"/>
      <c r="AH239" s="158"/>
      <c r="AI239" s="158"/>
      <c r="AJ239" s="415"/>
      <c r="AK239" s="102">
        <v>1.139</v>
      </c>
      <c r="AL239" s="102">
        <v>1.137</v>
      </c>
      <c r="AM239" s="102">
        <v>1.139</v>
      </c>
      <c r="AN239" s="158">
        <f>AO239-SUM(AK239,AL239,AM239)</f>
        <v>1.1379999999999999</v>
      </c>
      <c r="AO239" s="414">
        <v>4.5529999999999999</v>
      </c>
      <c r="AP239" s="102">
        <v>0.57099999999999995</v>
      </c>
      <c r="AQ239" s="102">
        <v>0.57099999999999995</v>
      </c>
      <c r="AR239" s="102">
        <v>0.77200000000000002</v>
      </c>
      <c r="AS239" s="158"/>
      <c r="AT239" s="415"/>
      <c r="AU239" s="158"/>
      <c r="AV239" s="158"/>
      <c r="AW239" s="158"/>
      <c r="AX239" s="158"/>
      <c r="AY239" s="415"/>
      <c r="AZ239" s="158"/>
      <c r="BA239" s="158"/>
      <c r="BB239" s="158"/>
      <c r="BC239" s="158"/>
      <c r="BD239" s="415"/>
      <c r="BE239" s="158"/>
      <c r="BF239" s="158"/>
      <c r="BG239" s="158"/>
      <c r="BH239" s="158"/>
      <c r="BI239" s="415"/>
      <c r="BJ239" s="158"/>
      <c r="BK239" s="158"/>
      <c r="BL239" s="158"/>
      <c r="BM239" s="158"/>
      <c r="BN239" s="415"/>
      <c r="BO239" s="158"/>
      <c r="BP239" s="158"/>
      <c r="BQ239" s="158"/>
      <c r="BR239" s="158"/>
      <c r="BS239" s="470"/>
      <c r="BT239" s="158"/>
      <c r="BU239" s="158"/>
      <c r="BV239" s="158"/>
      <c r="BW239" s="158"/>
      <c r="BX239" s="415"/>
      <c r="BY239" s="158"/>
      <c r="BZ239" s="158"/>
      <c r="CA239" s="158"/>
      <c r="CB239" s="158"/>
      <c r="CC239" s="415"/>
      <c r="CD239" s="415"/>
      <c r="CE239" s="415"/>
      <c r="CF239" s="415"/>
      <c r="CG239" s="99"/>
    </row>
    <row r="240" spans="1:85" ht="14.45" hidden="1" customHeight="1" x14ac:dyDescent="0.25">
      <c r="A240" s="191" t="s">
        <v>364</v>
      </c>
      <c r="B240" s="97"/>
      <c r="C240" s="413"/>
      <c r="D240" s="413"/>
      <c r="E240" s="413"/>
      <c r="F240" s="413"/>
      <c r="G240" s="63"/>
      <c r="H240" s="63"/>
      <c r="I240" s="63"/>
      <c r="J240" s="63"/>
      <c r="K240" s="413"/>
      <c r="L240" s="63"/>
      <c r="M240" s="63"/>
      <c r="N240" s="63"/>
      <c r="O240" s="63"/>
      <c r="P240" s="413"/>
      <c r="Q240" s="63"/>
      <c r="R240" s="63"/>
      <c r="S240" s="63"/>
      <c r="T240" s="63"/>
      <c r="U240" s="413"/>
      <c r="V240" s="63"/>
      <c r="W240" s="63"/>
      <c r="X240" s="63"/>
      <c r="Y240" s="63"/>
      <c r="Z240" s="413"/>
      <c r="AA240" s="63"/>
      <c r="AB240" s="63"/>
      <c r="AC240" s="63"/>
      <c r="AD240" s="63"/>
      <c r="AE240" s="413"/>
      <c r="AF240" s="63"/>
      <c r="AG240" s="63"/>
      <c r="AH240" s="63"/>
      <c r="AI240" s="63"/>
      <c r="AJ240" s="413"/>
      <c r="AK240" s="63">
        <f t="shared" ref="AK240:AR240" si="141">SUM(AK238:AK239)</f>
        <v>1.492</v>
      </c>
      <c r="AL240" s="63">
        <f t="shared" si="141"/>
        <v>1.4910000000000001</v>
      </c>
      <c r="AM240" s="63">
        <f t="shared" si="141"/>
        <v>1.492</v>
      </c>
      <c r="AN240" s="63">
        <f t="shared" si="141"/>
        <v>1.4919999999999998</v>
      </c>
      <c r="AO240" s="413">
        <f t="shared" si="141"/>
        <v>5.9669999999999996</v>
      </c>
      <c r="AP240" s="63">
        <f t="shared" si="141"/>
        <v>0.92499999999999993</v>
      </c>
      <c r="AQ240" s="63">
        <f t="shared" si="141"/>
        <v>0.92399999999999993</v>
      </c>
      <c r="AR240" s="63">
        <f t="shared" si="141"/>
        <v>1.415</v>
      </c>
      <c r="AS240" s="63">
        <f>AT240-SUM(AP240,AQ240,AR240)</f>
        <v>1.4140000000000001</v>
      </c>
      <c r="AT240" s="410">
        <v>4.6779999999999999</v>
      </c>
      <c r="AU240" s="98">
        <v>1.4139999999999999</v>
      </c>
      <c r="AV240" s="98">
        <v>1.4139999999999999</v>
      </c>
      <c r="AW240" s="98">
        <v>1.4139999999999999</v>
      </c>
      <c r="AX240" s="63">
        <f>AY240-SUM(AU240,AV240,AW240)</f>
        <v>1.4139999999999997</v>
      </c>
      <c r="AY240" s="410">
        <v>5.6559999999999997</v>
      </c>
      <c r="AZ240" s="98">
        <v>1.08</v>
      </c>
      <c r="BA240" s="98">
        <v>0.41199999999999998</v>
      </c>
      <c r="BB240" s="98">
        <v>0.41099999999999998</v>
      </c>
      <c r="BC240" s="63">
        <f>BD240-SUM(AZ240,BA240,BB240)</f>
        <v>0.41199999999999992</v>
      </c>
      <c r="BD240" s="410">
        <v>2.3149999999999999</v>
      </c>
      <c r="BE240" s="98">
        <v>0.41099999999999998</v>
      </c>
      <c r="BF240" s="98">
        <v>0.41099999999999998</v>
      </c>
      <c r="BG240" s="98">
        <v>0.41299999999999998</v>
      </c>
      <c r="BH240" s="63">
        <f>BI240-SUM(BE240,BF240,BG240)</f>
        <v>0.41100000000000003</v>
      </c>
      <c r="BI240" s="410">
        <v>1.6459999999999999</v>
      </c>
      <c r="BJ240" s="98">
        <v>0.41199999999999998</v>
      </c>
      <c r="BK240" s="98">
        <v>0.41099999999999998</v>
      </c>
      <c r="BL240" s="98">
        <v>0.41199999999999998</v>
      </c>
      <c r="BM240" s="63">
        <f>BN240-SUM(BJ240,BK240,BL240)</f>
        <v>0.41200000000000014</v>
      </c>
      <c r="BN240" s="410">
        <v>1.647</v>
      </c>
      <c r="BO240" s="98">
        <v>0.41099999999999998</v>
      </c>
      <c r="BP240" s="98">
        <v>0.374</v>
      </c>
      <c r="BQ240" s="98">
        <v>0.16500000000000001</v>
      </c>
      <c r="BR240" s="63">
        <f>BS240-SUM(BO240,BP240,BQ240)</f>
        <v>0.10099999999999998</v>
      </c>
      <c r="BS240" s="419">
        <v>1.0509999999999999</v>
      </c>
      <c r="BT240" s="63"/>
      <c r="BU240" s="63"/>
      <c r="BV240" s="63"/>
      <c r="BW240" s="63"/>
      <c r="BX240" s="413"/>
      <c r="BY240" s="63"/>
      <c r="BZ240" s="63"/>
      <c r="CA240" s="63"/>
      <c r="CB240" s="63"/>
      <c r="CC240" s="413"/>
      <c r="CD240" s="413"/>
      <c r="CE240" s="413"/>
      <c r="CF240" s="413"/>
      <c r="CG240" s="99"/>
    </row>
    <row r="241" spans="1:85" ht="14.45" hidden="1" customHeight="1" x14ac:dyDescent="0.25">
      <c r="A241" s="191" t="s">
        <v>365</v>
      </c>
      <c r="B241" s="97"/>
      <c r="C241" s="413"/>
      <c r="D241" s="413"/>
      <c r="E241" s="413"/>
      <c r="F241" s="413"/>
      <c r="G241" s="63"/>
      <c r="H241" s="63"/>
      <c r="I241" s="63"/>
      <c r="J241" s="63"/>
      <c r="K241" s="413"/>
      <c r="L241" s="63"/>
      <c r="M241" s="63"/>
      <c r="N241" s="63"/>
      <c r="O241" s="63"/>
      <c r="P241" s="413"/>
      <c r="Q241" s="63"/>
      <c r="R241" s="63"/>
      <c r="S241" s="63"/>
      <c r="T241" s="63"/>
      <c r="U241" s="413"/>
      <c r="V241" s="63"/>
      <c r="W241" s="63"/>
      <c r="X241" s="63"/>
      <c r="Y241" s="63"/>
      <c r="Z241" s="413"/>
      <c r="AA241" s="63"/>
      <c r="AB241" s="63"/>
      <c r="AC241" s="63"/>
      <c r="AD241" s="63"/>
      <c r="AE241" s="413"/>
      <c r="AF241" s="63"/>
      <c r="AG241" s="63"/>
      <c r="AH241" s="63"/>
      <c r="AI241" s="63"/>
      <c r="AJ241" s="413"/>
      <c r="AK241" s="98">
        <v>0.70199999999999996</v>
      </c>
      <c r="AL241" s="98">
        <v>0.71499999999999997</v>
      </c>
      <c r="AM241" s="98">
        <v>0.66600000000000004</v>
      </c>
      <c r="AN241" s="63">
        <f>AO241-SUM(AK241,AL241,AM241)</f>
        <v>0.63100000000000023</v>
      </c>
      <c r="AO241" s="410">
        <v>2.714</v>
      </c>
      <c r="AP241" s="98">
        <v>0.26600000000000001</v>
      </c>
      <c r="AQ241" s="98">
        <v>0.24099999999999999</v>
      </c>
      <c r="AR241" s="98">
        <v>0.61299999999999999</v>
      </c>
      <c r="AS241" s="63">
        <f>AT241-SUM(AP241,AQ241,AR241)</f>
        <v>0.60799999999999987</v>
      </c>
      <c r="AT241" s="410">
        <v>1.728</v>
      </c>
      <c r="AU241" s="98">
        <v>0.58399999999999996</v>
      </c>
      <c r="AV241" s="98">
        <v>0.57899999999999996</v>
      </c>
      <c r="AW241" s="98">
        <v>0.57499999999999996</v>
      </c>
      <c r="AX241" s="63">
        <f>AY241-SUM(AU241,AV241,AW241)</f>
        <v>0.56300000000000039</v>
      </c>
      <c r="AY241" s="410">
        <v>2.3010000000000002</v>
      </c>
      <c r="AZ241" s="98">
        <v>0.47</v>
      </c>
      <c r="BA241" s="98">
        <v>0.14399999999999999</v>
      </c>
      <c r="BB241" s="98">
        <v>0.13900000000000001</v>
      </c>
      <c r="BC241" s="63">
        <f>BD241-SUM(AZ241,BA241,BB241)</f>
        <v>0.13100000000000001</v>
      </c>
      <c r="BD241" s="410">
        <v>0.88400000000000001</v>
      </c>
      <c r="BE241" s="98">
        <v>0.121</v>
      </c>
      <c r="BF241" s="98">
        <v>0.11600000000000001</v>
      </c>
      <c r="BG241" s="98">
        <v>0.109</v>
      </c>
      <c r="BH241" s="63">
        <f>BI241-SUM(BE241,BF241,BG241)</f>
        <v>0.10100000000000003</v>
      </c>
      <c r="BI241" s="410">
        <v>0.44700000000000001</v>
      </c>
      <c r="BJ241" s="98">
        <v>9.1999999999999998E-2</v>
      </c>
      <c r="BK241" s="102">
        <v>8.4000000000000005E-2</v>
      </c>
      <c r="BL241" s="98">
        <v>7.6999999999999999E-2</v>
      </c>
      <c r="BM241" s="63">
        <f>BN241-SUM(BJ241,BK241,BL241)</f>
        <v>6.8000000000000005E-2</v>
      </c>
      <c r="BN241" s="410">
        <v>0.32100000000000001</v>
      </c>
      <c r="BO241" s="98">
        <v>5.8000000000000003E-2</v>
      </c>
      <c r="BP241" s="102">
        <v>4.8000000000000001E-2</v>
      </c>
      <c r="BQ241" s="102">
        <v>2.8000000000000001E-2</v>
      </c>
      <c r="BR241" s="63">
        <f>BS241-SUM(BO241,BP241,BQ241)</f>
        <v>2.1999999999999992E-2</v>
      </c>
      <c r="BS241" s="419">
        <v>0.156</v>
      </c>
      <c r="BT241" s="63"/>
      <c r="BU241" s="63"/>
      <c r="BV241" s="63"/>
      <c r="BW241" s="63"/>
      <c r="BX241" s="413"/>
      <c r="BY241" s="63"/>
      <c r="BZ241" s="63"/>
      <c r="CA241" s="63"/>
      <c r="CB241" s="63"/>
      <c r="CC241" s="413"/>
      <c r="CD241" s="413"/>
      <c r="CE241" s="413"/>
      <c r="CF241" s="413"/>
      <c r="CG241" s="99"/>
    </row>
    <row r="242" spans="1:85" ht="14.45" hidden="1" customHeight="1" x14ac:dyDescent="0.25">
      <c r="A242" s="192" t="s">
        <v>366</v>
      </c>
      <c r="B242" s="186"/>
      <c r="C242" s="495"/>
      <c r="D242" s="495"/>
      <c r="E242" s="495"/>
      <c r="F242" s="495"/>
      <c r="G242" s="187"/>
      <c r="H242" s="187"/>
      <c r="I242" s="187"/>
      <c r="J242" s="187"/>
      <c r="K242" s="495"/>
      <c r="L242" s="187"/>
      <c r="M242" s="187"/>
      <c r="N242" s="187"/>
      <c r="O242" s="187"/>
      <c r="P242" s="495"/>
      <c r="Q242" s="187"/>
      <c r="R242" s="187"/>
      <c r="S242" s="187"/>
      <c r="T242" s="187"/>
      <c r="U242" s="495"/>
      <c r="V242" s="187"/>
      <c r="W242" s="187"/>
      <c r="X242" s="187"/>
      <c r="Y242" s="187"/>
      <c r="Z242" s="495"/>
      <c r="AA242" s="187"/>
      <c r="AB242" s="187"/>
      <c r="AC242" s="187"/>
      <c r="AD242" s="187"/>
      <c r="AE242" s="495"/>
      <c r="AF242" s="187"/>
      <c r="AG242" s="187"/>
      <c r="AH242" s="187"/>
      <c r="AI242" s="187"/>
      <c r="AJ242" s="495"/>
      <c r="AK242" s="187">
        <f t="shared" ref="AK242:BS242" si="142">SUM(AK240:AK241)</f>
        <v>2.194</v>
      </c>
      <c r="AL242" s="187">
        <f t="shared" si="142"/>
        <v>2.206</v>
      </c>
      <c r="AM242" s="187">
        <f t="shared" si="142"/>
        <v>2.1579999999999999</v>
      </c>
      <c r="AN242" s="187">
        <f t="shared" si="142"/>
        <v>2.1230000000000002</v>
      </c>
      <c r="AO242" s="495">
        <f t="shared" si="142"/>
        <v>8.6809999999999992</v>
      </c>
      <c r="AP242" s="187">
        <f t="shared" si="142"/>
        <v>1.1909999999999998</v>
      </c>
      <c r="AQ242" s="187">
        <f t="shared" si="142"/>
        <v>1.165</v>
      </c>
      <c r="AR242" s="187">
        <f t="shared" si="142"/>
        <v>2.028</v>
      </c>
      <c r="AS242" s="187">
        <f t="shared" si="142"/>
        <v>2.0220000000000002</v>
      </c>
      <c r="AT242" s="495">
        <f t="shared" si="142"/>
        <v>6.4059999999999997</v>
      </c>
      <c r="AU242" s="187">
        <f t="shared" si="142"/>
        <v>1.9979999999999998</v>
      </c>
      <c r="AV242" s="187">
        <f t="shared" si="142"/>
        <v>1.9929999999999999</v>
      </c>
      <c r="AW242" s="187">
        <f t="shared" si="142"/>
        <v>1.9889999999999999</v>
      </c>
      <c r="AX242" s="187">
        <f t="shared" si="142"/>
        <v>1.9770000000000001</v>
      </c>
      <c r="AY242" s="495">
        <f t="shared" si="142"/>
        <v>7.9569999999999999</v>
      </c>
      <c r="AZ242" s="187">
        <f t="shared" si="142"/>
        <v>1.55</v>
      </c>
      <c r="BA242" s="187">
        <f t="shared" si="142"/>
        <v>0.55599999999999994</v>
      </c>
      <c r="BB242" s="187">
        <f t="shared" si="142"/>
        <v>0.55000000000000004</v>
      </c>
      <c r="BC242" s="187">
        <f t="shared" si="142"/>
        <v>0.54299999999999993</v>
      </c>
      <c r="BD242" s="495">
        <f t="shared" si="142"/>
        <v>3.1989999999999998</v>
      </c>
      <c r="BE242" s="187">
        <f t="shared" si="142"/>
        <v>0.53200000000000003</v>
      </c>
      <c r="BF242" s="187">
        <f t="shared" si="142"/>
        <v>0.52700000000000002</v>
      </c>
      <c r="BG242" s="187">
        <f t="shared" si="142"/>
        <v>0.52200000000000002</v>
      </c>
      <c r="BH242" s="187">
        <f t="shared" si="142"/>
        <v>0.51200000000000001</v>
      </c>
      <c r="BI242" s="495">
        <f t="shared" si="142"/>
        <v>2.093</v>
      </c>
      <c r="BJ242" s="187">
        <f t="shared" si="142"/>
        <v>0.504</v>
      </c>
      <c r="BK242" s="158">
        <f t="shared" si="142"/>
        <v>0.495</v>
      </c>
      <c r="BL242" s="187">
        <f t="shared" si="142"/>
        <v>0.48899999999999999</v>
      </c>
      <c r="BM242" s="187">
        <f t="shared" si="142"/>
        <v>0.48000000000000015</v>
      </c>
      <c r="BN242" s="495">
        <f t="shared" si="142"/>
        <v>1.968</v>
      </c>
      <c r="BO242" s="187">
        <f t="shared" si="142"/>
        <v>0.46899999999999997</v>
      </c>
      <c r="BP242" s="158">
        <f t="shared" si="142"/>
        <v>0.42199999999999999</v>
      </c>
      <c r="BQ242" s="158">
        <f t="shared" si="142"/>
        <v>0.193</v>
      </c>
      <c r="BR242" s="187">
        <f t="shared" si="142"/>
        <v>0.12299999999999997</v>
      </c>
      <c r="BS242" s="498">
        <f t="shared" si="142"/>
        <v>1.2069999999999999</v>
      </c>
      <c r="BT242" s="187"/>
      <c r="BU242" s="187"/>
      <c r="BV242" s="187"/>
      <c r="BW242" s="187"/>
      <c r="BX242" s="495"/>
      <c r="BY242" s="187"/>
      <c r="BZ242" s="187"/>
      <c r="CA242" s="187"/>
      <c r="CB242" s="187"/>
      <c r="CC242" s="495"/>
      <c r="CD242" s="495"/>
      <c r="CE242" s="495"/>
      <c r="CF242" s="495"/>
      <c r="CG242" s="99"/>
    </row>
    <row r="243" spans="1:85" ht="14.45" hidden="1" customHeight="1" x14ac:dyDescent="0.25">
      <c r="A243" s="111" t="s">
        <v>367</v>
      </c>
      <c r="B243" s="108"/>
      <c r="C243" s="423"/>
      <c r="D243" s="423"/>
      <c r="E243" s="423"/>
      <c r="F243" s="423"/>
      <c r="G243" s="112"/>
      <c r="H243" s="112"/>
      <c r="I243" s="112"/>
      <c r="J243" s="112"/>
      <c r="K243" s="423"/>
      <c r="L243" s="112"/>
      <c r="M243" s="112"/>
      <c r="N243" s="112"/>
      <c r="O243" s="112"/>
      <c r="P243" s="423"/>
      <c r="Q243" s="112"/>
      <c r="R243" s="112"/>
      <c r="S243" s="112"/>
      <c r="T243" s="112"/>
      <c r="U243" s="423"/>
      <c r="V243" s="112"/>
      <c r="W243" s="112"/>
      <c r="X243" s="112"/>
      <c r="Y243" s="112"/>
      <c r="Z243" s="423"/>
      <c r="AA243" s="112"/>
      <c r="AB243" s="112"/>
      <c r="AC243" s="112"/>
      <c r="AD243" s="112"/>
      <c r="AE243" s="423"/>
      <c r="AF243" s="112"/>
      <c r="AG243" s="112"/>
      <c r="AH243" s="112"/>
      <c r="AI243" s="112"/>
      <c r="AJ243" s="423"/>
      <c r="AK243" s="112">
        <f t="shared" ref="AK243:BS243" si="143">AK237+AK242</f>
        <v>9.7519999999999989</v>
      </c>
      <c r="AL243" s="112">
        <f t="shared" si="143"/>
        <v>9.67</v>
      </c>
      <c r="AM243" s="112">
        <f t="shared" si="143"/>
        <v>10.883000000000001</v>
      </c>
      <c r="AN243" s="112">
        <f t="shared" si="143"/>
        <v>10.800999999999998</v>
      </c>
      <c r="AO243" s="423">
        <f t="shared" si="143"/>
        <v>41.105999999999995</v>
      </c>
      <c r="AP243" s="112">
        <f t="shared" si="143"/>
        <v>10.734999999999999</v>
      </c>
      <c r="AQ243" s="112">
        <f t="shared" si="143"/>
        <v>10.768000000000001</v>
      </c>
      <c r="AR243" s="112">
        <f t="shared" si="143"/>
        <v>12.253</v>
      </c>
      <c r="AS243" s="112">
        <f t="shared" si="143"/>
        <v>12.778</v>
      </c>
      <c r="AT243" s="423">
        <f t="shared" si="143"/>
        <v>46.533999999999999</v>
      </c>
      <c r="AU243" s="112">
        <f t="shared" si="143"/>
        <v>12.129</v>
      </c>
      <c r="AV243" s="112">
        <f t="shared" si="143"/>
        <v>13.052000000000001</v>
      </c>
      <c r="AW243" s="112">
        <f t="shared" si="143"/>
        <v>13.378</v>
      </c>
      <c r="AX243" s="112">
        <f t="shared" si="143"/>
        <v>13.028000000000006</v>
      </c>
      <c r="AY243" s="423">
        <f t="shared" si="143"/>
        <v>51.587000000000003</v>
      </c>
      <c r="AZ243" s="112">
        <f t="shared" si="143"/>
        <v>12.433</v>
      </c>
      <c r="BA243" s="112">
        <f t="shared" si="143"/>
        <v>11.587</v>
      </c>
      <c r="BB243" s="112">
        <f t="shared" si="143"/>
        <v>12.031000000000001</v>
      </c>
      <c r="BC243" s="112">
        <f t="shared" si="143"/>
        <v>12.697000000000001</v>
      </c>
      <c r="BD243" s="423">
        <f t="shared" si="143"/>
        <v>48.747999999999998</v>
      </c>
      <c r="BE243" s="112">
        <f t="shared" si="143"/>
        <v>12.57</v>
      </c>
      <c r="BF243" s="112">
        <f t="shared" si="143"/>
        <v>12.857999999999999</v>
      </c>
      <c r="BG243" s="112">
        <f t="shared" si="143"/>
        <v>12.965999999999999</v>
      </c>
      <c r="BH243" s="112">
        <f t="shared" si="143"/>
        <v>12.653000000000004</v>
      </c>
      <c r="BI243" s="423">
        <f t="shared" si="143"/>
        <v>51.046999999999997</v>
      </c>
      <c r="BJ243" s="112">
        <f t="shared" si="143"/>
        <v>11.322999999999999</v>
      </c>
      <c r="BK243" s="112">
        <f t="shared" si="143"/>
        <v>11.338999999999999</v>
      </c>
      <c r="BL243" s="112">
        <f t="shared" si="143"/>
        <v>11.199</v>
      </c>
      <c r="BM243" s="112">
        <f t="shared" si="143"/>
        <v>10.539000000000003</v>
      </c>
      <c r="BN243" s="423">
        <f t="shared" si="143"/>
        <v>44.400000000000006</v>
      </c>
      <c r="BO243" s="112">
        <f t="shared" si="143"/>
        <v>9.15</v>
      </c>
      <c r="BP243" s="112">
        <f t="shared" si="143"/>
        <v>8.8910000000000018</v>
      </c>
      <c r="BQ243" s="112">
        <f t="shared" si="143"/>
        <v>9.3089999999999993</v>
      </c>
      <c r="BR243" s="112">
        <f t="shared" si="143"/>
        <v>9.3879999999999963</v>
      </c>
      <c r="BS243" s="424">
        <f t="shared" si="143"/>
        <v>36.738</v>
      </c>
      <c r="BT243" s="112"/>
      <c r="BU243" s="112"/>
      <c r="BV243" s="112"/>
      <c r="BW243" s="112"/>
      <c r="BX243" s="423"/>
      <c r="BY243" s="112"/>
      <c r="BZ243" s="112"/>
      <c r="CA243" s="112"/>
      <c r="CB243" s="112"/>
      <c r="CC243" s="423"/>
      <c r="CD243" s="423"/>
      <c r="CE243" s="423"/>
      <c r="CF243" s="423"/>
      <c r="CG243" s="109"/>
    </row>
    <row r="244" spans="1:85" ht="14.45" hidden="1" customHeight="1" x14ac:dyDescent="0.25">
      <c r="A244" s="111"/>
      <c r="B244" s="108"/>
      <c r="C244" s="423"/>
      <c r="D244" s="423"/>
      <c r="E244" s="423"/>
      <c r="F244" s="423"/>
      <c r="G244" s="112"/>
      <c r="H244" s="112"/>
      <c r="I244" s="112"/>
      <c r="J244" s="112"/>
      <c r="K244" s="423"/>
      <c r="L244" s="112"/>
      <c r="M244" s="112"/>
      <c r="N244" s="112"/>
      <c r="O244" s="112"/>
      <c r="P244" s="423"/>
      <c r="Q244" s="112"/>
      <c r="R244" s="112"/>
      <c r="S244" s="112"/>
      <c r="T244" s="112"/>
      <c r="U244" s="423"/>
      <c r="V244" s="112"/>
      <c r="W244" s="112"/>
      <c r="X244" s="112"/>
      <c r="Y244" s="112"/>
      <c r="Z244" s="423"/>
      <c r="AA244" s="112"/>
      <c r="AB244" s="112"/>
      <c r="AC244" s="112"/>
      <c r="AD244" s="112"/>
      <c r="AE244" s="423"/>
      <c r="AF244" s="112"/>
      <c r="AG244" s="112"/>
      <c r="AH244" s="112"/>
      <c r="AI244" s="112"/>
      <c r="AJ244" s="423"/>
      <c r="AK244" s="112"/>
      <c r="AL244" s="112"/>
      <c r="AM244" s="112"/>
      <c r="AN244" s="112"/>
      <c r="AO244" s="423"/>
      <c r="AP244" s="112"/>
      <c r="AQ244" s="112"/>
      <c r="AR244" s="112"/>
      <c r="AS244" s="112"/>
      <c r="AT244" s="423"/>
      <c r="AU244" s="112"/>
      <c r="AV244" s="112"/>
      <c r="AW244" s="112"/>
      <c r="AX244" s="112"/>
      <c r="AY244" s="423"/>
      <c r="AZ244" s="112"/>
      <c r="BA244" s="112"/>
      <c r="BB244" s="112"/>
      <c r="BC244" s="112"/>
      <c r="BD244" s="423"/>
      <c r="BE244" s="112"/>
      <c r="BF244" s="112"/>
      <c r="BG244" s="112"/>
      <c r="BH244" s="112"/>
      <c r="BI244" s="423"/>
      <c r="BJ244" s="112"/>
      <c r="BK244" s="112"/>
      <c r="BL244" s="112"/>
      <c r="BM244" s="112"/>
      <c r="BN244" s="423"/>
      <c r="BO244" s="112"/>
      <c r="BP244" s="112"/>
      <c r="BQ244" s="112"/>
      <c r="BR244" s="112"/>
      <c r="BS244" s="424"/>
      <c r="BT244" s="112"/>
      <c r="BU244" s="112"/>
      <c r="BV244" s="112"/>
      <c r="BW244" s="112"/>
      <c r="BX244" s="423"/>
      <c r="BY244" s="112"/>
      <c r="BZ244" s="112"/>
      <c r="CA244" s="112"/>
      <c r="CB244" s="112"/>
      <c r="CC244" s="423"/>
      <c r="CD244" s="423"/>
      <c r="CE244" s="423"/>
      <c r="CF244" s="423"/>
      <c r="CG244" s="109"/>
    </row>
    <row r="245" spans="1:85" ht="14.45" hidden="1" customHeight="1" x14ac:dyDescent="0.25">
      <c r="A245" s="191" t="s">
        <v>368</v>
      </c>
      <c r="B245" s="97"/>
      <c r="C245" s="413"/>
      <c r="D245" s="413"/>
      <c r="E245" s="413"/>
      <c r="F245" s="413"/>
      <c r="G245" s="63"/>
      <c r="H245" s="63"/>
      <c r="I245" s="63"/>
      <c r="J245" s="63"/>
      <c r="K245" s="413"/>
      <c r="L245" s="63"/>
      <c r="M245" s="63"/>
      <c r="N245" s="63"/>
      <c r="O245" s="63"/>
      <c r="P245" s="413"/>
      <c r="Q245" s="63"/>
      <c r="R245" s="63"/>
      <c r="S245" s="63"/>
      <c r="T245" s="63"/>
      <c r="U245" s="413"/>
      <c r="V245" s="63"/>
      <c r="W245" s="63"/>
      <c r="X245" s="63"/>
      <c r="Y245" s="63"/>
      <c r="Z245" s="413"/>
      <c r="AA245" s="63"/>
      <c r="AB245" s="63"/>
      <c r="AC245" s="63"/>
      <c r="AD245" s="63"/>
      <c r="AE245" s="410">
        <v>1.4</v>
      </c>
      <c r="AF245" s="98">
        <v>0.4</v>
      </c>
      <c r="AG245" s="98">
        <v>0.3</v>
      </c>
      <c r="AH245" s="98">
        <v>0.3</v>
      </c>
      <c r="AI245" s="63">
        <f>AJ245-SUM(AF245,AG245,AH245)</f>
        <v>0.39999999999999991</v>
      </c>
      <c r="AJ245" s="410">
        <v>1.4</v>
      </c>
      <c r="AK245" s="63"/>
      <c r="AL245" s="63"/>
      <c r="AM245" s="63"/>
      <c r="AN245" s="63"/>
      <c r="AO245" s="413"/>
      <c r="AP245" s="63"/>
      <c r="AQ245" s="63"/>
      <c r="AR245" s="63"/>
      <c r="AS245" s="63"/>
      <c r="AT245" s="413"/>
      <c r="AU245" s="63"/>
      <c r="AV245" s="63"/>
      <c r="AW245" s="63"/>
      <c r="AX245" s="63"/>
      <c r="AY245" s="413"/>
      <c r="AZ245" s="63"/>
      <c r="BA245" s="63"/>
      <c r="BB245" s="63"/>
      <c r="BC245" s="63"/>
      <c r="BD245" s="413"/>
      <c r="BE245" s="63"/>
      <c r="BF245" s="63"/>
      <c r="BG245" s="63"/>
      <c r="BH245" s="63"/>
      <c r="BI245" s="413"/>
      <c r="BJ245" s="63"/>
      <c r="BK245" s="63"/>
      <c r="BL245" s="63"/>
      <c r="BM245" s="63"/>
      <c r="BN245" s="413"/>
      <c r="BO245" s="63"/>
      <c r="BP245" s="63"/>
      <c r="BQ245" s="63"/>
      <c r="BR245" s="63"/>
      <c r="BS245" s="425"/>
      <c r="BT245" s="63"/>
      <c r="BU245" s="63"/>
      <c r="BV245" s="63"/>
      <c r="BW245" s="63"/>
      <c r="BX245" s="413"/>
      <c r="BY245" s="63"/>
      <c r="BZ245" s="63"/>
      <c r="CA245" s="63"/>
      <c r="CB245" s="63"/>
      <c r="CC245" s="413"/>
      <c r="CD245" s="413"/>
      <c r="CE245" s="413"/>
      <c r="CF245" s="413"/>
      <c r="CG245" s="99"/>
    </row>
    <row r="246" spans="1:85" ht="14.45" hidden="1" customHeight="1" x14ac:dyDescent="0.25">
      <c r="A246" s="191" t="s">
        <v>369</v>
      </c>
      <c r="B246" s="97"/>
      <c r="C246" s="413"/>
      <c r="D246" s="413"/>
      <c r="E246" s="413"/>
      <c r="F246" s="413"/>
      <c r="G246" s="63"/>
      <c r="H246" s="63"/>
      <c r="I246" s="63"/>
      <c r="J246" s="63"/>
      <c r="K246" s="413"/>
      <c r="L246" s="63"/>
      <c r="M246" s="63"/>
      <c r="N246" s="63"/>
      <c r="O246" s="63"/>
      <c r="P246" s="413"/>
      <c r="Q246" s="63"/>
      <c r="R246" s="63"/>
      <c r="S246" s="63"/>
      <c r="T246" s="63"/>
      <c r="U246" s="413"/>
      <c r="V246" s="63"/>
      <c r="W246" s="63"/>
      <c r="X246" s="63"/>
      <c r="Y246" s="63"/>
      <c r="Z246" s="413"/>
      <c r="AA246" s="63"/>
      <c r="AB246" s="63"/>
      <c r="AC246" s="63"/>
      <c r="AD246" s="63"/>
      <c r="AE246" s="410">
        <v>4.5</v>
      </c>
      <c r="AF246" s="98">
        <v>1.1000000000000001</v>
      </c>
      <c r="AG246" s="98">
        <v>1.2</v>
      </c>
      <c r="AH246" s="98">
        <v>1.1000000000000001</v>
      </c>
      <c r="AI246" s="63">
        <f>AJ246-SUM(AF246,AG246,AH246)</f>
        <v>1.1000000000000001</v>
      </c>
      <c r="AJ246" s="410">
        <v>4.5</v>
      </c>
      <c r="AK246" s="63"/>
      <c r="AL246" s="63"/>
      <c r="AM246" s="63"/>
      <c r="AN246" s="63"/>
      <c r="AO246" s="413"/>
      <c r="AP246" s="63"/>
      <c r="AQ246" s="63"/>
      <c r="AR246" s="63"/>
      <c r="AS246" s="63"/>
      <c r="AT246" s="413"/>
      <c r="AU246" s="63"/>
      <c r="AV246" s="63"/>
      <c r="AW246" s="63"/>
      <c r="AX246" s="63"/>
      <c r="AY246" s="413"/>
      <c r="AZ246" s="63"/>
      <c r="BA246" s="63"/>
      <c r="BB246" s="63"/>
      <c r="BC246" s="63"/>
      <c r="BD246" s="413"/>
      <c r="BE246" s="63"/>
      <c r="BF246" s="63"/>
      <c r="BG246" s="63"/>
      <c r="BH246" s="63"/>
      <c r="BI246" s="413"/>
      <c r="BJ246" s="63"/>
      <c r="BK246" s="63"/>
      <c r="BL246" s="63"/>
      <c r="BM246" s="63"/>
      <c r="BN246" s="413"/>
      <c r="BO246" s="63"/>
      <c r="BP246" s="63"/>
      <c r="BQ246" s="63"/>
      <c r="BR246" s="63"/>
      <c r="BS246" s="425"/>
      <c r="BT246" s="63"/>
      <c r="BU246" s="63"/>
      <c r="BV246" s="63"/>
      <c r="BW246" s="63"/>
      <c r="BX246" s="413"/>
      <c r="BY246" s="63"/>
      <c r="BZ246" s="63"/>
      <c r="CA246" s="63"/>
      <c r="CB246" s="63"/>
      <c r="CC246" s="413"/>
      <c r="CD246" s="413"/>
      <c r="CE246" s="413"/>
      <c r="CF246" s="413"/>
      <c r="CG246" s="99"/>
    </row>
    <row r="247" spans="1:85" ht="14.45" hidden="1" customHeight="1" x14ac:dyDescent="0.25">
      <c r="A247" s="193" t="s">
        <v>370</v>
      </c>
      <c r="B247" s="182"/>
      <c r="C247" s="492"/>
      <c r="D247" s="492"/>
      <c r="E247" s="492"/>
      <c r="F247" s="492"/>
      <c r="G247" s="183"/>
      <c r="H247" s="183"/>
      <c r="I247" s="183"/>
      <c r="J247" s="183"/>
      <c r="K247" s="492"/>
      <c r="L247" s="183"/>
      <c r="M247" s="183"/>
      <c r="N247" s="183"/>
      <c r="O247" s="183"/>
      <c r="P247" s="492"/>
      <c r="Q247" s="183"/>
      <c r="R247" s="183"/>
      <c r="S247" s="183"/>
      <c r="T247" s="183"/>
      <c r="U247" s="492"/>
      <c r="V247" s="183"/>
      <c r="W247" s="183"/>
      <c r="X247" s="183"/>
      <c r="Y247" s="183"/>
      <c r="Z247" s="492"/>
      <c r="AA247" s="183"/>
      <c r="AB247" s="183"/>
      <c r="AC247" s="183"/>
      <c r="AD247" s="183"/>
      <c r="AE247" s="492">
        <f t="shared" ref="AE247:AJ247" si="144">SUM(AE245:AE246)</f>
        <v>5.9</v>
      </c>
      <c r="AF247" s="183">
        <f t="shared" si="144"/>
        <v>1.5</v>
      </c>
      <c r="AG247" s="183">
        <f t="shared" si="144"/>
        <v>1.5</v>
      </c>
      <c r="AH247" s="183">
        <f t="shared" si="144"/>
        <v>1.4000000000000001</v>
      </c>
      <c r="AI247" s="183">
        <f t="shared" si="144"/>
        <v>1.5</v>
      </c>
      <c r="AJ247" s="492">
        <f t="shared" si="144"/>
        <v>5.9</v>
      </c>
      <c r="AK247" s="183"/>
      <c r="AL247" s="183"/>
      <c r="AM247" s="183"/>
      <c r="AN247" s="183"/>
      <c r="AO247" s="492"/>
      <c r="AP247" s="183"/>
      <c r="AQ247" s="183"/>
      <c r="AR247" s="183"/>
      <c r="AS247" s="183"/>
      <c r="AT247" s="492"/>
      <c r="AU247" s="183"/>
      <c r="AV247" s="183"/>
      <c r="AW247" s="183"/>
      <c r="AX247" s="183"/>
      <c r="AY247" s="492"/>
      <c r="AZ247" s="183"/>
      <c r="BA247" s="183"/>
      <c r="BB247" s="183"/>
      <c r="BC247" s="183"/>
      <c r="BD247" s="492"/>
      <c r="BE247" s="183"/>
      <c r="BF247" s="183"/>
      <c r="BG247" s="183"/>
      <c r="BH247" s="183"/>
      <c r="BI247" s="492"/>
      <c r="BJ247" s="183"/>
      <c r="BK247" s="183"/>
      <c r="BL247" s="183"/>
      <c r="BM247" s="183"/>
      <c r="BN247" s="492"/>
      <c r="BO247" s="183"/>
      <c r="BP247" s="183"/>
      <c r="BQ247" s="183"/>
      <c r="BR247" s="183"/>
      <c r="BS247" s="499"/>
      <c r="BT247" s="183"/>
      <c r="BU247" s="183"/>
      <c r="BV247" s="183"/>
      <c r="BW247" s="183"/>
      <c r="BX247" s="492"/>
      <c r="BY247" s="183"/>
      <c r="BZ247" s="183"/>
      <c r="CA247" s="183"/>
      <c r="CB247" s="183"/>
      <c r="CC247" s="492"/>
      <c r="CD247" s="492"/>
      <c r="CE247" s="492"/>
      <c r="CF247" s="492"/>
      <c r="CG247" s="99"/>
    </row>
    <row r="248" spans="1:85" ht="14.45" hidden="1" customHeight="1" x14ac:dyDescent="0.25">
      <c r="A248" s="194" t="s">
        <v>371</v>
      </c>
      <c r="B248" s="101"/>
      <c r="C248" s="415"/>
      <c r="D248" s="415"/>
      <c r="E248" s="415"/>
      <c r="F248" s="415"/>
      <c r="G248" s="158"/>
      <c r="H248" s="158"/>
      <c r="I248" s="158"/>
      <c r="J248" s="158"/>
      <c r="K248" s="415"/>
      <c r="L248" s="158"/>
      <c r="M248" s="158"/>
      <c r="N248" s="158"/>
      <c r="O248" s="158"/>
      <c r="P248" s="415"/>
      <c r="Q248" s="158"/>
      <c r="R248" s="158"/>
      <c r="S248" s="158"/>
      <c r="T248" s="158"/>
      <c r="U248" s="415"/>
      <c r="V248" s="158"/>
      <c r="W248" s="158"/>
      <c r="X248" s="158"/>
      <c r="Y248" s="158"/>
      <c r="Z248" s="415"/>
      <c r="AA248" s="158"/>
      <c r="AB248" s="158"/>
      <c r="AC248" s="158"/>
      <c r="AD248" s="158"/>
      <c r="AE248" s="414">
        <v>3.9</v>
      </c>
      <c r="AF248" s="102">
        <v>0.9</v>
      </c>
      <c r="AG248" s="102">
        <v>0.9</v>
      </c>
      <c r="AH248" s="102">
        <v>0.8</v>
      </c>
      <c r="AI248" s="158">
        <f>AJ248-SUM(AF248,AG248,AH248)</f>
        <v>0.69999999999999973</v>
      </c>
      <c r="AJ248" s="414">
        <v>3.3</v>
      </c>
      <c r="AK248" s="158"/>
      <c r="AL248" s="158"/>
      <c r="AM248" s="158"/>
      <c r="AN248" s="158"/>
      <c r="AO248" s="415"/>
      <c r="AP248" s="158"/>
      <c r="AQ248" s="158"/>
      <c r="AR248" s="158"/>
      <c r="AS248" s="158"/>
      <c r="AT248" s="415"/>
      <c r="AU248" s="158"/>
      <c r="AV248" s="158"/>
      <c r="AW248" s="158"/>
      <c r="AX248" s="158"/>
      <c r="AY248" s="415"/>
      <c r="AZ248" s="158"/>
      <c r="BA248" s="158"/>
      <c r="BB248" s="158"/>
      <c r="BC248" s="158"/>
      <c r="BD248" s="415"/>
      <c r="BE248" s="158"/>
      <c r="BF248" s="158"/>
      <c r="BG248" s="158"/>
      <c r="BH248" s="158"/>
      <c r="BI248" s="415"/>
      <c r="BJ248" s="158"/>
      <c r="BK248" s="158"/>
      <c r="BL248" s="158"/>
      <c r="BM248" s="158"/>
      <c r="BN248" s="415"/>
      <c r="BO248" s="158"/>
      <c r="BP248" s="158"/>
      <c r="BQ248" s="158"/>
      <c r="BR248" s="158"/>
      <c r="BS248" s="470"/>
      <c r="BT248" s="158"/>
      <c r="BU248" s="158"/>
      <c r="BV248" s="158"/>
      <c r="BW248" s="158"/>
      <c r="BX248" s="415"/>
      <c r="BY248" s="158"/>
      <c r="BZ248" s="158"/>
      <c r="CA248" s="158"/>
      <c r="CB248" s="158"/>
      <c r="CC248" s="415"/>
      <c r="CD248" s="415"/>
      <c r="CE248" s="415"/>
      <c r="CF248" s="415"/>
      <c r="CG248" s="99"/>
    </row>
    <row r="249" spans="1:85" ht="14.45" hidden="1" customHeight="1" x14ac:dyDescent="0.25">
      <c r="A249" s="111" t="s">
        <v>372</v>
      </c>
      <c r="B249" s="108"/>
      <c r="C249" s="423"/>
      <c r="D249" s="423"/>
      <c r="E249" s="423"/>
      <c r="F249" s="423"/>
      <c r="G249" s="112"/>
      <c r="H249" s="112"/>
      <c r="I249" s="112"/>
      <c r="J249" s="112"/>
      <c r="K249" s="423"/>
      <c r="L249" s="112"/>
      <c r="M249" s="112"/>
      <c r="N249" s="112"/>
      <c r="O249" s="112"/>
      <c r="P249" s="423"/>
      <c r="Q249" s="112"/>
      <c r="R249" s="112"/>
      <c r="S249" s="112"/>
      <c r="T249" s="112"/>
      <c r="U249" s="423"/>
      <c r="V249" s="112"/>
      <c r="W249" s="112"/>
      <c r="X249" s="112"/>
      <c r="Y249" s="112"/>
      <c r="Z249" s="423"/>
      <c r="AA249" s="112"/>
      <c r="AB249" s="112"/>
      <c r="AC249" s="112"/>
      <c r="AD249" s="112"/>
      <c r="AE249" s="423">
        <f t="shared" ref="AE249:AJ249" si="145">AE247+AE248</f>
        <v>9.8000000000000007</v>
      </c>
      <c r="AF249" s="112">
        <f t="shared" si="145"/>
        <v>2.4</v>
      </c>
      <c r="AG249" s="112">
        <f t="shared" si="145"/>
        <v>2.4</v>
      </c>
      <c r="AH249" s="112">
        <f t="shared" si="145"/>
        <v>2.2000000000000002</v>
      </c>
      <c r="AI249" s="112">
        <f t="shared" si="145"/>
        <v>2.1999999999999997</v>
      </c>
      <c r="AJ249" s="423">
        <f t="shared" si="145"/>
        <v>9.1999999999999993</v>
      </c>
      <c r="AK249" s="112"/>
      <c r="AL249" s="112"/>
      <c r="AM249" s="112"/>
      <c r="AN249" s="112"/>
      <c r="AO249" s="423"/>
      <c r="AP249" s="112"/>
      <c r="AQ249" s="112"/>
      <c r="AR249" s="112"/>
      <c r="AS249" s="112"/>
      <c r="AT249" s="423"/>
      <c r="AU249" s="112"/>
      <c r="AV249" s="112"/>
      <c r="AW249" s="112"/>
      <c r="AX249" s="112"/>
      <c r="AY249" s="423"/>
      <c r="AZ249" s="112"/>
      <c r="BA249" s="112"/>
      <c r="BB249" s="112"/>
      <c r="BC249" s="112"/>
      <c r="BD249" s="423"/>
      <c r="BE249" s="112"/>
      <c r="BF249" s="112"/>
      <c r="BG249" s="112"/>
      <c r="BH249" s="112"/>
      <c r="BI249" s="423"/>
      <c r="BJ249" s="112"/>
      <c r="BK249" s="112"/>
      <c r="BL249" s="112"/>
      <c r="BM249" s="112"/>
      <c r="BN249" s="423"/>
      <c r="BO249" s="112"/>
      <c r="BP249" s="112"/>
      <c r="BQ249" s="112"/>
      <c r="BR249" s="112"/>
      <c r="BS249" s="424"/>
      <c r="BT249" s="112"/>
      <c r="BU249" s="112"/>
      <c r="BV249" s="112"/>
      <c r="BW249" s="112"/>
      <c r="BX249" s="423"/>
      <c r="BY249" s="112"/>
      <c r="BZ249" s="112"/>
      <c r="CA249" s="112"/>
      <c r="CB249" s="112"/>
      <c r="CC249" s="423"/>
      <c r="CD249" s="423"/>
      <c r="CE249" s="423"/>
      <c r="CF249" s="423"/>
      <c r="CG249" s="109"/>
    </row>
    <row r="250" spans="1:85" ht="14.45" hidden="1" customHeight="1" x14ac:dyDescent="0.25">
      <c r="A250" s="162"/>
      <c r="B250" s="97"/>
      <c r="C250" s="413"/>
      <c r="D250" s="413"/>
      <c r="E250" s="413"/>
      <c r="F250" s="413"/>
      <c r="G250" s="63"/>
      <c r="H250" s="63"/>
      <c r="I250" s="63"/>
      <c r="J250" s="63"/>
      <c r="K250" s="413"/>
      <c r="L250" s="63"/>
      <c r="M250" s="63"/>
      <c r="N250" s="63"/>
      <c r="O250" s="63"/>
      <c r="P250" s="413"/>
      <c r="Q250" s="63"/>
      <c r="R250" s="63"/>
      <c r="S250" s="63"/>
      <c r="T250" s="63"/>
      <c r="U250" s="413"/>
      <c r="V250" s="63"/>
      <c r="W250" s="63"/>
      <c r="X250" s="63"/>
      <c r="Y250" s="63"/>
      <c r="Z250" s="413"/>
      <c r="AA250" s="63"/>
      <c r="AB250" s="63"/>
      <c r="AC250" s="63"/>
      <c r="AD250" s="63"/>
      <c r="AE250" s="413"/>
      <c r="AF250" s="63"/>
      <c r="AG250" s="63"/>
      <c r="AH250" s="63"/>
      <c r="AI250" s="63"/>
      <c r="AJ250" s="413"/>
      <c r="AK250" s="63"/>
      <c r="AL250" s="63"/>
      <c r="AM250" s="63"/>
      <c r="AN250" s="63"/>
      <c r="AO250" s="413"/>
      <c r="AP250" s="63"/>
      <c r="AQ250" s="63"/>
      <c r="AR250" s="63"/>
      <c r="AS250" s="63"/>
      <c r="AT250" s="413"/>
      <c r="AU250" s="63"/>
      <c r="AV250" s="63"/>
      <c r="AW250" s="63"/>
      <c r="AX250" s="63"/>
      <c r="AY250" s="413"/>
      <c r="AZ250" s="63"/>
      <c r="BA250" s="63"/>
      <c r="BB250" s="63"/>
      <c r="BC250" s="63"/>
      <c r="BD250" s="413"/>
      <c r="BE250" s="63"/>
      <c r="BF250" s="63"/>
      <c r="BG250" s="63"/>
      <c r="BH250" s="63"/>
      <c r="BI250" s="413"/>
      <c r="BJ250" s="63"/>
      <c r="BK250" s="63"/>
      <c r="BL250" s="63"/>
      <c r="BM250" s="63"/>
      <c r="BN250" s="413"/>
      <c r="BO250" s="63"/>
      <c r="BP250" s="63"/>
      <c r="BQ250" s="63"/>
      <c r="BR250" s="63"/>
      <c r="BS250" s="425"/>
      <c r="BT250" s="63"/>
      <c r="BU250" s="63"/>
      <c r="BV250" s="63"/>
      <c r="BW250" s="63"/>
      <c r="BX250" s="413"/>
      <c r="BY250" s="63"/>
      <c r="BZ250" s="63"/>
      <c r="CA250" s="63"/>
      <c r="CB250" s="63"/>
      <c r="CC250" s="413"/>
      <c r="CD250" s="413"/>
      <c r="CE250" s="413"/>
      <c r="CF250" s="413"/>
      <c r="CG250" s="99"/>
    </row>
    <row r="251" spans="1:85" ht="14.45" hidden="1" customHeight="1" x14ac:dyDescent="0.25">
      <c r="A251" s="111" t="s">
        <v>373</v>
      </c>
      <c r="B251" s="108"/>
      <c r="C251" s="471">
        <v>4.5</v>
      </c>
      <c r="D251" s="471">
        <v>5</v>
      </c>
      <c r="E251" s="471">
        <v>5.2</v>
      </c>
      <c r="F251" s="471">
        <v>5.9</v>
      </c>
      <c r="G251" s="112"/>
      <c r="H251" s="112"/>
      <c r="I251" s="112"/>
      <c r="J251" s="112"/>
      <c r="K251" s="471">
        <v>7.1</v>
      </c>
      <c r="L251" s="112"/>
      <c r="M251" s="112"/>
      <c r="N251" s="112"/>
      <c r="O251" s="112"/>
      <c r="P251" s="471">
        <v>7.6</v>
      </c>
      <c r="Q251" s="112"/>
      <c r="R251" s="112"/>
      <c r="S251" s="112"/>
      <c r="T251" s="112"/>
      <c r="U251" s="471">
        <v>8.9</v>
      </c>
      <c r="V251" s="112"/>
      <c r="W251" s="112"/>
      <c r="X251" s="112"/>
      <c r="Y251" s="112"/>
      <c r="Z251" s="471">
        <v>13.6</v>
      </c>
      <c r="AA251" s="112"/>
      <c r="AB251" s="112"/>
      <c r="AC251" s="112"/>
      <c r="AD251" s="112"/>
      <c r="AE251" s="471">
        <v>18.7</v>
      </c>
      <c r="AF251" s="112"/>
      <c r="AG251" s="112"/>
      <c r="AH251" s="112"/>
      <c r="AI251" s="112"/>
      <c r="AJ251" s="471">
        <v>21.6</v>
      </c>
      <c r="AK251" s="112"/>
      <c r="AL251" s="112"/>
      <c r="AM251" s="112"/>
      <c r="AN251" s="112"/>
      <c r="AO251" s="423"/>
      <c r="AP251" s="112"/>
      <c r="AQ251" s="112"/>
      <c r="AR251" s="112"/>
      <c r="AS251" s="112"/>
      <c r="AT251" s="423"/>
      <c r="AU251" s="112"/>
      <c r="AV251" s="112"/>
      <c r="AW251" s="112"/>
      <c r="AX251" s="112"/>
      <c r="AY251" s="423"/>
      <c r="AZ251" s="112"/>
      <c r="BA251" s="112"/>
      <c r="BB251" s="112"/>
      <c r="BC251" s="112"/>
      <c r="BD251" s="423"/>
      <c r="BE251" s="112"/>
      <c r="BF251" s="112"/>
      <c r="BG251" s="112"/>
      <c r="BH251" s="112"/>
      <c r="BI251" s="423"/>
      <c r="BJ251" s="112"/>
      <c r="BK251" s="112"/>
      <c r="BL251" s="112"/>
      <c r="BM251" s="112"/>
      <c r="BN251" s="423"/>
      <c r="BO251" s="112"/>
      <c r="BP251" s="112"/>
      <c r="BQ251" s="112"/>
      <c r="BR251" s="112"/>
      <c r="BS251" s="424"/>
      <c r="BT251" s="112"/>
      <c r="BU251" s="112"/>
      <c r="BV251" s="112"/>
      <c r="BW251" s="112"/>
      <c r="BX251" s="423"/>
      <c r="BY251" s="112"/>
      <c r="BZ251" s="112"/>
      <c r="CA251" s="112"/>
      <c r="CB251" s="112"/>
      <c r="CC251" s="423"/>
      <c r="CD251" s="423"/>
      <c r="CE251" s="423"/>
      <c r="CF251" s="423"/>
      <c r="CG251" s="109"/>
    </row>
    <row r="252" spans="1:85" ht="14.45" customHeight="1" x14ac:dyDescent="0.25">
      <c r="A252" s="162"/>
      <c r="B252" s="97"/>
      <c r="C252" s="413"/>
      <c r="D252" s="413"/>
      <c r="E252" s="413"/>
      <c r="F252" s="413"/>
      <c r="G252" s="63"/>
      <c r="H252" s="63"/>
      <c r="I252" s="63"/>
      <c r="J252" s="63"/>
      <c r="K252" s="413"/>
      <c r="L252" s="63"/>
      <c r="M252" s="63"/>
      <c r="N252" s="63"/>
      <c r="O252" s="63"/>
      <c r="P252" s="413"/>
      <c r="Q252" s="63"/>
      <c r="R252" s="63"/>
      <c r="S252" s="63"/>
      <c r="T252" s="63"/>
      <c r="U252" s="413"/>
      <c r="V252" s="63"/>
      <c r="W252" s="63"/>
      <c r="X252" s="63"/>
      <c r="Y252" s="63"/>
      <c r="Z252" s="413"/>
      <c r="AA252" s="63"/>
      <c r="AB252" s="63"/>
      <c r="AC252" s="63"/>
      <c r="AD252" s="63"/>
      <c r="AE252" s="413"/>
      <c r="AF252" s="63"/>
      <c r="AG252" s="63"/>
      <c r="AH252" s="63"/>
      <c r="AI252" s="63"/>
      <c r="AJ252" s="413"/>
      <c r="AK252" s="63"/>
      <c r="AL252" s="63"/>
      <c r="AM252" s="63"/>
      <c r="AN252" s="63"/>
      <c r="AO252" s="413"/>
      <c r="AP252" s="63"/>
      <c r="AQ252" s="63"/>
      <c r="AR252" s="63"/>
      <c r="AS252" s="63"/>
      <c r="AT252" s="413"/>
      <c r="AU252" s="63"/>
      <c r="AV252" s="63"/>
      <c r="AW252" s="63"/>
      <c r="AX252" s="63"/>
      <c r="AY252" s="413"/>
      <c r="AZ252" s="63"/>
      <c r="BA252" s="63"/>
      <c r="BB252" s="63"/>
      <c r="BC252" s="63"/>
      <c r="BD252" s="413"/>
      <c r="BE252" s="63"/>
      <c r="BF252" s="63"/>
      <c r="BG252" s="63"/>
      <c r="BH252" s="63"/>
      <c r="BI252" s="413"/>
      <c r="BJ252" s="63"/>
      <c r="BK252" s="63"/>
      <c r="BL252" s="63"/>
      <c r="BM252" s="63"/>
      <c r="BN252" s="413"/>
      <c r="BO252" s="63"/>
      <c r="BP252" s="63"/>
      <c r="BQ252" s="63"/>
      <c r="BR252" s="63"/>
      <c r="BS252" s="425"/>
      <c r="BT252" s="63"/>
      <c r="BU252" s="63"/>
      <c r="BV252" s="63"/>
      <c r="BW252" s="63"/>
      <c r="BX252" s="413"/>
      <c r="BY252" s="63"/>
      <c r="BZ252" s="63"/>
      <c r="CA252" s="63"/>
      <c r="CB252" s="63"/>
      <c r="CC252" s="413"/>
      <c r="CD252" s="413"/>
      <c r="CE252" s="413"/>
      <c r="CF252" s="413"/>
      <c r="CG252" s="99"/>
    </row>
    <row r="253" spans="1:85" ht="14.45" customHeight="1" x14ac:dyDescent="0.25">
      <c r="A253" s="78" t="s">
        <v>374</v>
      </c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393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236"/>
    </row>
    <row r="254" spans="1:85" ht="14.45" hidden="1" customHeight="1" x14ac:dyDescent="0.25">
      <c r="A254" s="195" t="s">
        <v>375</v>
      </c>
      <c r="B254" s="80"/>
      <c r="C254" s="394">
        <f t="shared" ref="C254:AH254" si="146">(C404-C412-C413)/C401</f>
        <v>0.52805571225223247</v>
      </c>
      <c r="D254" s="394">
        <f t="shared" si="146"/>
        <v>0.53784665115981189</v>
      </c>
      <c r="E254" s="394">
        <f t="shared" si="146"/>
        <v>0.55717157975172282</v>
      </c>
      <c r="F254" s="394">
        <f t="shared" si="146"/>
        <v>0.55656691854044116</v>
      </c>
      <c r="G254" s="123">
        <f t="shared" si="146"/>
        <v>0.56110399920740661</v>
      </c>
      <c r="H254" s="123">
        <f t="shared" si="146"/>
        <v>0.5693728597437171</v>
      </c>
      <c r="I254" s="123">
        <f t="shared" si="146"/>
        <v>0.5604653089784194</v>
      </c>
      <c r="J254" s="123">
        <f t="shared" si="146"/>
        <v>0.56057889571610109</v>
      </c>
      <c r="K254" s="394">
        <f t="shared" si="146"/>
        <v>0.56296993111078764</v>
      </c>
      <c r="L254" s="123">
        <f t="shared" si="146"/>
        <v>0.56019064187224321</v>
      </c>
      <c r="M254" s="123">
        <f t="shared" si="146"/>
        <v>0.56386120620798164</v>
      </c>
      <c r="N254" s="123">
        <f t="shared" si="146"/>
        <v>0.56249836128615005</v>
      </c>
      <c r="O254" s="123">
        <f t="shared" si="146"/>
        <v>0.55782524430484937</v>
      </c>
      <c r="P254" s="394">
        <f t="shared" si="146"/>
        <v>0.56116433583051473</v>
      </c>
      <c r="Q254" s="123">
        <f t="shared" si="146"/>
        <v>0.55426660165514618</v>
      </c>
      <c r="R254" s="123">
        <f t="shared" si="146"/>
        <v>0.58184299874894863</v>
      </c>
      <c r="S254" s="123">
        <f t="shared" si="146"/>
        <v>0.58052927735025184</v>
      </c>
      <c r="T254" s="123">
        <f t="shared" si="146"/>
        <v>0.57513925733723148</v>
      </c>
      <c r="U254" s="394">
        <f t="shared" si="146"/>
        <v>0.5742701579651569</v>
      </c>
      <c r="V254" s="123">
        <f t="shared" si="146"/>
        <v>0.57105375917730417</v>
      </c>
      <c r="W254" s="123">
        <f t="shared" si="146"/>
        <v>0.58632363300586399</v>
      </c>
      <c r="X254" s="123">
        <f t="shared" si="146"/>
        <v>0.57805042943224483</v>
      </c>
      <c r="Y254" s="123">
        <f t="shared" si="146"/>
        <v>0.57440467702837605</v>
      </c>
      <c r="Z254" s="394">
        <f t="shared" si="146"/>
        <v>0.57789469615654143</v>
      </c>
      <c r="AA254" s="123">
        <f t="shared" si="146"/>
        <v>0.57606428078022232</v>
      </c>
      <c r="AB254" s="123">
        <f t="shared" si="146"/>
        <v>0.60895619653277089</v>
      </c>
      <c r="AC254" s="123">
        <f t="shared" si="146"/>
        <v>0.60984098420164368</v>
      </c>
      <c r="AD254" s="123">
        <f t="shared" si="146"/>
        <v>0.61641665534489687</v>
      </c>
      <c r="AE254" s="394">
        <f t="shared" si="146"/>
        <v>0.60455150580479355</v>
      </c>
      <c r="AF254" s="123">
        <f t="shared" si="146"/>
        <v>0.61976206777696685</v>
      </c>
      <c r="AG254" s="123">
        <f t="shared" si="146"/>
        <v>0.63000500818440608</v>
      </c>
      <c r="AH254" s="123">
        <f t="shared" si="146"/>
        <v>0.61852789749118176</v>
      </c>
      <c r="AI254" s="123">
        <f t="shared" ref="AI254:BN254" si="147">(AI404-AI412-AI413)/AI401</f>
        <v>0.62395046151978217</v>
      </c>
      <c r="AJ254" s="394">
        <f t="shared" si="147"/>
        <v>0.62317171145881722</v>
      </c>
      <c r="AK254" s="123">
        <f t="shared" si="147"/>
        <v>0.60551703127720069</v>
      </c>
      <c r="AL254" s="123">
        <f t="shared" si="147"/>
        <v>0.62247744490479784</v>
      </c>
      <c r="AM254" s="123">
        <f t="shared" si="147"/>
        <v>0.62407466706109771</v>
      </c>
      <c r="AN254" s="123">
        <f t="shared" si="147"/>
        <v>0.61262870573705919</v>
      </c>
      <c r="AO254" s="394">
        <f t="shared" si="147"/>
        <v>0.61661675868203136</v>
      </c>
      <c r="AP254" s="123">
        <f t="shared" si="147"/>
        <v>0.61735211901577214</v>
      </c>
      <c r="AQ254" s="123">
        <f t="shared" si="147"/>
        <v>0.61527686672669424</v>
      </c>
      <c r="AR254" s="123">
        <f t="shared" si="147"/>
        <v>0.60817668861649821</v>
      </c>
      <c r="AS254" s="123">
        <f t="shared" si="147"/>
        <v>0.60395092586871812</v>
      </c>
      <c r="AT254" s="394">
        <f t="shared" si="147"/>
        <v>0.61098719344356711</v>
      </c>
      <c r="AU254" s="123">
        <f t="shared" si="147"/>
        <v>0.61237446421132458</v>
      </c>
      <c r="AV254" s="123">
        <f t="shared" si="147"/>
        <v>0.62368134222230909</v>
      </c>
      <c r="AW254" s="123">
        <f t="shared" si="147"/>
        <v>0.6122151839674167</v>
      </c>
      <c r="AX254" s="123">
        <f t="shared" si="147"/>
        <v>0.6163153132017295</v>
      </c>
      <c r="AY254" s="394">
        <f t="shared" si="147"/>
        <v>0.61623912356450472</v>
      </c>
      <c r="AZ254" s="123">
        <f t="shared" si="147"/>
        <v>0.60776027195344784</v>
      </c>
      <c r="BA254" s="123">
        <f t="shared" si="147"/>
        <v>0.62811157116752292</v>
      </c>
      <c r="BB254" s="123">
        <f t="shared" si="147"/>
        <v>0.5925073790870502</v>
      </c>
      <c r="BC254" s="123">
        <f t="shared" si="147"/>
        <v>0.59192456741024746</v>
      </c>
      <c r="BD254" s="394">
        <f t="shared" si="147"/>
        <v>0.60497323235752154</v>
      </c>
      <c r="BE254" s="123">
        <f t="shared" si="147"/>
        <v>0.57521178487212732</v>
      </c>
      <c r="BF254" s="123">
        <f t="shared" si="147"/>
        <v>0.58865893887391074</v>
      </c>
      <c r="BG254" s="123">
        <f t="shared" si="147"/>
        <v>0.58791785698435195</v>
      </c>
      <c r="BH254" s="123">
        <f t="shared" si="147"/>
        <v>0.57868391299336097</v>
      </c>
      <c r="BI254" s="394">
        <f t="shared" si="147"/>
        <v>0.58284697389093654</v>
      </c>
      <c r="BJ254" s="123">
        <f t="shared" si="147"/>
        <v>0.5681711658392109</v>
      </c>
      <c r="BK254" s="123">
        <f t="shared" si="147"/>
        <v>0.57439183760286372</v>
      </c>
      <c r="BL254" s="123">
        <f t="shared" si="147"/>
        <v>0.57703669805828095</v>
      </c>
      <c r="BM254" s="123">
        <f t="shared" si="147"/>
        <v>0.57143536053638844</v>
      </c>
      <c r="BN254" s="394">
        <f t="shared" si="147"/>
        <v>0.57288531875804749</v>
      </c>
      <c r="BO254" s="123">
        <f t="shared" ref="BO254:CF254" si="148">(BO404-BO412-BO413)/BO401</f>
        <v>0.5693120849227552</v>
      </c>
      <c r="BP254" s="123">
        <f t="shared" si="148"/>
        <v>0.5703299184756393</v>
      </c>
      <c r="BQ254" s="123">
        <f t="shared" si="148"/>
        <v>0.57443480093649524</v>
      </c>
      <c r="BR254" s="123">
        <f t="shared" si="148"/>
        <v>0.57486916053736892</v>
      </c>
      <c r="BS254" s="437">
        <f t="shared" si="148"/>
        <v>0.57237569442955272</v>
      </c>
      <c r="BT254" s="123">
        <f t="shared" si="148"/>
        <v>0.58526218871841551</v>
      </c>
      <c r="BU254" s="123">
        <f t="shared" si="148"/>
        <v>0.59038516308557121</v>
      </c>
      <c r="BV254" s="123">
        <f t="shared" si="148"/>
        <v>0.59108152465502917</v>
      </c>
      <c r="BW254" s="123">
        <f t="shared" si="148"/>
        <v>0.58990122330058248</v>
      </c>
      <c r="BX254" s="394">
        <f t="shared" si="148"/>
        <v>0.58933825359848224</v>
      </c>
      <c r="BY254" s="123">
        <f t="shared" si="148"/>
        <v>0.5838483225949036</v>
      </c>
      <c r="BZ254" s="123">
        <f t="shared" si="148"/>
        <v>0.58925157734777533</v>
      </c>
      <c r="CA254" s="123">
        <f t="shared" si="148"/>
        <v>0.59004257124424475</v>
      </c>
      <c r="CB254" s="123">
        <f t="shared" si="148"/>
        <v>0.58886508279319894</v>
      </c>
      <c r="CC254" s="394">
        <f t="shared" si="148"/>
        <v>0.58819503649320548</v>
      </c>
      <c r="CD254" s="394">
        <f t="shared" si="148"/>
        <v>0.58708695127407418</v>
      </c>
      <c r="CE254" s="394">
        <f t="shared" si="148"/>
        <v>0.58632669932830139</v>
      </c>
      <c r="CF254" s="394">
        <f t="shared" si="148"/>
        <v>0.58574023614579429</v>
      </c>
      <c r="CG254" s="236"/>
    </row>
    <row r="255" spans="1:85" ht="14.45" hidden="1" customHeight="1" x14ac:dyDescent="0.25">
      <c r="A255" s="196" t="s">
        <v>376</v>
      </c>
      <c r="B255" s="197"/>
      <c r="C255" s="500">
        <f t="shared" ref="C255:AH255" si="149">1-C254</f>
        <v>0.47194428774776753</v>
      </c>
      <c r="D255" s="500">
        <f t="shared" si="149"/>
        <v>0.46215334884018811</v>
      </c>
      <c r="E255" s="500">
        <f t="shared" si="149"/>
        <v>0.44282842024827718</v>
      </c>
      <c r="F255" s="500">
        <f t="shared" si="149"/>
        <v>0.44343308145955884</v>
      </c>
      <c r="G255" s="198">
        <f t="shared" si="149"/>
        <v>0.43889600079259339</v>
      </c>
      <c r="H255" s="198">
        <f t="shared" si="149"/>
        <v>0.4306271402562829</v>
      </c>
      <c r="I255" s="198">
        <f t="shared" si="149"/>
        <v>0.4395346910215806</v>
      </c>
      <c r="J255" s="198">
        <f t="shared" si="149"/>
        <v>0.43942110428389891</v>
      </c>
      <c r="K255" s="500">
        <f t="shared" si="149"/>
        <v>0.43703006888921236</v>
      </c>
      <c r="L255" s="198">
        <f t="shared" si="149"/>
        <v>0.43980935812775679</v>
      </c>
      <c r="M255" s="198">
        <f t="shared" si="149"/>
        <v>0.43613879379201836</v>
      </c>
      <c r="N255" s="198">
        <f t="shared" si="149"/>
        <v>0.43750163871384995</v>
      </c>
      <c r="O255" s="198">
        <f t="shared" si="149"/>
        <v>0.44217475569515063</v>
      </c>
      <c r="P255" s="500">
        <f t="shared" si="149"/>
        <v>0.43883566416948527</v>
      </c>
      <c r="Q255" s="198">
        <f t="shared" si="149"/>
        <v>0.44573339834485382</v>
      </c>
      <c r="R255" s="198">
        <f t="shared" si="149"/>
        <v>0.41815700125105137</v>
      </c>
      <c r="S255" s="198">
        <f t="shared" si="149"/>
        <v>0.41947072264974816</v>
      </c>
      <c r="T255" s="198">
        <f t="shared" si="149"/>
        <v>0.42486074266276852</v>
      </c>
      <c r="U255" s="500">
        <f t="shared" si="149"/>
        <v>0.4257298420348431</v>
      </c>
      <c r="V255" s="198">
        <f t="shared" si="149"/>
        <v>0.42894624082269583</v>
      </c>
      <c r="W255" s="198">
        <f t="shared" si="149"/>
        <v>0.41367636699413601</v>
      </c>
      <c r="X255" s="198">
        <f t="shared" si="149"/>
        <v>0.42194957056775517</v>
      </c>
      <c r="Y255" s="198">
        <f t="shared" si="149"/>
        <v>0.42559532297162395</v>
      </c>
      <c r="Z255" s="500">
        <f t="shared" si="149"/>
        <v>0.42210530384345857</v>
      </c>
      <c r="AA255" s="198">
        <f t="shared" si="149"/>
        <v>0.42393571921977768</v>
      </c>
      <c r="AB255" s="198">
        <f t="shared" si="149"/>
        <v>0.39104380346722911</v>
      </c>
      <c r="AC255" s="198">
        <f t="shared" si="149"/>
        <v>0.39015901579835632</v>
      </c>
      <c r="AD255" s="198">
        <f t="shared" si="149"/>
        <v>0.38358334465510313</v>
      </c>
      <c r="AE255" s="500">
        <f t="shared" si="149"/>
        <v>0.39544849419520645</v>
      </c>
      <c r="AF255" s="198">
        <f t="shared" si="149"/>
        <v>0.38023793222303315</v>
      </c>
      <c r="AG255" s="198">
        <f t="shared" si="149"/>
        <v>0.36999499181559392</v>
      </c>
      <c r="AH255" s="198">
        <f t="shared" si="149"/>
        <v>0.38147210250881824</v>
      </c>
      <c r="AI255" s="198">
        <f t="shared" ref="AI255:BN255" si="150">1-AI254</f>
        <v>0.37604953848021783</v>
      </c>
      <c r="AJ255" s="500">
        <f t="shared" si="150"/>
        <v>0.37682828854118278</v>
      </c>
      <c r="AK255" s="198">
        <f t="shared" si="150"/>
        <v>0.39448296872279931</v>
      </c>
      <c r="AL255" s="198">
        <f t="shared" si="150"/>
        <v>0.37752255509520216</v>
      </c>
      <c r="AM255" s="198">
        <f t="shared" si="150"/>
        <v>0.37592533293890229</v>
      </c>
      <c r="AN255" s="198">
        <f t="shared" si="150"/>
        <v>0.38737129426294081</v>
      </c>
      <c r="AO255" s="500">
        <f t="shared" si="150"/>
        <v>0.38338324131796864</v>
      </c>
      <c r="AP255" s="198">
        <f t="shared" si="150"/>
        <v>0.38264788098422786</v>
      </c>
      <c r="AQ255" s="198">
        <f t="shared" si="150"/>
        <v>0.38472313327330576</v>
      </c>
      <c r="AR255" s="198">
        <f t="shared" si="150"/>
        <v>0.39182331138350179</v>
      </c>
      <c r="AS255" s="198">
        <f t="shared" si="150"/>
        <v>0.39604907413128188</v>
      </c>
      <c r="AT255" s="500">
        <f t="shared" si="150"/>
        <v>0.38901280655643289</v>
      </c>
      <c r="AU255" s="198">
        <f t="shared" si="150"/>
        <v>0.38762553578867542</v>
      </c>
      <c r="AV255" s="198">
        <f t="shared" si="150"/>
        <v>0.37631865777769091</v>
      </c>
      <c r="AW255" s="198">
        <f t="shared" si="150"/>
        <v>0.3877848160325833</v>
      </c>
      <c r="AX255" s="198">
        <f t="shared" si="150"/>
        <v>0.3836846867982705</v>
      </c>
      <c r="AY255" s="500">
        <f t="shared" si="150"/>
        <v>0.38376087643549528</v>
      </c>
      <c r="AZ255" s="198">
        <f t="shared" si="150"/>
        <v>0.39223972804655216</v>
      </c>
      <c r="BA255" s="198">
        <f t="shared" si="150"/>
        <v>0.37188842883247708</v>
      </c>
      <c r="BB255" s="198">
        <f t="shared" si="150"/>
        <v>0.4074926209129498</v>
      </c>
      <c r="BC255" s="198">
        <f t="shared" si="150"/>
        <v>0.40807543258975254</v>
      </c>
      <c r="BD255" s="500">
        <f t="shared" si="150"/>
        <v>0.39502676764247846</v>
      </c>
      <c r="BE255" s="198">
        <f t="shared" si="150"/>
        <v>0.42478821512787268</v>
      </c>
      <c r="BF255" s="198">
        <f t="shared" si="150"/>
        <v>0.41134106112608926</v>
      </c>
      <c r="BG255" s="198">
        <f t="shared" si="150"/>
        <v>0.41208214301564805</v>
      </c>
      <c r="BH255" s="198">
        <f t="shared" si="150"/>
        <v>0.42131608700663903</v>
      </c>
      <c r="BI255" s="500">
        <f t="shared" si="150"/>
        <v>0.41715302610906346</v>
      </c>
      <c r="BJ255" s="198">
        <f t="shared" si="150"/>
        <v>0.4318288341607891</v>
      </c>
      <c r="BK255" s="198">
        <f t="shared" si="150"/>
        <v>0.42560816239713628</v>
      </c>
      <c r="BL255" s="198">
        <f t="shared" si="150"/>
        <v>0.42296330194171905</v>
      </c>
      <c r="BM255" s="198">
        <f t="shared" si="150"/>
        <v>0.42856463946361156</v>
      </c>
      <c r="BN255" s="500">
        <f t="shared" si="150"/>
        <v>0.42711468124195251</v>
      </c>
      <c r="BO255" s="198">
        <f t="shared" ref="BO255:CF255" si="151">1-BO254</f>
        <v>0.4306879150772448</v>
      </c>
      <c r="BP255" s="198">
        <f t="shared" si="151"/>
        <v>0.4296700815243607</v>
      </c>
      <c r="BQ255" s="198">
        <f t="shared" si="151"/>
        <v>0.42556519906350476</v>
      </c>
      <c r="BR255" s="198">
        <f t="shared" si="151"/>
        <v>0.42513083946263108</v>
      </c>
      <c r="BS255" s="501">
        <f t="shared" si="151"/>
        <v>0.42762430557044728</v>
      </c>
      <c r="BT255" s="198">
        <f t="shared" si="151"/>
        <v>0.41473781128158449</v>
      </c>
      <c r="BU255" s="198">
        <f t="shared" si="151"/>
        <v>0.40961483691442879</v>
      </c>
      <c r="BV255" s="198">
        <f t="shared" si="151"/>
        <v>0.40891847534497083</v>
      </c>
      <c r="BW255" s="198">
        <f t="shared" si="151"/>
        <v>0.41009877669941752</v>
      </c>
      <c r="BX255" s="500">
        <f t="shared" si="151"/>
        <v>0.41066174640151776</v>
      </c>
      <c r="BY255" s="198">
        <f t="shared" si="151"/>
        <v>0.4161516774050964</v>
      </c>
      <c r="BZ255" s="198">
        <f t="shared" si="151"/>
        <v>0.41074842265222467</v>
      </c>
      <c r="CA255" s="198">
        <f t="shared" si="151"/>
        <v>0.40995742875575525</v>
      </c>
      <c r="CB255" s="198">
        <f t="shared" si="151"/>
        <v>0.41113491720680106</v>
      </c>
      <c r="CC255" s="500">
        <f t="shared" si="151"/>
        <v>0.41180496350679452</v>
      </c>
      <c r="CD255" s="500">
        <f t="shared" si="151"/>
        <v>0.41291304872592582</v>
      </c>
      <c r="CE255" s="500">
        <f t="shared" si="151"/>
        <v>0.41367330067169861</v>
      </c>
      <c r="CF255" s="500">
        <f t="shared" si="151"/>
        <v>0.41425976385420571</v>
      </c>
      <c r="CG255" s="235"/>
    </row>
    <row r="256" spans="1:85" ht="14.45" hidden="1" customHeight="1" x14ac:dyDescent="0.25">
      <c r="A256" s="122"/>
      <c r="B256" s="80"/>
      <c r="C256" s="394"/>
      <c r="D256" s="394"/>
      <c r="E256" s="394"/>
      <c r="F256" s="394"/>
      <c r="G256" s="123"/>
      <c r="H256" s="123"/>
      <c r="I256" s="123"/>
      <c r="J256" s="123"/>
      <c r="K256" s="394"/>
      <c r="L256" s="123"/>
      <c r="M256" s="123"/>
      <c r="N256" s="123"/>
      <c r="O256" s="123"/>
      <c r="P256" s="394"/>
      <c r="Q256" s="123"/>
      <c r="R256" s="123"/>
      <c r="S256" s="123"/>
      <c r="T256" s="123"/>
      <c r="U256" s="394"/>
      <c r="V256" s="123"/>
      <c r="W256" s="123"/>
      <c r="X256" s="123"/>
      <c r="Y256" s="123"/>
      <c r="Z256" s="394"/>
      <c r="AA256" s="123"/>
      <c r="AB256" s="123"/>
      <c r="AC256" s="123"/>
      <c r="AD256" s="123"/>
      <c r="AE256" s="394"/>
      <c r="AF256" s="123"/>
      <c r="AG256" s="123"/>
      <c r="AH256" s="123"/>
      <c r="AI256" s="123"/>
      <c r="AJ256" s="394"/>
      <c r="AK256" s="123"/>
      <c r="AL256" s="123"/>
      <c r="AM256" s="123"/>
      <c r="AN256" s="123"/>
      <c r="AO256" s="394"/>
      <c r="AP256" s="123"/>
      <c r="AQ256" s="123"/>
      <c r="AR256" s="123"/>
      <c r="AS256" s="123"/>
      <c r="AT256" s="394"/>
      <c r="AU256" s="123"/>
      <c r="AV256" s="123"/>
      <c r="AW256" s="123"/>
      <c r="AX256" s="123"/>
      <c r="AY256" s="394"/>
      <c r="AZ256" s="123"/>
      <c r="BA256" s="123"/>
      <c r="BB256" s="123"/>
      <c r="BC256" s="123"/>
      <c r="BD256" s="394"/>
      <c r="BE256" s="123"/>
      <c r="BF256" s="123"/>
      <c r="BG256" s="123"/>
      <c r="BH256" s="123"/>
      <c r="BI256" s="394"/>
      <c r="BJ256" s="123"/>
      <c r="BK256" s="123"/>
      <c r="BL256" s="123"/>
      <c r="BM256" s="123"/>
      <c r="BN256" s="394"/>
      <c r="BO256" s="123"/>
      <c r="BP256" s="123"/>
      <c r="BQ256" s="123"/>
      <c r="BR256" s="123"/>
      <c r="BS256" s="437"/>
      <c r="BT256" s="123"/>
      <c r="BU256" s="123"/>
      <c r="BV256" s="123"/>
      <c r="BW256" s="123"/>
      <c r="BX256" s="394"/>
      <c r="BY256" s="123"/>
      <c r="BZ256" s="123"/>
      <c r="CA256" s="123"/>
      <c r="CB256" s="123"/>
      <c r="CC256" s="394"/>
      <c r="CD256" s="394"/>
      <c r="CE256" s="394"/>
      <c r="CF256" s="394"/>
      <c r="CG256" s="235"/>
    </row>
    <row r="257" spans="1:85" ht="14.45" customHeight="1" x14ac:dyDescent="0.25">
      <c r="A257" s="199" t="s">
        <v>377</v>
      </c>
      <c r="B257" s="200"/>
      <c r="C257" s="502">
        <f t="shared" ref="C257:AH257" si="152">C404/C401</f>
        <v>0.57033955977396866</v>
      </c>
      <c r="D257" s="502">
        <f t="shared" si="152"/>
        <v>0.57690715496312894</v>
      </c>
      <c r="E257" s="502">
        <f t="shared" si="152"/>
        <v>0.59695920996080676</v>
      </c>
      <c r="F257" s="502">
        <f t="shared" si="152"/>
        <v>0.59471281867999481</v>
      </c>
      <c r="G257" s="201">
        <f t="shared" si="152"/>
        <v>0.59927362984322818</v>
      </c>
      <c r="H257" s="201">
        <f t="shared" si="152"/>
        <v>0.60297590324934325</v>
      </c>
      <c r="I257" s="201">
        <f t="shared" si="152"/>
        <v>0.59464535611696245</v>
      </c>
      <c r="J257" s="201">
        <f t="shared" si="152"/>
        <v>0.59802402513586128</v>
      </c>
      <c r="K257" s="502">
        <f t="shared" si="152"/>
        <v>0.59871592018916364</v>
      </c>
      <c r="L257" s="201">
        <f t="shared" si="152"/>
        <v>0.59768337184944231</v>
      </c>
      <c r="M257" s="201">
        <f t="shared" si="152"/>
        <v>0.59623307571935669</v>
      </c>
      <c r="N257" s="201">
        <f t="shared" si="152"/>
        <v>0.59591064421118867</v>
      </c>
      <c r="O257" s="201">
        <f t="shared" si="152"/>
        <v>0.59503265719252585</v>
      </c>
      <c r="P257" s="502">
        <f t="shared" si="152"/>
        <v>0.59616839281961609</v>
      </c>
      <c r="Q257" s="201">
        <f t="shared" si="152"/>
        <v>0.59322276962314646</v>
      </c>
      <c r="R257" s="201">
        <f t="shared" si="152"/>
        <v>0.61391969519248135</v>
      </c>
      <c r="S257" s="201">
        <f t="shared" si="152"/>
        <v>0.61452216041861252</v>
      </c>
      <c r="T257" s="201">
        <f t="shared" si="152"/>
        <v>0.61142523349405176</v>
      </c>
      <c r="U257" s="502">
        <f t="shared" si="152"/>
        <v>0.60934385104779709</v>
      </c>
      <c r="V257" s="201">
        <f t="shared" si="152"/>
        <v>0.61004770919137397</v>
      </c>
      <c r="W257" s="201">
        <f t="shared" si="152"/>
        <v>0.61957033927347505</v>
      </c>
      <c r="X257" s="201">
        <f t="shared" si="152"/>
        <v>0.61462990619861768</v>
      </c>
      <c r="Y257" s="201">
        <f t="shared" si="152"/>
        <v>0.6138991872237276</v>
      </c>
      <c r="Z257" s="502">
        <f t="shared" si="152"/>
        <v>0.61484247383434687</v>
      </c>
      <c r="AA257" s="201">
        <f t="shared" si="152"/>
        <v>0.61647194993196275</v>
      </c>
      <c r="AB257" s="201">
        <f t="shared" si="152"/>
        <v>0.64493184331359776</v>
      </c>
      <c r="AC257" s="201">
        <f t="shared" si="152"/>
        <v>0.64704101241606637</v>
      </c>
      <c r="AD257" s="201">
        <f t="shared" si="152"/>
        <v>0.65952640369968829</v>
      </c>
      <c r="AE257" s="502">
        <f t="shared" si="152"/>
        <v>0.64360191393048682</v>
      </c>
      <c r="AF257" s="201">
        <f t="shared" si="152"/>
        <v>0.66411021481896804</v>
      </c>
      <c r="AG257" s="201">
        <f t="shared" si="152"/>
        <v>0.66827294686980276</v>
      </c>
      <c r="AH257" s="201">
        <f t="shared" si="152"/>
        <v>0.6572220196622518</v>
      </c>
      <c r="AI257" s="201">
        <f t="shared" ref="AI257:BN257" si="153">AI404/AI401</f>
        <v>0.66509175405672005</v>
      </c>
      <c r="AJ257" s="502">
        <f t="shared" si="153"/>
        <v>0.66365630899535699</v>
      </c>
      <c r="AK257" s="201">
        <f t="shared" si="153"/>
        <v>0.64701807578483139</v>
      </c>
      <c r="AL257" s="201">
        <f t="shared" si="153"/>
        <v>0.65785269055532125</v>
      </c>
      <c r="AM257" s="201">
        <f t="shared" si="153"/>
        <v>0.65994166930888276</v>
      </c>
      <c r="AN257" s="201">
        <f t="shared" si="153"/>
        <v>0.649525976102444</v>
      </c>
      <c r="AO257" s="502">
        <f t="shared" si="153"/>
        <v>0.65389308178576455</v>
      </c>
      <c r="AP257" s="201">
        <f t="shared" si="153"/>
        <v>0.65448615156932399</v>
      </c>
      <c r="AQ257" s="201">
        <f t="shared" si="153"/>
        <v>0.65018273081733846</v>
      </c>
      <c r="AR257" s="201">
        <f t="shared" si="153"/>
        <v>0.64437810316119737</v>
      </c>
      <c r="AS257" s="201">
        <f t="shared" si="153"/>
        <v>0.63877550860799437</v>
      </c>
      <c r="AT257" s="502">
        <f t="shared" si="153"/>
        <v>0.64673798972192309</v>
      </c>
      <c r="AU257" s="201">
        <f t="shared" si="153"/>
        <v>0.64665076461365334</v>
      </c>
      <c r="AV257" s="201">
        <f t="shared" si="153"/>
        <v>0.65463342744259589</v>
      </c>
      <c r="AW257" s="201">
        <f t="shared" si="153"/>
        <v>0.6447779381816785</v>
      </c>
      <c r="AX257" s="201">
        <f t="shared" si="153"/>
        <v>0.64856429151581763</v>
      </c>
      <c r="AY257" s="502">
        <f t="shared" si="153"/>
        <v>0.6486989983666247</v>
      </c>
      <c r="AZ257" s="201">
        <f t="shared" si="153"/>
        <v>0.63857079177816489</v>
      </c>
      <c r="BA257" s="201">
        <f t="shared" si="153"/>
        <v>0.65480577853142063</v>
      </c>
      <c r="BB257" s="201">
        <f t="shared" si="153"/>
        <v>0.61862262363309595</v>
      </c>
      <c r="BC257" s="201">
        <f t="shared" si="153"/>
        <v>0.61939604334957832</v>
      </c>
      <c r="BD257" s="502">
        <f t="shared" si="153"/>
        <v>0.6326447675737793</v>
      </c>
      <c r="BE257" s="201">
        <f t="shared" si="153"/>
        <v>0.6028955703652612</v>
      </c>
      <c r="BF257" s="201">
        <f t="shared" si="153"/>
        <v>0.61377694912446978</v>
      </c>
      <c r="BG257" s="201">
        <f t="shared" si="153"/>
        <v>0.61367718817959049</v>
      </c>
      <c r="BH257" s="201">
        <f t="shared" si="153"/>
        <v>0.60668589465319722</v>
      </c>
      <c r="BI257" s="502">
        <f t="shared" si="153"/>
        <v>0.60944297278360915</v>
      </c>
      <c r="BJ257" s="201">
        <f t="shared" si="153"/>
        <v>0.59754427233533502</v>
      </c>
      <c r="BK257" s="201">
        <f t="shared" si="153"/>
        <v>0.60092831454004936</v>
      </c>
      <c r="BL257" s="201">
        <f t="shared" si="153"/>
        <v>0.60465822257160529</v>
      </c>
      <c r="BM257" s="201">
        <f t="shared" si="153"/>
        <v>0.60041454455924559</v>
      </c>
      <c r="BN257" s="502">
        <f t="shared" si="153"/>
        <v>0.60097212696870428</v>
      </c>
      <c r="BO257" s="201">
        <f t="shared" ref="BO257:CF257" si="154">BO404/BO401</f>
        <v>0.60309295641645411</v>
      </c>
      <c r="BP257" s="201">
        <f t="shared" si="154"/>
        <v>0.59984457178827055</v>
      </c>
      <c r="BQ257" s="201">
        <f t="shared" si="154"/>
        <v>0.6036068096617252</v>
      </c>
      <c r="BR257" s="201">
        <f t="shared" si="154"/>
        <v>0.60391273798183231</v>
      </c>
      <c r="BS257" s="503">
        <f t="shared" si="154"/>
        <v>0.60260927732287595</v>
      </c>
      <c r="BT257" s="201">
        <f t="shared" si="154"/>
        <v>0.62</v>
      </c>
      <c r="BU257" s="201">
        <f t="shared" si="154"/>
        <v>0.62</v>
      </c>
      <c r="BV257" s="201">
        <f t="shared" si="154"/>
        <v>0.61999999999999988</v>
      </c>
      <c r="BW257" s="201">
        <f t="shared" si="154"/>
        <v>0.61999999999999988</v>
      </c>
      <c r="BX257" s="502">
        <f t="shared" si="154"/>
        <v>0.62</v>
      </c>
      <c r="BY257" s="201">
        <f t="shared" si="154"/>
        <v>0.62</v>
      </c>
      <c r="BZ257" s="201">
        <f t="shared" si="154"/>
        <v>0.62</v>
      </c>
      <c r="CA257" s="201">
        <f t="shared" si="154"/>
        <v>0.62</v>
      </c>
      <c r="CB257" s="201">
        <f t="shared" si="154"/>
        <v>0.62000000000000011</v>
      </c>
      <c r="CC257" s="502">
        <f t="shared" si="154"/>
        <v>0.62000000000000011</v>
      </c>
      <c r="CD257" s="502">
        <f t="shared" si="154"/>
        <v>0.62</v>
      </c>
      <c r="CE257" s="502">
        <f t="shared" si="154"/>
        <v>0.62000000000000011</v>
      </c>
      <c r="CF257" s="502">
        <f t="shared" si="154"/>
        <v>0.61999999999999988</v>
      </c>
      <c r="CG257" s="235"/>
    </row>
    <row r="258" spans="1:85" ht="14.45" customHeight="1" x14ac:dyDescent="0.25">
      <c r="A258" s="202" t="s">
        <v>378</v>
      </c>
      <c r="B258" s="89"/>
      <c r="C258" s="406">
        <f t="shared" ref="C258:AH258" si="155">1-C257</f>
        <v>0.42966044022603134</v>
      </c>
      <c r="D258" s="406">
        <f t="shared" si="155"/>
        <v>0.42309284503687106</v>
      </c>
      <c r="E258" s="406">
        <f t="shared" si="155"/>
        <v>0.40304079003919324</v>
      </c>
      <c r="F258" s="406">
        <f t="shared" si="155"/>
        <v>0.40528718132000519</v>
      </c>
      <c r="G258" s="90">
        <f t="shared" si="155"/>
        <v>0.40072637015677182</v>
      </c>
      <c r="H258" s="90">
        <f t="shared" si="155"/>
        <v>0.39702409675065675</v>
      </c>
      <c r="I258" s="90">
        <f t="shared" si="155"/>
        <v>0.40535464388303755</v>
      </c>
      <c r="J258" s="90">
        <f t="shared" si="155"/>
        <v>0.40197597486413872</v>
      </c>
      <c r="K258" s="406">
        <f t="shared" si="155"/>
        <v>0.40128407981083636</v>
      </c>
      <c r="L258" s="90">
        <f t="shared" si="155"/>
        <v>0.40231662815055769</v>
      </c>
      <c r="M258" s="90">
        <f t="shared" si="155"/>
        <v>0.40376692428064331</v>
      </c>
      <c r="N258" s="90">
        <f t="shared" si="155"/>
        <v>0.40408935578881133</v>
      </c>
      <c r="O258" s="90">
        <f t="shared" si="155"/>
        <v>0.40496734280747415</v>
      </c>
      <c r="P258" s="406">
        <f t="shared" si="155"/>
        <v>0.40383160718038391</v>
      </c>
      <c r="Q258" s="90">
        <f t="shared" si="155"/>
        <v>0.40677723037685354</v>
      </c>
      <c r="R258" s="90">
        <f t="shared" si="155"/>
        <v>0.38608030480751865</v>
      </c>
      <c r="S258" s="90">
        <f t="shared" si="155"/>
        <v>0.38547783958138748</v>
      </c>
      <c r="T258" s="90">
        <f t="shared" si="155"/>
        <v>0.38857476650594824</v>
      </c>
      <c r="U258" s="406">
        <f t="shared" si="155"/>
        <v>0.39065614895220291</v>
      </c>
      <c r="V258" s="90">
        <f t="shared" si="155"/>
        <v>0.38995229080862603</v>
      </c>
      <c r="W258" s="90">
        <f t="shared" si="155"/>
        <v>0.38042966072652495</v>
      </c>
      <c r="X258" s="90">
        <f t="shared" si="155"/>
        <v>0.38537009380138232</v>
      </c>
      <c r="Y258" s="90">
        <f t="shared" si="155"/>
        <v>0.3861008127762724</v>
      </c>
      <c r="Z258" s="406">
        <f t="shared" si="155"/>
        <v>0.38515752616565313</v>
      </c>
      <c r="AA258" s="90">
        <f t="shared" si="155"/>
        <v>0.38352805006803725</v>
      </c>
      <c r="AB258" s="90">
        <f t="shared" si="155"/>
        <v>0.35506815668640224</v>
      </c>
      <c r="AC258" s="90">
        <f t="shared" si="155"/>
        <v>0.35295898758393363</v>
      </c>
      <c r="AD258" s="90">
        <f t="shared" si="155"/>
        <v>0.34047359630031171</v>
      </c>
      <c r="AE258" s="406">
        <f t="shared" si="155"/>
        <v>0.35639808606951318</v>
      </c>
      <c r="AF258" s="90">
        <f t="shared" si="155"/>
        <v>0.33588978518103196</v>
      </c>
      <c r="AG258" s="90">
        <f t="shared" si="155"/>
        <v>0.33172705313019724</v>
      </c>
      <c r="AH258" s="90">
        <f t="shared" si="155"/>
        <v>0.3427779803377482</v>
      </c>
      <c r="AI258" s="90">
        <f t="shared" ref="AI258:BN258" si="156">1-AI257</f>
        <v>0.33490824594327995</v>
      </c>
      <c r="AJ258" s="406">
        <f t="shared" si="156"/>
        <v>0.33634369100464301</v>
      </c>
      <c r="AK258" s="90">
        <f t="shared" si="156"/>
        <v>0.35298192421516861</v>
      </c>
      <c r="AL258" s="90">
        <f t="shared" si="156"/>
        <v>0.34214730944467875</v>
      </c>
      <c r="AM258" s="90">
        <f t="shared" si="156"/>
        <v>0.34005833069111724</v>
      </c>
      <c r="AN258" s="90">
        <f t="shared" si="156"/>
        <v>0.350474023897556</v>
      </c>
      <c r="AO258" s="406">
        <f t="shared" si="156"/>
        <v>0.34610691821423545</v>
      </c>
      <c r="AP258" s="90">
        <f t="shared" si="156"/>
        <v>0.34551384843067601</v>
      </c>
      <c r="AQ258" s="90">
        <f t="shared" si="156"/>
        <v>0.34981726918266154</v>
      </c>
      <c r="AR258" s="90">
        <f t="shared" si="156"/>
        <v>0.35562189683880263</v>
      </c>
      <c r="AS258" s="90">
        <f t="shared" si="156"/>
        <v>0.36122449139200563</v>
      </c>
      <c r="AT258" s="406">
        <f t="shared" si="156"/>
        <v>0.35326201027807691</v>
      </c>
      <c r="AU258" s="90">
        <f t="shared" si="156"/>
        <v>0.35334923538634666</v>
      </c>
      <c r="AV258" s="90">
        <f t="shared" si="156"/>
        <v>0.34536657255740411</v>
      </c>
      <c r="AW258" s="90">
        <f t="shared" si="156"/>
        <v>0.3552220618183215</v>
      </c>
      <c r="AX258" s="90">
        <f t="shared" si="156"/>
        <v>0.35143570848418237</v>
      </c>
      <c r="AY258" s="406">
        <f t="shared" si="156"/>
        <v>0.3513010016333753</v>
      </c>
      <c r="AZ258" s="90">
        <f t="shared" si="156"/>
        <v>0.36142920822183511</v>
      </c>
      <c r="BA258" s="90">
        <f t="shared" si="156"/>
        <v>0.34519422146857937</v>
      </c>
      <c r="BB258" s="90">
        <f t="shared" si="156"/>
        <v>0.38137737636690405</v>
      </c>
      <c r="BC258" s="90">
        <f t="shared" si="156"/>
        <v>0.38060395665042168</v>
      </c>
      <c r="BD258" s="406">
        <f t="shared" si="156"/>
        <v>0.3673552324262207</v>
      </c>
      <c r="BE258" s="90">
        <f t="shared" si="156"/>
        <v>0.3971044296347388</v>
      </c>
      <c r="BF258" s="90">
        <f t="shared" si="156"/>
        <v>0.38622305087553022</v>
      </c>
      <c r="BG258" s="90">
        <f t="shared" si="156"/>
        <v>0.38632281182040951</v>
      </c>
      <c r="BH258" s="90">
        <f t="shared" si="156"/>
        <v>0.39331410534680278</v>
      </c>
      <c r="BI258" s="406">
        <f t="shared" si="156"/>
        <v>0.39055702721639085</v>
      </c>
      <c r="BJ258" s="90">
        <f t="shared" si="156"/>
        <v>0.40245572766466498</v>
      </c>
      <c r="BK258" s="90">
        <f t="shared" si="156"/>
        <v>0.39907168545995064</v>
      </c>
      <c r="BL258" s="90">
        <f t="shared" si="156"/>
        <v>0.39534177742839471</v>
      </c>
      <c r="BM258" s="90">
        <f t="shared" si="156"/>
        <v>0.39958545544075441</v>
      </c>
      <c r="BN258" s="406">
        <f t="shared" si="156"/>
        <v>0.39902787303129572</v>
      </c>
      <c r="BO258" s="90">
        <f t="shared" ref="BO258:BS258" si="157">1-BO257</f>
        <v>0.39690704358354589</v>
      </c>
      <c r="BP258" s="90">
        <f t="shared" si="157"/>
        <v>0.40015542821172945</v>
      </c>
      <c r="BQ258" s="90">
        <f t="shared" si="157"/>
        <v>0.3963931903382748</v>
      </c>
      <c r="BR258" s="90">
        <f t="shared" si="157"/>
        <v>0.39608726201816769</v>
      </c>
      <c r="BS258" s="407">
        <f t="shared" si="157"/>
        <v>0.39739072267712405</v>
      </c>
      <c r="BT258" s="94">
        <v>0.38</v>
      </c>
      <c r="BU258" s="94">
        <v>0.38</v>
      </c>
      <c r="BV258" s="94">
        <v>0.38</v>
      </c>
      <c r="BW258" s="94">
        <v>0.38</v>
      </c>
      <c r="BX258" s="406">
        <f>1-BX257</f>
        <v>0.38</v>
      </c>
      <c r="BY258" s="94">
        <v>0.38</v>
      </c>
      <c r="BZ258" s="94">
        <v>0.38</v>
      </c>
      <c r="CA258" s="94">
        <v>0.38</v>
      </c>
      <c r="CB258" s="94">
        <v>0.38</v>
      </c>
      <c r="CC258" s="406">
        <f>1-CC257</f>
        <v>0.37999999999999989</v>
      </c>
      <c r="CD258" s="408">
        <v>0.38</v>
      </c>
      <c r="CE258" s="408">
        <v>0.38</v>
      </c>
      <c r="CF258" s="408">
        <v>0.38</v>
      </c>
      <c r="CG258" s="235"/>
    </row>
    <row r="259" spans="1:85" ht="14.45" customHeight="1" x14ac:dyDescent="0.25">
      <c r="A259" s="203" t="s">
        <v>379</v>
      </c>
      <c r="B259" s="204"/>
      <c r="C259" s="504"/>
      <c r="D259" s="504"/>
      <c r="E259" s="504"/>
      <c r="F259" s="504"/>
      <c r="G259" s="205"/>
      <c r="H259" s="205"/>
      <c r="I259" s="205"/>
      <c r="J259" s="205"/>
      <c r="K259" s="504"/>
      <c r="L259" s="205"/>
      <c r="M259" s="205"/>
      <c r="N259" s="205"/>
      <c r="O259" s="205"/>
      <c r="P259" s="504"/>
      <c r="Q259" s="205"/>
      <c r="R259" s="205"/>
      <c r="S259" s="205"/>
      <c r="T259" s="205"/>
      <c r="U259" s="504"/>
      <c r="V259" s="205"/>
      <c r="W259" s="205"/>
      <c r="X259" s="205"/>
      <c r="Y259" s="205"/>
      <c r="Z259" s="504"/>
      <c r="AA259" s="205"/>
      <c r="AB259" s="205"/>
      <c r="AC259" s="205"/>
      <c r="AD259" s="205"/>
      <c r="AE259" s="504"/>
      <c r="AF259" s="205"/>
      <c r="AG259" s="205"/>
      <c r="AH259" s="205"/>
      <c r="AI259" s="205"/>
      <c r="AJ259" s="504"/>
      <c r="AK259" s="205"/>
      <c r="AL259" s="205"/>
      <c r="AM259" s="205"/>
      <c r="AN259" s="205"/>
      <c r="AO259" s="504"/>
      <c r="AP259" s="205"/>
      <c r="AQ259" s="205"/>
      <c r="AR259" s="205"/>
      <c r="AS259" s="205"/>
      <c r="AT259" s="504"/>
      <c r="AU259" s="205"/>
      <c r="AV259" s="205"/>
      <c r="AW259" s="205"/>
      <c r="AX259" s="205"/>
      <c r="AY259" s="504"/>
      <c r="AZ259" s="205"/>
      <c r="BA259" s="205"/>
      <c r="BB259" s="205"/>
      <c r="BC259" s="205"/>
      <c r="BD259" s="504"/>
      <c r="BE259" s="205"/>
      <c r="BF259" s="205"/>
      <c r="BG259" s="205"/>
      <c r="BH259" s="205"/>
      <c r="BI259" s="504"/>
      <c r="BJ259" s="205"/>
      <c r="BK259" s="205"/>
      <c r="BL259" s="205"/>
      <c r="BM259" s="205"/>
      <c r="BN259" s="504"/>
      <c r="BO259" s="205"/>
      <c r="BP259" s="205"/>
      <c r="BQ259" s="205"/>
      <c r="BR259" s="205"/>
      <c r="BS259" s="505"/>
      <c r="BT259" s="209" t="str">
        <f ca="1">IFERROR(VLOOKUP($A259,tb_ConsensusEstimate,MATCH(BT$5,OFFSET(tb_ConsensusEstimate,0,0,1,COLUMNS(tb_ConsensusEstimate)),0),FALSE),"-")</f>
        <v>-</v>
      </c>
      <c r="BU259" s="209" t="str">
        <f ca="1">IFERROR(VLOOKUP($A259,tb_ConsensusEstimate,MATCH(BU$5,OFFSET(tb_ConsensusEstimate,0,0,1,COLUMNS(tb_ConsensusEstimate)),0),FALSE),"-")</f>
        <v>-</v>
      </c>
      <c r="BV259" s="209" t="str">
        <f ca="1">IFERROR(VLOOKUP($A259,tb_ConsensusEstimate,MATCH(BV$5,OFFSET(tb_ConsensusEstimate,0,0,1,COLUMNS(tb_ConsensusEstimate)),0),FALSE),"-")</f>
        <v>-</v>
      </c>
      <c r="BW259" s="209" t="str">
        <f ca="1">IFERROR(VLOOKUP($A259,tb_ConsensusEstimate,MATCH(BW$5,OFFSET(tb_ConsensusEstimate,0,0,1,COLUMNS(tb_ConsensusEstimate)),0),FALSE),"-")</f>
        <v>-</v>
      </c>
      <c r="BX259" s="506" t="str">
        <f ca="1">IFERROR(VLOOKUP($A259,tb_ConsensusEstimate,MATCH(BX$5,OFFSET(tb_ConsensusEstimate,0,0,1,COLUMNS(tb_ConsensusEstimate)),0),FALSE),"-")</f>
        <v>-</v>
      </c>
      <c r="BY259" s="209" t="str">
        <f ca="1">IFERROR(VLOOKUP($A259,tb_ConsensusEstimate,MATCH(BY$5,OFFSET(tb_ConsensusEstimate,0,0,1,COLUMNS(tb_ConsensusEstimate)),0),FALSE),"-")</f>
        <v>-</v>
      </c>
      <c r="BZ259" s="209" t="str">
        <f ca="1">IFERROR(VLOOKUP($A259,tb_ConsensusEstimate,MATCH(BZ$5,OFFSET(tb_ConsensusEstimate,0,0,1,COLUMNS(tb_ConsensusEstimate)),0),FALSE),"-")</f>
        <v>-</v>
      </c>
      <c r="CA259" s="209" t="str">
        <f ca="1">IFERROR(VLOOKUP($A259,tb_ConsensusEstimate,MATCH(CA$5,OFFSET(tb_ConsensusEstimate,0,0,1,COLUMNS(tb_ConsensusEstimate)),0),FALSE),"-")</f>
        <v>-</v>
      </c>
      <c r="CB259" s="209" t="str">
        <f ca="1">IFERROR(VLOOKUP($A259,tb_ConsensusEstimate,MATCH(CB$5,OFFSET(tb_ConsensusEstimate,0,0,1,COLUMNS(tb_ConsensusEstimate)),0),FALSE),"-")</f>
        <v>-</v>
      </c>
      <c r="CC259" s="506" t="str">
        <f ca="1">IFERROR(VLOOKUP($A259,tb_ConsensusEstimate,MATCH(CC$5,OFFSET(tb_ConsensusEstimate,0,0,1,COLUMNS(tb_ConsensusEstimate)),0),FALSE),"-")</f>
        <v>-</v>
      </c>
      <c r="CD259" s="506" t="str">
        <f ca="1">IFERROR(VLOOKUP($A259,tb_ConsensusEstimate,MATCH(CD5,OFFSET(tb_ConsensusEstimate,0,0,1,COLUMNS(tb_ConsensusEstimate)),0),FALSE),"-")</f>
        <v>-</v>
      </c>
      <c r="CE259" s="506" t="str">
        <f ca="1">IFERROR(VLOOKUP($A259,tb_ConsensusEstimate,MATCH(CE5,OFFSET(tb_ConsensusEstimate,0,0,1,COLUMNS(tb_ConsensusEstimate)),0),FALSE),"-")</f>
        <v>-</v>
      </c>
      <c r="CF259" s="506" t="str">
        <f ca="1">IFERROR(VLOOKUP($A259,tb_ConsensusEstimate,MATCH(CF5,OFFSET(tb_ConsensusEstimate,0,0,1,COLUMNS(tb_ConsensusEstimate)),0),FALSE),"-")</f>
        <v>-</v>
      </c>
      <c r="CG259" s="205"/>
    </row>
    <row r="260" spans="1:85" ht="14.45" customHeight="1" x14ac:dyDescent="0.25">
      <c r="A260" s="202"/>
      <c r="B260" s="89"/>
      <c r="C260" s="406"/>
      <c r="D260" s="406"/>
      <c r="E260" s="406"/>
      <c r="F260" s="406"/>
      <c r="G260" s="90"/>
      <c r="H260" s="90"/>
      <c r="I260" s="90"/>
      <c r="J260" s="90"/>
      <c r="K260" s="406"/>
      <c r="L260" s="90"/>
      <c r="M260" s="90"/>
      <c r="N260" s="90"/>
      <c r="O260" s="90"/>
      <c r="P260" s="406"/>
      <c r="Q260" s="90"/>
      <c r="R260" s="90"/>
      <c r="S260" s="90"/>
      <c r="T260" s="90"/>
      <c r="U260" s="406"/>
      <c r="V260" s="90"/>
      <c r="W260" s="90"/>
      <c r="X260" s="90"/>
      <c r="Y260" s="90"/>
      <c r="Z260" s="406"/>
      <c r="AA260" s="90"/>
      <c r="AB260" s="90"/>
      <c r="AC260" s="90"/>
      <c r="AD260" s="90"/>
      <c r="AE260" s="406"/>
      <c r="AF260" s="90"/>
      <c r="AG260" s="90"/>
      <c r="AH260" s="90"/>
      <c r="AI260" s="90"/>
      <c r="AJ260" s="406"/>
      <c r="AK260" s="90"/>
      <c r="AL260" s="90"/>
      <c r="AM260" s="90"/>
      <c r="AN260" s="90"/>
      <c r="AO260" s="406"/>
      <c r="AP260" s="90"/>
      <c r="AQ260" s="90"/>
      <c r="AR260" s="90"/>
      <c r="AS260" s="90"/>
      <c r="AT260" s="406"/>
      <c r="AU260" s="90"/>
      <c r="AV260" s="90"/>
      <c r="AW260" s="90"/>
      <c r="AX260" s="90"/>
      <c r="AY260" s="406"/>
      <c r="AZ260" s="90"/>
      <c r="BA260" s="90"/>
      <c r="BB260" s="90"/>
      <c r="BC260" s="90"/>
      <c r="BD260" s="406"/>
      <c r="BE260" s="90"/>
      <c r="BF260" s="90"/>
      <c r="BG260" s="90"/>
      <c r="BH260" s="90"/>
      <c r="BI260" s="406"/>
      <c r="BJ260" s="90"/>
      <c r="BK260" s="90"/>
      <c r="BL260" s="90"/>
      <c r="BM260" s="90"/>
      <c r="BN260" s="406"/>
      <c r="BO260" s="90"/>
      <c r="BP260" s="90"/>
      <c r="BQ260" s="90"/>
      <c r="BR260" s="90"/>
      <c r="BS260" s="407"/>
      <c r="BT260" s="90"/>
      <c r="BU260" s="90"/>
      <c r="BV260" s="90"/>
      <c r="BW260" s="90"/>
      <c r="BX260" s="406"/>
      <c r="BY260" s="90"/>
      <c r="BZ260" s="90"/>
      <c r="CA260" s="90"/>
      <c r="CB260" s="90"/>
      <c r="CC260" s="406"/>
      <c r="CD260" s="406"/>
      <c r="CE260" s="406"/>
      <c r="CF260" s="406"/>
      <c r="CG260" s="236"/>
    </row>
    <row r="261" spans="1:85" ht="14.45" customHeight="1" x14ac:dyDescent="0.25">
      <c r="A261" s="206" t="s">
        <v>380</v>
      </c>
      <c r="B261" s="89"/>
      <c r="C261" s="452">
        <f t="shared" ref="C261:AH261" si="158">C407/C$401</f>
        <v>0.36416916033835389</v>
      </c>
      <c r="D261" s="452">
        <f t="shared" si="158"/>
        <v>0.35949977518802012</v>
      </c>
      <c r="E261" s="452">
        <f t="shared" si="158"/>
        <v>0.34697634378849102</v>
      </c>
      <c r="F261" s="452">
        <f t="shared" si="158"/>
        <v>0.35035396327998747</v>
      </c>
      <c r="G261" s="147">
        <f t="shared" si="158"/>
        <v>0.36034582102510493</v>
      </c>
      <c r="H261" s="147">
        <f t="shared" si="158"/>
        <v>0.33431939558812901</v>
      </c>
      <c r="I261" s="147">
        <f t="shared" si="158"/>
        <v>0.33584370626795318</v>
      </c>
      <c r="J261" s="147">
        <f t="shared" si="158"/>
        <v>0.39928791870912461</v>
      </c>
      <c r="K261" s="452">
        <f t="shared" si="158"/>
        <v>0.35641378856549966</v>
      </c>
      <c r="L261" s="147">
        <f t="shared" si="158"/>
        <v>0.3711365940779553</v>
      </c>
      <c r="M261" s="147">
        <f t="shared" si="158"/>
        <v>0.3357237530823356</v>
      </c>
      <c r="N261" s="147">
        <f t="shared" si="158"/>
        <v>0.3419362168870555</v>
      </c>
      <c r="O261" s="147">
        <f t="shared" si="158"/>
        <v>0.37287523999291966</v>
      </c>
      <c r="P261" s="452">
        <f t="shared" si="158"/>
        <v>0.35460546997799436</v>
      </c>
      <c r="Q261" s="147">
        <f t="shared" si="158"/>
        <v>0.36948679876360446</v>
      </c>
      <c r="R261" s="147">
        <f t="shared" si="158"/>
        <v>0.32374573560680875</v>
      </c>
      <c r="S261" s="147">
        <f t="shared" si="158"/>
        <v>0.34073845437827038</v>
      </c>
      <c r="T261" s="147">
        <f t="shared" si="158"/>
        <v>0.36398124302099671</v>
      </c>
      <c r="U261" s="452">
        <f t="shared" si="158"/>
        <v>0.3481043227320853</v>
      </c>
      <c r="V261" s="147">
        <f t="shared" si="158"/>
        <v>0.37012515668568213</v>
      </c>
      <c r="W261" s="147">
        <f t="shared" si="158"/>
        <v>0.31529753065265403</v>
      </c>
      <c r="X261" s="147">
        <f t="shared" si="158"/>
        <v>0.33849178118978407</v>
      </c>
      <c r="Y261" s="147">
        <f t="shared" si="158"/>
        <v>0.36124102856599655</v>
      </c>
      <c r="Z261" s="452">
        <f t="shared" si="158"/>
        <v>0.34465002844988074</v>
      </c>
      <c r="AA261" s="147">
        <f t="shared" si="158"/>
        <v>0.3678090151114356</v>
      </c>
      <c r="AB261" s="147">
        <f t="shared" si="158"/>
        <v>0.31460517527287907</v>
      </c>
      <c r="AC261" s="147">
        <f t="shared" si="158"/>
        <v>0.32188011278887524</v>
      </c>
      <c r="AD261" s="147">
        <f t="shared" si="158"/>
        <v>0.34124791657231879</v>
      </c>
      <c r="AE261" s="452">
        <f t="shared" si="158"/>
        <v>0.33415331611955407</v>
      </c>
      <c r="AF261" s="147">
        <f t="shared" si="158"/>
        <v>0.35373141477351167</v>
      </c>
      <c r="AG261" s="147">
        <f t="shared" si="158"/>
        <v>0.31559676492598793</v>
      </c>
      <c r="AH261" s="147">
        <f t="shared" si="158"/>
        <v>0.30589859248043871</v>
      </c>
      <c r="AI261" s="147">
        <f t="shared" ref="AI261:BS261" si="159">AI407/AI$401</f>
        <v>0.32363222359183924</v>
      </c>
      <c r="AJ261" s="452">
        <f t="shared" si="159"/>
        <v>0.32382532488253901</v>
      </c>
      <c r="AK261" s="147">
        <f t="shared" si="159"/>
        <v>0.33470848082167931</v>
      </c>
      <c r="AL261" s="147">
        <f t="shared" si="159"/>
        <v>0.28937494258667351</v>
      </c>
      <c r="AM261" s="147">
        <f t="shared" si="159"/>
        <v>0.29769423042275195</v>
      </c>
      <c r="AN261" s="147">
        <f t="shared" si="159"/>
        <v>0.31693567745508927</v>
      </c>
      <c r="AO261" s="452">
        <f t="shared" si="159"/>
        <v>0.30865697209331139</v>
      </c>
      <c r="AP261" s="147">
        <f t="shared" si="159"/>
        <v>0.31753395719258221</v>
      </c>
      <c r="AQ261" s="147">
        <f t="shared" si="159"/>
        <v>0.28208830563511694</v>
      </c>
      <c r="AR261" s="147">
        <f t="shared" si="159"/>
        <v>0.27745460238888842</v>
      </c>
      <c r="AS261" s="147">
        <f t="shared" si="159"/>
        <v>0.28802545210251224</v>
      </c>
      <c r="AT261" s="452">
        <f t="shared" si="159"/>
        <v>0.29067849566148368</v>
      </c>
      <c r="AU261" s="147">
        <f t="shared" si="159"/>
        <v>0.27918025415460168</v>
      </c>
      <c r="AV261" s="147">
        <f t="shared" si="159"/>
        <v>0.26103039175597276</v>
      </c>
      <c r="AW261" s="147">
        <f t="shared" si="159"/>
        <v>0.26119983642461536</v>
      </c>
      <c r="AX261" s="147">
        <f t="shared" si="159"/>
        <v>0.28932875716927225</v>
      </c>
      <c r="AY261" s="452">
        <f t="shared" si="159"/>
        <v>0.27235194906658872</v>
      </c>
      <c r="AZ261" s="147">
        <f t="shared" si="159"/>
        <v>0.26815883129515411</v>
      </c>
      <c r="BA261" s="147">
        <f t="shared" si="159"/>
        <v>0.25285995931582889</v>
      </c>
      <c r="BB261" s="147">
        <f t="shared" si="159"/>
        <v>0.26475495045097325</v>
      </c>
      <c r="BC261" s="147">
        <f t="shared" si="159"/>
        <v>0.27071105897462788</v>
      </c>
      <c r="BD261" s="452">
        <f t="shared" si="159"/>
        <v>0.26397651201258127</v>
      </c>
      <c r="BE261" s="147">
        <f t="shared" si="159"/>
        <v>0.26599696368511405</v>
      </c>
      <c r="BF261" s="147">
        <f t="shared" si="159"/>
        <v>0.25183974069950399</v>
      </c>
      <c r="BG261" s="147">
        <f t="shared" si="159"/>
        <v>0.26003429049279736</v>
      </c>
      <c r="BH261" s="147">
        <f t="shared" si="159"/>
        <v>0.2838893262601811</v>
      </c>
      <c r="BI261" s="452">
        <f t="shared" si="159"/>
        <v>0.26514842967794022</v>
      </c>
      <c r="BJ261" s="147">
        <f t="shared" si="159"/>
        <v>0.26711865727249995</v>
      </c>
      <c r="BK261" s="147">
        <f t="shared" si="159"/>
        <v>0.25477980091795788</v>
      </c>
      <c r="BL261" s="147">
        <f t="shared" si="159"/>
        <v>0.26674622179228974</v>
      </c>
      <c r="BM261" s="147">
        <f t="shared" si="159"/>
        <v>0.27433516843735584</v>
      </c>
      <c r="BN261" s="452">
        <f t="shared" si="159"/>
        <v>0.26563832482380434</v>
      </c>
      <c r="BO261" s="147">
        <f t="shared" si="159"/>
        <v>0.27676605418939643</v>
      </c>
      <c r="BP261" s="147">
        <f t="shared" si="159"/>
        <v>0.25352044360634407</v>
      </c>
      <c r="BQ261" s="147">
        <f t="shared" si="159"/>
        <v>0.26578270491660033</v>
      </c>
      <c r="BR261" s="147">
        <f t="shared" si="159"/>
        <v>0.26894060733877306</v>
      </c>
      <c r="BS261" s="453">
        <f t="shared" si="159"/>
        <v>0.26586765042601362</v>
      </c>
      <c r="BT261" s="94">
        <v>0.26</v>
      </c>
      <c r="BU261" s="94">
        <v>0.26</v>
      </c>
      <c r="BV261" s="94">
        <v>0.26</v>
      </c>
      <c r="BW261" s="94">
        <v>0.26</v>
      </c>
      <c r="BX261" s="406">
        <f>BX407/BX$401</f>
        <v>0.26</v>
      </c>
      <c r="BY261" s="94">
        <v>0.26</v>
      </c>
      <c r="BZ261" s="94">
        <v>0.26</v>
      </c>
      <c r="CA261" s="94">
        <v>0.26</v>
      </c>
      <c r="CB261" s="94">
        <v>0.26</v>
      </c>
      <c r="CC261" s="406">
        <f>CC407/CC$401</f>
        <v>0.26</v>
      </c>
      <c r="CD261" s="408">
        <v>0.26</v>
      </c>
      <c r="CE261" s="408">
        <v>0.26</v>
      </c>
      <c r="CF261" s="408">
        <v>0.26</v>
      </c>
      <c r="CG261" s="236"/>
    </row>
    <row r="262" spans="1:85" ht="14.45" customHeight="1" x14ac:dyDescent="0.25">
      <c r="A262" s="91" t="s">
        <v>381</v>
      </c>
      <c r="B262" s="83"/>
      <c r="C262" s="398">
        <f t="shared" ref="C262:AH262" si="160">C408/C401</f>
        <v>6.5491279887677459E-2</v>
      </c>
      <c r="D262" s="398">
        <f t="shared" si="160"/>
        <v>6.3593069848851005E-2</v>
      </c>
      <c r="E262" s="398">
        <f t="shared" si="160"/>
        <v>5.606444625070222E-2</v>
      </c>
      <c r="F262" s="398">
        <f t="shared" si="160"/>
        <v>5.4933218040017717E-2</v>
      </c>
      <c r="G262" s="84">
        <f t="shared" si="160"/>
        <v>4.0380549131666901E-2</v>
      </c>
      <c r="H262" s="84">
        <f t="shared" si="160"/>
        <v>6.2704701162527771E-2</v>
      </c>
      <c r="I262" s="84">
        <f t="shared" si="160"/>
        <v>6.9510937615084367E-2</v>
      </c>
      <c r="J262" s="84">
        <f t="shared" si="160"/>
        <v>2.6880561550141212E-3</v>
      </c>
      <c r="K262" s="398">
        <f t="shared" si="160"/>
        <v>4.4870291245336758E-2</v>
      </c>
      <c r="L262" s="84">
        <f t="shared" si="160"/>
        <v>3.1180034072602399E-2</v>
      </c>
      <c r="M262" s="84">
        <f t="shared" si="160"/>
        <v>6.8043171198307703E-2</v>
      </c>
      <c r="N262" s="84">
        <f t="shared" si="160"/>
        <v>6.2153138901755826E-2</v>
      </c>
      <c r="O262" s="84">
        <f t="shared" si="160"/>
        <v>3.2092102814554477E-2</v>
      </c>
      <c r="P262" s="398">
        <f t="shared" si="160"/>
        <v>4.9226137202389504E-2</v>
      </c>
      <c r="Q262" s="84">
        <f t="shared" si="160"/>
        <v>3.7290431613249082E-2</v>
      </c>
      <c r="R262" s="84">
        <f t="shared" si="160"/>
        <v>6.2334569200709962E-2</v>
      </c>
      <c r="S262" s="84">
        <f t="shared" si="160"/>
        <v>4.4739385203117064E-2</v>
      </c>
      <c r="T262" s="84">
        <f t="shared" si="160"/>
        <v>2.4593523484951509E-2</v>
      </c>
      <c r="U262" s="398">
        <f t="shared" si="160"/>
        <v>4.2551826220117647E-2</v>
      </c>
      <c r="V262" s="84">
        <f t="shared" si="160"/>
        <v>1.9827134122943915E-2</v>
      </c>
      <c r="W262" s="84">
        <f t="shared" si="160"/>
        <v>6.5132130073870975E-2</v>
      </c>
      <c r="X262" s="84">
        <f t="shared" si="160"/>
        <v>4.6878312611598257E-2</v>
      </c>
      <c r="Y262" s="84">
        <f t="shared" si="160"/>
        <v>2.4859784210275817E-2</v>
      </c>
      <c r="Z262" s="398">
        <f t="shared" si="160"/>
        <v>4.0507497715772361E-2</v>
      </c>
      <c r="AA262" s="84">
        <f t="shared" si="160"/>
        <v>1.5719034956601634E-2</v>
      </c>
      <c r="AB262" s="84">
        <f t="shared" si="160"/>
        <v>4.0462981413523134E-2</v>
      </c>
      <c r="AC262" s="84">
        <f t="shared" si="160"/>
        <v>3.107887479505839E-2</v>
      </c>
      <c r="AD262" s="84">
        <f t="shared" si="160"/>
        <v>-7.7432027200710217E-4</v>
      </c>
      <c r="AE262" s="398">
        <f t="shared" si="160"/>
        <v>2.2244769949959071E-2</v>
      </c>
      <c r="AF262" s="84">
        <f t="shared" si="160"/>
        <v>-1.7841629592479692E-2</v>
      </c>
      <c r="AG262" s="84">
        <f t="shared" si="160"/>
        <v>1.6130288204209312E-2</v>
      </c>
      <c r="AH262" s="84">
        <f t="shared" si="160"/>
        <v>3.6879387857309466E-2</v>
      </c>
      <c r="AI262" s="84">
        <f t="shared" ref="AI262:BN262" si="161">AI408/AI401</f>
        <v>1.1276022351440741E-2</v>
      </c>
      <c r="AJ262" s="398">
        <f t="shared" si="161"/>
        <v>1.2518366122104031E-2</v>
      </c>
      <c r="AK262" s="84">
        <f t="shared" si="161"/>
        <v>1.8273443393489231E-2</v>
      </c>
      <c r="AL262" s="84">
        <f t="shared" si="161"/>
        <v>5.2772366858005251E-2</v>
      </c>
      <c r="AM262" s="84">
        <f t="shared" si="161"/>
        <v>4.2364100268365283E-2</v>
      </c>
      <c r="AN262" s="84">
        <f t="shared" si="161"/>
        <v>3.3538346442466754E-2</v>
      </c>
      <c r="AO262" s="398">
        <f t="shared" si="161"/>
        <v>3.744994612092406E-2</v>
      </c>
      <c r="AP262" s="84">
        <f t="shared" si="161"/>
        <v>2.7979891238093753E-2</v>
      </c>
      <c r="AQ262" s="84">
        <f t="shared" si="161"/>
        <v>6.7728963547544596E-2</v>
      </c>
      <c r="AR262" s="84">
        <f t="shared" si="161"/>
        <v>7.8167294449914257E-2</v>
      </c>
      <c r="AS262" s="84">
        <f t="shared" si="161"/>
        <v>7.3199039289493437E-2</v>
      </c>
      <c r="AT262" s="398">
        <f t="shared" si="161"/>
        <v>6.2583514616593172E-2</v>
      </c>
      <c r="AU262" s="84">
        <f t="shared" si="161"/>
        <v>7.4168981231744965E-2</v>
      </c>
      <c r="AV262" s="84">
        <f t="shared" si="161"/>
        <v>8.4336180801431349E-2</v>
      </c>
      <c r="AW262" s="84">
        <f t="shared" si="161"/>
        <v>9.4022225393706194E-2</v>
      </c>
      <c r="AX262" s="84">
        <f t="shared" si="161"/>
        <v>6.2106951314910161E-2</v>
      </c>
      <c r="AY262" s="398">
        <f t="shared" si="161"/>
        <v>7.8949052566786609E-2</v>
      </c>
      <c r="AZ262" s="84">
        <f t="shared" si="161"/>
        <v>9.3270376926681026E-2</v>
      </c>
      <c r="BA262" s="84">
        <f t="shared" si="161"/>
        <v>9.2334262152750507E-2</v>
      </c>
      <c r="BB262" s="84">
        <f t="shared" si="161"/>
        <v>0.11662242591593087</v>
      </c>
      <c r="BC262" s="84">
        <f t="shared" si="161"/>
        <v>0.10989289767579383</v>
      </c>
      <c r="BD262" s="398">
        <f t="shared" si="161"/>
        <v>0.10337872041363941</v>
      </c>
      <c r="BE262" s="84">
        <f t="shared" si="161"/>
        <v>0.13110746594962472</v>
      </c>
      <c r="BF262" s="84">
        <f t="shared" si="161"/>
        <v>0.1343833101760262</v>
      </c>
      <c r="BG262" s="84">
        <f t="shared" si="161"/>
        <v>0.12628852132761212</v>
      </c>
      <c r="BH262" s="84">
        <f t="shared" si="161"/>
        <v>0.10942477908662164</v>
      </c>
      <c r="BI262" s="398">
        <f t="shared" si="161"/>
        <v>0.12540859753845066</v>
      </c>
      <c r="BJ262" s="84">
        <f t="shared" si="161"/>
        <v>0.13533707039216497</v>
      </c>
      <c r="BK262" s="84">
        <f t="shared" si="161"/>
        <v>0.14429188454199274</v>
      </c>
      <c r="BL262" s="84">
        <f t="shared" si="161"/>
        <v>0.128595555636105</v>
      </c>
      <c r="BM262" s="84">
        <f t="shared" si="161"/>
        <v>0.12525028700339857</v>
      </c>
      <c r="BN262" s="398">
        <f t="shared" si="161"/>
        <v>0.13338954820749147</v>
      </c>
      <c r="BO262" s="84">
        <f t="shared" ref="BO262:CF262" si="162">BO408/BO401</f>
        <v>0.12014098939414944</v>
      </c>
      <c r="BP262" s="84">
        <f t="shared" si="162"/>
        <v>0.1466349846053854</v>
      </c>
      <c r="BQ262" s="84">
        <f t="shared" si="162"/>
        <v>0.13061048542167447</v>
      </c>
      <c r="BR262" s="84">
        <f t="shared" si="162"/>
        <v>0.12714665467939457</v>
      </c>
      <c r="BS262" s="399">
        <f t="shared" si="162"/>
        <v>0.13152307225111046</v>
      </c>
      <c r="BT262" s="124">
        <f t="shared" si="162"/>
        <v>0.11999999999999995</v>
      </c>
      <c r="BU262" s="124">
        <f t="shared" si="162"/>
        <v>0.12</v>
      </c>
      <c r="BV262" s="124">
        <f t="shared" si="162"/>
        <v>0.12000000000000001</v>
      </c>
      <c r="BW262" s="124">
        <f t="shared" si="162"/>
        <v>0.12000000000000001</v>
      </c>
      <c r="BX262" s="397">
        <f t="shared" si="162"/>
        <v>0.11999999999999997</v>
      </c>
      <c r="BY262" s="124">
        <f t="shared" si="162"/>
        <v>0.11999999999999995</v>
      </c>
      <c r="BZ262" s="124">
        <f t="shared" si="162"/>
        <v>0.12000000000000001</v>
      </c>
      <c r="CA262" s="124">
        <f t="shared" si="162"/>
        <v>0.12000000000000002</v>
      </c>
      <c r="CB262" s="124">
        <f t="shared" si="162"/>
        <v>0.12</v>
      </c>
      <c r="CC262" s="397">
        <f t="shared" si="162"/>
        <v>0.11999999999999991</v>
      </c>
      <c r="CD262" s="397">
        <f t="shared" si="162"/>
        <v>0.11999999999999998</v>
      </c>
      <c r="CE262" s="397">
        <f t="shared" si="162"/>
        <v>0.12</v>
      </c>
      <c r="CF262" s="397">
        <f t="shared" si="162"/>
        <v>0.12000000000000001</v>
      </c>
      <c r="CG262" s="236"/>
    </row>
    <row r="263" spans="1:85" ht="14.45" customHeight="1" x14ac:dyDescent="0.25">
      <c r="A263" s="93" t="s">
        <v>382</v>
      </c>
      <c r="B263" s="89"/>
      <c r="C263" s="452">
        <f t="shared" ref="C263:AH263" si="163">C409/C401</f>
        <v>6.5491279887677459E-2</v>
      </c>
      <c r="D263" s="452">
        <f t="shared" si="163"/>
        <v>6.3593069848851005E-2</v>
      </c>
      <c r="E263" s="452">
        <f t="shared" si="163"/>
        <v>5.606444625070222E-2</v>
      </c>
      <c r="F263" s="452">
        <f t="shared" si="163"/>
        <v>5.4933218040017717E-2</v>
      </c>
      <c r="G263" s="147">
        <f t="shared" si="163"/>
        <v>4.0380549131666901E-2</v>
      </c>
      <c r="H263" s="147">
        <f t="shared" si="163"/>
        <v>6.2704701162527771E-2</v>
      </c>
      <c r="I263" s="147">
        <f t="shared" si="163"/>
        <v>6.9510937615084367E-2</v>
      </c>
      <c r="J263" s="147">
        <f t="shared" si="163"/>
        <v>2.6880561550141212E-3</v>
      </c>
      <c r="K263" s="452">
        <f t="shared" si="163"/>
        <v>4.4870291245336758E-2</v>
      </c>
      <c r="L263" s="147">
        <f t="shared" si="163"/>
        <v>3.1180034072602399E-2</v>
      </c>
      <c r="M263" s="147">
        <f t="shared" si="163"/>
        <v>6.8043171198307703E-2</v>
      </c>
      <c r="N263" s="147">
        <f t="shared" si="163"/>
        <v>6.2153138901755826E-2</v>
      </c>
      <c r="O263" s="147">
        <f t="shared" si="163"/>
        <v>3.2092102814554477E-2</v>
      </c>
      <c r="P263" s="452">
        <f t="shared" si="163"/>
        <v>4.9226137202389504E-2</v>
      </c>
      <c r="Q263" s="147">
        <f t="shared" si="163"/>
        <v>3.7290431613249082E-2</v>
      </c>
      <c r="R263" s="147">
        <f t="shared" si="163"/>
        <v>6.2227196782731926E-2</v>
      </c>
      <c r="S263" s="147">
        <f t="shared" si="163"/>
        <v>5.7759620947437577E-2</v>
      </c>
      <c r="T263" s="147">
        <f t="shared" si="163"/>
        <v>3.3257169413086325E-2</v>
      </c>
      <c r="U263" s="452">
        <f t="shared" si="163"/>
        <v>4.810666398434315E-2</v>
      </c>
      <c r="V263" s="147">
        <f t="shared" si="163"/>
        <v>2.9362577063774285E-2</v>
      </c>
      <c r="W263" s="147">
        <f t="shared" si="163"/>
        <v>5.2790153072880958E-2</v>
      </c>
      <c r="X263" s="147">
        <f t="shared" si="163"/>
        <v>5.3080699340893406E-2</v>
      </c>
      <c r="Y263" s="147">
        <f t="shared" si="163"/>
        <v>1.2090641190170297E-2</v>
      </c>
      <c r="Z263" s="452">
        <f t="shared" si="163"/>
        <v>3.7374842701940275E-2</v>
      </c>
      <c r="AA263" s="147">
        <f t="shared" si="163"/>
        <v>1.9040039182074139E-2</v>
      </c>
      <c r="AB263" s="147">
        <f t="shared" si="163"/>
        <v>4.0634880453197596E-2</v>
      </c>
      <c r="AC263" s="147">
        <f t="shared" si="163"/>
        <v>3.295238128007464E-2</v>
      </c>
      <c r="AD263" s="147">
        <f t="shared" si="163"/>
        <v>1.6387707132892258E-2</v>
      </c>
      <c r="AE263" s="452">
        <f t="shared" si="163"/>
        <v>2.7929989074091638E-2</v>
      </c>
      <c r="AF263" s="147">
        <f t="shared" si="163"/>
        <v>-3.3622695131376463E-3</v>
      </c>
      <c r="AG263" s="147">
        <f t="shared" si="163"/>
        <v>2.7920423146500447E-2</v>
      </c>
      <c r="AH263" s="147">
        <f t="shared" si="163"/>
        <v>4.5920668287330907E-2</v>
      </c>
      <c r="AI263" s="147">
        <f t="shared" ref="AI263:BN263" si="164">AI409/AI401</f>
        <v>3.4089379370051999E-2</v>
      </c>
      <c r="AJ263" s="452">
        <f t="shared" si="164"/>
        <v>2.6920692079585432E-2</v>
      </c>
      <c r="AK263" s="147">
        <f t="shared" si="164"/>
        <v>1.880476411536006E-2</v>
      </c>
      <c r="AL263" s="147">
        <f t="shared" si="164"/>
        <v>6.0876576854558488E-2</v>
      </c>
      <c r="AM263" s="147">
        <f t="shared" si="164"/>
        <v>4.6219244407484067E-2</v>
      </c>
      <c r="AN263" s="147">
        <f t="shared" si="164"/>
        <v>3.2563749576953481E-2</v>
      </c>
      <c r="AO263" s="452">
        <f t="shared" si="164"/>
        <v>4.0487105797537726E-2</v>
      </c>
      <c r="AP263" s="147">
        <f t="shared" si="164"/>
        <v>3.1340444885470907E-2</v>
      </c>
      <c r="AQ263" s="147">
        <f t="shared" si="164"/>
        <v>6.656372355292263E-2</v>
      </c>
      <c r="AR263" s="147">
        <f t="shared" si="164"/>
        <v>7.9185748567540057E-2</v>
      </c>
      <c r="AS263" s="147">
        <f t="shared" si="164"/>
        <v>6.5676966957783967E-2</v>
      </c>
      <c r="AT263" s="452">
        <f t="shared" si="164"/>
        <v>6.1434605122023492E-2</v>
      </c>
      <c r="AU263" s="147">
        <f t="shared" si="164"/>
        <v>7.3802010777591479E-2</v>
      </c>
      <c r="AV263" s="147">
        <f t="shared" si="164"/>
        <v>8.4229418192627692E-2</v>
      </c>
      <c r="AW263" s="147">
        <f t="shared" si="164"/>
        <v>9.4142299606431043E-2</v>
      </c>
      <c r="AX263" s="147">
        <f t="shared" si="164"/>
        <v>6.4739695608551001E-2</v>
      </c>
      <c r="AY263" s="452">
        <f t="shared" si="164"/>
        <v>7.953294021587301E-2</v>
      </c>
      <c r="AZ263" s="147">
        <f t="shared" si="164"/>
        <v>8.3532831372057484E-2</v>
      </c>
      <c r="BA263" s="147">
        <f t="shared" si="164"/>
        <v>0.10034697517262556</v>
      </c>
      <c r="BB263" s="147">
        <f t="shared" si="164"/>
        <v>0.11906994336815485</v>
      </c>
      <c r="BC263" s="147">
        <f t="shared" si="164"/>
        <v>0.11015930238842325</v>
      </c>
      <c r="BD263" s="452">
        <f t="shared" si="164"/>
        <v>0.10394508460548915</v>
      </c>
      <c r="BE263" s="147">
        <f t="shared" si="164"/>
        <v>0.13307038116823047</v>
      </c>
      <c r="BF263" s="147">
        <f t="shared" si="164"/>
        <v>0.1351430155414669</v>
      </c>
      <c r="BG263" s="147">
        <f t="shared" si="164"/>
        <v>0.12589259227249272</v>
      </c>
      <c r="BH263" s="147">
        <f t="shared" si="164"/>
        <v>0.10778954183926487</v>
      </c>
      <c r="BI263" s="452">
        <f t="shared" si="164"/>
        <v>0.12556805390196188</v>
      </c>
      <c r="BJ263" s="147">
        <f t="shared" si="164"/>
        <v>0.13609038806855378</v>
      </c>
      <c r="BK263" s="147">
        <f t="shared" si="164"/>
        <v>0.14355188332814572</v>
      </c>
      <c r="BL263" s="147">
        <f t="shared" si="164"/>
        <v>0.12814529703474981</v>
      </c>
      <c r="BM263" s="147">
        <f t="shared" si="164"/>
        <v>0.12650995279116206</v>
      </c>
      <c r="BN263" s="452">
        <f t="shared" si="164"/>
        <v>0.13357433842204522</v>
      </c>
      <c r="BO263" s="147">
        <f t="shared" ref="BO263:CF263" si="165">BO409/BO401</f>
        <v>0.12054226105823061</v>
      </c>
      <c r="BP263" s="147">
        <f t="shared" si="165"/>
        <v>0.14555226866445459</v>
      </c>
      <c r="BQ263" s="147">
        <f t="shared" si="165"/>
        <v>0.13045479122414302</v>
      </c>
      <c r="BR263" s="147">
        <f t="shared" si="165"/>
        <v>0.12711567122246001</v>
      </c>
      <c r="BS263" s="453">
        <f t="shared" si="165"/>
        <v>0.13128400378801769</v>
      </c>
      <c r="BT263" s="90">
        <f t="shared" si="165"/>
        <v>0.11999999999999995</v>
      </c>
      <c r="BU263" s="90">
        <f t="shared" si="165"/>
        <v>0.12</v>
      </c>
      <c r="BV263" s="90">
        <f t="shared" si="165"/>
        <v>0.12000000000000001</v>
      </c>
      <c r="BW263" s="90">
        <f t="shared" si="165"/>
        <v>0.12000000000000001</v>
      </c>
      <c r="BX263" s="406">
        <f t="shared" si="165"/>
        <v>0.12</v>
      </c>
      <c r="BY263" s="90">
        <f t="shared" si="165"/>
        <v>0.11999999999999995</v>
      </c>
      <c r="BZ263" s="90">
        <f t="shared" si="165"/>
        <v>0.12000000000000001</v>
      </c>
      <c r="CA263" s="90">
        <f t="shared" si="165"/>
        <v>0.12000000000000002</v>
      </c>
      <c r="CB263" s="90">
        <f t="shared" si="165"/>
        <v>0.12</v>
      </c>
      <c r="CC263" s="406">
        <f t="shared" si="165"/>
        <v>0.12000000000000002</v>
      </c>
      <c r="CD263" s="406">
        <f t="shared" si="165"/>
        <v>0.11999999999999998</v>
      </c>
      <c r="CE263" s="406">
        <f t="shared" si="165"/>
        <v>0.12</v>
      </c>
      <c r="CF263" s="406">
        <f t="shared" si="165"/>
        <v>0.12000000000000001</v>
      </c>
      <c r="CG263" s="236"/>
    </row>
    <row r="264" spans="1:85" ht="14.45" customHeight="1" x14ac:dyDescent="0.25">
      <c r="A264" s="207" t="s">
        <v>383</v>
      </c>
      <c r="B264" s="208"/>
      <c r="C264" s="506"/>
      <c r="D264" s="506"/>
      <c r="E264" s="506"/>
      <c r="F264" s="506"/>
      <c r="G264" s="209"/>
      <c r="H264" s="209"/>
      <c r="I264" s="209"/>
      <c r="J264" s="209"/>
      <c r="K264" s="506"/>
      <c r="L264" s="209"/>
      <c r="M264" s="209"/>
      <c r="N264" s="209"/>
      <c r="O264" s="209"/>
      <c r="P264" s="506"/>
      <c r="Q264" s="209"/>
      <c r="R264" s="209"/>
      <c r="S264" s="209"/>
      <c r="T264" s="209"/>
      <c r="U264" s="506"/>
      <c r="V264" s="209"/>
      <c r="W264" s="209"/>
      <c r="X264" s="209"/>
      <c r="Y264" s="209"/>
      <c r="Z264" s="506"/>
      <c r="AA264" s="209"/>
      <c r="AB264" s="209"/>
      <c r="AC264" s="209"/>
      <c r="AD264" s="209"/>
      <c r="AE264" s="506"/>
      <c r="AF264" s="209"/>
      <c r="AG264" s="209"/>
      <c r="AH264" s="209"/>
      <c r="AI264" s="209"/>
      <c r="AJ264" s="506"/>
      <c r="AK264" s="209"/>
      <c r="AL264" s="209"/>
      <c r="AM264" s="209"/>
      <c r="AN264" s="209"/>
      <c r="AO264" s="506"/>
      <c r="AP264" s="209"/>
      <c r="AQ264" s="209"/>
      <c r="AR264" s="209"/>
      <c r="AS264" s="209"/>
      <c r="AT264" s="506"/>
      <c r="AU264" s="209"/>
      <c r="AV264" s="209"/>
      <c r="AW264" s="209"/>
      <c r="AX264" s="209"/>
      <c r="AY264" s="506"/>
      <c r="AZ264" s="209"/>
      <c r="BA264" s="209"/>
      <c r="BB264" s="209"/>
      <c r="BC264" s="209"/>
      <c r="BD264" s="506"/>
      <c r="BE264" s="209"/>
      <c r="BF264" s="209"/>
      <c r="BG264" s="209"/>
      <c r="BH264" s="209"/>
      <c r="BI264" s="506"/>
      <c r="BJ264" s="209"/>
      <c r="BK264" s="209"/>
      <c r="BL264" s="209"/>
      <c r="BM264" s="209"/>
      <c r="BN264" s="506"/>
      <c r="BO264" s="209"/>
      <c r="BP264" s="209"/>
      <c r="BQ264" s="209"/>
      <c r="BR264" s="209"/>
      <c r="BS264" s="507"/>
      <c r="BT264" s="209">
        <f t="shared" ref="BT264:CF264" ca="1" si="166">IFERROR(BT410/BT402,0)</f>
        <v>0</v>
      </c>
      <c r="BU264" s="209">
        <f t="shared" ca="1" si="166"/>
        <v>0</v>
      </c>
      <c r="BV264" s="209">
        <f t="shared" ca="1" si="166"/>
        <v>0</v>
      </c>
      <c r="BW264" s="209">
        <f t="shared" ca="1" si="166"/>
        <v>0</v>
      </c>
      <c r="BX264" s="506">
        <f t="shared" ca="1" si="166"/>
        <v>0</v>
      </c>
      <c r="BY264" s="209">
        <f t="shared" ca="1" si="166"/>
        <v>0</v>
      </c>
      <c r="BZ264" s="209">
        <f t="shared" ca="1" si="166"/>
        <v>0</v>
      </c>
      <c r="CA264" s="209">
        <f t="shared" ca="1" si="166"/>
        <v>0</v>
      </c>
      <c r="CB264" s="209">
        <f t="shared" ca="1" si="166"/>
        <v>0</v>
      </c>
      <c r="CC264" s="506">
        <f t="shared" ca="1" si="166"/>
        <v>0</v>
      </c>
      <c r="CD264" s="506">
        <f t="shared" ca="1" si="166"/>
        <v>0</v>
      </c>
      <c r="CE264" s="506">
        <f t="shared" ca="1" si="166"/>
        <v>0</v>
      </c>
      <c r="CF264" s="506">
        <f t="shared" ca="1" si="166"/>
        <v>0</v>
      </c>
      <c r="CG264" s="236"/>
    </row>
    <row r="265" spans="1:85" ht="14.45" customHeight="1" x14ac:dyDescent="0.25">
      <c r="A265" s="92"/>
      <c r="B265" s="89"/>
      <c r="C265" s="406"/>
      <c r="D265" s="406"/>
      <c r="E265" s="406"/>
      <c r="F265" s="406"/>
      <c r="G265" s="90"/>
      <c r="H265" s="90"/>
      <c r="I265" s="90"/>
      <c r="J265" s="90"/>
      <c r="K265" s="406"/>
      <c r="L265" s="90"/>
      <c r="M265" s="90"/>
      <c r="N265" s="90"/>
      <c r="O265" s="90"/>
      <c r="P265" s="406"/>
      <c r="Q265" s="90"/>
      <c r="R265" s="90"/>
      <c r="S265" s="90"/>
      <c r="T265" s="90"/>
      <c r="U265" s="406"/>
      <c r="V265" s="90"/>
      <c r="W265" s="90"/>
      <c r="X265" s="90"/>
      <c r="Y265" s="90"/>
      <c r="Z265" s="406"/>
      <c r="AA265" s="90"/>
      <c r="AB265" s="90"/>
      <c r="AC265" s="90"/>
      <c r="AD265" s="90"/>
      <c r="AE265" s="406"/>
      <c r="AF265" s="90"/>
      <c r="AG265" s="90"/>
      <c r="AH265" s="90"/>
      <c r="AI265" s="90"/>
      <c r="AJ265" s="406"/>
      <c r="AK265" s="90"/>
      <c r="AL265" s="90"/>
      <c r="AM265" s="90"/>
      <c r="AN265" s="90"/>
      <c r="AO265" s="406"/>
      <c r="AP265" s="90"/>
      <c r="AQ265" s="90"/>
      <c r="AR265" s="90"/>
      <c r="AS265" s="90"/>
      <c r="AT265" s="406"/>
      <c r="AU265" s="90"/>
      <c r="AV265" s="90"/>
      <c r="AW265" s="90"/>
      <c r="AX265" s="90"/>
      <c r="AY265" s="406"/>
      <c r="AZ265" s="90"/>
      <c r="BA265" s="90"/>
      <c r="BB265" s="90"/>
      <c r="BC265" s="90"/>
      <c r="BD265" s="406"/>
      <c r="BE265" s="90"/>
      <c r="BF265" s="90"/>
      <c r="BG265" s="90"/>
      <c r="BH265" s="90"/>
      <c r="BI265" s="406"/>
      <c r="BJ265" s="90"/>
      <c r="BK265" s="90"/>
      <c r="BL265" s="90"/>
      <c r="BM265" s="90"/>
      <c r="BN265" s="406"/>
      <c r="BO265" s="90"/>
      <c r="BP265" s="90"/>
      <c r="BQ265" s="90"/>
      <c r="BR265" s="90"/>
      <c r="BS265" s="407"/>
      <c r="BT265" s="90"/>
      <c r="BU265" s="90"/>
      <c r="BV265" s="90"/>
      <c r="BW265" s="90"/>
      <c r="BX265" s="406"/>
      <c r="BY265" s="90"/>
      <c r="BZ265" s="90"/>
      <c r="CA265" s="90"/>
      <c r="CB265" s="90"/>
      <c r="CC265" s="406"/>
      <c r="CD265" s="406"/>
      <c r="CE265" s="406"/>
      <c r="CF265" s="406"/>
      <c r="CG265" s="236"/>
    </row>
    <row r="266" spans="1:85" ht="14.45" customHeight="1" x14ac:dyDescent="0.25">
      <c r="A266" s="143" t="s">
        <v>384</v>
      </c>
      <c r="B266" s="80"/>
      <c r="C266" s="395">
        <f t="shared" ref="C266:AH266" si="167">C412/C401</f>
        <v>4.1895763368459564E-2</v>
      </c>
      <c r="D266" s="395">
        <f t="shared" si="167"/>
        <v>3.8737646070015889E-2</v>
      </c>
      <c r="E266" s="395">
        <f t="shared" si="167"/>
        <v>3.9510926898444119E-2</v>
      </c>
      <c r="F266" s="395">
        <f t="shared" si="167"/>
        <v>3.7888224534557952E-2</v>
      </c>
      <c r="G266" s="81">
        <f t="shared" si="167"/>
        <v>3.7950624558402923E-2</v>
      </c>
      <c r="H266" s="81">
        <f t="shared" si="167"/>
        <v>3.3411891957415167E-2</v>
      </c>
      <c r="I266" s="81">
        <f t="shared" si="167"/>
        <v>3.3986705457759447E-2</v>
      </c>
      <c r="J266" s="81">
        <f t="shared" si="167"/>
        <v>3.7234649551018552E-2</v>
      </c>
      <c r="K266" s="395">
        <f t="shared" si="167"/>
        <v>3.5543104955673172E-2</v>
      </c>
      <c r="L266" s="81">
        <f t="shared" si="167"/>
        <v>3.7279132847121074E-2</v>
      </c>
      <c r="M266" s="81">
        <f t="shared" si="167"/>
        <v>3.2121582769825428E-2</v>
      </c>
      <c r="N266" s="81">
        <f t="shared" si="167"/>
        <v>3.3021176552845234E-2</v>
      </c>
      <c r="O266" s="81">
        <f t="shared" si="167"/>
        <v>3.6399493461753203E-2</v>
      </c>
      <c r="P266" s="395">
        <f t="shared" si="167"/>
        <v>3.458432897056693E-2</v>
      </c>
      <c r="Q266" s="81">
        <f t="shared" si="167"/>
        <v>3.7650054164009947E-2</v>
      </c>
      <c r="R266" s="81">
        <f t="shared" si="167"/>
        <v>3.0794734847067511E-2</v>
      </c>
      <c r="S266" s="81">
        <f t="shared" si="167"/>
        <v>3.2813191856575399E-2</v>
      </c>
      <c r="T266" s="81">
        <f t="shared" si="167"/>
        <v>3.5172562915916319E-2</v>
      </c>
      <c r="U266" s="395">
        <f t="shared" si="167"/>
        <v>3.3859710430452238E-2</v>
      </c>
      <c r="V266" s="81">
        <f t="shared" si="167"/>
        <v>3.7353546852216618E-2</v>
      </c>
      <c r="W266" s="81">
        <f t="shared" si="167"/>
        <v>3.1579611225344605E-2</v>
      </c>
      <c r="X266" s="81">
        <f t="shared" si="167"/>
        <v>3.5330990261805265E-2</v>
      </c>
      <c r="Y266" s="81">
        <f t="shared" si="167"/>
        <v>3.7684775892390332E-2</v>
      </c>
      <c r="Z266" s="395">
        <f t="shared" si="167"/>
        <v>3.5360540459025203E-2</v>
      </c>
      <c r="AA266" s="81">
        <f t="shared" si="167"/>
        <v>3.8104336134143157E-2</v>
      </c>
      <c r="AB266" s="81">
        <f t="shared" si="167"/>
        <v>3.1936446958028414E-2</v>
      </c>
      <c r="AC266" s="81">
        <f t="shared" si="167"/>
        <v>3.3003132833158144E-2</v>
      </c>
      <c r="AD266" s="81">
        <f t="shared" si="167"/>
        <v>3.7051047419124836E-2</v>
      </c>
      <c r="AE266" s="395">
        <f t="shared" si="167"/>
        <v>3.4790367808074076E-2</v>
      </c>
      <c r="AF266" s="81">
        <f t="shared" si="167"/>
        <v>3.9043650335240813E-2</v>
      </c>
      <c r="AG266" s="81">
        <f t="shared" si="167"/>
        <v>3.3676966368115492E-2</v>
      </c>
      <c r="AH266" s="81">
        <f t="shared" si="167"/>
        <v>3.3955879946812095E-2</v>
      </c>
      <c r="AI266" s="81">
        <f t="shared" ref="AI266:BN266" si="168">AI412/AI401</f>
        <v>3.6038223744931049E-2</v>
      </c>
      <c r="AJ266" s="395">
        <f t="shared" si="168"/>
        <v>3.5565200922565238E-2</v>
      </c>
      <c r="AK266" s="81">
        <f t="shared" si="168"/>
        <v>3.624858556258341E-2</v>
      </c>
      <c r="AL266" s="81">
        <f t="shared" si="168"/>
        <v>3.0885032807054322E-2</v>
      </c>
      <c r="AM266" s="81">
        <f t="shared" si="168"/>
        <v>3.1336027738155456E-2</v>
      </c>
      <c r="AN266" s="81">
        <f t="shared" si="168"/>
        <v>3.2012411054252558E-2</v>
      </c>
      <c r="AO266" s="395">
        <f t="shared" si="168"/>
        <v>3.2504797941552026E-2</v>
      </c>
      <c r="AP266" s="81">
        <f t="shared" si="168"/>
        <v>3.2223634529987104E-2</v>
      </c>
      <c r="AQ266" s="81">
        <f t="shared" si="168"/>
        <v>3.0213939692718881E-2</v>
      </c>
      <c r="AR266" s="81">
        <f t="shared" si="168"/>
        <v>3.1859623450489434E-2</v>
      </c>
      <c r="AS266" s="81">
        <f t="shared" si="168"/>
        <v>3.0292412936587944E-2</v>
      </c>
      <c r="AT266" s="395">
        <f t="shared" si="168"/>
        <v>3.1141378575563917E-2</v>
      </c>
      <c r="AU266" s="81">
        <f t="shared" si="168"/>
        <v>2.9700982079084497E-2</v>
      </c>
      <c r="AV266" s="81">
        <f t="shared" si="168"/>
        <v>2.6898595059891728E-2</v>
      </c>
      <c r="AW266" s="81">
        <f t="shared" si="168"/>
        <v>2.8574918075080002E-2</v>
      </c>
      <c r="AX266" s="81">
        <f t="shared" si="168"/>
        <v>2.8103047836507435E-2</v>
      </c>
      <c r="AY266" s="395">
        <f t="shared" si="168"/>
        <v>2.8281159160798128E-2</v>
      </c>
      <c r="AZ266" s="81">
        <f t="shared" si="168"/>
        <v>2.6603615317461787E-2</v>
      </c>
      <c r="BA266" s="81">
        <f t="shared" si="168"/>
        <v>2.2991258231649034E-2</v>
      </c>
      <c r="BB266" s="81">
        <f t="shared" si="168"/>
        <v>2.2488178417022341E-2</v>
      </c>
      <c r="BC266" s="81">
        <f t="shared" si="168"/>
        <v>2.3716377531719002E-2</v>
      </c>
      <c r="BD266" s="395">
        <f t="shared" si="168"/>
        <v>2.3861155624849518E-2</v>
      </c>
      <c r="BE266" s="81">
        <f t="shared" si="168"/>
        <v>2.3924659687129764E-2</v>
      </c>
      <c r="BF266" s="81">
        <f t="shared" si="168"/>
        <v>2.1746781747747915E-2</v>
      </c>
      <c r="BG266" s="81">
        <f t="shared" si="168"/>
        <v>2.2336121577082362E-2</v>
      </c>
      <c r="BH266" s="81">
        <f t="shared" si="168"/>
        <v>2.440777065720964E-2</v>
      </c>
      <c r="BI266" s="395">
        <f t="shared" si="168"/>
        <v>2.3065115005459991E-2</v>
      </c>
      <c r="BJ266" s="81">
        <f t="shared" si="168"/>
        <v>2.5689452170296289E-2</v>
      </c>
      <c r="BK266" s="81">
        <f t="shared" si="168"/>
        <v>2.3272453524415863E-2</v>
      </c>
      <c r="BL266" s="81">
        <f t="shared" si="168"/>
        <v>2.4302070849748423E-2</v>
      </c>
      <c r="BM266" s="81">
        <f t="shared" si="168"/>
        <v>2.5622747273825557E-2</v>
      </c>
      <c r="BN266" s="395">
        <f t="shared" si="168"/>
        <v>2.4688407464886958E-2</v>
      </c>
      <c r="BO266" s="81">
        <f t="shared" ref="BO266:CF266" si="169">BO412/BO401</f>
        <v>3.0070690902462505E-2</v>
      </c>
      <c r="BP266" s="81">
        <f t="shared" si="169"/>
        <v>2.6354890464608552E-2</v>
      </c>
      <c r="BQ266" s="81">
        <f t="shared" si="169"/>
        <v>2.6067657072408924E-2</v>
      </c>
      <c r="BR266" s="81">
        <f t="shared" si="169"/>
        <v>2.5965187197845643E-2</v>
      </c>
      <c r="BS266" s="396">
        <f t="shared" si="169"/>
        <v>2.6989418315162238E-2</v>
      </c>
      <c r="BT266" s="123">
        <f t="shared" si="169"/>
        <v>3.1359843161928108E-2</v>
      </c>
      <c r="BU266" s="123">
        <f t="shared" si="169"/>
        <v>2.679290438087523E-2</v>
      </c>
      <c r="BV266" s="123">
        <f t="shared" si="169"/>
        <v>2.6216657952329952E-2</v>
      </c>
      <c r="BW266" s="123">
        <f t="shared" si="169"/>
        <v>2.7339994666100823E-2</v>
      </c>
      <c r="BX266" s="394">
        <f t="shared" si="169"/>
        <v>2.7768293926786185E-2</v>
      </c>
      <c r="BY266" s="123">
        <f t="shared" si="169"/>
        <v>3.2898414557117527E-2</v>
      </c>
      <c r="BZ266" s="123">
        <f t="shared" si="169"/>
        <v>2.8031071644944689E-2</v>
      </c>
      <c r="CA266" s="123">
        <f t="shared" si="169"/>
        <v>2.7356268825524832E-2</v>
      </c>
      <c r="CB266" s="123">
        <f t="shared" si="169"/>
        <v>2.8477581206910092E-2</v>
      </c>
      <c r="CC266" s="394">
        <f t="shared" si="169"/>
        <v>2.9018586038541669E-2</v>
      </c>
      <c r="CD266" s="394">
        <f t="shared" si="169"/>
        <v>3.0206085225520408E-2</v>
      </c>
      <c r="CE266" s="394">
        <f t="shared" si="169"/>
        <v>3.1071895090103333E-2</v>
      </c>
      <c r="CF266" s="394">
        <f t="shared" si="169"/>
        <v>3.1759934677430567E-2</v>
      </c>
      <c r="CG266" s="236"/>
    </row>
    <row r="267" spans="1:85" ht="14.45" customHeight="1" x14ac:dyDescent="0.25">
      <c r="A267" s="143" t="s">
        <v>385</v>
      </c>
      <c r="B267" s="80"/>
      <c r="C267" s="395">
        <f t="shared" ref="C267:AH267" si="170">C413/C401</f>
        <v>3.8808415327660839E-4</v>
      </c>
      <c r="D267" s="395">
        <f t="shared" si="170"/>
        <v>3.2285773330102555E-4</v>
      </c>
      <c r="E267" s="395">
        <f t="shared" si="170"/>
        <v>2.7670331063981877E-4</v>
      </c>
      <c r="F267" s="395">
        <f t="shared" si="170"/>
        <v>2.5767560499568578E-4</v>
      </c>
      <c r="G267" s="81">
        <f t="shared" si="170"/>
        <v>2.1900607741864839E-4</v>
      </c>
      <c r="H267" s="81">
        <f t="shared" si="170"/>
        <v>1.9115154821098469E-4</v>
      </c>
      <c r="I267" s="81">
        <f t="shared" si="170"/>
        <v>1.9334168078367827E-4</v>
      </c>
      <c r="J267" s="81">
        <f t="shared" si="170"/>
        <v>2.1047986874171085E-4</v>
      </c>
      <c r="K267" s="395">
        <f t="shared" si="170"/>
        <v>2.0288412270285522E-4</v>
      </c>
      <c r="L267" s="81">
        <f t="shared" si="170"/>
        <v>2.1359713007807878E-4</v>
      </c>
      <c r="M267" s="81">
        <f t="shared" si="170"/>
        <v>2.5028674154955788E-4</v>
      </c>
      <c r="N267" s="81">
        <f t="shared" si="170"/>
        <v>3.911063721934294E-4</v>
      </c>
      <c r="O267" s="81">
        <f t="shared" si="170"/>
        <v>8.0791942592332053E-4</v>
      </c>
      <c r="P267" s="395">
        <f t="shared" si="170"/>
        <v>4.1972801853445638E-4</v>
      </c>
      <c r="Q267" s="81">
        <f t="shared" si="170"/>
        <v>1.3061138039902659E-3</v>
      </c>
      <c r="R267" s="81">
        <f t="shared" si="170"/>
        <v>1.2819615964651697E-3</v>
      </c>
      <c r="S267" s="81">
        <f t="shared" si="170"/>
        <v>1.1796912117852767E-3</v>
      </c>
      <c r="T267" s="81">
        <f t="shared" si="170"/>
        <v>1.1134132409038977E-3</v>
      </c>
      <c r="U267" s="395">
        <f t="shared" si="170"/>
        <v>1.2139826521879002E-3</v>
      </c>
      <c r="V267" s="81">
        <f t="shared" si="170"/>
        <v>1.640403161853112E-3</v>
      </c>
      <c r="W267" s="81">
        <f t="shared" si="170"/>
        <v>1.6670950422663926E-3</v>
      </c>
      <c r="X267" s="81">
        <f t="shared" si="170"/>
        <v>1.2484865045675761E-3</v>
      </c>
      <c r="Y267" s="81">
        <f t="shared" si="170"/>
        <v>1.8097343029611676E-3</v>
      </c>
      <c r="Z267" s="395">
        <f t="shared" si="170"/>
        <v>1.5872372187802162E-3</v>
      </c>
      <c r="AA267" s="81">
        <f t="shared" si="170"/>
        <v>2.3033330175972794E-3</v>
      </c>
      <c r="AB267" s="81">
        <f t="shared" si="170"/>
        <v>4.0391998227986021E-3</v>
      </c>
      <c r="AC267" s="81">
        <f t="shared" si="170"/>
        <v>4.196895381264591E-3</v>
      </c>
      <c r="AD267" s="81">
        <f t="shared" si="170"/>
        <v>6.0587009356665982E-3</v>
      </c>
      <c r="AE267" s="395">
        <f t="shared" si="170"/>
        <v>4.2600403176192075E-3</v>
      </c>
      <c r="AF267" s="81">
        <f t="shared" si="170"/>
        <v>5.304496706760321E-3</v>
      </c>
      <c r="AG267" s="81">
        <f t="shared" si="170"/>
        <v>4.5909723172811879E-3</v>
      </c>
      <c r="AH267" s="81">
        <f t="shared" si="170"/>
        <v>4.7382422242579735E-3</v>
      </c>
      <c r="AI267" s="81">
        <f t="shared" ref="AI267:BN267" si="171">AI413/AI401</f>
        <v>5.1030687920068374E-3</v>
      </c>
      <c r="AJ267" s="395">
        <f t="shared" si="171"/>
        <v>4.9193966139745981E-3</v>
      </c>
      <c r="AK267" s="81">
        <f t="shared" si="171"/>
        <v>5.2524589450472928E-3</v>
      </c>
      <c r="AL267" s="81">
        <f t="shared" si="171"/>
        <v>4.4902128434690918E-3</v>
      </c>
      <c r="AM267" s="81">
        <f t="shared" si="171"/>
        <v>4.5309745096295999E-3</v>
      </c>
      <c r="AN267" s="81">
        <f t="shared" si="171"/>
        <v>4.8848593111322034E-3</v>
      </c>
      <c r="AO267" s="395">
        <f t="shared" si="171"/>
        <v>4.7715251621810945E-3</v>
      </c>
      <c r="AP267" s="81">
        <f t="shared" si="171"/>
        <v>4.9103980235647958E-3</v>
      </c>
      <c r="AQ267" s="81">
        <f t="shared" si="171"/>
        <v>4.6919243979253846E-3</v>
      </c>
      <c r="AR267" s="81">
        <f t="shared" si="171"/>
        <v>4.3417910942096412E-3</v>
      </c>
      <c r="AS267" s="81">
        <f t="shared" si="171"/>
        <v>4.532169802688329E-3</v>
      </c>
      <c r="AT267" s="395">
        <f t="shared" si="171"/>
        <v>4.609417702792112E-3</v>
      </c>
      <c r="AU267" s="81">
        <f t="shared" si="171"/>
        <v>4.5753183232442709E-3</v>
      </c>
      <c r="AV267" s="81">
        <f t="shared" si="171"/>
        <v>4.0534901603951198E-3</v>
      </c>
      <c r="AW267" s="81">
        <f t="shared" si="171"/>
        <v>3.9878361391817944E-3</v>
      </c>
      <c r="AX267" s="81">
        <f t="shared" si="171"/>
        <v>4.1459304775806711E-3</v>
      </c>
      <c r="AY267" s="395">
        <f t="shared" si="171"/>
        <v>4.1787156413218441E-3</v>
      </c>
      <c r="AZ267" s="81">
        <f t="shared" si="171"/>
        <v>4.2069045072552725E-3</v>
      </c>
      <c r="BA267" s="81">
        <f t="shared" si="171"/>
        <v>3.7029491322486305E-3</v>
      </c>
      <c r="BB267" s="81">
        <f t="shared" si="171"/>
        <v>3.6270661290233458E-3</v>
      </c>
      <c r="BC267" s="81">
        <f t="shared" si="171"/>
        <v>3.7550984076119257E-3</v>
      </c>
      <c r="BD267" s="395">
        <f t="shared" si="171"/>
        <v>3.8103795914082293E-3</v>
      </c>
      <c r="BE267" s="81">
        <f t="shared" si="171"/>
        <v>3.7591258060041665E-3</v>
      </c>
      <c r="BF267" s="81">
        <f t="shared" si="171"/>
        <v>3.3712285028110818E-3</v>
      </c>
      <c r="BG267" s="81">
        <f t="shared" si="171"/>
        <v>3.4232096181562094E-3</v>
      </c>
      <c r="BH267" s="81">
        <f t="shared" si="171"/>
        <v>3.5942110026266792E-3</v>
      </c>
      <c r="BI267" s="395">
        <f t="shared" si="171"/>
        <v>3.5308838872125012E-3</v>
      </c>
      <c r="BJ267" s="81">
        <f t="shared" si="171"/>
        <v>3.6836543258278016E-3</v>
      </c>
      <c r="BK267" s="81">
        <f t="shared" si="171"/>
        <v>3.2640234127697815E-3</v>
      </c>
      <c r="BL267" s="81">
        <f t="shared" si="171"/>
        <v>3.319453663575834E-3</v>
      </c>
      <c r="BM267" s="81">
        <f t="shared" si="171"/>
        <v>3.3564367490316314E-3</v>
      </c>
      <c r="BN267" s="395">
        <f t="shared" si="171"/>
        <v>3.3984007457698259E-3</v>
      </c>
      <c r="BO267" s="81">
        <f t="shared" ref="BO267:CF267" si="172">BO413/BO401</f>
        <v>3.7101805912364547E-3</v>
      </c>
      <c r="BP267" s="81">
        <f t="shared" si="172"/>
        <v>3.1597628480225745E-3</v>
      </c>
      <c r="BQ267" s="81">
        <f t="shared" si="172"/>
        <v>3.1043516528210043E-3</v>
      </c>
      <c r="BR267" s="81">
        <f t="shared" si="172"/>
        <v>3.078390246617815E-3</v>
      </c>
      <c r="BS267" s="396">
        <f t="shared" si="172"/>
        <v>3.2441645781610684E-3</v>
      </c>
      <c r="BT267" s="123">
        <f t="shared" si="172"/>
        <v>3.3779681196564608E-3</v>
      </c>
      <c r="BU267" s="123">
        <f t="shared" si="172"/>
        <v>2.821932533553576E-3</v>
      </c>
      <c r="BV267" s="123">
        <f t="shared" si="172"/>
        <v>2.7018173926408365E-3</v>
      </c>
      <c r="BW267" s="123">
        <f t="shared" si="172"/>
        <v>2.7587820333166099E-3</v>
      </c>
      <c r="BX267" s="394">
        <f t="shared" si="172"/>
        <v>2.8934524747316003E-3</v>
      </c>
      <c r="BY267" s="123">
        <f t="shared" si="172"/>
        <v>3.2532628479788536E-3</v>
      </c>
      <c r="BZ267" s="123">
        <f t="shared" si="172"/>
        <v>2.7173510072799746E-3</v>
      </c>
      <c r="CA267" s="123">
        <f t="shared" si="172"/>
        <v>2.6011599302303832E-3</v>
      </c>
      <c r="CB267" s="123">
        <f t="shared" si="172"/>
        <v>2.6573359998911116E-3</v>
      </c>
      <c r="CC267" s="394">
        <f t="shared" si="172"/>
        <v>2.7863774682530523E-3</v>
      </c>
      <c r="CD267" s="394">
        <f t="shared" si="172"/>
        <v>2.7069635004054156E-3</v>
      </c>
      <c r="CE267" s="394">
        <f t="shared" si="172"/>
        <v>2.6014055815952158E-3</v>
      </c>
      <c r="CF267" s="394">
        <f t="shared" si="172"/>
        <v>2.4998291767750458E-3</v>
      </c>
      <c r="CG267" s="236"/>
    </row>
    <row r="268" spans="1:85" ht="14.45" customHeight="1" x14ac:dyDescent="0.25">
      <c r="A268" s="143" t="s">
        <v>386</v>
      </c>
      <c r="B268" s="80"/>
      <c r="C268" s="395">
        <f t="shared" ref="C268:AH268" si="173">C414/C401</f>
        <v>1.4975890271977689E-3</v>
      </c>
      <c r="D268" s="395">
        <f t="shared" si="173"/>
        <v>1.4677152170310425E-3</v>
      </c>
      <c r="E268" s="395">
        <f t="shared" si="173"/>
        <v>1.5000906331445729E-3</v>
      </c>
      <c r="F268" s="395">
        <f t="shared" si="173"/>
        <v>1.6247190189992401E-3</v>
      </c>
      <c r="G268" s="81">
        <f t="shared" si="173"/>
        <v>1.5721507700410114E-3</v>
      </c>
      <c r="H268" s="81">
        <f t="shared" si="173"/>
        <v>1.4452921937903724E-3</v>
      </c>
      <c r="I268" s="81">
        <f t="shared" si="173"/>
        <v>1.5605435663254032E-3</v>
      </c>
      <c r="J268" s="81">
        <f t="shared" si="173"/>
        <v>2.5815482696272484E-3</v>
      </c>
      <c r="K268" s="395">
        <f t="shared" si="173"/>
        <v>1.778434697206109E-3</v>
      </c>
      <c r="L268" s="81">
        <f t="shared" si="173"/>
        <v>2.1951608669470023E-3</v>
      </c>
      <c r="M268" s="81">
        <f t="shared" si="173"/>
        <v>1.3885473139879821E-3</v>
      </c>
      <c r="N268" s="81">
        <f t="shared" si="173"/>
        <v>1.7064473557713311E-3</v>
      </c>
      <c r="O268" s="81">
        <f t="shared" si="173"/>
        <v>2.8821844688837559E-3</v>
      </c>
      <c r="P268" s="395">
        <f t="shared" si="173"/>
        <v>2.0282082423588601E-3</v>
      </c>
      <c r="Q268" s="81">
        <f t="shared" si="173"/>
        <v>2.4622010223870556E-3</v>
      </c>
      <c r="R268" s="81">
        <f t="shared" si="173"/>
        <v>3.0324573804709092E-3</v>
      </c>
      <c r="S268" s="81">
        <f t="shared" si="173"/>
        <v>4.3535453760952551E-3</v>
      </c>
      <c r="T268" s="81">
        <f t="shared" si="173"/>
        <v>2.6237825068257058E-3</v>
      </c>
      <c r="U268" s="395">
        <f t="shared" si="173"/>
        <v>3.1650262003470255E-3</v>
      </c>
      <c r="V268" s="81">
        <f t="shared" si="173"/>
        <v>2.6013020899951396E-3</v>
      </c>
      <c r="W268" s="81">
        <f t="shared" si="173"/>
        <v>1.5100239890335845E-3</v>
      </c>
      <c r="X268" s="81">
        <f t="shared" si="173"/>
        <v>1.8244392411086564E-3</v>
      </c>
      <c r="Y268" s="81">
        <f t="shared" si="173"/>
        <v>3.219021816626266E-3</v>
      </c>
      <c r="Z268" s="395">
        <f t="shared" si="173"/>
        <v>2.2664860405496338E-3</v>
      </c>
      <c r="AA268" s="81">
        <f t="shared" si="173"/>
        <v>2.3795717232950831E-3</v>
      </c>
      <c r="AB268" s="81">
        <f t="shared" si="173"/>
        <v>2.1525864818937286E-3</v>
      </c>
      <c r="AC268" s="81">
        <f t="shared" si="173"/>
        <v>1.6309312651932085E-3</v>
      </c>
      <c r="AD268" s="81">
        <f t="shared" si="173"/>
        <v>1.286685864836714E-3</v>
      </c>
      <c r="AE268" s="395">
        <f t="shared" si="173"/>
        <v>1.8322405883152916E-3</v>
      </c>
      <c r="AF268" s="81">
        <f t="shared" si="173"/>
        <v>7.0626443404457541E-4</v>
      </c>
      <c r="AG268" s="81">
        <f t="shared" si="173"/>
        <v>7.9999803279172269E-4</v>
      </c>
      <c r="AH268" s="81">
        <f t="shared" si="173"/>
        <v>2.2972792273965913E-3</v>
      </c>
      <c r="AI268" s="81">
        <f t="shared" ref="AI268:BN268" si="174">AI414/AI401</f>
        <v>9.7838146495027637E-4</v>
      </c>
      <c r="AJ268" s="395">
        <f t="shared" si="174"/>
        <v>1.212012719431379E-3</v>
      </c>
      <c r="AK268" s="81">
        <f t="shared" si="174"/>
        <v>1.8541823826379619E-3</v>
      </c>
      <c r="AL268" s="81">
        <f t="shared" si="174"/>
        <v>0</v>
      </c>
      <c r="AM268" s="81">
        <f t="shared" si="174"/>
        <v>0</v>
      </c>
      <c r="AN268" s="81">
        <f t="shared" si="174"/>
        <v>0</v>
      </c>
      <c r="AO268" s="395">
        <f t="shared" si="174"/>
        <v>4.2369817440991481E-4</v>
      </c>
      <c r="AP268" s="81">
        <f t="shared" si="174"/>
        <v>0</v>
      </c>
      <c r="AQ268" s="81">
        <f t="shared" si="174"/>
        <v>0</v>
      </c>
      <c r="AR268" s="81">
        <f t="shared" si="174"/>
        <v>0</v>
      </c>
      <c r="AS268" s="81">
        <f t="shared" si="174"/>
        <v>0</v>
      </c>
      <c r="AT268" s="395">
        <f t="shared" si="174"/>
        <v>0</v>
      </c>
      <c r="AU268" s="81">
        <f t="shared" si="174"/>
        <v>0</v>
      </c>
      <c r="AV268" s="81">
        <f t="shared" si="174"/>
        <v>0</v>
      </c>
      <c r="AW268" s="81">
        <f t="shared" si="174"/>
        <v>0</v>
      </c>
      <c r="AX268" s="81">
        <f t="shared" si="174"/>
        <v>0</v>
      </c>
      <c r="AY268" s="395">
        <f t="shared" si="174"/>
        <v>0</v>
      </c>
      <c r="AZ268" s="81">
        <f t="shared" si="174"/>
        <v>0</v>
      </c>
      <c r="BA268" s="81">
        <f t="shared" si="174"/>
        <v>0</v>
      </c>
      <c r="BB268" s="81">
        <f t="shared" si="174"/>
        <v>0</v>
      </c>
      <c r="BC268" s="81">
        <f t="shared" si="174"/>
        <v>0</v>
      </c>
      <c r="BD268" s="395">
        <f t="shared" si="174"/>
        <v>0</v>
      </c>
      <c r="BE268" s="81">
        <f t="shared" si="174"/>
        <v>0</v>
      </c>
      <c r="BF268" s="81">
        <f t="shared" si="174"/>
        <v>0</v>
      </c>
      <c r="BG268" s="81">
        <f t="shared" si="174"/>
        <v>0</v>
      </c>
      <c r="BH268" s="81">
        <f t="shared" si="174"/>
        <v>0</v>
      </c>
      <c r="BI268" s="395">
        <f t="shared" si="174"/>
        <v>0</v>
      </c>
      <c r="BJ268" s="81">
        <f t="shared" si="174"/>
        <v>0</v>
      </c>
      <c r="BK268" s="81">
        <f t="shared" si="174"/>
        <v>0</v>
      </c>
      <c r="BL268" s="81">
        <f t="shared" si="174"/>
        <v>0</v>
      </c>
      <c r="BM268" s="81">
        <f t="shared" si="174"/>
        <v>0</v>
      </c>
      <c r="BN268" s="395">
        <f t="shared" si="174"/>
        <v>0</v>
      </c>
      <c r="BO268" s="81">
        <f t="shared" ref="BO268:CF268" si="175">BO414/BO401</f>
        <v>0</v>
      </c>
      <c r="BP268" s="81">
        <f t="shared" si="175"/>
        <v>0</v>
      </c>
      <c r="BQ268" s="81">
        <f t="shared" si="175"/>
        <v>0</v>
      </c>
      <c r="BR268" s="81">
        <f t="shared" si="175"/>
        <v>0</v>
      </c>
      <c r="BS268" s="396">
        <f t="shared" si="175"/>
        <v>0</v>
      </c>
      <c r="BT268" s="123">
        <f t="shared" si="175"/>
        <v>0</v>
      </c>
      <c r="BU268" s="123">
        <f t="shared" si="175"/>
        <v>0</v>
      </c>
      <c r="BV268" s="123">
        <f t="shared" si="175"/>
        <v>0</v>
      </c>
      <c r="BW268" s="123">
        <f t="shared" si="175"/>
        <v>0</v>
      </c>
      <c r="BX268" s="394">
        <f t="shared" si="175"/>
        <v>0</v>
      </c>
      <c r="BY268" s="123">
        <f t="shared" si="175"/>
        <v>0</v>
      </c>
      <c r="BZ268" s="123">
        <f t="shared" si="175"/>
        <v>0</v>
      </c>
      <c r="CA268" s="123">
        <f t="shared" si="175"/>
        <v>0</v>
      </c>
      <c r="CB268" s="123">
        <f t="shared" si="175"/>
        <v>0</v>
      </c>
      <c r="CC268" s="394">
        <f t="shared" si="175"/>
        <v>0</v>
      </c>
      <c r="CD268" s="394">
        <f t="shared" si="175"/>
        <v>0</v>
      </c>
      <c r="CE268" s="394">
        <f t="shared" si="175"/>
        <v>0</v>
      </c>
      <c r="CF268" s="394">
        <f t="shared" si="175"/>
        <v>0</v>
      </c>
      <c r="CG268" s="236"/>
    </row>
    <row r="269" spans="1:85" ht="14.45" customHeight="1" x14ac:dyDescent="0.25">
      <c r="A269" s="91" t="s">
        <v>387</v>
      </c>
      <c r="B269" s="83"/>
      <c r="C269" s="398">
        <f t="shared" ref="C269:AH269" si="176">C415/C401</f>
        <v>0.10927271643661139</v>
      </c>
      <c r="D269" s="398">
        <f t="shared" si="176"/>
        <v>0.10412128886919896</v>
      </c>
      <c r="E269" s="398">
        <f t="shared" si="176"/>
        <v>9.7352167092930736E-2</v>
      </c>
      <c r="F269" s="398">
        <f t="shared" si="176"/>
        <v>9.470383719857059E-2</v>
      </c>
      <c r="G269" s="84">
        <f t="shared" si="176"/>
        <v>8.0122330537529485E-2</v>
      </c>
      <c r="H269" s="84">
        <f t="shared" si="176"/>
        <v>9.7753036861944295E-2</v>
      </c>
      <c r="I269" s="84">
        <f t="shared" si="176"/>
        <v>0.10525152831995291</v>
      </c>
      <c r="J269" s="84">
        <f t="shared" si="176"/>
        <v>4.271473384440163E-2</v>
      </c>
      <c r="K269" s="398">
        <f t="shared" si="176"/>
        <v>8.2394715020918899E-2</v>
      </c>
      <c r="L269" s="84">
        <f t="shared" si="176"/>
        <v>7.0867924916748551E-2</v>
      </c>
      <c r="M269" s="84">
        <f t="shared" si="176"/>
        <v>0.10180358802367068</v>
      </c>
      <c r="N269" s="84">
        <f t="shared" si="176"/>
        <v>9.727186918256582E-2</v>
      </c>
      <c r="O269" s="84">
        <f t="shared" si="176"/>
        <v>7.2181700171114749E-2</v>
      </c>
      <c r="P269" s="398">
        <f t="shared" si="176"/>
        <v>8.625840243384976E-2</v>
      </c>
      <c r="Q269" s="84">
        <f t="shared" si="176"/>
        <v>7.8708800603636345E-2</v>
      </c>
      <c r="R269" s="84">
        <f t="shared" si="176"/>
        <v>9.7443723024713561E-2</v>
      </c>
      <c r="S269" s="84">
        <f t="shared" si="176"/>
        <v>8.308581364757299E-2</v>
      </c>
      <c r="T269" s="84">
        <f t="shared" si="176"/>
        <v>6.3503282148597434E-2</v>
      </c>
      <c r="U269" s="398">
        <f t="shared" si="176"/>
        <v>8.0790545503104813E-2</v>
      </c>
      <c r="V269" s="84">
        <f t="shared" si="176"/>
        <v>6.1422386227008789E-2</v>
      </c>
      <c r="W269" s="84">
        <f t="shared" si="176"/>
        <v>9.9888860330515569E-2</v>
      </c>
      <c r="X269" s="84">
        <f t="shared" si="176"/>
        <v>8.5282228619079747E-2</v>
      </c>
      <c r="Y269" s="84">
        <f t="shared" si="176"/>
        <v>6.7573316222253585E-2</v>
      </c>
      <c r="Z269" s="398">
        <f t="shared" si="176"/>
        <v>7.9721761434127417E-2</v>
      </c>
      <c r="AA269" s="84">
        <f t="shared" si="176"/>
        <v>5.8506275831637158E-2</v>
      </c>
      <c r="AB269" s="84">
        <f t="shared" si="176"/>
        <v>7.8591214676243873E-2</v>
      </c>
      <c r="AC269" s="84">
        <f t="shared" si="176"/>
        <v>6.9909834274674329E-2</v>
      </c>
      <c r="AD269" s="84">
        <f t="shared" si="176"/>
        <v>4.3622113947621041E-2</v>
      </c>
      <c r="AE269" s="398">
        <f t="shared" si="176"/>
        <v>6.3127418663967649E-2</v>
      </c>
      <c r="AF269" s="84">
        <f t="shared" si="176"/>
        <v>2.7212781883566014E-2</v>
      </c>
      <c r="AG269" s="84">
        <f t="shared" si="176"/>
        <v>5.5198224922397711E-2</v>
      </c>
      <c r="AH269" s="84">
        <f t="shared" si="176"/>
        <v>7.7870789255776118E-2</v>
      </c>
      <c r="AI269" s="84">
        <f t="shared" ref="AI269:BN269" si="177">AI415/AI401</f>
        <v>5.33956963533289E-2</v>
      </c>
      <c r="AJ269" s="398">
        <f t="shared" si="177"/>
        <v>5.4214976378075243E-2</v>
      </c>
      <c r="AK269" s="84">
        <f t="shared" si="177"/>
        <v>6.162867028375791E-2</v>
      </c>
      <c r="AL269" s="84">
        <f t="shared" si="177"/>
        <v>8.8147612508528664E-2</v>
      </c>
      <c r="AM269" s="84">
        <f t="shared" si="177"/>
        <v>7.8231102516150341E-2</v>
      </c>
      <c r="AN269" s="84">
        <f t="shared" si="177"/>
        <v>7.0435616807851514E-2</v>
      </c>
      <c r="AO269" s="398">
        <f t="shared" si="177"/>
        <v>7.5149967399067097E-2</v>
      </c>
      <c r="AP269" s="84">
        <f t="shared" si="177"/>
        <v>6.5113923791645642E-2</v>
      </c>
      <c r="AQ269" s="84">
        <f t="shared" si="177"/>
        <v>0.10263482763818886</v>
      </c>
      <c r="AR269" s="84">
        <f t="shared" si="177"/>
        <v>0.11436870899461334</v>
      </c>
      <c r="AS269" s="84">
        <f t="shared" si="177"/>
        <v>0.10802362202876972</v>
      </c>
      <c r="AT269" s="398">
        <f t="shared" si="177"/>
        <v>9.8334310894949206E-2</v>
      </c>
      <c r="AU269" s="84">
        <f t="shared" si="177"/>
        <v>0.10844528163407374</v>
      </c>
      <c r="AV269" s="84">
        <f t="shared" si="177"/>
        <v>0.1152882660217182</v>
      </c>
      <c r="AW269" s="84">
        <f t="shared" si="177"/>
        <v>0.126584979607968</v>
      </c>
      <c r="AX269" s="84">
        <f t="shared" si="177"/>
        <v>9.4355929628998261E-2</v>
      </c>
      <c r="AY269" s="398">
        <f t="shared" si="177"/>
        <v>0.11140892736890659</v>
      </c>
      <c r="AZ269" s="84">
        <f t="shared" si="177"/>
        <v>0.12408089675139808</v>
      </c>
      <c r="BA269" s="84">
        <f t="shared" si="177"/>
        <v>0.11902846951664817</v>
      </c>
      <c r="BB269" s="84">
        <f t="shared" si="177"/>
        <v>0.14273767046197658</v>
      </c>
      <c r="BC269" s="84">
        <f t="shared" si="177"/>
        <v>0.13736437361512477</v>
      </c>
      <c r="BD269" s="398">
        <f t="shared" si="177"/>
        <v>0.13105025562989714</v>
      </c>
      <c r="BE269" s="84">
        <f t="shared" si="177"/>
        <v>0.15879125144275866</v>
      </c>
      <c r="BF269" s="84">
        <f t="shared" si="177"/>
        <v>0.15950132042658519</v>
      </c>
      <c r="BG269" s="84">
        <f t="shared" si="177"/>
        <v>0.15204785252285066</v>
      </c>
      <c r="BH269" s="84">
        <f t="shared" si="177"/>
        <v>0.13742676074645796</v>
      </c>
      <c r="BI269" s="398">
        <f t="shared" si="177"/>
        <v>0.15200459643112316</v>
      </c>
      <c r="BJ269" s="84">
        <f t="shared" si="177"/>
        <v>0.16471017688828904</v>
      </c>
      <c r="BK269" s="84">
        <f t="shared" si="177"/>
        <v>0.17082836147917838</v>
      </c>
      <c r="BL269" s="84">
        <f t="shared" si="177"/>
        <v>0.15621708014942925</v>
      </c>
      <c r="BM269" s="84">
        <f t="shared" si="177"/>
        <v>0.15422947102625575</v>
      </c>
      <c r="BN269" s="398">
        <f t="shared" si="177"/>
        <v>0.16147635641814823</v>
      </c>
      <c r="BO269" s="84">
        <f t="shared" ref="BO269:CF269" si="178">BO415/BO401</f>
        <v>0.15392186088784837</v>
      </c>
      <c r="BP269" s="84">
        <f t="shared" si="178"/>
        <v>0.17614963791801652</v>
      </c>
      <c r="BQ269" s="84">
        <f t="shared" si="178"/>
        <v>0.1597824941469044</v>
      </c>
      <c r="BR269" s="84">
        <f t="shared" si="178"/>
        <v>0.15619023212385802</v>
      </c>
      <c r="BS269" s="399">
        <f t="shared" si="178"/>
        <v>0.16175665514443374</v>
      </c>
      <c r="BT269" s="124">
        <f t="shared" si="178"/>
        <v>0.15473781128158451</v>
      </c>
      <c r="BU269" s="124">
        <f t="shared" si="178"/>
        <v>0.14961483691442881</v>
      </c>
      <c r="BV269" s="124">
        <f t="shared" si="178"/>
        <v>0.14891847534497077</v>
      </c>
      <c r="BW269" s="124">
        <f t="shared" si="178"/>
        <v>0.15009877669941746</v>
      </c>
      <c r="BX269" s="397">
        <f t="shared" si="178"/>
        <v>0.15066174640151775</v>
      </c>
      <c r="BY269" s="124">
        <f t="shared" si="178"/>
        <v>0.15615167740509636</v>
      </c>
      <c r="BZ269" s="124">
        <f t="shared" si="178"/>
        <v>0.15074842265222466</v>
      </c>
      <c r="CA269" s="124">
        <f t="shared" si="178"/>
        <v>0.14995742875575524</v>
      </c>
      <c r="CB269" s="124">
        <f t="shared" si="178"/>
        <v>0.15113491720680122</v>
      </c>
      <c r="CC269" s="397">
        <f t="shared" si="178"/>
        <v>0.15180496350679465</v>
      </c>
      <c r="CD269" s="397">
        <f t="shared" si="178"/>
        <v>0.15291304872592582</v>
      </c>
      <c r="CE269" s="397">
        <f t="shared" si="178"/>
        <v>0.15367330067169854</v>
      </c>
      <c r="CF269" s="397">
        <f t="shared" si="178"/>
        <v>0.15425976385420562</v>
      </c>
      <c r="CG269" s="236"/>
    </row>
    <row r="270" spans="1:85" ht="14.45" customHeight="1" x14ac:dyDescent="0.25">
      <c r="A270" s="93" t="s">
        <v>388</v>
      </c>
      <c r="B270" s="89"/>
      <c r="C270" s="452">
        <f t="shared" ref="C270:AH270" si="179">C416/C401</f>
        <v>0.10927271643661139</v>
      </c>
      <c r="D270" s="452">
        <f t="shared" si="179"/>
        <v>0.10412128886919896</v>
      </c>
      <c r="E270" s="452">
        <f t="shared" si="179"/>
        <v>9.7352167092930736E-2</v>
      </c>
      <c r="F270" s="452">
        <f t="shared" si="179"/>
        <v>9.470383719857059E-2</v>
      </c>
      <c r="G270" s="147">
        <f t="shared" si="179"/>
        <v>8.0122330537529485E-2</v>
      </c>
      <c r="H270" s="147">
        <f t="shared" si="179"/>
        <v>9.7753036861944295E-2</v>
      </c>
      <c r="I270" s="147">
        <f t="shared" si="179"/>
        <v>0.10525152831995291</v>
      </c>
      <c r="J270" s="147">
        <f t="shared" si="179"/>
        <v>4.271473384440163E-2</v>
      </c>
      <c r="K270" s="452">
        <f t="shared" si="179"/>
        <v>8.2394715020918899E-2</v>
      </c>
      <c r="L270" s="147">
        <f t="shared" si="179"/>
        <v>7.0867924916748551E-2</v>
      </c>
      <c r="M270" s="147">
        <f t="shared" si="179"/>
        <v>0.10180358802367068</v>
      </c>
      <c r="N270" s="147">
        <f t="shared" si="179"/>
        <v>9.727186918256582E-2</v>
      </c>
      <c r="O270" s="147">
        <f t="shared" si="179"/>
        <v>7.2181700171114749E-2</v>
      </c>
      <c r="P270" s="452">
        <f t="shared" si="179"/>
        <v>8.625840243384976E-2</v>
      </c>
      <c r="Q270" s="147">
        <f t="shared" si="179"/>
        <v>7.8708800603636345E-2</v>
      </c>
      <c r="R270" s="147">
        <f t="shared" si="179"/>
        <v>9.7443723024713561E-2</v>
      </c>
      <c r="S270" s="147">
        <f t="shared" si="179"/>
        <v>8.308581364757299E-2</v>
      </c>
      <c r="T270" s="147">
        <f t="shared" si="179"/>
        <v>6.3503282148597434E-2</v>
      </c>
      <c r="U270" s="452">
        <f t="shared" si="179"/>
        <v>8.0790545503104813E-2</v>
      </c>
      <c r="V270" s="147">
        <f t="shared" si="179"/>
        <v>6.1422386227008789E-2</v>
      </c>
      <c r="W270" s="147">
        <f t="shared" si="179"/>
        <v>9.9888860330515569E-2</v>
      </c>
      <c r="X270" s="147">
        <f t="shared" si="179"/>
        <v>8.5282228619079747E-2</v>
      </c>
      <c r="Y270" s="147">
        <f t="shared" si="179"/>
        <v>6.7573316222253585E-2</v>
      </c>
      <c r="Z270" s="452">
        <f t="shared" si="179"/>
        <v>7.9721761434127417E-2</v>
      </c>
      <c r="AA270" s="147">
        <f t="shared" si="179"/>
        <v>5.8506275831637158E-2</v>
      </c>
      <c r="AB270" s="147">
        <f t="shared" si="179"/>
        <v>7.8591214676243873E-2</v>
      </c>
      <c r="AC270" s="147">
        <f t="shared" si="179"/>
        <v>6.9909834274674329E-2</v>
      </c>
      <c r="AD270" s="147">
        <f t="shared" si="179"/>
        <v>4.3622113947621041E-2</v>
      </c>
      <c r="AE270" s="452">
        <f t="shared" si="179"/>
        <v>6.3127418663967649E-2</v>
      </c>
      <c r="AF270" s="147">
        <f t="shared" si="179"/>
        <v>2.7212781883566014E-2</v>
      </c>
      <c r="AG270" s="147">
        <f t="shared" si="179"/>
        <v>5.5198224922397711E-2</v>
      </c>
      <c r="AH270" s="147">
        <f t="shared" si="179"/>
        <v>7.7870789255776118E-2</v>
      </c>
      <c r="AI270" s="147">
        <f t="shared" ref="AI270:BN270" si="180">AI416/AI401</f>
        <v>5.33956963533289E-2</v>
      </c>
      <c r="AJ270" s="452">
        <f t="shared" si="180"/>
        <v>5.4214976378075243E-2</v>
      </c>
      <c r="AK270" s="147">
        <f t="shared" si="180"/>
        <v>6.162867028375791E-2</v>
      </c>
      <c r="AL270" s="147">
        <f t="shared" si="180"/>
        <v>8.8147612508528664E-2</v>
      </c>
      <c r="AM270" s="147">
        <f t="shared" si="180"/>
        <v>7.8231102516150341E-2</v>
      </c>
      <c r="AN270" s="147">
        <f t="shared" si="180"/>
        <v>7.0435616807851514E-2</v>
      </c>
      <c r="AO270" s="452">
        <f t="shared" si="180"/>
        <v>7.5149967399067097E-2</v>
      </c>
      <c r="AP270" s="147">
        <f t="shared" si="180"/>
        <v>6.5113923791645642E-2</v>
      </c>
      <c r="AQ270" s="147">
        <f t="shared" si="180"/>
        <v>0.10263482763818886</v>
      </c>
      <c r="AR270" s="147">
        <f t="shared" si="180"/>
        <v>0.11436870899461334</v>
      </c>
      <c r="AS270" s="147">
        <f t="shared" si="180"/>
        <v>0.10802362202876972</v>
      </c>
      <c r="AT270" s="452">
        <f t="shared" si="180"/>
        <v>9.8334310894949206E-2</v>
      </c>
      <c r="AU270" s="147">
        <f t="shared" si="180"/>
        <v>0.10844528163407374</v>
      </c>
      <c r="AV270" s="147">
        <f t="shared" si="180"/>
        <v>0.1152882660217182</v>
      </c>
      <c r="AW270" s="147">
        <f t="shared" si="180"/>
        <v>0.126584979607968</v>
      </c>
      <c r="AX270" s="147">
        <f t="shared" si="180"/>
        <v>9.4355929628998261E-2</v>
      </c>
      <c r="AY270" s="452">
        <f t="shared" si="180"/>
        <v>0.11140892736890659</v>
      </c>
      <c r="AZ270" s="147">
        <f t="shared" si="180"/>
        <v>0.12408089675139808</v>
      </c>
      <c r="BA270" s="147">
        <f t="shared" si="180"/>
        <v>0.11902846951664817</v>
      </c>
      <c r="BB270" s="147">
        <f t="shared" si="180"/>
        <v>0.14273767046197658</v>
      </c>
      <c r="BC270" s="147">
        <f t="shared" si="180"/>
        <v>0.13736437361512477</v>
      </c>
      <c r="BD270" s="452">
        <f t="shared" si="180"/>
        <v>0.13105025562989714</v>
      </c>
      <c r="BE270" s="147">
        <f t="shared" si="180"/>
        <v>0.15879125144275866</v>
      </c>
      <c r="BF270" s="147">
        <f t="shared" si="180"/>
        <v>0.15950132042658519</v>
      </c>
      <c r="BG270" s="147">
        <f t="shared" si="180"/>
        <v>0.15204785252285066</v>
      </c>
      <c r="BH270" s="147">
        <f t="shared" si="180"/>
        <v>0.13742676074645796</v>
      </c>
      <c r="BI270" s="452">
        <f t="shared" si="180"/>
        <v>0.15200459643112316</v>
      </c>
      <c r="BJ270" s="147">
        <f t="shared" si="180"/>
        <v>0.16471017688828904</v>
      </c>
      <c r="BK270" s="147">
        <f t="shared" si="180"/>
        <v>0.17082836147917838</v>
      </c>
      <c r="BL270" s="147">
        <f t="shared" si="180"/>
        <v>0.15621708014942925</v>
      </c>
      <c r="BM270" s="147">
        <f t="shared" si="180"/>
        <v>0.15422947102625575</v>
      </c>
      <c r="BN270" s="452">
        <f t="shared" si="180"/>
        <v>0.16147635641814823</v>
      </c>
      <c r="BO270" s="147">
        <f t="shared" ref="BO270:CF270" si="181">BO416/BO401</f>
        <v>0.15392186088784837</v>
      </c>
      <c r="BP270" s="147">
        <f t="shared" si="181"/>
        <v>0.17614963791801652</v>
      </c>
      <c r="BQ270" s="147">
        <f t="shared" si="181"/>
        <v>0.1597824941469044</v>
      </c>
      <c r="BR270" s="147">
        <f t="shared" si="181"/>
        <v>0.15619023212385802</v>
      </c>
      <c r="BS270" s="453">
        <f t="shared" si="181"/>
        <v>0.16175665514443374</v>
      </c>
      <c r="BT270" s="90">
        <f t="shared" si="181"/>
        <v>0.15473781128158451</v>
      </c>
      <c r="BU270" s="90">
        <f t="shared" si="181"/>
        <v>0.14961483691442881</v>
      </c>
      <c r="BV270" s="90">
        <f t="shared" si="181"/>
        <v>0.14891847534497077</v>
      </c>
      <c r="BW270" s="90">
        <f t="shared" si="181"/>
        <v>0.15009877669941746</v>
      </c>
      <c r="BX270" s="406">
        <f t="shared" si="181"/>
        <v>0.15066174640151778</v>
      </c>
      <c r="BY270" s="90">
        <f t="shared" si="181"/>
        <v>0.15615167740509636</v>
      </c>
      <c r="BZ270" s="90">
        <f t="shared" si="181"/>
        <v>0.15074842265222466</v>
      </c>
      <c r="CA270" s="90">
        <f t="shared" si="181"/>
        <v>0.14995742875575524</v>
      </c>
      <c r="CB270" s="90">
        <f t="shared" si="181"/>
        <v>0.15113491720680122</v>
      </c>
      <c r="CC270" s="406">
        <f t="shared" si="181"/>
        <v>0.15180496350679473</v>
      </c>
      <c r="CD270" s="406">
        <f t="shared" si="181"/>
        <v>0.15291304872592582</v>
      </c>
      <c r="CE270" s="406">
        <f t="shared" si="181"/>
        <v>0.15367330067169854</v>
      </c>
      <c r="CF270" s="406">
        <f t="shared" si="181"/>
        <v>0.15425976385420562</v>
      </c>
      <c r="CG270" s="236"/>
    </row>
    <row r="271" spans="1:85" ht="14.45" customHeight="1" x14ac:dyDescent="0.25">
      <c r="A271" s="207" t="s">
        <v>389</v>
      </c>
      <c r="B271" s="203"/>
      <c r="C271" s="508"/>
      <c r="D271" s="508"/>
      <c r="E271" s="508"/>
      <c r="F271" s="508"/>
      <c r="G271" s="210"/>
      <c r="H271" s="210"/>
      <c r="I271" s="210"/>
      <c r="J271" s="210"/>
      <c r="K271" s="508"/>
      <c r="L271" s="210"/>
      <c r="M271" s="210"/>
      <c r="N271" s="210"/>
      <c r="O271" s="210"/>
      <c r="P271" s="508"/>
      <c r="Q271" s="210"/>
      <c r="R271" s="210"/>
      <c r="S271" s="210"/>
      <c r="T271" s="210"/>
      <c r="U271" s="508"/>
      <c r="V271" s="210"/>
      <c r="W271" s="210"/>
      <c r="X271" s="210"/>
      <c r="Y271" s="210"/>
      <c r="Z271" s="508"/>
      <c r="AA271" s="210"/>
      <c r="AB271" s="210"/>
      <c r="AC271" s="210"/>
      <c r="AD271" s="210"/>
      <c r="AE271" s="508"/>
      <c r="AF271" s="210"/>
      <c r="AG271" s="210"/>
      <c r="AH271" s="210"/>
      <c r="AI271" s="210"/>
      <c r="AJ271" s="508"/>
      <c r="AK271" s="210"/>
      <c r="AL271" s="210"/>
      <c r="AM271" s="210"/>
      <c r="AN271" s="210"/>
      <c r="AO271" s="508"/>
      <c r="AP271" s="210"/>
      <c r="AQ271" s="210"/>
      <c r="AR271" s="210"/>
      <c r="AS271" s="210"/>
      <c r="AT271" s="508"/>
      <c r="AU271" s="210"/>
      <c r="AV271" s="210"/>
      <c r="AW271" s="210"/>
      <c r="AX271" s="210"/>
      <c r="AY271" s="508"/>
      <c r="AZ271" s="210"/>
      <c r="BA271" s="210"/>
      <c r="BB271" s="210"/>
      <c r="BC271" s="210"/>
      <c r="BD271" s="508"/>
      <c r="BE271" s="210"/>
      <c r="BF271" s="210"/>
      <c r="BG271" s="210"/>
      <c r="BH271" s="210"/>
      <c r="BI271" s="508"/>
      <c r="BJ271" s="210"/>
      <c r="BK271" s="210"/>
      <c r="BL271" s="210"/>
      <c r="BM271" s="210"/>
      <c r="BN271" s="508"/>
      <c r="BO271" s="210"/>
      <c r="BP271" s="210"/>
      <c r="BQ271" s="210"/>
      <c r="BR271" s="210"/>
      <c r="BS271" s="509"/>
      <c r="BT271" s="510">
        <f t="shared" ref="BT271:CF271" ca="1" si="182">IFERROR(BT417/BT402,0)</f>
        <v>0</v>
      </c>
      <c r="BU271" s="510">
        <f t="shared" ca="1" si="182"/>
        <v>0</v>
      </c>
      <c r="BV271" s="510">
        <f t="shared" ca="1" si="182"/>
        <v>0</v>
      </c>
      <c r="BW271" s="510">
        <f t="shared" ca="1" si="182"/>
        <v>0</v>
      </c>
      <c r="BX271" s="511">
        <f t="shared" ca="1" si="182"/>
        <v>0</v>
      </c>
      <c r="BY271" s="510">
        <f t="shared" ca="1" si="182"/>
        <v>0</v>
      </c>
      <c r="BZ271" s="510">
        <f t="shared" ca="1" si="182"/>
        <v>0</v>
      </c>
      <c r="CA271" s="510">
        <f t="shared" ca="1" si="182"/>
        <v>0</v>
      </c>
      <c r="CB271" s="510">
        <f t="shared" ca="1" si="182"/>
        <v>0</v>
      </c>
      <c r="CC271" s="511">
        <f t="shared" ca="1" si="182"/>
        <v>0</v>
      </c>
      <c r="CD271" s="511">
        <f t="shared" ca="1" si="182"/>
        <v>0</v>
      </c>
      <c r="CE271" s="511">
        <f t="shared" ca="1" si="182"/>
        <v>0</v>
      </c>
      <c r="CF271" s="511">
        <f t="shared" ca="1" si="182"/>
        <v>0</v>
      </c>
      <c r="CG271" s="207"/>
    </row>
    <row r="272" spans="1:85" ht="14.45" customHeight="1" x14ac:dyDescent="0.25">
      <c r="A272" s="210"/>
      <c r="B272" s="203"/>
      <c r="C272" s="508"/>
      <c r="D272" s="508"/>
      <c r="E272" s="508"/>
      <c r="F272" s="508"/>
      <c r="G272" s="210"/>
      <c r="H272" s="210"/>
      <c r="I272" s="210"/>
      <c r="J272" s="210"/>
      <c r="K272" s="508"/>
      <c r="L272" s="210"/>
      <c r="M272" s="210"/>
      <c r="N272" s="210"/>
      <c r="O272" s="210"/>
      <c r="P272" s="508"/>
      <c r="Q272" s="210"/>
      <c r="R272" s="210"/>
      <c r="S272" s="210"/>
      <c r="T272" s="210"/>
      <c r="U272" s="508"/>
      <c r="V272" s="210"/>
      <c r="W272" s="210"/>
      <c r="X272" s="210"/>
      <c r="Y272" s="210"/>
      <c r="Z272" s="508"/>
      <c r="AA272" s="210"/>
      <c r="AB272" s="210"/>
      <c r="AC272" s="210"/>
      <c r="AD272" s="210"/>
      <c r="AE272" s="508"/>
      <c r="AF272" s="210"/>
      <c r="AG272" s="210"/>
      <c r="AH272" s="210"/>
      <c r="AI272" s="210"/>
      <c r="AJ272" s="508"/>
      <c r="AK272" s="210"/>
      <c r="AL272" s="210"/>
      <c r="AM272" s="210"/>
      <c r="AN272" s="210"/>
      <c r="AO272" s="508"/>
      <c r="AP272" s="210"/>
      <c r="AQ272" s="210"/>
      <c r="AR272" s="210"/>
      <c r="AS272" s="210"/>
      <c r="AT272" s="508"/>
      <c r="AU272" s="210"/>
      <c r="AV272" s="210"/>
      <c r="AW272" s="210"/>
      <c r="AX272" s="210"/>
      <c r="AY272" s="508"/>
      <c r="AZ272" s="210"/>
      <c r="BA272" s="210"/>
      <c r="BB272" s="210"/>
      <c r="BC272" s="210"/>
      <c r="BD272" s="508"/>
      <c r="BE272" s="210"/>
      <c r="BF272" s="210"/>
      <c r="BG272" s="210"/>
      <c r="BH272" s="210"/>
      <c r="BI272" s="508"/>
      <c r="BJ272" s="210"/>
      <c r="BK272" s="210"/>
      <c r="BL272" s="210"/>
      <c r="BM272" s="210"/>
      <c r="BN272" s="508"/>
      <c r="BO272" s="210"/>
      <c r="BP272" s="210"/>
      <c r="BQ272" s="210"/>
      <c r="BR272" s="210"/>
      <c r="BS272" s="509"/>
      <c r="BT272" s="210"/>
      <c r="BU272" s="210"/>
      <c r="BV272" s="210"/>
      <c r="BW272" s="210"/>
      <c r="BX272" s="508"/>
      <c r="BY272" s="210"/>
      <c r="BZ272" s="210"/>
      <c r="CA272" s="210"/>
      <c r="CB272" s="210"/>
      <c r="CC272" s="508"/>
      <c r="CD272" s="508"/>
      <c r="CE272" s="508"/>
      <c r="CF272" s="508"/>
      <c r="CG272" s="207"/>
    </row>
    <row r="273" spans="1:85" ht="14.45" customHeight="1" x14ac:dyDescent="0.25">
      <c r="A273" s="95" t="s">
        <v>390</v>
      </c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409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109"/>
    </row>
    <row r="274" spans="1:85" ht="14.45" hidden="1" customHeight="1" x14ac:dyDescent="0.25">
      <c r="A274" s="135" t="s">
        <v>391</v>
      </c>
      <c r="B274" s="211"/>
      <c r="C274" s="471">
        <v>1442.9860000000001</v>
      </c>
      <c r="D274" s="471">
        <v>1514.5989999999999</v>
      </c>
      <c r="E274" s="471">
        <v>1561.239</v>
      </c>
      <c r="F274" s="471">
        <v>1614.433</v>
      </c>
      <c r="G274" s="163">
        <v>383.55099999999999</v>
      </c>
      <c r="H274" s="163">
        <v>428.97899999999998</v>
      </c>
      <c r="I274" s="163">
        <v>434.464</v>
      </c>
      <c r="J274" s="109">
        <f>K274-G274-H274-I274</f>
        <v>394.33699999999993</v>
      </c>
      <c r="K274" s="471">
        <v>1641.3309999999999</v>
      </c>
      <c r="L274" s="163">
        <v>388.58199999999999</v>
      </c>
      <c r="M274" s="163">
        <v>459.47300000000001</v>
      </c>
      <c r="N274" s="163">
        <v>457.67599999999999</v>
      </c>
      <c r="O274" s="109">
        <f>P274-L274-M274-N274</f>
        <v>440.63799999999986</v>
      </c>
      <c r="P274" s="471">
        <v>1746.3689999999999</v>
      </c>
      <c r="Q274" s="163">
        <v>453.25299999999999</v>
      </c>
      <c r="R274" s="163">
        <v>614.68299999999999</v>
      </c>
      <c r="S274" s="163">
        <v>618.80600000000004</v>
      </c>
      <c r="T274" s="109">
        <f>U274-Q274-R274-S274</f>
        <v>619.71600000000012</v>
      </c>
      <c r="U274" s="471">
        <v>2306.4580000000001</v>
      </c>
      <c r="V274" s="163">
        <v>625.45600000000002</v>
      </c>
      <c r="W274" s="163">
        <v>840.38400000000001</v>
      </c>
      <c r="X274" s="163">
        <v>849.02800000000002</v>
      </c>
      <c r="Y274" s="109">
        <f>Z274-V274-W274-X274</f>
        <v>841.55999999999972</v>
      </c>
      <c r="Z274" s="471">
        <v>3156.4279999999999</v>
      </c>
      <c r="AA274" s="163">
        <v>865.702</v>
      </c>
      <c r="AB274" s="163">
        <v>1169.2909999999999</v>
      </c>
      <c r="AC274" s="163">
        <v>1162.5260000000001</v>
      </c>
      <c r="AD274" s="109">
        <f>AE274-SUM(AA274,AB274,AC274)</f>
        <v>1126.1489999999994</v>
      </c>
      <c r="AE274" s="471">
        <v>4323.6679999999997</v>
      </c>
      <c r="AF274" s="163">
        <v>1064.7570000000001</v>
      </c>
      <c r="AG274" s="163">
        <v>1220.0029999999999</v>
      </c>
      <c r="AH274" s="163">
        <v>1204.0329999999999</v>
      </c>
      <c r="AI274" s="109">
        <f>AJ274-SUM(AF274,AG274,AH274)</f>
        <v>1136.5709999999995</v>
      </c>
      <c r="AJ274" s="471">
        <v>4625.3639999999996</v>
      </c>
      <c r="AK274" s="163">
        <v>1102.912</v>
      </c>
      <c r="AL274" s="163">
        <v>1273.6590000000001</v>
      </c>
      <c r="AM274" s="163">
        <v>1271.029</v>
      </c>
      <c r="AN274" s="109">
        <f>AO274-SUM(AK274,AL274,AM274)</f>
        <v>1178.9490000000001</v>
      </c>
      <c r="AO274" s="471">
        <v>4826.549</v>
      </c>
      <c r="AP274" s="163">
        <v>1173.021</v>
      </c>
      <c r="AQ274" s="163">
        <v>1227.2149999999999</v>
      </c>
      <c r="AR274" s="163">
        <v>1328.4839999999999</v>
      </c>
      <c r="AS274" s="109">
        <f>AT274-SUM(AP274,AQ274,AR274)</f>
        <v>1278.6370000000002</v>
      </c>
      <c r="AT274" s="471">
        <v>5007.357</v>
      </c>
      <c r="AU274" s="163">
        <v>1269.857</v>
      </c>
      <c r="AV274" s="163">
        <v>1433.086</v>
      </c>
      <c r="AW274" s="163">
        <v>1457.432</v>
      </c>
      <c r="AX274" s="109">
        <f>AY274-SUM(AU274,AV274,AW274)</f>
        <v>1402.3389999999999</v>
      </c>
      <c r="AY274" s="471">
        <v>5562.7139999999999</v>
      </c>
      <c r="AZ274" s="163">
        <v>1404.3579999999999</v>
      </c>
      <c r="BA274" s="163">
        <v>1595.2149999999999</v>
      </c>
      <c r="BB274" s="163">
        <v>1628.5889999999999</v>
      </c>
      <c r="BC274" s="109">
        <f>BD274-SUM(AZ274,BA274,BB274)</f>
        <v>1572.7950000000001</v>
      </c>
      <c r="BD274" s="471">
        <v>6200.9570000000003</v>
      </c>
      <c r="BE274" s="163">
        <v>1571.6420000000001</v>
      </c>
      <c r="BF274" s="163">
        <v>1738.8320000000001</v>
      </c>
      <c r="BG274" s="163">
        <v>1712.4280000000001</v>
      </c>
      <c r="BH274" s="109">
        <f>BI274-SUM(BE274,BF274,BG274)</f>
        <v>1630.9560000000001</v>
      </c>
      <c r="BI274" s="471">
        <v>6653.8580000000002</v>
      </c>
      <c r="BJ274" s="163">
        <v>1591.626</v>
      </c>
      <c r="BK274" s="163">
        <v>1795.943</v>
      </c>
      <c r="BL274" s="163">
        <v>1765.652</v>
      </c>
      <c r="BM274" s="109">
        <f>BN274-SUM(BJ274,BK274,BL274)</f>
        <v>1746.4950000000008</v>
      </c>
      <c r="BN274" s="471">
        <v>6899.7160000000003</v>
      </c>
      <c r="BO274" s="163">
        <v>1579.9770000000001</v>
      </c>
      <c r="BP274" s="163">
        <v>1855.519</v>
      </c>
      <c r="BQ274" s="163">
        <v>1888.317</v>
      </c>
      <c r="BR274" s="109">
        <f>BS274-SUM(BO274,BP274,BQ274)</f>
        <v>1904.2420000000002</v>
      </c>
      <c r="BS274" s="472">
        <v>7228.0550000000003</v>
      </c>
      <c r="BT274" s="112"/>
      <c r="BU274" s="112"/>
      <c r="BV274" s="112"/>
      <c r="BW274" s="112"/>
      <c r="BX274" s="423"/>
      <c r="BY274" s="112"/>
      <c r="BZ274" s="112"/>
      <c r="CA274" s="112"/>
      <c r="CB274" s="112"/>
      <c r="CC274" s="423"/>
      <c r="CD274" s="423"/>
      <c r="CE274" s="423"/>
      <c r="CF274" s="423"/>
      <c r="CG274" s="109"/>
    </row>
    <row r="275" spans="1:85" ht="14.45" hidden="1" customHeight="1" x14ac:dyDescent="0.25">
      <c r="A275" s="130" t="s">
        <v>392</v>
      </c>
      <c r="B275" s="190"/>
      <c r="C275" s="414">
        <v>822.99199999999996</v>
      </c>
      <c r="D275" s="414">
        <v>873.78300000000002</v>
      </c>
      <c r="E275" s="414">
        <v>931.99599999999998</v>
      </c>
      <c r="F275" s="414">
        <v>960.12400000000002</v>
      </c>
      <c r="G275" s="102">
        <v>229.852</v>
      </c>
      <c r="H275" s="102">
        <v>258.66399999999999</v>
      </c>
      <c r="I275" s="102">
        <v>258.35199999999998</v>
      </c>
      <c r="J275" s="103">
        <f>K275-G275-H275-I275</f>
        <v>235.82300000000009</v>
      </c>
      <c r="K275" s="414">
        <v>982.69100000000003</v>
      </c>
      <c r="L275" s="102">
        <v>232.249</v>
      </c>
      <c r="M275" s="102">
        <v>273.95299999999997</v>
      </c>
      <c r="N275" s="102">
        <v>272.73399999999998</v>
      </c>
      <c r="O275" s="103">
        <f>P275-L275-M275-N275</f>
        <v>262.19400000000013</v>
      </c>
      <c r="P275" s="414">
        <v>1041.1300000000001</v>
      </c>
      <c r="Q275" s="102">
        <v>268.88</v>
      </c>
      <c r="R275" s="102">
        <v>377.36599999999999</v>
      </c>
      <c r="S275" s="102">
        <v>380.27</v>
      </c>
      <c r="T275" s="103">
        <f>U275-Q275-R275-S275</f>
        <v>378.90999999999985</v>
      </c>
      <c r="U275" s="414">
        <v>1405.4259999999999</v>
      </c>
      <c r="V275" s="102">
        <v>381.55799999999999</v>
      </c>
      <c r="W275" s="102">
        <v>520.67700000000002</v>
      </c>
      <c r="X275" s="102">
        <v>521.83799999999997</v>
      </c>
      <c r="Y275" s="103">
        <f>Z275-V275-W275-X275</f>
        <v>516.63300000000004</v>
      </c>
      <c r="Z275" s="414">
        <v>1940.7059999999999</v>
      </c>
      <c r="AA275" s="102">
        <v>533.68100000000004</v>
      </c>
      <c r="AB275" s="102">
        <v>754.11300000000006</v>
      </c>
      <c r="AC275" s="102">
        <v>752.202</v>
      </c>
      <c r="AD275" s="103">
        <f>AE275-SUM(AA275,AB275,AC275)</f>
        <v>742.72499999999991</v>
      </c>
      <c r="AE275" s="414">
        <v>2782.721</v>
      </c>
      <c r="AF275" s="102">
        <v>707.11599999999999</v>
      </c>
      <c r="AG275" s="102">
        <v>815.29499999999996</v>
      </c>
      <c r="AH275" s="102">
        <v>791.31700000000001</v>
      </c>
      <c r="AI275" s="103">
        <f>AJ275-SUM(AF275,AG275,AH275)</f>
        <v>755.92399999999998</v>
      </c>
      <c r="AJ275" s="414">
        <v>3069.652</v>
      </c>
      <c r="AK275" s="102">
        <v>713.60400000000004</v>
      </c>
      <c r="AL275" s="102">
        <v>837.88</v>
      </c>
      <c r="AM275" s="102">
        <v>838.80499999999995</v>
      </c>
      <c r="AN275" s="103">
        <f>AO275-SUM(AK275,AL275,AM275)</f>
        <v>765.75800000000027</v>
      </c>
      <c r="AO275" s="414">
        <v>3156.047</v>
      </c>
      <c r="AP275" s="102">
        <v>767.726</v>
      </c>
      <c r="AQ275" s="102">
        <v>797.91399999999999</v>
      </c>
      <c r="AR275" s="102">
        <v>856.04600000000005</v>
      </c>
      <c r="AS275" s="103">
        <f>AT275-SUM(AP275,AQ275,AR275)</f>
        <v>816.76200000000017</v>
      </c>
      <c r="AT275" s="414">
        <v>3238.4479999999999</v>
      </c>
      <c r="AU275" s="102">
        <v>821.154</v>
      </c>
      <c r="AV275" s="102">
        <v>938.14599999999996</v>
      </c>
      <c r="AW275" s="102">
        <v>939.72</v>
      </c>
      <c r="AX275" s="103">
        <f>AY275-SUM(AU275,AV275,AW275)</f>
        <v>909.50700000000006</v>
      </c>
      <c r="AY275" s="414">
        <v>3608.527</v>
      </c>
      <c r="AZ275" s="102">
        <v>896.78200000000004</v>
      </c>
      <c r="BA275" s="102">
        <v>1044.556</v>
      </c>
      <c r="BB275" s="102">
        <v>1007.482</v>
      </c>
      <c r="BC275" s="103">
        <f>BD275-SUM(AZ275,BA275,BB275)</f>
        <v>974.18299999999999</v>
      </c>
      <c r="BD275" s="414">
        <v>3923.0030000000002</v>
      </c>
      <c r="BE275" s="102">
        <v>947.53599999999994</v>
      </c>
      <c r="BF275" s="102">
        <v>1067.2550000000001</v>
      </c>
      <c r="BG275" s="102">
        <v>1050.8779999999999</v>
      </c>
      <c r="BH275" s="103">
        <f>BI275-SUM(BE275,BF275,BG275)</f>
        <v>989.47800000000007</v>
      </c>
      <c r="BI275" s="414">
        <v>4055.1469999999999</v>
      </c>
      <c r="BJ275" s="102">
        <v>951.06700000000001</v>
      </c>
      <c r="BK275" s="102">
        <v>1079.2329999999999</v>
      </c>
      <c r="BL275" s="102">
        <v>1067.616</v>
      </c>
      <c r="BM275" s="103">
        <f>BN275-SUM(BJ275,BK275,BL275)</f>
        <v>1048.6210000000001</v>
      </c>
      <c r="BN275" s="414">
        <v>4146.5370000000003</v>
      </c>
      <c r="BO275" s="102">
        <v>952.87300000000005</v>
      </c>
      <c r="BP275" s="102">
        <v>1113.0229999999999</v>
      </c>
      <c r="BQ275" s="102">
        <v>1139.8009999999999</v>
      </c>
      <c r="BR275" s="103">
        <f>BS275-SUM(BO275,BP275,BQ275)</f>
        <v>1149.9960000000005</v>
      </c>
      <c r="BS275" s="420">
        <v>4355.6930000000002</v>
      </c>
      <c r="BT275" s="158"/>
      <c r="BU275" s="158"/>
      <c r="BV275" s="158"/>
      <c r="BW275" s="158"/>
      <c r="BX275" s="415"/>
      <c r="BY275" s="158"/>
      <c r="BZ275" s="158"/>
      <c r="CA275" s="158"/>
      <c r="CB275" s="158"/>
      <c r="CC275" s="415"/>
      <c r="CD275" s="415"/>
      <c r="CE275" s="415"/>
      <c r="CF275" s="415"/>
      <c r="CG275" s="99"/>
    </row>
    <row r="276" spans="1:85" ht="14.45" hidden="1" customHeight="1" x14ac:dyDescent="0.25">
      <c r="A276" s="135" t="s">
        <v>393</v>
      </c>
      <c r="B276" s="211"/>
      <c r="C276" s="421">
        <f t="shared" ref="C276:AH276" si="183">C274-C275</f>
        <v>619.99400000000014</v>
      </c>
      <c r="D276" s="421">
        <f t="shared" si="183"/>
        <v>640.81599999999992</v>
      </c>
      <c r="E276" s="421">
        <f t="shared" si="183"/>
        <v>629.24300000000005</v>
      </c>
      <c r="F276" s="421">
        <f t="shared" si="183"/>
        <v>654.30899999999997</v>
      </c>
      <c r="G276" s="109">
        <f t="shared" si="183"/>
        <v>153.69899999999998</v>
      </c>
      <c r="H276" s="109">
        <f t="shared" si="183"/>
        <v>170.315</v>
      </c>
      <c r="I276" s="109">
        <f t="shared" si="183"/>
        <v>176.11200000000002</v>
      </c>
      <c r="J276" s="109">
        <f t="shared" si="183"/>
        <v>158.51399999999984</v>
      </c>
      <c r="K276" s="421">
        <f t="shared" si="183"/>
        <v>658.63999999999987</v>
      </c>
      <c r="L276" s="109">
        <f t="shared" si="183"/>
        <v>156.333</v>
      </c>
      <c r="M276" s="109">
        <f t="shared" si="183"/>
        <v>185.52000000000004</v>
      </c>
      <c r="N276" s="109">
        <f t="shared" si="183"/>
        <v>184.94200000000001</v>
      </c>
      <c r="O276" s="109">
        <f t="shared" si="183"/>
        <v>178.44399999999973</v>
      </c>
      <c r="P276" s="421">
        <f t="shared" si="183"/>
        <v>705.23899999999981</v>
      </c>
      <c r="Q276" s="109">
        <f t="shared" si="183"/>
        <v>184.37299999999999</v>
      </c>
      <c r="R276" s="109">
        <f t="shared" si="183"/>
        <v>237.31700000000001</v>
      </c>
      <c r="S276" s="109">
        <f t="shared" si="183"/>
        <v>238.53600000000006</v>
      </c>
      <c r="T276" s="109">
        <f t="shared" si="183"/>
        <v>240.80600000000027</v>
      </c>
      <c r="U276" s="421">
        <f t="shared" si="183"/>
        <v>901.03200000000015</v>
      </c>
      <c r="V276" s="109">
        <f t="shared" si="183"/>
        <v>243.89800000000002</v>
      </c>
      <c r="W276" s="109">
        <f t="shared" si="183"/>
        <v>319.70699999999999</v>
      </c>
      <c r="X276" s="109">
        <f t="shared" si="183"/>
        <v>327.19000000000005</v>
      </c>
      <c r="Y276" s="112">
        <f t="shared" si="183"/>
        <v>324.92699999999968</v>
      </c>
      <c r="Z276" s="423">
        <f t="shared" si="183"/>
        <v>1215.722</v>
      </c>
      <c r="AA276" s="109">
        <f t="shared" si="183"/>
        <v>332.02099999999996</v>
      </c>
      <c r="AB276" s="109">
        <f t="shared" si="183"/>
        <v>415.17799999999988</v>
      </c>
      <c r="AC276" s="109">
        <f t="shared" si="183"/>
        <v>410.32400000000007</v>
      </c>
      <c r="AD276" s="112">
        <f t="shared" si="183"/>
        <v>383.42399999999952</v>
      </c>
      <c r="AE276" s="423">
        <f t="shared" si="183"/>
        <v>1540.9469999999997</v>
      </c>
      <c r="AF276" s="109">
        <f t="shared" si="183"/>
        <v>357.64100000000008</v>
      </c>
      <c r="AG276" s="109">
        <f t="shared" si="183"/>
        <v>404.70799999999997</v>
      </c>
      <c r="AH276" s="109">
        <f t="shared" si="183"/>
        <v>412.71599999999989</v>
      </c>
      <c r="AI276" s="112">
        <f t="shared" ref="AI276:BN276" si="184">AI274-AI275</f>
        <v>380.64699999999948</v>
      </c>
      <c r="AJ276" s="423">
        <f t="shared" si="184"/>
        <v>1555.7119999999995</v>
      </c>
      <c r="AK276" s="109">
        <f t="shared" si="184"/>
        <v>389.30799999999999</v>
      </c>
      <c r="AL276" s="109">
        <f t="shared" si="184"/>
        <v>435.77900000000011</v>
      </c>
      <c r="AM276" s="109">
        <f t="shared" si="184"/>
        <v>432.22400000000005</v>
      </c>
      <c r="AN276" s="112">
        <f t="shared" si="184"/>
        <v>413.1909999999998</v>
      </c>
      <c r="AO276" s="423">
        <f t="shared" si="184"/>
        <v>1670.502</v>
      </c>
      <c r="AP276" s="109">
        <f t="shared" si="184"/>
        <v>405.29499999999996</v>
      </c>
      <c r="AQ276" s="109">
        <f t="shared" si="184"/>
        <v>429.30099999999993</v>
      </c>
      <c r="AR276" s="109">
        <f t="shared" si="184"/>
        <v>472.43799999999987</v>
      </c>
      <c r="AS276" s="112">
        <f t="shared" si="184"/>
        <v>461.875</v>
      </c>
      <c r="AT276" s="423">
        <f t="shared" si="184"/>
        <v>1768.9090000000001</v>
      </c>
      <c r="AU276" s="109">
        <f t="shared" si="184"/>
        <v>448.70299999999997</v>
      </c>
      <c r="AV276" s="109">
        <f t="shared" si="184"/>
        <v>494.94000000000005</v>
      </c>
      <c r="AW276" s="109">
        <f t="shared" si="184"/>
        <v>517.71199999999999</v>
      </c>
      <c r="AX276" s="112">
        <f t="shared" si="184"/>
        <v>492.83199999999988</v>
      </c>
      <c r="AY276" s="423">
        <f t="shared" si="184"/>
        <v>1954.1869999999999</v>
      </c>
      <c r="AZ276" s="109">
        <f t="shared" si="184"/>
        <v>507.57599999999991</v>
      </c>
      <c r="BA276" s="109">
        <f t="shared" si="184"/>
        <v>550.65899999999988</v>
      </c>
      <c r="BB276" s="109">
        <f t="shared" si="184"/>
        <v>621.10699999999997</v>
      </c>
      <c r="BC276" s="112">
        <f t="shared" si="184"/>
        <v>598.61200000000008</v>
      </c>
      <c r="BD276" s="423">
        <f t="shared" si="184"/>
        <v>2277.9540000000002</v>
      </c>
      <c r="BE276" s="109">
        <f t="shared" si="184"/>
        <v>624.10600000000011</v>
      </c>
      <c r="BF276" s="109">
        <f t="shared" si="184"/>
        <v>671.577</v>
      </c>
      <c r="BG276" s="109">
        <f t="shared" si="184"/>
        <v>661.55000000000018</v>
      </c>
      <c r="BH276" s="112">
        <f t="shared" si="184"/>
        <v>641.47800000000007</v>
      </c>
      <c r="BI276" s="423">
        <f t="shared" si="184"/>
        <v>2598.7110000000002</v>
      </c>
      <c r="BJ276" s="109">
        <f t="shared" si="184"/>
        <v>640.55899999999997</v>
      </c>
      <c r="BK276" s="109">
        <f t="shared" si="184"/>
        <v>716.71</v>
      </c>
      <c r="BL276" s="109">
        <f t="shared" si="184"/>
        <v>698.03600000000006</v>
      </c>
      <c r="BM276" s="112">
        <f t="shared" si="184"/>
        <v>697.87400000000071</v>
      </c>
      <c r="BN276" s="423">
        <f t="shared" si="184"/>
        <v>2753.1790000000001</v>
      </c>
      <c r="BO276" s="109">
        <f t="shared" ref="BO276:CF276" si="185">BO274-BO275</f>
        <v>627.10400000000004</v>
      </c>
      <c r="BP276" s="109">
        <f t="shared" si="185"/>
        <v>742.49600000000009</v>
      </c>
      <c r="BQ276" s="109">
        <f t="shared" si="185"/>
        <v>748.51600000000008</v>
      </c>
      <c r="BR276" s="112">
        <f t="shared" si="185"/>
        <v>754.24599999999964</v>
      </c>
      <c r="BS276" s="424">
        <f t="shared" si="185"/>
        <v>2872.3620000000001</v>
      </c>
      <c r="BT276" s="112">
        <f t="shared" si="185"/>
        <v>0</v>
      </c>
      <c r="BU276" s="112">
        <f t="shared" si="185"/>
        <v>0</v>
      </c>
      <c r="BV276" s="112">
        <f t="shared" si="185"/>
        <v>0</v>
      </c>
      <c r="BW276" s="112">
        <f t="shared" si="185"/>
        <v>0</v>
      </c>
      <c r="BX276" s="423">
        <f t="shared" si="185"/>
        <v>0</v>
      </c>
      <c r="BY276" s="112">
        <f t="shared" si="185"/>
        <v>0</v>
      </c>
      <c r="BZ276" s="112">
        <f t="shared" si="185"/>
        <v>0</v>
      </c>
      <c r="CA276" s="112">
        <f t="shared" si="185"/>
        <v>0</v>
      </c>
      <c r="CB276" s="112">
        <f t="shared" si="185"/>
        <v>0</v>
      </c>
      <c r="CC276" s="423">
        <f t="shared" si="185"/>
        <v>0</v>
      </c>
      <c r="CD276" s="423">
        <f t="shared" si="185"/>
        <v>0</v>
      </c>
      <c r="CE276" s="423">
        <f t="shared" si="185"/>
        <v>0</v>
      </c>
      <c r="CF276" s="423">
        <f t="shared" si="185"/>
        <v>0</v>
      </c>
      <c r="CG276" s="109"/>
    </row>
    <row r="277" spans="1:85" ht="14.45" hidden="1" customHeight="1" x14ac:dyDescent="0.25">
      <c r="A277" s="125" t="s">
        <v>394</v>
      </c>
      <c r="B277" s="180"/>
      <c r="C277" s="410">
        <v>525.49099999999999</v>
      </c>
      <c r="D277" s="410">
        <v>544.49800000000005</v>
      </c>
      <c r="E277" s="410">
        <v>541.71299999999997</v>
      </c>
      <c r="F277" s="410">
        <v>565.62300000000005</v>
      </c>
      <c r="G277" s="98">
        <v>138.21100000000001</v>
      </c>
      <c r="H277" s="98">
        <v>143.416</v>
      </c>
      <c r="I277" s="98">
        <v>145.91200000000001</v>
      </c>
      <c r="J277" s="99">
        <f>K277-G277-H277-I277</f>
        <v>157.45400000000004</v>
      </c>
      <c r="K277" s="410">
        <v>584.99300000000005</v>
      </c>
      <c r="L277" s="98">
        <v>144.21700000000001</v>
      </c>
      <c r="M277" s="98">
        <v>154.256</v>
      </c>
      <c r="N277" s="98">
        <v>156.49600000000001</v>
      </c>
      <c r="O277" s="99">
        <f>P277-L277-M277-N277</f>
        <v>164.30300000000008</v>
      </c>
      <c r="P277" s="410">
        <v>619.27200000000005</v>
      </c>
      <c r="Q277" s="98">
        <v>167.471</v>
      </c>
      <c r="R277" s="98">
        <v>199.001</v>
      </c>
      <c r="S277" s="98">
        <v>210.851</v>
      </c>
      <c r="T277" s="99">
        <f>U277-Q277-R277-S277</f>
        <v>225.56500000000005</v>
      </c>
      <c r="U277" s="410">
        <v>802.88800000000003</v>
      </c>
      <c r="V277" s="98">
        <v>231.49700000000001</v>
      </c>
      <c r="W277" s="98">
        <v>264.971</v>
      </c>
      <c r="X277" s="98">
        <v>287.38900000000001</v>
      </c>
      <c r="Y277" s="99">
        <f>Z277-V277-W277-X277</f>
        <v>304.00599999999997</v>
      </c>
      <c r="Z277" s="410">
        <v>1087.8630000000001</v>
      </c>
      <c r="AA277" s="98">
        <v>318.41300000000001</v>
      </c>
      <c r="AB277" s="98">
        <v>367.86500000000001</v>
      </c>
      <c r="AC277" s="98">
        <v>374.19400000000002</v>
      </c>
      <c r="AD277" s="99">
        <f>AE277-SUM(AA277,AB277,AC277)</f>
        <v>384.29600000000005</v>
      </c>
      <c r="AE277" s="410">
        <v>1444.768</v>
      </c>
      <c r="AF277" s="98">
        <v>376.63799999999998</v>
      </c>
      <c r="AG277" s="98">
        <v>385.029</v>
      </c>
      <c r="AH277" s="98">
        <v>368.31200000000001</v>
      </c>
      <c r="AI277" s="99">
        <f>AJ277-SUM(AF277,AG277,AH277)</f>
        <v>367.83100000000013</v>
      </c>
      <c r="AJ277" s="410">
        <v>1497.81</v>
      </c>
      <c r="AK277" s="102">
        <v>369.154</v>
      </c>
      <c r="AL277" s="98">
        <v>368.565</v>
      </c>
      <c r="AM277" s="98">
        <v>378.37799999999999</v>
      </c>
      <c r="AN277" s="99">
        <f>AO277-SUM(AK277,AL277,AM277)</f>
        <v>373.65100000000007</v>
      </c>
      <c r="AO277" s="410">
        <v>1489.748</v>
      </c>
      <c r="AP277" s="102">
        <v>372.47399999999999</v>
      </c>
      <c r="AQ277" s="98">
        <v>346.18299999999999</v>
      </c>
      <c r="AR277" s="98">
        <v>368.59399999999999</v>
      </c>
      <c r="AS277" s="99">
        <f>AT277-SUM(AP277,AQ277,AR277)</f>
        <v>368.28</v>
      </c>
      <c r="AT277" s="410">
        <v>1455.5309999999999</v>
      </c>
      <c r="AU277" s="102">
        <v>354.51900000000001</v>
      </c>
      <c r="AV277" s="98">
        <v>374.07900000000001</v>
      </c>
      <c r="AW277" s="98">
        <v>380.68099999999998</v>
      </c>
      <c r="AX277" s="99">
        <f>AY277-SUM(AU277,AV277,AW277)</f>
        <v>405.73700000000008</v>
      </c>
      <c r="AY277" s="410">
        <v>1515.0160000000001</v>
      </c>
      <c r="AZ277" s="102">
        <v>376.59100000000001</v>
      </c>
      <c r="BA277" s="98">
        <v>403.36599999999999</v>
      </c>
      <c r="BB277" s="98">
        <v>431.17700000000002</v>
      </c>
      <c r="BC277" s="99">
        <f>BD277-SUM(AZ277,BA277,BB277)</f>
        <v>425.77299999999991</v>
      </c>
      <c r="BD277" s="410">
        <v>1636.9069999999999</v>
      </c>
      <c r="BE277" s="102">
        <v>418.05200000000002</v>
      </c>
      <c r="BF277" s="98">
        <v>437.90699999999998</v>
      </c>
      <c r="BG277" s="98">
        <v>445.29</v>
      </c>
      <c r="BH277" s="99">
        <f>BI277-SUM(BE277,BF277,BG277)</f>
        <v>463.01099999999997</v>
      </c>
      <c r="BI277" s="410">
        <v>1764.26</v>
      </c>
      <c r="BJ277" s="102">
        <v>425.15300000000002</v>
      </c>
      <c r="BK277" s="98">
        <v>457.57</v>
      </c>
      <c r="BL277" s="98">
        <v>470.98099999999999</v>
      </c>
      <c r="BM277" s="99">
        <f>BN277-SUM(BJ277,BK277,BL277)</f>
        <v>479.125</v>
      </c>
      <c r="BN277" s="410">
        <v>1832.829</v>
      </c>
      <c r="BO277" s="102">
        <v>437.28399999999999</v>
      </c>
      <c r="BP277" s="98">
        <v>470.41199999999998</v>
      </c>
      <c r="BQ277" s="98">
        <v>501.88200000000001</v>
      </c>
      <c r="BR277" s="99">
        <f>BS277-SUM(BO277,BP277,BQ277)</f>
        <v>512.12799999999993</v>
      </c>
      <c r="BS277" s="419">
        <v>1921.7059999999999</v>
      </c>
      <c r="BT277" s="63"/>
      <c r="BU277" s="63"/>
      <c r="BV277" s="63"/>
      <c r="BW277" s="63"/>
      <c r="BX277" s="413"/>
      <c r="BY277" s="63"/>
      <c r="BZ277" s="63"/>
      <c r="CA277" s="63"/>
      <c r="CB277" s="63"/>
      <c r="CC277" s="413"/>
      <c r="CD277" s="413"/>
      <c r="CE277" s="413"/>
      <c r="CF277" s="413"/>
      <c r="CG277" s="99"/>
    </row>
    <row r="278" spans="1:85" ht="14.45" hidden="1" customHeight="1" x14ac:dyDescent="0.25">
      <c r="A278" s="110" t="s">
        <v>395</v>
      </c>
      <c r="B278" s="212"/>
      <c r="C278" s="416">
        <f t="shared" ref="C278:AH278" si="186">SUM(C277)</f>
        <v>525.49099999999999</v>
      </c>
      <c r="D278" s="416">
        <f t="shared" si="186"/>
        <v>544.49800000000005</v>
      </c>
      <c r="E278" s="416">
        <f t="shared" si="186"/>
        <v>541.71299999999997</v>
      </c>
      <c r="F278" s="416">
        <f t="shared" si="186"/>
        <v>565.62300000000005</v>
      </c>
      <c r="G278" s="106">
        <f t="shared" si="186"/>
        <v>138.21100000000001</v>
      </c>
      <c r="H278" s="106">
        <f t="shared" si="186"/>
        <v>143.416</v>
      </c>
      <c r="I278" s="106">
        <f t="shared" si="186"/>
        <v>145.91200000000001</v>
      </c>
      <c r="J278" s="106">
        <f t="shared" si="186"/>
        <v>157.45400000000004</v>
      </c>
      <c r="K278" s="416">
        <f t="shared" si="186"/>
        <v>584.99300000000005</v>
      </c>
      <c r="L278" s="106">
        <f t="shared" si="186"/>
        <v>144.21700000000001</v>
      </c>
      <c r="M278" s="106">
        <f t="shared" si="186"/>
        <v>154.256</v>
      </c>
      <c r="N278" s="106">
        <f t="shared" si="186"/>
        <v>156.49600000000001</v>
      </c>
      <c r="O278" s="106">
        <f t="shared" si="186"/>
        <v>164.30300000000008</v>
      </c>
      <c r="P278" s="416">
        <f t="shared" si="186"/>
        <v>619.27200000000005</v>
      </c>
      <c r="Q278" s="106">
        <f t="shared" si="186"/>
        <v>167.471</v>
      </c>
      <c r="R278" s="106">
        <f t="shared" si="186"/>
        <v>199.001</v>
      </c>
      <c r="S278" s="106">
        <f t="shared" si="186"/>
        <v>210.851</v>
      </c>
      <c r="T278" s="106">
        <f t="shared" si="186"/>
        <v>225.56500000000005</v>
      </c>
      <c r="U278" s="416">
        <f t="shared" si="186"/>
        <v>802.88800000000003</v>
      </c>
      <c r="V278" s="106">
        <f t="shared" si="186"/>
        <v>231.49700000000001</v>
      </c>
      <c r="W278" s="106">
        <f t="shared" si="186"/>
        <v>264.971</v>
      </c>
      <c r="X278" s="106">
        <f t="shared" si="186"/>
        <v>287.38900000000001</v>
      </c>
      <c r="Y278" s="159">
        <f t="shared" si="186"/>
        <v>304.00599999999997</v>
      </c>
      <c r="Z278" s="418">
        <f t="shared" si="186"/>
        <v>1087.8630000000001</v>
      </c>
      <c r="AA278" s="106">
        <f t="shared" si="186"/>
        <v>318.41300000000001</v>
      </c>
      <c r="AB278" s="106">
        <f t="shared" si="186"/>
        <v>367.86500000000001</v>
      </c>
      <c r="AC278" s="106">
        <f t="shared" si="186"/>
        <v>374.19400000000002</v>
      </c>
      <c r="AD278" s="159">
        <f t="shared" si="186"/>
        <v>384.29600000000005</v>
      </c>
      <c r="AE278" s="418">
        <f t="shared" si="186"/>
        <v>1444.768</v>
      </c>
      <c r="AF278" s="106">
        <f t="shared" si="186"/>
        <v>376.63799999999998</v>
      </c>
      <c r="AG278" s="106">
        <f t="shared" si="186"/>
        <v>385.029</v>
      </c>
      <c r="AH278" s="106">
        <f t="shared" si="186"/>
        <v>368.31200000000001</v>
      </c>
      <c r="AI278" s="159">
        <f t="shared" ref="AI278:BN278" si="187">SUM(AI277)</f>
        <v>367.83100000000013</v>
      </c>
      <c r="AJ278" s="418">
        <f t="shared" si="187"/>
        <v>1497.81</v>
      </c>
      <c r="AK278" s="106">
        <f t="shared" si="187"/>
        <v>369.154</v>
      </c>
      <c r="AL278" s="106">
        <f t="shared" si="187"/>
        <v>368.565</v>
      </c>
      <c r="AM278" s="106">
        <f t="shared" si="187"/>
        <v>378.37799999999999</v>
      </c>
      <c r="AN278" s="159">
        <f t="shared" si="187"/>
        <v>373.65100000000007</v>
      </c>
      <c r="AO278" s="418">
        <f t="shared" si="187"/>
        <v>1489.748</v>
      </c>
      <c r="AP278" s="106">
        <f t="shared" si="187"/>
        <v>372.47399999999999</v>
      </c>
      <c r="AQ278" s="106">
        <f t="shared" si="187"/>
        <v>346.18299999999999</v>
      </c>
      <c r="AR278" s="106">
        <f t="shared" si="187"/>
        <v>368.59399999999999</v>
      </c>
      <c r="AS278" s="159">
        <f t="shared" si="187"/>
        <v>368.28</v>
      </c>
      <c r="AT278" s="418">
        <f t="shared" si="187"/>
        <v>1455.5309999999999</v>
      </c>
      <c r="AU278" s="106">
        <f t="shared" si="187"/>
        <v>354.51900000000001</v>
      </c>
      <c r="AV278" s="106">
        <f t="shared" si="187"/>
        <v>374.07900000000001</v>
      </c>
      <c r="AW278" s="106">
        <f t="shared" si="187"/>
        <v>380.68099999999998</v>
      </c>
      <c r="AX278" s="159">
        <f t="shared" si="187"/>
        <v>405.73700000000008</v>
      </c>
      <c r="AY278" s="418">
        <f t="shared" si="187"/>
        <v>1515.0160000000001</v>
      </c>
      <c r="AZ278" s="106">
        <f t="shared" si="187"/>
        <v>376.59100000000001</v>
      </c>
      <c r="BA278" s="106">
        <f t="shared" si="187"/>
        <v>403.36599999999999</v>
      </c>
      <c r="BB278" s="106">
        <f t="shared" si="187"/>
        <v>431.17700000000002</v>
      </c>
      <c r="BC278" s="159">
        <f t="shared" si="187"/>
        <v>425.77299999999991</v>
      </c>
      <c r="BD278" s="418">
        <f t="shared" si="187"/>
        <v>1636.9069999999999</v>
      </c>
      <c r="BE278" s="106">
        <f t="shared" si="187"/>
        <v>418.05200000000002</v>
      </c>
      <c r="BF278" s="106">
        <f t="shared" si="187"/>
        <v>437.90699999999998</v>
      </c>
      <c r="BG278" s="106">
        <f t="shared" si="187"/>
        <v>445.29</v>
      </c>
      <c r="BH278" s="159">
        <f t="shared" si="187"/>
        <v>463.01099999999997</v>
      </c>
      <c r="BI278" s="418">
        <f t="shared" si="187"/>
        <v>1764.26</v>
      </c>
      <c r="BJ278" s="106">
        <f t="shared" si="187"/>
        <v>425.15300000000002</v>
      </c>
      <c r="BK278" s="106">
        <f t="shared" si="187"/>
        <v>457.57</v>
      </c>
      <c r="BL278" s="106">
        <f t="shared" si="187"/>
        <v>470.98099999999999</v>
      </c>
      <c r="BM278" s="159">
        <f t="shared" si="187"/>
        <v>479.125</v>
      </c>
      <c r="BN278" s="418">
        <f t="shared" si="187"/>
        <v>1832.829</v>
      </c>
      <c r="BO278" s="106">
        <f t="shared" ref="BO278:CF278" si="188">SUM(BO277)</f>
        <v>437.28399999999999</v>
      </c>
      <c r="BP278" s="106">
        <f t="shared" si="188"/>
        <v>470.41199999999998</v>
      </c>
      <c r="BQ278" s="106">
        <f t="shared" si="188"/>
        <v>501.88200000000001</v>
      </c>
      <c r="BR278" s="159">
        <f t="shared" si="188"/>
        <v>512.12799999999993</v>
      </c>
      <c r="BS278" s="469">
        <f t="shared" si="188"/>
        <v>1921.7059999999999</v>
      </c>
      <c r="BT278" s="159">
        <f t="shared" si="188"/>
        <v>0</v>
      </c>
      <c r="BU278" s="159">
        <f t="shared" si="188"/>
        <v>0</v>
      </c>
      <c r="BV278" s="159">
        <f t="shared" si="188"/>
        <v>0</v>
      </c>
      <c r="BW278" s="159">
        <f t="shared" si="188"/>
        <v>0</v>
      </c>
      <c r="BX278" s="418">
        <f t="shared" si="188"/>
        <v>0</v>
      </c>
      <c r="BY278" s="159">
        <f t="shared" si="188"/>
        <v>0</v>
      </c>
      <c r="BZ278" s="159">
        <f t="shared" si="188"/>
        <v>0</v>
      </c>
      <c r="CA278" s="159">
        <f t="shared" si="188"/>
        <v>0</v>
      </c>
      <c r="CB278" s="159">
        <f t="shared" si="188"/>
        <v>0</v>
      </c>
      <c r="CC278" s="418">
        <f t="shared" si="188"/>
        <v>0</v>
      </c>
      <c r="CD278" s="418">
        <f t="shared" si="188"/>
        <v>0</v>
      </c>
      <c r="CE278" s="418">
        <f t="shared" si="188"/>
        <v>0</v>
      </c>
      <c r="CF278" s="418">
        <f t="shared" si="188"/>
        <v>0</v>
      </c>
      <c r="CG278" s="109"/>
    </row>
    <row r="279" spans="1:85" ht="14.45" hidden="1" customHeight="1" x14ac:dyDescent="0.25">
      <c r="A279" s="135" t="s">
        <v>396</v>
      </c>
      <c r="B279" s="211"/>
      <c r="C279" s="421">
        <f t="shared" ref="C279:AH279" si="189">C276-C278</f>
        <v>94.503000000000156</v>
      </c>
      <c r="D279" s="421">
        <f t="shared" si="189"/>
        <v>96.31799999999987</v>
      </c>
      <c r="E279" s="421">
        <f t="shared" si="189"/>
        <v>87.530000000000086</v>
      </c>
      <c r="F279" s="421">
        <f t="shared" si="189"/>
        <v>88.685999999999922</v>
      </c>
      <c r="G279" s="109">
        <f t="shared" si="189"/>
        <v>15.487999999999971</v>
      </c>
      <c r="H279" s="109">
        <f t="shared" si="189"/>
        <v>26.899000000000001</v>
      </c>
      <c r="I279" s="109">
        <f t="shared" si="189"/>
        <v>30.200000000000017</v>
      </c>
      <c r="J279" s="109">
        <f t="shared" si="189"/>
        <v>1.0599999999998033</v>
      </c>
      <c r="K279" s="421">
        <f t="shared" si="189"/>
        <v>73.646999999999821</v>
      </c>
      <c r="L279" s="109">
        <f t="shared" si="189"/>
        <v>12.115999999999985</v>
      </c>
      <c r="M279" s="109">
        <f t="shared" si="189"/>
        <v>31.264000000000038</v>
      </c>
      <c r="N279" s="109">
        <f t="shared" si="189"/>
        <v>28.445999999999998</v>
      </c>
      <c r="O279" s="109">
        <f t="shared" si="189"/>
        <v>14.14099999999965</v>
      </c>
      <c r="P279" s="421">
        <f t="shared" si="189"/>
        <v>85.966999999999757</v>
      </c>
      <c r="Q279" s="109">
        <f t="shared" si="189"/>
        <v>16.901999999999987</v>
      </c>
      <c r="R279" s="109">
        <f t="shared" si="189"/>
        <v>38.316000000000003</v>
      </c>
      <c r="S279" s="109">
        <f t="shared" si="189"/>
        <v>27.685000000000059</v>
      </c>
      <c r="T279" s="109">
        <f t="shared" si="189"/>
        <v>15.241000000000213</v>
      </c>
      <c r="U279" s="421">
        <f t="shared" si="189"/>
        <v>98.144000000000119</v>
      </c>
      <c r="V279" s="109">
        <f t="shared" si="189"/>
        <v>12.40100000000001</v>
      </c>
      <c r="W279" s="109">
        <f t="shared" si="189"/>
        <v>54.73599999999999</v>
      </c>
      <c r="X279" s="109">
        <f t="shared" si="189"/>
        <v>39.801000000000045</v>
      </c>
      <c r="Y279" s="112">
        <f t="shared" si="189"/>
        <v>20.920999999999708</v>
      </c>
      <c r="Z279" s="423">
        <f t="shared" si="189"/>
        <v>127.85899999999992</v>
      </c>
      <c r="AA279" s="109">
        <f t="shared" si="189"/>
        <v>13.607999999999947</v>
      </c>
      <c r="AB279" s="109">
        <f t="shared" si="189"/>
        <v>47.312999999999874</v>
      </c>
      <c r="AC279" s="109">
        <f t="shared" si="189"/>
        <v>36.130000000000052</v>
      </c>
      <c r="AD279" s="112">
        <f t="shared" si="189"/>
        <v>-0.87200000000052569</v>
      </c>
      <c r="AE279" s="423">
        <f t="shared" si="189"/>
        <v>96.178999999999633</v>
      </c>
      <c r="AF279" s="109">
        <f t="shared" si="189"/>
        <v>-18.9969999999999</v>
      </c>
      <c r="AG279" s="109">
        <f t="shared" si="189"/>
        <v>19.678999999999974</v>
      </c>
      <c r="AH279" s="109">
        <f t="shared" si="189"/>
        <v>44.403999999999883</v>
      </c>
      <c r="AI279" s="112">
        <f t="shared" ref="AI279:BN279" si="190">AI276-AI278</f>
        <v>12.815999999999349</v>
      </c>
      <c r="AJ279" s="423">
        <f t="shared" si="190"/>
        <v>57.901999999999589</v>
      </c>
      <c r="AK279" s="109">
        <f t="shared" si="190"/>
        <v>20.153999999999996</v>
      </c>
      <c r="AL279" s="109">
        <f t="shared" si="190"/>
        <v>67.214000000000112</v>
      </c>
      <c r="AM279" s="109">
        <f t="shared" si="190"/>
        <v>53.84600000000006</v>
      </c>
      <c r="AN279" s="112">
        <f t="shared" si="190"/>
        <v>39.539999999999736</v>
      </c>
      <c r="AO279" s="423">
        <f t="shared" si="190"/>
        <v>180.75399999999991</v>
      </c>
      <c r="AP279" s="109">
        <f t="shared" si="190"/>
        <v>32.82099999999997</v>
      </c>
      <c r="AQ279" s="109">
        <f t="shared" si="190"/>
        <v>83.117999999999938</v>
      </c>
      <c r="AR279" s="109">
        <f t="shared" si="190"/>
        <v>103.84399999999988</v>
      </c>
      <c r="AS279" s="112">
        <f t="shared" si="190"/>
        <v>93.595000000000027</v>
      </c>
      <c r="AT279" s="423">
        <f t="shared" si="190"/>
        <v>313.37800000000016</v>
      </c>
      <c r="AU279" s="109">
        <f t="shared" si="190"/>
        <v>94.183999999999969</v>
      </c>
      <c r="AV279" s="109">
        <f t="shared" si="190"/>
        <v>120.86100000000005</v>
      </c>
      <c r="AW279" s="109">
        <f t="shared" si="190"/>
        <v>137.03100000000001</v>
      </c>
      <c r="AX279" s="112">
        <f t="shared" si="190"/>
        <v>87.0949999999998</v>
      </c>
      <c r="AY279" s="423">
        <f t="shared" si="190"/>
        <v>439.17099999999982</v>
      </c>
      <c r="AZ279" s="109">
        <f t="shared" si="190"/>
        <v>130.9849999999999</v>
      </c>
      <c r="BA279" s="109">
        <f t="shared" si="190"/>
        <v>147.29299999999989</v>
      </c>
      <c r="BB279" s="109">
        <f t="shared" si="190"/>
        <v>189.92999999999995</v>
      </c>
      <c r="BC279" s="112">
        <f t="shared" si="190"/>
        <v>172.83900000000017</v>
      </c>
      <c r="BD279" s="423">
        <f t="shared" si="190"/>
        <v>641.04700000000025</v>
      </c>
      <c r="BE279" s="109">
        <f t="shared" si="190"/>
        <v>206.05400000000009</v>
      </c>
      <c r="BF279" s="109">
        <f t="shared" si="190"/>
        <v>233.67000000000002</v>
      </c>
      <c r="BG279" s="109">
        <f t="shared" si="190"/>
        <v>216.26000000000016</v>
      </c>
      <c r="BH279" s="112">
        <f t="shared" si="190"/>
        <v>178.4670000000001</v>
      </c>
      <c r="BI279" s="423">
        <f t="shared" si="190"/>
        <v>834.45100000000025</v>
      </c>
      <c r="BJ279" s="109">
        <f t="shared" si="190"/>
        <v>215.40599999999995</v>
      </c>
      <c r="BK279" s="109">
        <f t="shared" si="190"/>
        <v>259.14000000000004</v>
      </c>
      <c r="BL279" s="109">
        <f t="shared" si="190"/>
        <v>227.05500000000006</v>
      </c>
      <c r="BM279" s="112">
        <f t="shared" si="190"/>
        <v>218.74900000000071</v>
      </c>
      <c r="BN279" s="423">
        <f t="shared" si="190"/>
        <v>920.35000000000014</v>
      </c>
      <c r="BO279" s="109">
        <f t="shared" ref="BO279:CF279" si="191">BO276-BO278</f>
        <v>189.82000000000005</v>
      </c>
      <c r="BP279" s="109">
        <f t="shared" si="191"/>
        <v>272.08400000000012</v>
      </c>
      <c r="BQ279" s="109">
        <f t="shared" si="191"/>
        <v>246.63400000000007</v>
      </c>
      <c r="BR279" s="112">
        <f t="shared" si="191"/>
        <v>242.11799999999971</v>
      </c>
      <c r="BS279" s="424">
        <f t="shared" si="191"/>
        <v>950.65600000000018</v>
      </c>
      <c r="BT279" s="112">
        <f t="shared" si="191"/>
        <v>0</v>
      </c>
      <c r="BU279" s="112">
        <f t="shared" si="191"/>
        <v>0</v>
      </c>
      <c r="BV279" s="112">
        <f t="shared" si="191"/>
        <v>0</v>
      </c>
      <c r="BW279" s="112">
        <f t="shared" si="191"/>
        <v>0</v>
      </c>
      <c r="BX279" s="423">
        <f t="shared" si="191"/>
        <v>0</v>
      </c>
      <c r="BY279" s="112">
        <f t="shared" si="191"/>
        <v>0</v>
      </c>
      <c r="BZ279" s="112">
        <f t="shared" si="191"/>
        <v>0</v>
      </c>
      <c r="CA279" s="112">
        <f t="shared" si="191"/>
        <v>0</v>
      </c>
      <c r="CB279" s="112">
        <f t="shared" si="191"/>
        <v>0</v>
      </c>
      <c r="CC279" s="423">
        <f t="shared" si="191"/>
        <v>0</v>
      </c>
      <c r="CD279" s="423">
        <f t="shared" si="191"/>
        <v>0</v>
      </c>
      <c r="CE279" s="423">
        <f t="shared" si="191"/>
        <v>0</v>
      </c>
      <c r="CF279" s="423">
        <f t="shared" si="191"/>
        <v>0</v>
      </c>
      <c r="CG279" s="109"/>
    </row>
    <row r="280" spans="1:85" ht="15" hidden="1" customHeight="1" x14ac:dyDescent="0.25">
      <c r="A280" s="125" t="s">
        <v>397</v>
      </c>
      <c r="B280" s="180"/>
      <c r="C280" s="410">
        <v>-37.378999999999998</v>
      </c>
      <c r="D280" s="410">
        <v>-35.127000000000002</v>
      </c>
      <c r="E280" s="410">
        <v>-35.978999999999999</v>
      </c>
      <c r="F280" s="410">
        <v>-35.338000000000001</v>
      </c>
      <c r="G280" s="98">
        <v>-7.3789999999999996</v>
      </c>
      <c r="H280" s="98">
        <v>-7.4089999999999998</v>
      </c>
      <c r="I280" s="98">
        <v>-7.3609999999999998</v>
      </c>
      <c r="J280" s="99">
        <f>K280-G280-H280-I280</f>
        <v>-7.2540000000000022</v>
      </c>
      <c r="K280" s="410">
        <v>-29.402999999999999</v>
      </c>
      <c r="L280" s="98">
        <v>-7.2229999999999999</v>
      </c>
      <c r="M280" s="98">
        <v>-7.343</v>
      </c>
      <c r="N280" s="98">
        <v>-7.3330000000000002</v>
      </c>
      <c r="O280" s="99">
        <f>P280-L280-M280-N280</f>
        <v>-7.3729999999999993</v>
      </c>
      <c r="P280" s="410">
        <v>-29.271999999999998</v>
      </c>
      <c r="Q280" s="98">
        <v>-7.3470000000000004</v>
      </c>
      <c r="R280" s="98">
        <v>-6.718</v>
      </c>
      <c r="S280" s="98">
        <v>-6.6859999999999999</v>
      </c>
      <c r="T280" s="99">
        <f>U280-Q280-R280-S280</f>
        <v>-8.1639999999999979</v>
      </c>
      <c r="U280" s="410">
        <v>-28.914999999999999</v>
      </c>
      <c r="V280" s="98">
        <v>-9.3610000000000007</v>
      </c>
      <c r="W280" s="98">
        <v>-9.8079999999999998</v>
      </c>
      <c r="X280" s="98">
        <v>-8.452</v>
      </c>
      <c r="Y280" s="99">
        <f>Z280-V280-W280-X280</f>
        <v>-8.7040000000000024</v>
      </c>
      <c r="Z280" s="410">
        <v>-36.325000000000003</v>
      </c>
      <c r="AA280" s="98">
        <v>-9.4700000000000006</v>
      </c>
      <c r="AB280" s="98">
        <v>-10.44</v>
      </c>
      <c r="AC280" s="98">
        <v>-10.696999999999999</v>
      </c>
      <c r="AD280" s="99">
        <f>AE280-SUM(AA280,AB280,AC280)</f>
        <v>-11.262</v>
      </c>
      <c r="AE280" s="410">
        <v>-41.869</v>
      </c>
      <c r="AF280" s="98">
        <v>-12.045999999999999</v>
      </c>
      <c r="AG280" s="98">
        <v>-12.744</v>
      </c>
      <c r="AH280" s="98">
        <v>-12.827</v>
      </c>
      <c r="AI280" s="99">
        <f>AJ280-SUM(AF280,AG280,AH280)</f>
        <v>-12.889000000000003</v>
      </c>
      <c r="AJ280" s="410">
        <v>-50.506</v>
      </c>
      <c r="AK280" s="98">
        <v>-12.885999999999999</v>
      </c>
      <c r="AL280" s="98">
        <v>-11.994999999999999</v>
      </c>
      <c r="AM280" s="98">
        <v>-10.965</v>
      </c>
      <c r="AN280" s="99">
        <f>AO280-SUM(AK280,AL280,AM280)</f>
        <v>-10.143999999999998</v>
      </c>
      <c r="AO280" s="410">
        <v>-45.99</v>
      </c>
      <c r="AP280" s="98">
        <v>-9.5609999999999999</v>
      </c>
      <c r="AQ280" s="98">
        <v>-9.1839999999999993</v>
      </c>
      <c r="AR280" s="98">
        <v>-9.0329999999999995</v>
      </c>
      <c r="AS280" s="99">
        <f>AT280-SUM(AP280,AQ280,AR280)</f>
        <v>-8.9570000000000007</v>
      </c>
      <c r="AT280" s="410">
        <v>-36.734999999999999</v>
      </c>
      <c r="AU280" s="98">
        <v>-8.7460000000000004</v>
      </c>
      <c r="AV280" s="98">
        <v>-8.3650000000000002</v>
      </c>
      <c r="AW280" s="98">
        <v>-8.0969999999999995</v>
      </c>
      <c r="AX280" s="99">
        <f>AY280-SUM(AU280,AV280,AW280)</f>
        <v>-8.2409999999999997</v>
      </c>
      <c r="AY280" s="410">
        <v>-33.448999999999998</v>
      </c>
      <c r="AZ280" s="98">
        <v>-7.6989999999999998</v>
      </c>
      <c r="BA280" s="98">
        <v>-7.1459999999999999</v>
      </c>
      <c r="BB280" s="98">
        <v>-6.0830000000000002</v>
      </c>
      <c r="BC280" s="99">
        <f>BD280-SUM(AZ280,BA280,BB280)</f>
        <v>-3.8640000000000043</v>
      </c>
      <c r="BD280" s="410">
        <v>-24.792000000000002</v>
      </c>
      <c r="BE280" s="98">
        <v>-2.9289999999999998</v>
      </c>
      <c r="BF280" s="98">
        <v>-1.353</v>
      </c>
      <c r="BG280" s="98">
        <v>1.516</v>
      </c>
      <c r="BH280" s="99">
        <f>BI280-SUM(BE280,BF280,BG280)</f>
        <v>3.6840000000000002</v>
      </c>
      <c r="BI280" s="410">
        <v>0.91800000000000004</v>
      </c>
      <c r="BJ280" s="98">
        <v>2.7160000000000002</v>
      </c>
      <c r="BK280" s="98">
        <v>1.62</v>
      </c>
      <c r="BL280" s="98">
        <v>-2.1869999999999998</v>
      </c>
      <c r="BM280" s="99">
        <f>BN280-SUM(BJ280,BK280,BL280)</f>
        <v>-3.9970000000000008</v>
      </c>
      <c r="BN280" s="410">
        <v>-1.8480000000000001</v>
      </c>
      <c r="BO280" s="98">
        <v>-6.8739999999999997</v>
      </c>
      <c r="BP280" s="98">
        <v>-5.9480000000000004</v>
      </c>
      <c r="BQ280" s="98">
        <v>-4.6870000000000003</v>
      </c>
      <c r="BR280" s="99">
        <f>BS280-SUM(BO280,BP280,BQ280)</f>
        <v>-25.168999999999997</v>
      </c>
      <c r="BS280" s="419">
        <v>-42.677999999999997</v>
      </c>
      <c r="BT280" s="63"/>
      <c r="BU280" s="63"/>
      <c r="BV280" s="63"/>
      <c r="BW280" s="63"/>
      <c r="BX280" s="413"/>
      <c r="BY280" s="63"/>
      <c r="BZ280" s="63"/>
      <c r="CA280" s="63"/>
      <c r="CB280" s="63"/>
      <c r="CC280" s="413"/>
      <c r="CD280" s="413"/>
      <c r="CE280" s="413"/>
      <c r="CF280" s="413"/>
      <c r="CG280" s="99"/>
    </row>
    <row r="281" spans="1:85" ht="15" hidden="1" customHeight="1" x14ac:dyDescent="0.25">
      <c r="A281" s="125" t="s">
        <v>398</v>
      </c>
      <c r="B281" s="180"/>
      <c r="C281" s="413"/>
      <c r="D281" s="413"/>
      <c r="E281" s="413"/>
      <c r="F281" s="413"/>
      <c r="G281" s="63"/>
      <c r="H281" s="63"/>
      <c r="I281" s="63"/>
      <c r="J281" s="99">
        <f>K281-G281-H281-I281</f>
        <v>0</v>
      </c>
      <c r="K281" s="413"/>
      <c r="L281" s="63"/>
      <c r="M281" s="63"/>
      <c r="N281" s="63"/>
      <c r="O281" s="99">
        <f>P281-L281-M281-N281</f>
        <v>-1.077</v>
      </c>
      <c r="P281" s="410">
        <v>-1.077</v>
      </c>
      <c r="Q281" s="98">
        <v>-5.0890000000000004</v>
      </c>
      <c r="R281" s="98">
        <v>6.0780000000000003</v>
      </c>
      <c r="S281" s="98">
        <v>-3.992</v>
      </c>
      <c r="T281" s="99">
        <f>U281-Q281-R281-S281</f>
        <v>-0.57299999999999951</v>
      </c>
      <c r="U281" s="410">
        <v>-3.5760000000000001</v>
      </c>
      <c r="V281" s="98">
        <v>-17.151</v>
      </c>
      <c r="W281" s="98">
        <v>-16.274000000000001</v>
      </c>
      <c r="X281" s="98">
        <v>7.3250000000000002</v>
      </c>
      <c r="Y281" s="99">
        <f>Z281-V281-W281-X281</f>
        <v>27.970000000000002</v>
      </c>
      <c r="Z281" s="410">
        <v>1.87</v>
      </c>
      <c r="AA281" s="98">
        <v>-12.246</v>
      </c>
      <c r="AB281" s="98">
        <v>-25.548999999999999</v>
      </c>
      <c r="AC281" s="98">
        <v>5.226</v>
      </c>
      <c r="AD281" s="99">
        <f>AE281-SUM(AA281,AB281,AC281)</f>
        <v>28.372000000000003</v>
      </c>
      <c r="AE281" s="410">
        <v>-4.1970000000000001</v>
      </c>
      <c r="AF281" s="98">
        <v>4.51</v>
      </c>
      <c r="AG281" s="98">
        <v>-9.8179999999999996</v>
      </c>
      <c r="AH281" s="98">
        <v>1.696</v>
      </c>
      <c r="AI281" s="99">
        <f>AJ281-SUM(AF281,AG281,AH281)</f>
        <v>-27.241</v>
      </c>
      <c r="AJ281" s="410">
        <v>-30.853000000000002</v>
      </c>
      <c r="AK281" s="98">
        <v>-15.851000000000001</v>
      </c>
      <c r="AL281" s="98">
        <v>-31.181000000000001</v>
      </c>
      <c r="AM281" s="98">
        <v>-20.710999999999999</v>
      </c>
      <c r="AN281" s="99">
        <f>AO281-SUM(AK281,AL281,AM281)</f>
        <v>-32.796000000000006</v>
      </c>
      <c r="AO281" s="410">
        <v>-100.539</v>
      </c>
      <c r="AP281" s="98">
        <v>-2.298</v>
      </c>
      <c r="AQ281" s="98">
        <v>-16.134</v>
      </c>
      <c r="AR281" s="98">
        <v>-21.393999999999998</v>
      </c>
      <c r="AS281" s="99">
        <f>AT281-SUM(AP281,AQ281,AR281)</f>
        <v>4.222999999999999</v>
      </c>
      <c r="AT281" s="410">
        <v>-35.603000000000002</v>
      </c>
      <c r="AU281" s="98">
        <v>-12.055</v>
      </c>
      <c r="AV281" s="98">
        <v>-47.040999999999997</v>
      </c>
      <c r="AW281" s="98">
        <v>-34.981999999999999</v>
      </c>
      <c r="AX281" s="99">
        <f>AY281-SUM(AU281,AV281,AW281)</f>
        <v>-56.495000000000005</v>
      </c>
      <c r="AY281" s="410">
        <v>-150.57300000000001</v>
      </c>
      <c r="AZ281" s="98">
        <v>3.2789999999999999</v>
      </c>
      <c r="BA281" s="98">
        <v>-6.1989999999999998</v>
      </c>
      <c r="BB281" s="98">
        <v>-24.745999999999999</v>
      </c>
      <c r="BC281" s="99">
        <f>BD281-SUM(AZ281,BA281,BB281)</f>
        <v>-13.502000000000002</v>
      </c>
      <c r="BD281" s="410">
        <v>-41.167999999999999</v>
      </c>
      <c r="BE281" s="98">
        <v>-43.923000000000002</v>
      </c>
      <c r="BF281" s="98">
        <v>-27.788</v>
      </c>
      <c r="BG281" s="98">
        <v>-19.472999999999999</v>
      </c>
      <c r="BH281" s="99">
        <f>BI281-SUM(BE281,BF281,BG281)</f>
        <v>-73.908000000000015</v>
      </c>
      <c r="BI281" s="410">
        <f>-159.354-5.738</f>
        <v>-165.09200000000001</v>
      </c>
      <c r="BJ281" s="98">
        <f>-0.828+5.541</f>
        <v>4.7130000000000001</v>
      </c>
      <c r="BK281" s="98">
        <f>-27.826-0.709</f>
        <v>-28.535</v>
      </c>
      <c r="BL281" s="98">
        <f>-68.592-0.713</f>
        <v>-69.304999999999993</v>
      </c>
      <c r="BM281" s="99">
        <f>BN281-SUM(BJ281,BK281,BL281)</f>
        <v>31.278999999999996</v>
      </c>
      <c r="BN281" s="410">
        <f>-59.166-2.682</f>
        <v>-61.847999999999999</v>
      </c>
      <c r="BO281" s="98">
        <f>-0.745-42.728</f>
        <v>-43.472999999999999</v>
      </c>
      <c r="BP281" s="98">
        <f>-12.39-0.754</f>
        <v>-13.144</v>
      </c>
      <c r="BQ281" s="98">
        <f>-49.35-0.367</f>
        <v>-49.716999999999999</v>
      </c>
      <c r="BR281" s="99">
        <f>BS281-SUM(BO281,BP281,BQ281)</f>
        <v>-28.725999999999999</v>
      </c>
      <c r="BS281" s="419">
        <f>-131.901-3.159</f>
        <v>-135.06</v>
      </c>
      <c r="BT281" s="63"/>
      <c r="BU281" s="63"/>
      <c r="BV281" s="63"/>
      <c r="BW281" s="63"/>
      <c r="BX281" s="413"/>
      <c r="BY281" s="63"/>
      <c r="BZ281" s="63"/>
      <c r="CA281" s="63"/>
      <c r="CB281" s="63"/>
      <c r="CC281" s="413"/>
      <c r="CD281" s="413"/>
      <c r="CE281" s="413"/>
      <c r="CF281" s="413"/>
      <c r="CG281" s="99"/>
    </row>
    <row r="282" spans="1:85" ht="15" hidden="1" customHeight="1" x14ac:dyDescent="0.25">
      <c r="A282" s="125" t="s">
        <v>399</v>
      </c>
      <c r="B282" s="180"/>
      <c r="C282" s="413"/>
      <c r="D282" s="413"/>
      <c r="E282" s="413"/>
      <c r="F282" s="413"/>
      <c r="G282" s="63"/>
      <c r="H282" s="63"/>
      <c r="I282" s="63"/>
      <c r="J282" s="63"/>
      <c r="K282" s="413"/>
      <c r="L282" s="63"/>
      <c r="M282" s="63"/>
      <c r="N282" s="63"/>
      <c r="O282" s="63"/>
      <c r="P282" s="413"/>
      <c r="Q282" s="63"/>
      <c r="R282" s="63"/>
      <c r="S282" s="63"/>
      <c r="T282" s="63"/>
      <c r="U282" s="413"/>
      <c r="V282" s="63"/>
      <c r="W282" s="63"/>
      <c r="X282" s="63"/>
      <c r="Y282" s="63"/>
      <c r="Z282" s="413"/>
      <c r="AA282" s="63"/>
      <c r="AB282" s="63"/>
      <c r="AC282" s="63"/>
      <c r="AD282" s="63"/>
      <c r="AE282" s="413"/>
      <c r="AF282" s="63"/>
      <c r="AG282" s="63"/>
      <c r="AH282" s="63"/>
      <c r="AI282" s="63"/>
      <c r="AJ282" s="413"/>
      <c r="AK282" s="63"/>
      <c r="AL282" s="63"/>
      <c r="AM282" s="63"/>
      <c r="AN282" s="63"/>
      <c r="AO282" s="413"/>
      <c r="AP282" s="63"/>
      <c r="AQ282" s="63"/>
      <c r="AR282" s="63"/>
      <c r="AS282" s="63"/>
      <c r="AT282" s="413"/>
      <c r="AU282" s="63"/>
      <c r="AV282" s="63"/>
      <c r="AW282" s="63"/>
      <c r="AX282" s="63"/>
      <c r="AY282" s="413"/>
      <c r="AZ282" s="63"/>
      <c r="BA282" s="63"/>
      <c r="BB282" s="63"/>
      <c r="BC282" s="63"/>
      <c r="BD282" s="413"/>
      <c r="BE282" s="63"/>
      <c r="BF282" s="98">
        <v>-39.777000000000001</v>
      </c>
      <c r="BG282" s="98">
        <v>-77.319000000000003</v>
      </c>
      <c r="BH282" s="63">
        <f>BI282-SUM(BE282,BF282,BG282)</f>
        <v>4.2999999999999972</v>
      </c>
      <c r="BI282" s="410">
        <v>-112.79600000000001</v>
      </c>
      <c r="BJ282" s="63"/>
      <c r="BK282" s="63"/>
      <c r="BL282" s="63"/>
      <c r="BM282" s="63">
        <f>BN282-SUM(BJ282,BK282,BL282)</f>
        <v>0</v>
      </c>
      <c r="BN282" s="413"/>
      <c r="BO282" s="63"/>
      <c r="BP282" s="63"/>
      <c r="BQ282" s="63"/>
      <c r="BR282" s="63">
        <f>BS282-SUM(BO282,BP282,BQ282)</f>
        <v>0</v>
      </c>
      <c r="BS282" s="425"/>
      <c r="BT282" s="63"/>
      <c r="BU282" s="63"/>
      <c r="BV282" s="63"/>
      <c r="BW282" s="63"/>
      <c r="BX282" s="413"/>
      <c r="BY282" s="63"/>
      <c r="BZ282" s="63"/>
      <c r="CA282" s="63"/>
      <c r="CB282" s="63"/>
      <c r="CC282" s="413"/>
      <c r="CD282" s="413"/>
      <c r="CE282" s="413"/>
      <c r="CF282" s="413"/>
      <c r="CG282" s="99"/>
    </row>
    <row r="283" spans="1:85" ht="14.45" hidden="1" customHeight="1" x14ac:dyDescent="0.25">
      <c r="A283" s="125" t="s">
        <v>400</v>
      </c>
      <c r="B283" s="180"/>
      <c r="C283" s="413"/>
      <c r="D283" s="413"/>
      <c r="E283" s="413"/>
      <c r="F283" s="413"/>
      <c r="G283" s="63"/>
      <c r="H283" s="63"/>
      <c r="I283" s="63"/>
      <c r="J283" s="99">
        <f>K283-G283-H283-I283</f>
        <v>0</v>
      </c>
      <c r="K283" s="413"/>
      <c r="L283" s="63"/>
      <c r="M283" s="63"/>
      <c r="N283" s="63"/>
      <c r="O283" s="99">
        <f>P283-L283-M283-N283</f>
        <v>0</v>
      </c>
      <c r="P283" s="413"/>
      <c r="Q283" s="63"/>
      <c r="R283" s="98">
        <v>8.8070000000000004</v>
      </c>
      <c r="S283" s="63"/>
      <c r="T283" s="99">
        <f>U283-Q283-R283-S283</f>
        <v>0</v>
      </c>
      <c r="U283" s="410">
        <v>8.8070000000000004</v>
      </c>
      <c r="V283" s="63"/>
      <c r="W283" s="98">
        <v>-0.69199999999999995</v>
      </c>
      <c r="X283" s="63"/>
      <c r="Y283" s="99">
        <f>Z283-V283-W283-X283</f>
        <v>0</v>
      </c>
      <c r="Z283" s="410">
        <v>-0.69199999999999995</v>
      </c>
      <c r="AA283" s="63"/>
      <c r="AB283" s="63"/>
      <c r="AC283" s="63"/>
      <c r="AD283" s="99">
        <f>AE283-SUM(AA283,AB283,AC283)</f>
        <v>12.893000000000001</v>
      </c>
      <c r="AE283" s="410">
        <v>12.893000000000001</v>
      </c>
      <c r="AF283" s="63"/>
      <c r="AG283" s="63"/>
      <c r="AH283" s="98">
        <v>10.17</v>
      </c>
      <c r="AI283" s="99">
        <f>AJ283-SUM(AF283,AG283,AH283)</f>
        <v>0</v>
      </c>
      <c r="AJ283" s="410">
        <v>10.17</v>
      </c>
      <c r="AK283" s="63"/>
      <c r="AL283" s="63"/>
      <c r="AM283" s="63"/>
      <c r="AN283" s="63"/>
      <c r="AO283" s="413"/>
      <c r="AP283" s="63"/>
      <c r="AQ283" s="63"/>
      <c r="AR283" s="63"/>
      <c r="AS283" s="63"/>
      <c r="AT283" s="413"/>
      <c r="AU283" s="63"/>
      <c r="AV283" s="63"/>
      <c r="AW283" s="63"/>
      <c r="AX283" s="63"/>
      <c r="AY283" s="413"/>
      <c r="AZ283" s="63"/>
      <c r="BA283" s="63"/>
      <c r="BB283" s="63"/>
      <c r="BC283" s="63"/>
      <c r="BD283" s="413"/>
      <c r="BE283" s="63"/>
      <c r="BF283" s="63"/>
      <c r="BG283" s="63"/>
      <c r="BH283" s="63"/>
      <c r="BI283" s="413"/>
      <c r="BJ283" s="63"/>
      <c r="BK283" s="63"/>
      <c r="BL283" s="63"/>
      <c r="BM283" s="63"/>
      <c r="BN283" s="413"/>
      <c r="BO283" s="63"/>
      <c r="BP283" s="63"/>
      <c r="BQ283" s="63"/>
      <c r="BR283" s="63"/>
      <c r="BS283" s="425"/>
      <c r="BT283" s="63"/>
      <c r="BU283" s="63"/>
      <c r="BV283" s="63"/>
      <c r="BW283" s="63"/>
      <c r="BX283" s="413"/>
      <c r="BY283" s="63"/>
      <c r="BZ283" s="63"/>
      <c r="CA283" s="63"/>
      <c r="CB283" s="63"/>
      <c r="CC283" s="413"/>
      <c r="CD283" s="413"/>
      <c r="CE283" s="413"/>
      <c r="CF283" s="413"/>
      <c r="CG283" s="99"/>
    </row>
    <row r="284" spans="1:85" ht="14.45" hidden="1" customHeight="1" x14ac:dyDescent="0.25">
      <c r="A284" s="125" t="s">
        <v>401</v>
      </c>
      <c r="B284" s="180"/>
      <c r="C284" s="413"/>
      <c r="D284" s="413"/>
      <c r="E284" s="413"/>
      <c r="F284" s="413"/>
      <c r="G284" s="63"/>
      <c r="H284" s="63"/>
      <c r="I284" s="63"/>
      <c r="J284" s="99">
        <f>K284-G284-H284-I284</f>
        <v>0</v>
      </c>
      <c r="K284" s="413"/>
      <c r="L284" s="63"/>
      <c r="M284" s="63"/>
      <c r="N284" s="63"/>
      <c r="O284" s="99">
        <f>P284-L284-M284-N284</f>
        <v>0</v>
      </c>
      <c r="P284" s="413"/>
      <c r="Q284" s="63"/>
      <c r="R284" s="63"/>
      <c r="S284" s="98">
        <v>22.651</v>
      </c>
      <c r="T284" s="99">
        <f>U284-Q284-R284-S284</f>
        <v>0</v>
      </c>
      <c r="U284" s="410">
        <v>22.651</v>
      </c>
      <c r="V284" s="63"/>
      <c r="W284" s="63"/>
      <c r="X284" s="63"/>
      <c r="Y284" s="99">
        <f>Z284-V284-W284-X284</f>
        <v>0</v>
      </c>
      <c r="Z284" s="413"/>
      <c r="AA284" s="63"/>
      <c r="AB284" s="63"/>
      <c r="AC284" s="63"/>
      <c r="AD284" s="63"/>
      <c r="AE284" s="413"/>
      <c r="AF284" s="63"/>
      <c r="AG284" s="63"/>
      <c r="AH284" s="63"/>
      <c r="AI284" s="63"/>
      <c r="AJ284" s="413"/>
      <c r="AK284" s="63"/>
      <c r="AL284" s="63"/>
      <c r="AM284" s="63"/>
      <c r="AN284" s="63"/>
      <c r="AO284" s="413"/>
      <c r="AP284" s="63"/>
      <c r="AQ284" s="63"/>
      <c r="AR284" s="63"/>
      <c r="AS284" s="63"/>
      <c r="AT284" s="413"/>
      <c r="AU284" s="63"/>
      <c r="AV284" s="63"/>
      <c r="AW284" s="63"/>
      <c r="AX284" s="63"/>
      <c r="AY284" s="413"/>
      <c r="AZ284" s="63"/>
      <c r="BA284" s="63"/>
      <c r="BB284" s="63"/>
      <c r="BC284" s="63"/>
      <c r="BD284" s="413"/>
      <c r="BE284" s="63"/>
      <c r="BF284" s="63"/>
      <c r="BG284" s="63"/>
      <c r="BH284" s="63"/>
      <c r="BI284" s="413"/>
      <c r="BJ284" s="63"/>
      <c r="BK284" s="63"/>
      <c r="BL284" s="63"/>
      <c r="BM284" s="63"/>
      <c r="BN284" s="413"/>
      <c r="BO284" s="63"/>
      <c r="BP284" s="63"/>
      <c r="BQ284" s="63"/>
      <c r="BR284" s="63"/>
      <c r="BS284" s="425"/>
      <c r="BT284" s="63"/>
      <c r="BU284" s="63"/>
      <c r="BV284" s="63"/>
      <c r="BW284" s="63"/>
      <c r="BX284" s="413"/>
      <c r="BY284" s="63"/>
      <c r="BZ284" s="63"/>
      <c r="CA284" s="63"/>
      <c r="CB284" s="63"/>
      <c r="CC284" s="413"/>
      <c r="CD284" s="413"/>
      <c r="CE284" s="413"/>
      <c r="CF284" s="413"/>
      <c r="CG284" s="99"/>
    </row>
    <row r="285" spans="1:85" ht="14.45" hidden="1" customHeight="1" x14ac:dyDescent="0.25">
      <c r="A285" s="125" t="s">
        <v>402</v>
      </c>
      <c r="B285" s="180"/>
      <c r="C285" s="413"/>
      <c r="D285" s="413"/>
      <c r="E285" s="413"/>
      <c r="F285" s="413"/>
      <c r="G285" s="63"/>
      <c r="H285" s="63"/>
      <c r="I285" s="63"/>
      <c r="J285" s="99">
        <f>K285-G285-H285-I285</f>
        <v>0</v>
      </c>
      <c r="K285" s="413"/>
      <c r="L285" s="63"/>
      <c r="M285" s="63"/>
      <c r="N285" s="63"/>
      <c r="O285" s="99">
        <f>P285-L285-M285-N285</f>
        <v>0</v>
      </c>
      <c r="P285" s="413"/>
      <c r="Q285" s="63"/>
      <c r="R285" s="63"/>
      <c r="S285" s="63"/>
      <c r="T285" s="99">
        <f>U285-Q285-R285-S285</f>
        <v>2.0110000000000001</v>
      </c>
      <c r="U285" s="410">
        <v>2.0110000000000001</v>
      </c>
      <c r="V285" s="63"/>
      <c r="W285" s="63"/>
      <c r="X285" s="63"/>
      <c r="Y285" s="99">
        <f>Z285-V285-W285-X285</f>
        <v>0</v>
      </c>
      <c r="Z285" s="413"/>
      <c r="AA285" s="63"/>
      <c r="AB285" s="63"/>
      <c r="AC285" s="63"/>
      <c r="AD285" s="63"/>
      <c r="AE285" s="413"/>
      <c r="AF285" s="63"/>
      <c r="AG285" s="63"/>
      <c r="AH285" s="63"/>
      <c r="AI285" s="63"/>
      <c r="AJ285" s="413"/>
      <c r="AK285" s="63"/>
      <c r="AL285" s="63"/>
      <c r="AM285" s="63"/>
      <c r="AN285" s="63"/>
      <c r="AO285" s="413"/>
      <c r="AP285" s="63"/>
      <c r="AQ285" s="63"/>
      <c r="AR285" s="63"/>
      <c r="AS285" s="63"/>
      <c r="AT285" s="413"/>
      <c r="AU285" s="63"/>
      <c r="AV285" s="63"/>
      <c r="AW285" s="63"/>
      <c r="AX285" s="63"/>
      <c r="AY285" s="413"/>
      <c r="AZ285" s="63"/>
      <c r="BA285" s="63"/>
      <c r="BB285" s="63"/>
      <c r="BC285" s="63"/>
      <c r="BD285" s="413"/>
      <c r="BE285" s="63"/>
      <c r="BF285" s="63"/>
      <c r="BG285" s="63"/>
      <c r="BH285" s="63"/>
      <c r="BI285" s="413"/>
      <c r="BJ285" s="63"/>
      <c r="BK285" s="63"/>
      <c r="BL285" s="63"/>
      <c r="BM285" s="63"/>
      <c r="BN285" s="413"/>
      <c r="BO285" s="63"/>
      <c r="BP285" s="63"/>
      <c r="BQ285" s="63"/>
      <c r="BR285" s="63"/>
      <c r="BS285" s="425"/>
      <c r="BT285" s="63"/>
      <c r="BU285" s="63"/>
      <c r="BV285" s="63"/>
      <c r="BW285" s="63"/>
      <c r="BX285" s="413"/>
      <c r="BY285" s="63"/>
      <c r="BZ285" s="63"/>
      <c r="CA285" s="63"/>
      <c r="CB285" s="63"/>
      <c r="CC285" s="413"/>
      <c r="CD285" s="413"/>
      <c r="CE285" s="413"/>
      <c r="CF285" s="413"/>
      <c r="CG285" s="99"/>
    </row>
    <row r="286" spans="1:85" ht="14.45" hidden="1" customHeight="1" x14ac:dyDescent="0.25">
      <c r="A286" s="110" t="s">
        <v>403</v>
      </c>
      <c r="B286" s="212"/>
      <c r="C286" s="416">
        <f t="shared" ref="C286:AH286" si="192">SUM(C279:C285)</f>
        <v>57.124000000000159</v>
      </c>
      <c r="D286" s="416">
        <f t="shared" si="192"/>
        <v>61.190999999999867</v>
      </c>
      <c r="E286" s="416">
        <f t="shared" si="192"/>
        <v>51.551000000000087</v>
      </c>
      <c r="F286" s="416">
        <f t="shared" si="192"/>
        <v>53.347999999999921</v>
      </c>
      <c r="G286" s="106">
        <f t="shared" si="192"/>
        <v>8.1089999999999716</v>
      </c>
      <c r="H286" s="106">
        <f t="shared" si="192"/>
        <v>19.490000000000002</v>
      </c>
      <c r="I286" s="106">
        <f t="shared" si="192"/>
        <v>22.839000000000016</v>
      </c>
      <c r="J286" s="106">
        <f t="shared" si="192"/>
        <v>-6.1940000000001989</v>
      </c>
      <c r="K286" s="416">
        <f t="shared" si="192"/>
        <v>44.243999999999822</v>
      </c>
      <c r="L286" s="106">
        <f t="shared" si="192"/>
        <v>4.8929999999999856</v>
      </c>
      <c r="M286" s="106">
        <f t="shared" si="192"/>
        <v>23.921000000000038</v>
      </c>
      <c r="N286" s="106">
        <f t="shared" si="192"/>
        <v>21.113</v>
      </c>
      <c r="O286" s="106">
        <f t="shared" si="192"/>
        <v>5.6909999999996508</v>
      </c>
      <c r="P286" s="416">
        <f t="shared" si="192"/>
        <v>55.617999999999761</v>
      </c>
      <c r="Q286" s="106">
        <f t="shared" si="192"/>
        <v>4.4659999999999851</v>
      </c>
      <c r="R286" s="106">
        <f t="shared" si="192"/>
        <v>46.483000000000004</v>
      </c>
      <c r="S286" s="106">
        <f t="shared" si="192"/>
        <v>39.658000000000058</v>
      </c>
      <c r="T286" s="106">
        <f t="shared" si="192"/>
        <v>8.5150000000002155</v>
      </c>
      <c r="U286" s="416">
        <f t="shared" si="192"/>
        <v>99.122000000000128</v>
      </c>
      <c r="V286" s="106">
        <f t="shared" si="192"/>
        <v>-14.11099999999999</v>
      </c>
      <c r="W286" s="106">
        <f t="shared" si="192"/>
        <v>27.961999999999989</v>
      </c>
      <c r="X286" s="106">
        <f t="shared" si="192"/>
        <v>38.674000000000049</v>
      </c>
      <c r="Y286" s="159">
        <f t="shared" si="192"/>
        <v>40.186999999999706</v>
      </c>
      <c r="Z286" s="418">
        <f t="shared" si="192"/>
        <v>92.711999999999932</v>
      </c>
      <c r="AA286" s="106">
        <f t="shared" si="192"/>
        <v>-8.1080000000000538</v>
      </c>
      <c r="AB286" s="106">
        <f t="shared" si="192"/>
        <v>11.323999999999877</v>
      </c>
      <c r="AC286" s="106">
        <f t="shared" si="192"/>
        <v>30.659000000000052</v>
      </c>
      <c r="AD286" s="159">
        <f t="shared" si="192"/>
        <v>29.130999999999478</v>
      </c>
      <c r="AE286" s="418">
        <f t="shared" si="192"/>
        <v>63.005999999999631</v>
      </c>
      <c r="AF286" s="106">
        <f t="shared" si="192"/>
        <v>-26.532999999999902</v>
      </c>
      <c r="AG286" s="106">
        <f t="shared" si="192"/>
        <v>-2.8830000000000258</v>
      </c>
      <c r="AH286" s="106">
        <f t="shared" si="192"/>
        <v>43.442999999999884</v>
      </c>
      <c r="AI286" s="159">
        <f t="shared" ref="AI286:BN286" si="193">SUM(AI279:AI285)</f>
        <v>-27.314000000000654</v>
      </c>
      <c r="AJ286" s="418">
        <f t="shared" si="193"/>
        <v>-13.287000000000413</v>
      </c>
      <c r="AK286" s="106">
        <f t="shared" si="193"/>
        <v>-8.5830000000000037</v>
      </c>
      <c r="AL286" s="106">
        <f t="shared" si="193"/>
        <v>24.038000000000114</v>
      </c>
      <c r="AM286" s="106">
        <f t="shared" si="193"/>
        <v>22.170000000000059</v>
      </c>
      <c r="AN286" s="159">
        <f t="shared" si="193"/>
        <v>-3.4000000000002686</v>
      </c>
      <c r="AO286" s="418">
        <f t="shared" si="193"/>
        <v>34.224999999999895</v>
      </c>
      <c r="AP286" s="106">
        <f t="shared" si="193"/>
        <v>20.961999999999968</v>
      </c>
      <c r="AQ286" s="106">
        <f t="shared" si="193"/>
        <v>57.79999999999994</v>
      </c>
      <c r="AR286" s="106">
        <f t="shared" si="193"/>
        <v>73.416999999999888</v>
      </c>
      <c r="AS286" s="159">
        <f t="shared" si="193"/>
        <v>88.861000000000033</v>
      </c>
      <c r="AT286" s="418">
        <f t="shared" si="193"/>
        <v>241.04000000000013</v>
      </c>
      <c r="AU286" s="106">
        <f t="shared" si="193"/>
        <v>73.382999999999981</v>
      </c>
      <c r="AV286" s="106">
        <f t="shared" si="193"/>
        <v>65.455000000000055</v>
      </c>
      <c r="AW286" s="106">
        <f t="shared" si="193"/>
        <v>93.951999999999998</v>
      </c>
      <c r="AX286" s="159">
        <f t="shared" si="193"/>
        <v>22.358999999999796</v>
      </c>
      <c r="AY286" s="418">
        <f t="shared" si="193"/>
        <v>255.1489999999998</v>
      </c>
      <c r="AZ286" s="106">
        <f t="shared" si="193"/>
        <v>126.5649999999999</v>
      </c>
      <c r="BA286" s="106">
        <f t="shared" si="193"/>
        <v>133.94799999999989</v>
      </c>
      <c r="BB286" s="106">
        <f t="shared" si="193"/>
        <v>159.10099999999994</v>
      </c>
      <c r="BC286" s="159">
        <f t="shared" si="193"/>
        <v>155.47300000000016</v>
      </c>
      <c r="BD286" s="418">
        <f t="shared" si="193"/>
        <v>575.08700000000022</v>
      </c>
      <c r="BE286" s="106">
        <f t="shared" si="193"/>
        <v>159.20200000000008</v>
      </c>
      <c r="BF286" s="106">
        <f t="shared" si="193"/>
        <v>164.75200000000001</v>
      </c>
      <c r="BG286" s="106">
        <f t="shared" si="193"/>
        <v>120.98400000000017</v>
      </c>
      <c r="BH286" s="159">
        <f t="shared" si="193"/>
        <v>112.54300000000008</v>
      </c>
      <c r="BI286" s="418">
        <f t="shared" si="193"/>
        <v>557.48100000000022</v>
      </c>
      <c r="BJ286" s="106">
        <f t="shared" si="193"/>
        <v>222.83499999999995</v>
      </c>
      <c r="BK286" s="106">
        <f t="shared" si="193"/>
        <v>232.22500000000005</v>
      </c>
      <c r="BL286" s="106">
        <f t="shared" si="193"/>
        <v>155.56300000000005</v>
      </c>
      <c r="BM286" s="159">
        <f t="shared" si="193"/>
        <v>246.03100000000069</v>
      </c>
      <c r="BN286" s="418">
        <f t="shared" si="193"/>
        <v>856.65400000000022</v>
      </c>
      <c r="BO286" s="106">
        <f t="shared" ref="BO286:BS286" si="194">SUM(BO279:BO285)</f>
        <v>139.47300000000007</v>
      </c>
      <c r="BP286" s="106">
        <f t="shared" si="194"/>
        <v>252.99200000000013</v>
      </c>
      <c r="BQ286" s="106">
        <f t="shared" si="194"/>
        <v>192.23000000000008</v>
      </c>
      <c r="BR286" s="159">
        <f t="shared" si="194"/>
        <v>188.22299999999973</v>
      </c>
      <c r="BS286" s="469">
        <f t="shared" si="194"/>
        <v>772.91800000000012</v>
      </c>
      <c r="BT286" s="159">
        <f t="shared" ref="BT286:CF286" si="195">BT279-BT280+BT281+BT283+BT284+BT285</f>
        <v>0</v>
      </c>
      <c r="BU286" s="159">
        <f t="shared" si="195"/>
        <v>0</v>
      </c>
      <c r="BV286" s="159">
        <f t="shared" si="195"/>
        <v>0</v>
      </c>
      <c r="BW286" s="159">
        <f t="shared" si="195"/>
        <v>0</v>
      </c>
      <c r="BX286" s="418">
        <f t="shared" si="195"/>
        <v>0</v>
      </c>
      <c r="BY286" s="159">
        <f t="shared" si="195"/>
        <v>0</v>
      </c>
      <c r="BZ286" s="159">
        <f t="shared" si="195"/>
        <v>0</v>
      </c>
      <c r="CA286" s="159">
        <f t="shared" si="195"/>
        <v>0</v>
      </c>
      <c r="CB286" s="159">
        <f t="shared" si="195"/>
        <v>0</v>
      </c>
      <c r="CC286" s="418">
        <f t="shared" si="195"/>
        <v>0</v>
      </c>
      <c r="CD286" s="418">
        <f t="shared" si="195"/>
        <v>0</v>
      </c>
      <c r="CE286" s="418">
        <f t="shared" si="195"/>
        <v>0</v>
      </c>
      <c r="CF286" s="418">
        <f t="shared" si="195"/>
        <v>0</v>
      </c>
      <c r="CG286" s="109"/>
    </row>
    <row r="287" spans="1:85" ht="14.45" hidden="1" customHeight="1" x14ac:dyDescent="0.25">
      <c r="A287" s="125" t="s">
        <v>404</v>
      </c>
      <c r="B287" s="180"/>
      <c r="C287" s="410">
        <v>16.581</v>
      </c>
      <c r="D287" s="410">
        <v>21.649000000000001</v>
      </c>
      <c r="E287" s="410">
        <v>19.527999999999999</v>
      </c>
      <c r="F287" s="410">
        <v>21.888999999999999</v>
      </c>
      <c r="G287" s="98">
        <v>2.44</v>
      </c>
      <c r="H287" s="98">
        <v>7.3540000000000001</v>
      </c>
      <c r="I287" s="98">
        <v>4.7560000000000002</v>
      </c>
      <c r="J287" s="99">
        <f>K287-G287-H287-I287</f>
        <v>-2.4080000000000004</v>
      </c>
      <c r="K287" s="410">
        <v>12.141999999999999</v>
      </c>
      <c r="L287" s="98">
        <v>1.792</v>
      </c>
      <c r="M287" s="98">
        <v>8.5890000000000004</v>
      </c>
      <c r="N287" s="98">
        <v>7.4080000000000004</v>
      </c>
      <c r="O287" s="99">
        <f>P287-L287-M287-N287</f>
        <v>1.746999999999999</v>
      </c>
      <c r="P287" s="410">
        <v>19.536000000000001</v>
      </c>
      <c r="Q287" s="98">
        <v>1.5129999999999999</v>
      </c>
      <c r="R287" s="98">
        <v>17.562000000000001</v>
      </c>
      <c r="S287" s="98">
        <v>12.099</v>
      </c>
      <c r="T287" s="99">
        <f>U287-Q287-R287-S287</f>
        <v>2.9040000000000035</v>
      </c>
      <c r="U287" s="410">
        <v>34.078000000000003</v>
      </c>
      <c r="V287" s="98">
        <v>-5.0780000000000003</v>
      </c>
      <c r="W287" s="98">
        <v>10.638</v>
      </c>
      <c r="X287" s="98">
        <v>13.121</v>
      </c>
      <c r="Y287" s="99">
        <f>Z287-V287-W287-X287</f>
        <v>17.368000000000002</v>
      </c>
      <c r="Z287" s="410">
        <v>36.048999999999999</v>
      </c>
      <c r="AA287" s="98">
        <v>-3.6909999999999998</v>
      </c>
      <c r="AB287" s="98">
        <v>3.7429999999999999</v>
      </c>
      <c r="AC287" s="98">
        <v>11.747999999999999</v>
      </c>
      <c r="AD287" s="99">
        <f>AE287-SUM(AA287,AB287,AC287)</f>
        <v>-51.640999999999998</v>
      </c>
      <c r="AE287" s="410">
        <v>-39.841000000000001</v>
      </c>
      <c r="AF287" s="98">
        <v>-12.971</v>
      </c>
      <c r="AG287" s="98">
        <v>-0.13500000000000001</v>
      </c>
      <c r="AH287" s="98">
        <v>16.492999999999999</v>
      </c>
      <c r="AI287" s="99">
        <f>AJ287-SUM(AF287,AG287,AH287)</f>
        <v>-1.5179999999999987</v>
      </c>
      <c r="AJ287" s="410">
        <v>1.869</v>
      </c>
      <c r="AK287" s="102">
        <v>-3.0049999999999999</v>
      </c>
      <c r="AL287" s="98">
        <v>7.1820000000000004</v>
      </c>
      <c r="AM287" s="98">
        <v>6.6239999999999997</v>
      </c>
      <c r="AN287" s="99">
        <f>AO287-SUM(AK287,AL287,AM287)</f>
        <v>4.863999999999999</v>
      </c>
      <c r="AO287" s="410">
        <v>15.664999999999999</v>
      </c>
      <c r="AP287" s="102">
        <v>5.3609999999999998</v>
      </c>
      <c r="AQ287" s="98">
        <v>15.186999999999999</v>
      </c>
      <c r="AR287" s="98">
        <v>18.363</v>
      </c>
      <c r="AS287" s="99">
        <f>AT287-SUM(AP287,AQ287,AR287)</f>
        <v>20.031999999999996</v>
      </c>
      <c r="AT287" s="410">
        <v>58.942999999999998</v>
      </c>
      <c r="AU287" s="102">
        <v>20.02</v>
      </c>
      <c r="AV287" s="98">
        <v>17.274999999999999</v>
      </c>
      <c r="AW287" s="98">
        <v>25.021999999999998</v>
      </c>
      <c r="AX287" s="99">
        <f>AY287-SUM(AU287,AV287,AW287)</f>
        <v>3.2520000000000024</v>
      </c>
      <c r="AY287" s="410">
        <v>65.569000000000003</v>
      </c>
      <c r="AZ287" s="102">
        <v>33.174999999999997</v>
      </c>
      <c r="BA287" s="98">
        <v>34.386000000000003</v>
      </c>
      <c r="BB287" s="98">
        <v>40.340000000000003</v>
      </c>
      <c r="BC287" s="99">
        <f>BD287-SUM(AZ287,BA287,BB287)</f>
        <v>37.027999999999992</v>
      </c>
      <c r="BD287" s="410">
        <v>144.929</v>
      </c>
      <c r="BE287" s="102">
        <v>41.075000000000003</v>
      </c>
      <c r="BF287" s="98">
        <v>42.433</v>
      </c>
      <c r="BG287" s="98">
        <v>28.890999999999998</v>
      </c>
      <c r="BH287" s="99">
        <f>BI287-SUM(BE287,BF287,BG287)</f>
        <v>36.706999999999994</v>
      </c>
      <c r="BI287" s="410">
        <v>149.10599999999999</v>
      </c>
      <c r="BJ287" s="102">
        <v>57.094000000000001</v>
      </c>
      <c r="BK287" s="98">
        <v>59.412999999999997</v>
      </c>
      <c r="BL287" s="98">
        <v>39.939</v>
      </c>
      <c r="BM287" s="99">
        <f>BN287-SUM(BJ287,BK287,BL287)</f>
        <v>67.082999999999998</v>
      </c>
      <c r="BN287" s="410">
        <v>223.529</v>
      </c>
      <c r="BO287" s="102">
        <v>35.862000000000002</v>
      </c>
      <c r="BP287" s="98">
        <v>65.605000000000004</v>
      </c>
      <c r="BQ287" s="98">
        <v>49.896000000000001</v>
      </c>
      <c r="BR287" s="99">
        <f>BS287-SUM(BO287,BP287,BQ287)</f>
        <v>50.973000000000013</v>
      </c>
      <c r="BS287" s="419">
        <v>202.33600000000001</v>
      </c>
      <c r="BT287" s="63"/>
      <c r="BU287" s="63"/>
      <c r="BV287" s="63"/>
      <c r="BW287" s="63"/>
      <c r="BX287" s="413"/>
      <c r="BY287" s="63"/>
      <c r="BZ287" s="63"/>
      <c r="CA287" s="63"/>
      <c r="CB287" s="63"/>
      <c r="CC287" s="413"/>
      <c r="CD287" s="413"/>
      <c r="CE287" s="413"/>
      <c r="CF287" s="413"/>
      <c r="CG287" s="99"/>
    </row>
    <row r="288" spans="1:85" ht="14.45" hidden="1" customHeight="1" x14ac:dyDescent="0.25">
      <c r="A288" s="213" t="s">
        <v>405</v>
      </c>
      <c r="B288" s="214"/>
      <c r="C288" s="512">
        <f t="shared" ref="C288:AH288" si="196">C286-C287</f>
        <v>40.543000000000163</v>
      </c>
      <c r="D288" s="512">
        <f t="shared" si="196"/>
        <v>39.541999999999867</v>
      </c>
      <c r="E288" s="512">
        <f t="shared" si="196"/>
        <v>32.023000000000089</v>
      </c>
      <c r="F288" s="512">
        <f t="shared" si="196"/>
        <v>31.458999999999921</v>
      </c>
      <c r="G288" s="215">
        <f t="shared" si="196"/>
        <v>5.6689999999999721</v>
      </c>
      <c r="H288" s="215">
        <f t="shared" si="196"/>
        <v>12.136000000000003</v>
      </c>
      <c r="I288" s="215">
        <f t="shared" si="196"/>
        <v>18.083000000000016</v>
      </c>
      <c r="J288" s="215">
        <f t="shared" si="196"/>
        <v>-3.7860000000001985</v>
      </c>
      <c r="K288" s="512">
        <f t="shared" si="196"/>
        <v>32.101999999999819</v>
      </c>
      <c r="L288" s="215">
        <f t="shared" si="196"/>
        <v>3.1009999999999858</v>
      </c>
      <c r="M288" s="215">
        <f t="shared" si="196"/>
        <v>15.332000000000038</v>
      </c>
      <c r="N288" s="215">
        <f t="shared" si="196"/>
        <v>13.704999999999998</v>
      </c>
      <c r="O288" s="215">
        <f t="shared" si="196"/>
        <v>3.9439999999996518</v>
      </c>
      <c r="P288" s="512">
        <f t="shared" si="196"/>
        <v>36.081999999999759</v>
      </c>
      <c r="Q288" s="215">
        <f t="shared" si="196"/>
        <v>2.9529999999999852</v>
      </c>
      <c r="R288" s="215">
        <f t="shared" si="196"/>
        <v>28.921000000000003</v>
      </c>
      <c r="S288" s="215">
        <f t="shared" si="196"/>
        <v>27.559000000000058</v>
      </c>
      <c r="T288" s="215">
        <f t="shared" si="196"/>
        <v>5.611000000000212</v>
      </c>
      <c r="U288" s="512">
        <f t="shared" si="196"/>
        <v>65.044000000000125</v>
      </c>
      <c r="V288" s="215">
        <f t="shared" si="196"/>
        <v>-9.0329999999999906</v>
      </c>
      <c r="W288" s="215">
        <f t="shared" si="196"/>
        <v>17.323999999999991</v>
      </c>
      <c r="X288" s="215">
        <f t="shared" si="196"/>
        <v>25.553000000000047</v>
      </c>
      <c r="Y288" s="216">
        <f t="shared" si="196"/>
        <v>22.818999999999704</v>
      </c>
      <c r="Z288" s="513">
        <f t="shared" si="196"/>
        <v>56.662999999999933</v>
      </c>
      <c r="AA288" s="215">
        <f t="shared" si="196"/>
        <v>-4.417000000000054</v>
      </c>
      <c r="AB288" s="215">
        <f t="shared" si="196"/>
        <v>7.5809999999998769</v>
      </c>
      <c r="AC288" s="215">
        <f t="shared" si="196"/>
        <v>18.911000000000051</v>
      </c>
      <c r="AD288" s="216">
        <f t="shared" si="196"/>
        <v>80.77199999999948</v>
      </c>
      <c r="AE288" s="513">
        <f t="shared" si="196"/>
        <v>102.84699999999964</v>
      </c>
      <c r="AF288" s="215">
        <f t="shared" si="196"/>
        <v>-13.561999999999902</v>
      </c>
      <c r="AG288" s="215">
        <f t="shared" si="196"/>
        <v>-2.748000000000026</v>
      </c>
      <c r="AH288" s="215">
        <f t="shared" si="196"/>
        <v>26.949999999999886</v>
      </c>
      <c r="AI288" s="216">
        <f t="shared" ref="AI288:BN288" si="197">AI286-AI287</f>
        <v>-25.796000000000657</v>
      </c>
      <c r="AJ288" s="513">
        <f t="shared" si="197"/>
        <v>-15.156000000000413</v>
      </c>
      <c r="AK288" s="215">
        <f t="shared" si="197"/>
        <v>-5.5780000000000038</v>
      </c>
      <c r="AL288" s="215">
        <f t="shared" si="197"/>
        <v>16.856000000000115</v>
      </c>
      <c r="AM288" s="215">
        <f t="shared" si="197"/>
        <v>15.54600000000006</v>
      </c>
      <c r="AN288" s="216">
        <f t="shared" si="197"/>
        <v>-8.2640000000002676</v>
      </c>
      <c r="AO288" s="513">
        <f t="shared" si="197"/>
        <v>18.559999999999896</v>
      </c>
      <c r="AP288" s="215">
        <f t="shared" si="197"/>
        <v>15.600999999999967</v>
      </c>
      <c r="AQ288" s="215">
        <f t="shared" si="197"/>
        <v>42.612999999999943</v>
      </c>
      <c r="AR288" s="215">
        <f t="shared" si="197"/>
        <v>55.053999999999888</v>
      </c>
      <c r="AS288" s="216">
        <f t="shared" si="197"/>
        <v>68.829000000000036</v>
      </c>
      <c r="AT288" s="513">
        <f t="shared" si="197"/>
        <v>182.09700000000015</v>
      </c>
      <c r="AU288" s="215">
        <f t="shared" si="197"/>
        <v>53.362999999999985</v>
      </c>
      <c r="AV288" s="215">
        <f t="shared" si="197"/>
        <v>48.180000000000057</v>
      </c>
      <c r="AW288" s="215">
        <f t="shared" si="197"/>
        <v>68.930000000000007</v>
      </c>
      <c r="AX288" s="216">
        <f t="shared" si="197"/>
        <v>19.106999999999793</v>
      </c>
      <c r="AY288" s="513">
        <f t="shared" si="197"/>
        <v>189.57999999999981</v>
      </c>
      <c r="AZ288" s="215">
        <f t="shared" si="197"/>
        <v>93.389999999999901</v>
      </c>
      <c r="BA288" s="215">
        <f t="shared" si="197"/>
        <v>99.561999999999898</v>
      </c>
      <c r="BB288" s="215">
        <f t="shared" si="197"/>
        <v>118.76099999999994</v>
      </c>
      <c r="BC288" s="216">
        <f t="shared" si="197"/>
        <v>118.44500000000016</v>
      </c>
      <c r="BD288" s="513">
        <f t="shared" si="197"/>
        <v>430.15800000000024</v>
      </c>
      <c r="BE288" s="215">
        <f t="shared" si="197"/>
        <v>118.12700000000008</v>
      </c>
      <c r="BF288" s="215">
        <f t="shared" si="197"/>
        <v>122.31900000000002</v>
      </c>
      <c r="BG288" s="215">
        <f t="shared" si="197"/>
        <v>92.09300000000016</v>
      </c>
      <c r="BH288" s="216">
        <f t="shared" si="197"/>
        <v>75.836000000000084</v>
      </c>
      <c r="BI288" s="513">
        <f t="shared" si="197"/>
        <v>408.37500000000023</v>
      </c>
      <c r="BJ288" s="215">
        <f t="shared" si="197"/>
        <v>165.74099999999996</v>
      </c>
      <c r="BK288" s="215">
        <f t="shared" si="197"/>
        <v>172.81200000000007</v>
      </c>
      <c r="BL288" s="215">
        <f t="shared" si="197"/>
        <v>115.62400000000005</v>
      </c>
      <c r="BM288" s="216">
        <f t="shared" si="197"/>
        <v>178.94800000000069</v>
      </c>
      <c r="BN288" s="513">
        <f t="shared" si="197"/>
        <v>633.12500000000023</v>
      </c>
      <c r="BO288" s="215">
        <f t="shared" ref="BO288:CF288" si="198">BO286-BO287</f>
        <v>103.61100000000008</v>
      </c>
      <c r="BP288" s="215">
        <f t="shared" si="198"/>
        <v>187.38700000000011</v>
      </c>
      <c r="BQ288" s="215">
        <f t="shared" si="198"/>
        <v>142.33400000000006</v>
      </c>
      <c r="BR288" s="216">
        <f t="shared" si="198"/>
        <v>137.24999999999972</v>
      </c>
      <c r="BS288" s="514">
        <f t="shared" si="198"/>
        <v>570.58200000000011</v>
      </c>
      <c r="BT288" s="216">
        <f t="shared" si="198"/>
        <v>0</v>
      </c>
      <c r="BU288" s="216">
        <f t="shared" si="198"/>
        <v>0</v>
      </c>
      <c r="BV288" s="216">
        <f t="shared" si="198"/>
        <v>0</v>
      </c>
      <c r="BW288" s="216">
        <f t="shared" si="198"/>
        <v>0</v>
      </c>
      <c r="BX288" s="513">
        <f t="shared" si="198"/>
        <v>0</v>
      </c>
      <c r="BY288" s="216">
        <f t="shared" si="198"/>
        <v>0</v>
      </c>
      <c r="BZ288" s="216">
        <f t="shared" si="198"/>
        <v>0</v>
      </c>
      <c r="CA288" s="216">
        <f t="shared" si="198"/>
        <v>0</v>
      </c>
      <c r="CB288" s="216">
        <f t="shared" si="198"/>
        <v>0</v>
      </c>
      <c r="CC288" s="513">
        <f t="shared" si="198"/>
        <v>0</v>
      </c>
      <c r="CD288" s="513">
        <f t="shared" si="198"/>
        <v>0</v>
      </c>
      <c r="CE288" s="513">
        <f t="shared" si="198"/>
        <v>0</v>
      </c>
      <c r="CF288" s="513">
        <f t="shared" si="198"/>
        <v>0</v>
      </c>
      <c r="CG288" s="109"/>
    </row>
    <row r="289" spans="1:85" ht="14.45" hidden="1" customHeight="1" x14ac:dyDescent="0.25">
      <c r="A289" s="125" t="s">
        <v>406</v>
      </c>
      <c r="B289" s="180"/>
      <c r="C289" s="410">
        <v>2.407</v>
      </c>
      <c r="D289" s="410">
        <v>3.4849999999999999</v>
      </c>
      <c r="E289" s="410">
        <v>3.415</v>
      </c>
      <c r="F289" s="410">
        <v>4.242</v>
      </c>
      <c r="G289" s="98">
        <v>0.80700000000000005</v>
      </c>
      <c r="H289" s="98">
        <v>0.90700000000000003</v>
      </c>
      <c r="I289" s="98">
        <v>1.9139999999999999</v>
      </c>
      <c r="J289" s="99">
        <f>K289-G289-H289-I289</f>
        <v>0.79899999999999971</v>
      </c>
      <c r="K289" s="410">
        <v>4.4269999999999996</v>
      </c>
      <c r="L289" s="98">
        <v>0.65200000000000002</v>
      </c>
      <c r="M289" s="98">
        <v>1.5489999999999999</v>
      </c>
      <c r="N289" s="98">
        <v>1.573</v>
      </c>
      <c r="O289" s="99">
        <f>P289-L289-M289-N289</f>
        <v>0.95399999999999974</v>
      </c>
      <c r="P289" s="410">
        <v>4.7279999999999998</v>
      </c>
      <c r="Q289" s="98">
        <v>0.72899999999999998</v>
      </c>
      <c r="R289" s="98">
        <v>1.9870000000000001</v>
      </c>
      <c r="S289" s="98">
        <v>2.0059999999999998</v>
      </c>
      <c r="T289" s="99">
        <f>U289-Q289-R289-S289</f>
        <v>1.3199999999999998</v>
      </c>
      <c r="U289" s="410">
        <v>6.0419999999999998</v>
      </c>
      <c r="V289" s="98">
        <v>1.008</v>
      </c>
      <c r="W289" s="98">
        <v>1.6719999999999999</v>
      </c>
      <c r="X289" s="98">
        <v>2.411</v>
      </c>
      <c r="Y289" s="99">
        <f>Z289-V289-W289-X289</f>
        <v>1.4260000000000006</v>
      </c>
      <c r="Z289" s="410">
        <v>6.5170000000000003</v>
      </c>
      <c r="AA289" s="98">
        <v>0.63400000000000001</v>
      </c>
      <c r="AB289" s="98">
        <v>1.2330000000000001</v>
      </c>
      <c r="AC289" s="98">
        <v>1.595</v>
      </c>
      <c r="AD289" s="99">
        <f>AE289-SUM(AA289,AB289,AC289)</f>
        <v>2.8500000000000005</v>
      </c>
      <c r="AE289" s="410">
        <v>6.3120000000000003</v>
      </c>
      <c r="AF289" s="98">
        <v>0.623</v>
      </c>
      <c r="AG289" s="98">
        <v>1.1850000000000001</v>
      </c>
      <c r="AH289" s="98">
        <v>1.786</v>
      </c>
      <c r="AI289" s="99">
        <f>AJ289-SUM(AF289,AG289,AH289)</f>
        <v>1.1799999999999997</v>
      </c>
      <c r="AJ289" s="410">
        <v>4.774</v>
      </c>
      <c r="AK289" s="188">
        <v>1.2529999999999999</v>
      </c>
      <c r="AL289" s="98">
        <v>1.486</v>
      </c>
      <c r="AM289" s="98">
        <v>2.54</v>
      </c>
      <c r="AN289" s="99">
        <f>AO289-SUM(AK289,AL289,AM289)</f>
        <v>1.9059999999999997</v>
      </c>
      <c r="AO289" s="410">
        <v>7.1849999999999996</v>
      </c>
      <c r="AP289" s="188">
        <v>0.93900000000000006</v>
      </c>
      <c r="AQ289" s="98">
        <v>3.044</v>
      </c>
      <c r="AR289" s="98">
        <v>3.17</v>
      </c>
      <c r="AS289" s="99">
        <f>AT289-SUM(AP289,AQ289,AR289)</f>
        <v>2.4510000000000005</v>
      </c>
      <c r="AT289" s="410">
        <v>9.604000000000001</v>
      </c>
      <c r="AU289" s="187"/>
      <c r="AV289" s="63"/>
      <c r="AW289" s="63"/>
      <c r="AX289" s="99">
        <f>AY289-SUM(AU289,AV289,AW289)</f>
        <v>0</v>
      </c>
      <c r="AY289" s="413"/>
      <c r="AZ289" s="187"/>
      <c r="BA289" s="63"/>
      <c r="BB289" s="63"/>
      <c r="BC289" s="99">
        <f>BD289-SUM(AZ289,BA289,BB289)</f>
        <v>0</v>
      </c>
      <c r="BD289" s="413"/>
      <c r="BE289" s="187"/>
      <c r="BF289" s="63"/>
      <c r="BG289" s="63"/>
      <c r="BH289" s="99">
        <f>BI289-SUM(BE289,BF289,BG289)</f>
        <v>0</v>
      </c>
      <c r="BI289" s="413"/>
      <c r="BJ289" s="187"/>
      <c r="BK289" s="63"/>
      <c r="BL289" s="63"/>
      <c r="BM289" s="99">
        <f>BN289-SUM(BJ289,BK289,BL289)</f>
        <v>0</v>
      </c>
      <c r="BN289" s="413"/>
      <c r="BO289" s="187"/>
      <c r="BP289" s="63"/>
      <c r="BQ289" s="63"/>
      <c r="BR289" s="99">
        <f>BS289-SUM(BO289,BP289,BQ289)</f>
        <v>0</v>
      </c>
      <c r="BS289" s="425"/>
      <c r="BT289" s="63"/>
      <c r="BU289" s="63"/>
      <c r="BV289" s="63"/>
      <c r="BW289" s="63"/>
      <c r="BX289" s="413"/>
      <c r="BY289" s="63"/>
      <c r="BZ289" s="63"/>
      <c r="CA289" s="63"/>
      <c r="CB289" s="63"/>
      <c r="CC289" s="413"/>
      <c r="CD289" s="413"/>
      <c r="CE289" s="413"/>
      <c r="CF289" s="413"/>
      <c r="CG289" s="99"/>
    </row>
    <row r="290" spans="1:85" ht="14.45" hidden="1" customHeight="1" x14ac:dyDescent="0.25">
      <c r="A290" s="213" t="s">
        <v>407</v>
      </c>
      <c r="B290" s="214"/>
      <c r="C290" s="512">
        <f t="shared" ref="C290:AH290" si="199">C288-C289</f>
        <v>38.136000000000166</v>
      </c>
      <c r="D290" s="512">
        <f t="shared" si="199"/>
        <v>36.056999999999867</v>
      </c>
      <c r="E290" s="512">
        <f t="shared" si="199"/>
        <v>28.608000000000089</v>
      </c>
      <c r="F290" s="512">
        <f t="shared" si="199"/>
        <v>27.216999999999921</v>
      </c>
      <c r="G290" s="215">
        <f t="shared" si="199"/>
        <v>4.8619999999999717</v>
      </c>
      <c r="H290" s="215">
        <f t="shared" si="199"/>
        <v>11.229000000000003</v>
      </c>
      <c r="I290" s="215">
        <f t="shared" si="199"/>
        <v>16.169000000000015</v>
      </c>
      <c r="J290" s="215">
        <f t="shared" si="199"/>
        <v>-4.585000000000198</v>
      </c>
      <c r="K290" s="512">
        <f t="shared" si="199"/>
        <v>27.67499999999982</v>
      </c>
      <c r="L290" s="215">
        <f t="shared" si="199"/>
        <v>2.4489999999999856</v>
      </c>
      <c r="M290" s="215">
        <f t="shared" si="199"/>
        <v>13.783000000000039</v>
      </c>
      <c r="N290" s="215">
        <f t="shared" si="199"/>
        <v>12.131999999999998</v>
      </c>
      <c r="O290" s="215">
        <f t="shared" si="199"/>
        <v>2.989999999999652</v>
      </c>
      <c r="P290" s="512">
        <f t="shared" si="199"/>
        <v>31.353999999999758</v>
      </c>
      <c r="Q290" s="215">
        <f t="shared" si="199"/>
        <v>2.2239999999999851</v>
      </c>
      <c r="R290" s="215">
        <f t="shared" si="199"/>
        <v>26.934000000000005</v>
      </c>
      <c r="S290" s="215">
        <f t="shared" si="199"/>
        <v>25.553000000000058</v>
      </c>
      <c r="T290" s="215">
        <f t="shared" si="199"/>
        <v>4.2910000000002118</v>
      </c>
      <c r="U290" s="512">
        <f t="shared" si="199"/>
        <v>59.002000000000123</v>
      </c>
      <c r="V290" s="215">
        <f t="shared" si="199"/>
        <v>-10.04099999999999</v>
      </c>
      <c r="W290" s="215">
        <f t="shared" si="199"/>
        <v>15.65199999999999</v>
      </c>
      <c r="X290" s="215">
        <f t="shared" si="199"/>
        <v>23.142000000000046</v>
      </c>
      <c r="Y290" s="216">
        <f t="shared" si="199"/>
        <v>21.392999999999702</v>
      </c>
      <c r="Z290" s="513">
        <f t="shared" si="199"/>
        <v>50.14599999999993</v>
      </c>
      <c r="AA290" s="215">
        <f t="shared" si="199"/>
        <v>-5.0510000000000543</v>
      </c>
      <c r="AB290" s="215">
        <f t="shared" si="199"/>
        <v>6.3479999999998764</v>
      </c>
      <c r="AC290" s="215">
        <f t="shared" si="199"/>
        <v>17.316000000000052</v>
      </c>
      <c r="AD290" s="216">
        <f t="shared" si="199"/>
        <v>77.921999999999485</v>
      </c>
      <c r="AE290" s="513">
        <f t="shared" si="199"/>
        <v>96.534999999999641</v>
      </c>
      <c r="AF290" s="215">
        <f t="shared" si="199"/>
        <v>-14.184999999999901</v>
      </c>
      <c r="AG290" s="215">
        <f t="shared" si="199"/>
        <v>-3.933000000000026</v>
      </c>
      <c r="AH290" s="215">
        <f t="shared" si="199"/>
        <v>25.163999999999884</v>
      </c>
      <c r="AI290" s="216">
        <f t="shared" ref="AI290:BN290" si="200">AI288-AI289</f>
        <v>-26.976000000000656</v>
      </c>
      <c r="AJ290" s="513">
        <f t="shared" si="200"/>
        <v>-19.930000000000412</v>
      </c>
      <c r="AK290" s="215">
        <f t="shared" si="200"/>
        <v>-6.831000000000004</v>
      </c>
      <c r="AL290" s="215">
        <f t="shared" si="200"/>
        <v>15.370000000000115</v>
      </c>
      <c r="AM290" s="215">
        <f t="shared" si="200"/>
        <v>13.006000000000061</v>
      </c>
      <c r="AN290" s="216">
        <f t="shared" si="200"/>
        <v>-10.170000000000268</v>
      </c>
      <c r="AO290" s="513">
        <f t="shared" si="200"/>
        <v>11.374999999999897</v>
      </c>
      <c r="AP290" s="215">
        <f t="shared" si="200"/>
        <v>14.661999999999967</v>
      </c>
      <c r="AQ290" s="215">
        <f t="shared" si="200"/>
        <v>39.568999999999946</v>
      </c>
      <c r="AR290" s="215">
        <f t="shared" si="200"/>
        <v>51.883999999999887</v>
      </c>
      <c r="AS290" s="216">
        <f t="shared" si="200"/>
        <v>66.378000000000043</v>
      </c>
      <c r="AT290" s="513">
        <f t="shared" si="200"/>
        <v>172.49300000000014</v>
      </c>
      <c r="AU290" s="215">
        <f t="shared" si="200"/>
        <v>53.362999999999985</v>
      </c>
      <c r="AV290" s="215">
        <f t="shared" si="200"/>
        <v>48.180000000000057</v>
      </c>
      <c r="AW290" s="215">
        <f t="shared" si="200"/>
        <v>68.930000000000007</v>
      </c>
      <c r="AX290" s="216">
        <f t="shared" si="200"/>
        <v>19.106999999999793</v>
      </c>
      <c r="AY290" s="513">
        <f t="shared" si="200"/>
        <v>189.57999999999981</v>
      </c>
      <c r="AZ290" s="215">
        <f t="shared" si="200"/>
        <v>93.389999999999901</v>
      </c>
      <c r="BA290" s="215">
        <f t="shared" si="200"/>
        <v>99.561999999999898</v>
      </c>
      <c r="BB290" s="215">
        <f t="shared" si="200"/>
        <v>118.76099999999994</v>
      </c>
      <c r="BC290" s="216">
        <f t="shared" si="200"/>
        <v>118.44500000000016</v>
      </c>
      <c r="BD290" s="513">
        <f t="shared" si="200"/>
        <v>430.15800000000024</v>
      </c>
      <c r="BE290" s="215">
        <f t="shared" si="200"/>
        <v>118.12700000000008</v>
      </c>
      <c r="BF290" s="215">
        <f t="shared" si="200"/>
        <v>122.31900000000002</v>
      </c>
      <c r="BG290" s="215">
        <f t="shared" si="200"/>
        <v>92.09300000000016</v>
      </c>
      <c r="BH290" s="216">
        <f t="shared" si="200"/>
        <v>75.836000000000084</v>
      </c>
      <c r="BI290" s="513">
        <f t="shared" si="200"/>
        <v>408.37500000000023</v>
      </c>
      <c r="BJ290" s="215">
        <f t="shared" si="200"/>
        <v>165.74099999999996</v>
      </c>
      <c r="BK290" s="215">
        <f t="shared" si="200"/>
        <v>172.81200000000007</v>
      </c>
      <c r="BL290" s="215">
        <f t="shared" si="200"/>
        <v>115.62400000000005</v>
      </c>
      <c r="BM290" s="216">
        <f t="shared" si="200"/>
        <v>178.94800000000069</v>
      </c>
      <c r="BN290" s="513">
        <f t="shared" si="200"/>
        <v>633.12500000000023</v>
      </c>
      <c r="BO290" s="215">
        <f t="shared" ref="BO290:CF290" si="201">BO288-BO289</f>
        <v>103.61100000000008</v>
      </c>
      <c r="BP290" s="215">
        <f t="shared" si="201"/>
        <v>187.38700000000011</v>
      </c>
      <c r="BQ290" s="215">
        <f t="shared" si="201"/>
        <v>142.33400000000006</v>
      </c>
      <c r="BR290" s="216">
        <f t="shared" si="201"/>
        <v>137.24999999999972</v>
      </c>
      <c r="BS290" s="514">
        <f t="shared" si="201"/>
        <v>570.58200000000011</v>
      </c>
      <c r="BT290" s="216">
        <f t="shared" si="201"/>
        <v>0</v>
      </c>
      <c r="BU290" s="216">
        <f t="shared" si="201"/>
        <v>0</v>
      </c>
      <c r="BV290" s="216">
        <f t="shared" si="201"/>
        <v>0</v>
      </c>
      <c r="BW290" s="216">
        <f t="shared" si="201"/>
        <v>0</v>
      </c>
      <c r="BX290" s="513">
        <f t="shared" si="201"/>
        <v>0</v>
      </c>
      <c r="BY290" s="216">
        <f t="shared" si="201"/>
        <v>0</v>
      </c>
      <c r="BZ290" s="216">
        <f t="shared" si="201"/>
        <v>0</v>
      </c>
      <c r="CA290" s="216">
        <f t="shared" si="201"/>
        <v>0</v>
      </c>
      <c r="CB290" s="216">
        <f t="shared" si="201"/>
        <v>0</v>
      </c>
      <c r="CC290" s="513">
        <f t="shared" si="201"/>
        <v>0</v>
      </c>
      <c r="CD290" s="513">
        <f t="shared" si="201"/>
        <v>0</v>
      </c>
      <c r="CE290" s="513">
        <f t="shared" si="201"/>
        <v>0</v>
      </c>
      <c r="CF290" s="513">
        <f t="shared" si="201"/>
        <v>0</v>
      </c>
      <c r="CG290" s="109"/>
    </row>
    <row r="291" spans="1:85" ht="14.45" hidden="1" customHeight="1" x14ac:dyDescent="0.25">
      <c r="A291" s="189"/>
      <c r="B291" s="180"/>
      <c r="C291" s="413"/>
      <c r="D291" s="413"/>
      <c r="E291" s="413"/>
      <c r="F291" s="413"/>
      <c r="G291" s="63"/>
      <c r="H291" s="63"/>
      <c r="I291" s="63"/>
      <c r="J291" s="63"/>
      <c r="K291" s="413"/>
      <c r="L291" s="63"/>
      <c r="M291" s="63"/>
      <c r="N291" s="63"/>
      <c r="O291" s="63"/>
      <c r="P291" s="413"/>
      <c r="Q291" s="63"/>
      <c r="R291" s="63"/>
      <c r="S291" s="63"/>
      <c r="T291" s="63"/>
      <c r="U291" s="413"/>
      <c r="V291" s="63"/>
      <c r="W291" s="63"/>
      <c r="X291" s="63"/>
      <c r="Y291" s="63"/>
      <c r="Z291" s="413"/>
      <c r="AA291" s="63"/>
      <c r="AB291" s="63"/>
      <c r="AC291" s="63"/>
      <c r="AD291" s="63"/>
      <c r="AE291" s="413"/>
      <c r="AF291" s="63"/>
      <c r="AG291" s="63"/>
      <c r="AH291" s="63"/>
      <c r="AI291" s="63"/>
      <c r="AJ291" s="413"/>
      <c r="AK291" s="63"/>
      <c r="AL291" s="63"/>
      <c r="AM291" s="63"/>
      <c r="AN291" s="63"/>
      <c r="AO291" s="413"/>
      <c r="AP291" s="63"/>
      <c r="AQ291" s="63"/>
      <c r="AR291" s="63"/>
      <c r="AS291" s="63"/>
      <c r="AT291" s="413"/>
      <c r="AU291" s="63"/>
      <c r="AV291" s="63"/>
      <c r="AW291" s="63"/>
      <c r="AX291" s="63"/>
      <c r="AY291" s="413"/>
      <c r="AZ291" s="63"/>
      <c r="BA291" s="63"/>
      <c r="BB291" s="63"/>
      <c r="BC291" s="63"/>
      <c r="BD291" s="413"/>
      <c r="BE291" s="63"/>
      <c r="BF291" s="63"/>
      <c r="BG291" s="63"/>
      <c r="BH291" s="63"/>
      <c r="BI291" s="413"/>
      <c r="BJ291" s="63"/>
      <c r="BK291" s="63"/>
      <c r="BL291" s="63"/>
      <c r="BM291" s="63"/>
      <c r="BN291" s="413"/>
      <c r="BO291" s="63"/>
      <c r="BP291" s="63"/>
      <c r="BQ291" s="63"/>
      <c r="BR291" s="63"/>
      <c r="BS291" s="425"/>
      <c r="BT291" s="63"/>
      <c r="BU291" s="63"/>
      <c r="BV291" s="63"/>
      <c r="BW291" s="63"/>
      <c r="BX291" s="413"/>
      <c r="BY291" s="63"/>
      <c r="BZ291" s="63"/>
      <c r="CA291" s="63"/>
      <c r="CB291" s="63"/>
      <c r="CC291" s="413"/>
      <c r="CD291" s="413"/>
      <c r="CE291" s="413"/>
      <c r="CF291" s="413"/>
      <c r="CG291" s="99"/>
    </row>
    <row r="292" spans="1:85" ht="14.45" hidden="1" customHeight="1" x14ac:dyDescent="0.25">
      <c r="A292" s="217" t="s">
        <v>408</v>
      </c>
      <c r="B292" s="217"/>
      <c r="C292" s="218">
        <f>IF(ISBLANK(INDEX(MO_IS_FirstRow,0,COLUMN())),0,ROUND(C288-C635,6))</f>
        <v>0</v>
      </c>
      <c r="D292" s="218">
        <f>IF(ISBLANK(INDEX(MO_IS_FirstRow,0,COLUMN())),0,ROUND(D288-D635,6))</f>
        <v>0</v>
      </c>
      <c r="E292" s="218">
        <f>IF(ISBLANK(INDEX(MO_IS_FirstRow,0,COLUMN())),0,ROUND(E288-E635,6))</f>
        <v>0</v>
      </c>
      <c r="F292" s="218">
        <f>IF(ISBLANK(INDEX(MO_IS_FirstRow,0,COLUMN())),0,ROUND(F288-F635,6))</f>
        <v>0</v>
      </c>
      <c r="G292" s="218">
        <f>IF(ISBLANK(INDEX(MO_IS_FirstRow,0,COLUMN())),0,ROUND(G288-G635,6))</f>
        <v>0</v>
      </c>
      <c r="H292" s="218">
        <f>IF(ISBLANK(INDEX(MO_IS_FirstRow,0,COLUMN())),0,ROUND(H288-H635,6))</f>
        <v>0</v>
      </c>
      <c r="I292" s="218">
        <f>IF(ISBLANK(INDEX(MO_IS_FirstRow,0,COLUMN())),0,ROUND(I288-I635,6))</f>
        <v>0</v>
      </c>
      <c r="J292" s="218">
        <f>IF(ISBLANK(INDEX(MO_IS_FirstRow,0,COLUMN())),0,ROUND(J288-J635,6))</f>
        <v>0</v>
      </c>
      <c r="K292" s="218">
        <f>IF(ISBLANK(INDEX(MO_IS_FirstRow,0,COLUMN())),0,ROUND(K288-K635,6))</f>
        <v>0</v>
      </c>
      <c r="L292" s="218">
        <f>IF(ISBLANK(INDEX(MO_IS_FirstRow,0,COLUMN())),0,ROUND(L288-L635,6))</f>
        <v>0</v>
      </c>
      <c r="M292" s="218">
        <f>IF(ISBLANK(INDEX(MO_IS_FirstRow,0,COLUMN())),0,ROUND(M288-M635,6))</f>
        <v>0</v>
      </c>
      <c r="N292" s="218">
        <f>IF(ISBLANK(INDEX(MO_IS_FirstRow,0,COLUMN())),0,ROUND(N288-N635,6))</f>
        <v>0</v>
      </c>
      <c r="O292" s="218">
        <f>IF(ISBLANK(INDEX(MO_IS_FirstRow,0,COLUMN())),0,ROUND(O288-O635,6))</f>
        <v>0</v>
      </c>
      <c r="P292" s="218">
        <f>IF(ISBLANK(INDEX(MO_IS_FirstRow,0,COLUMN())),0,ROUND(P288-P635,6))</f>
        <v>0</v>
      </c>
      <c r="Q292" s="218">
        <f>IF(ISBLANK(INDEX(MO_IS_FirstRow,0,COLUMN())),0,ROUND(Q288-Q635,6))</f>
        <v>0</v>
      </c>
      <c r="R292" s="218">
        <f>IF(ISBLANK(INDEX(MO_IS_FirstRow,0,COLUMN())),0,ROUND(R288-R635,6))</f>
        <v>0</v>
      </c>
      <c r="S292" s="218">
        <f>IF(ISBLANK(INDEX(MO_IS_FirstRow,0,COLUMN())),0,ROUND(S288-S635,6))</f>
        <v>0</v>
      </c>
      <c r="T292" s="218">
        <f>IF(ISBLANK(INDEX(MO_IS_FirstRow,0,COLUMN())),0,ROUND(T288-T635,6))</f>
        <v>0</v>
      </c>
      <c r="U292" s="218">
        <f>IF(ISBLANK(INDEX(MO_IS_FirstRow,0,COLUMN())),0,ROUND(U288-U635,6))</f>
        <v>0</v>
      </c>
      <c r="V292" s="218">
        <f>IF(ISBLANK(INDEX(MO_IS_FirstRow,0,COLUMN())),0,ROUND(V288-V635,6))</f>
        <v>0</v>
      </c>
      <c r="W292" s="218">
        <f>IF(ISBLANK(INDEX(MO_IS_FirstRow,0,COLUMN())),0,ROUND(W288-W635,6))</f>
        <v>0</v>
      </c>
      <c r="X292" s="218">
        <f>IF(ISBLANK(INDEX(MO_IS_FirstRow,0,COLUMN())),0,ROUND(X288-X635,6))</f>
        <v>0</v>
      </c>
      <c r="Y292" s="218">
        <f>IF(ISBLANK(INDEX(MO_IS_FirstRow,0,COLUMN())),0,ROUND(Y288-Y635,6))</f>
        <v>0</v>
      </c>
      <c r="Z292" s="218">
        <f>IF(ISBLANK(INDEX(MO_IS_FirstRow,0,COLUMN())),0,ROUND(Z288-Z635,6))</f>
        <v>0</v>
      </c>
      <c r="AA292" s="218">
        <f>IF(ISBLANK(INDEX(MO_IS_FirstRow,0,COLUMN())),0,ROUND(AA288-AA635,6))</f>
        <v>0</v>
      </c>
      <c r="AB292" s="218">
        <f>IF(ISBLANK(INDEX(MO_IS_FirstRow,0,COLUMN())),0,ROUND(AB288-AB635,6))</f>
        <v>0</v>
      </c>
      <c r="AC292" s="218">
        <f>IF(ISBLANK(INDEX(MO_IS_FirstRow,0,COLUMN())),0,ROUND(AC288-AC635,6))</f>
        <v>0</v>
      </c>
      <c r="AD292" s="218">
        <f>IF(ISBLANK(INDEX(MO_IS_FirstRow,0,COLUMN())),0,ROUND(AD288-AD635,6))</f>
        <v>0</v>
      </c>
      <c r="AE292" s="218">
        <f>IF(ISBLANK(INDEX(MO_IS_FirstRow,0,COLUMN())),0,ROUND(AE288-AE635,6))</f>
        <v>0</v>
      </c>
      <c r="AF292" s="218">
        <f>IF(ISBLANK(INDEX(MO_IS_FirstRow,0,COLUMN())),0,ROUND(AF288-AF635,6))</f>
        <v>0</v>
      </c>
      <c r="AG292" s="218">
        <f>IF(ISBLANK(INDEX(MO_IS_FirstRow,0,COLUMN())),0,ROUND(AG288-AG635,6))</f>
        <v>0</v>
      </c>
      <c r="AH292" s="218">
        <f>IF(ISBLANK(INDEX(MO_IS_FirstRow,0,COLUMN())),0,ROUND(AH288-AH635,6))</f>
        <v>0</v>
      </c>
      <c r="AI292" s="218">
        <f>IF(ISBLANK(INDEX(MO_IS_FirstRow,0,COLUMN())),0,ROUND(AI288-AI635,6))</f>
        <v>0</v>
      </c>
      <c r="AJ292" s="218">
        <f>IF(ISBLANK(INDEX(MO_IS_FirstRow,0,COLUMN())),0,ROUND(AJ288-AJ635,6))</f>
        <v>0</v>
      </c>
      <c r="AK292" s="218">
        <f>IF(ISBLANK(INDEX(MO_IS_FirstRow,0,COLUMN())),0,ROUND(AK288-AK635,6))</f>
        <v>0</v>
      </c>
      <c r="AL292" s="218">
        <f>IF(ISBLANK(INDEX(MO_IS_FirstRow,0,COLUMN())),0,ROUND(AL288-AL635,6))</f>
        <v>0</v>
      </c>
      <c r="AM292" s="218">
        <f>IF(ISBLANK(INDEX(MO_IS_FirstRow,0,COLUMN())),0,ROUND(AM288-AM635,6))</f>
        <v>0</v>
      </c>
      <c r="AN292" s="218">
        <f>IF(ISBLANK(INDEX(MO_IS_FirstRow,0,COLUMN())),0,ROUND(AN288-AN635,6))</f>
        <v>0</v>
      </c>
      <c r="AO292" s="218">
        <f>IF(ISBLANK(INDEX(MO_IS_FirstRow,0,COLUMN())),0,ROUND(AO288-AO635,6))</f>
        <v>0</v>
      </c>
      <c r="AP292" s="218">
        <f>IF(ISBLANK(INDEX(MO_IS_FirstRow,0,COLUMN())),0,ROUND(AP288-AP635,6))</f>
        <v>0</v>
      </c>
      <c r="AQ292" s="218">
        <f>IF(ISBLANK(INDEX(MO_IS_FirstRow,0,COLUMN())),0,ROUND(AQ288-AQ635,6))</f>
        <v>0</v>
      </c>
      <c r="AR292" s="218">
        <f>IF(ISBLANK(INDEX(MO_IS_FirstRow,0,COLUMN())),0,ROUND(AR288-AR635,6))</f>
        <v>0</v>
      </c>
      <c r="AS292" s="218">
        <f>IF(ISBLANK(INDEX(MO_IS_FirstRow,0,COLUMN())),0,ROUND(AS288-AS635,6))</f>
        <v>0</v>
      </c>
      <c r="AT292" s="218">
        <f>IF(ISBLANK(INDEX(MO_IS_FirstRow,0,COLUMN())),0,ROUND(AT288-AT635,6))</f>
        <v>0</v>
      </c>
      <c r="AU292" s="218">
        <f>IF(ISBLANK(INDEX(MO_IS_FirstRow,0,COLUMN())),0,ROUND(AU288-AU635,6))</f>
        <v>0</v>
      </c>
      <c r="AV292" s="218">
        <f>IF(ISBLANK(INDEX(MO_IS_FirstRow,0,COLUMN())),0,ROUND(AV288-AV635,6))</f>
        <v>0</v>
      </c>
      <c r="AW292" s="218">
        <f>IF(ISBLANK(INDEX(MO_IS_FirstRow,0,COLUMN())),0,ROUND(AW288-AW635,6))</f>
        <v>0</v>
      </c>
      <c r="AX292" s="218">
        <f>IF(ISBLANK(INDEX(MO_IS_FirstRow,0,COLUMN())),0,ROUND(AX288-AX635,6))</f>
        <v>0</v>
      </c>
      <c r="AY292" s="218">
        <f>IF(ISBLANK(INDEX(MO_IS_FirstRow,0,COLUMN())),0,ROUND(AY288-AY635,6))</f>
        <v>0</v>
      </c>
      <c r="AZ292" s="218">
        <f>IF(ISBLANK(INDEX(MO_IS_FirstRow,0,COLUMN())),0,ROUND(AZ288-AZ635,6))</f>
        <v>0</v>
      </c>
      <c r="BA292" s="218">
        <f>IF(ISBLANK(INDEX(MO_IS_FirstRow,0,COLUMN())),0,ROUND(BA288-BA635,6))</f>
        <v>0</v>
      </c>
      <c r="BB292" s="218">
        <f>IF(ISBLANK(INDEX(MO_IS_FirstRow,0,COLUMN())),0,ROUND(BB288-BB635,6))</f>
        <v>0</v>
      </c>
      <c r="BC292" s="218">
        <f>IF(ISBLANK(INDEX(MO_IS_FirstRow,0,COLUMN())),0,ROUND(BC288-BC635,6))</f>
        <v>0</v>
      </c>
      <c r="BD292" s="218">
        <f>IF(ISBLANK(INDEX(MO_IS_FirstRow,0,COLUMN())),0,ROUND(BD288-BD635,6))</f>
        <v>0</v>
      </c>
      <c r="BE292" s="218">
        <f>IF(ISBLANK(INDEX(MO_IS_FirstRow,0,COLUMN())),0,ROUND(BE288-BE635,6))</f>
        <v>0</v>
      </c>
      <c r="BF292" s="218">
        <f>IF(ISBLANK(INDEX(MO_IS_FirstRow,0,COLUMN())),0,ROUND(BF288-BF635,6))</f>
        <v>0</v>
      </c>
      <c r="BG292" s="218">
        <f>IF(ISBLANK(INDEX(MO_IS_FirstRow,0,COLUMN())),0,ROUND(BG288-BG635,6))</f>
        <v>0</v>
      </c>
      <c r="BH292" s="218">
        <f>IF(ISBLANK(INDEX(MO_IS_FirstRow,0,COLUMN())),0,ROUND(BH288-BH635,6))</f>
        <v>0</v>
      </c>
      <c r="BI292" s="218">
        <f>IF(ISBLANK(INDEX(MO_IS_FirstRow,0,COLUMN())),0,ROUND(BI288-BI635,6))</f>
        <v>0</v>
      </c>
      <c r="BJ292" s="218">
        <f>IF(ISBLANK(INDEX(MO_IS_FirstRow,0,COLUMN())),0,ROUND(BJ288-BJ635,6))</f>
        <v>0</v>
      </c>
      <c r="BK292" s="218">
        <f>IF(ISBLANK(INDEX(MO_IS_FirstRow,0,COLUMN())),0,ROUND(BK288-BK635,6))</f>
        <v>0</v>
      </c>
      <c r="BL292" s="218">
        <f>IF(ISBLANK(INDEX(MO_IS_FirstRow,0,COLUMN())),0,ROUND(BL288-BL635,6))</f>
        <v>0</v>
      </c>
      <c r="BM292" s="218">
        <f>IF(ISBLANK(INDEX(MO_IS_FirstRow,0,COLUMN())),0,ROUND(BM288-BM635,6))</f>
        <v>0</v>
      </c>
      <c r="BN292" s="218">
        <f>IF(ISBLANK(INDEX(MO_IS_FirstRow,0,COLUMN())),0,ROUND(BN288-BN635,6))</f>
        <v>0</v>
      </c>
      <c r="BO292" s="218">
        <f>IF(ISBLANK(INDEX(MO_IS_FirstRow,0,COLUMN())),0,ROUND(BO288-BO635,6))</f>
        <v>0</v>
      </c>
      <c r="BP292" s="218">
        <f>IF(ISBLANK(INDEX(MO_IS_FirstRow,0,COLUMN())),0,ROUND(BP288-BP635,6))</f>
        <v>0</v>
      </c>
      <c r="BQ292" s="218">
        <f>IF(ISBLANK(INDEX(MO_IS_FirstRow,0,COLUMN())),0,ROUND(BQ288-BQ635,6))</f>
        <v>0</v>
      </c>
      <c r="BR292" s="218">
        <f>IF(ISBLANK(INDEX(MO_IS_FirstRow,0,COLUMN())),0,ROUND(BR288-BR635,6))</f>
        <v>0</v>
      </c>
      <c r="BS292" s="515">
        <f>IF(ISBLANK(INDEX(MO_IS_FirstRow,0,COLUMN())),0,ROUND(BS288-BS635,6))</f>
        <v>0</v>
      </c>
      <c r="BT292" s="218">
        <f>IF(ISBLANK(INDEX(MO_IS_FirstRow,0,COLUMN())),0,ROUND(BT288-BT635,6))</f>
        <v>-126.02424999999999</v>
      </c>
      <c r="BU292" s="218">
        <f>IF(ISBLANK(INDEX(MO_IS_FirstRow,0,COLUMN())),0,ROUND(BU288-BU635,6))</f>
        <v>-170.59325899999999</v>
      </c>
      <c r="BV292" s="218">
        <f>IF(ISBLANK(INDEX(MO_IS_FirstRow,0,COLUMN())),0,ROUND(BV288-BV635,6))</f>
        <v>-176.933527</v>
      </c>
      <c r="BW292" s="218">
        <f>IF(ISBLANK(INDEX(MO_IS_FirstRow,0,COLUMN())),0,ROUND(BW288-BW635,6))</f>
        <v>-173.961366</v>
      </c>
      <c r="BX292" s="218">
        <f>IF(ISBLANK(INDEX(MO_IS_FirstRow,0,COLUMN())),0,ROUND(BX288-BX635,6))</f>
        <v>-647.51240199999995</v>
      </c>
      <c r="BY292" s="218">
        <f>IF(ISBLANK(INDEX(MO_IS_FirstRow,0,COLUMN())),0,ROUND(BY288-BY635,6))</f>
        <v>-144.88675799999999</v>
      </c>
      <c r="BZ292" s="218">
        <f>IF(ISBLANK(INDEX(MO_IS_FirstRow,0,COLUMN())),0,ROUND(BZ288-BZ635,6))</f>
        <v>-172.250204</v>
      </c>
      <c r="CA292" s="218">
        <f>IF(ISBLANK(INDEX(MO_IS_FirstRow,0,COLUMN())),0,ROUND(CA288-CA635,6))</f>
        <v>-178.68827899999999</v>
      </c>
      <c r="CB292" s="218">
        <f>IF(ISBLANK(INDEX(MO_IS_FirstRow,0,COLUMN())),0,ROUND(CB288-CB635,6))</f>
        <v>-175.598467</v>
      </c>
      <c r="CC292" s="218">
        <f>IF(ISBLANK(INDEX(MO_IS_FirstRow,0,COLUMN())),0,ROUND(CC288-CC635,6))</f>
        <v>-671.42370800000003</v>
      </c>
      <c r="CD292" s="218">
        <f>IF(ISBLANK(INDEX(MO_IS_FirstRow,0,COLUMN())),0,ROUND(CD288-CD635,6))</f>
        <v>-679.06901400000004</v>
      </c>
      <c r="CE292" s="218">
        <f>IF(ISBLANK(INDEX(MO_IS_FirstRow,0,COLUMN())),0,ROUND(CE288-CE635,6))</f>
        <v>-686.83831099999998</v>
      </c>
      <c r="CF292" s="218">
        <f>IF(ISBLANK(INDEX(MO_IS_FirstRow,0,COLUMN())),0,ROUND(CF288-CF635,6))</f>
        <v>-694.73393199999998</v>
      </c>
      <c r="CG292" s="99"/>
    </row>
    <row r="293" spans="1:85" ht="14.45" customHeight="1" x14ac:dyDescent="0.25">
      <c r="A293" s="189"/>
      <c r="B293" s="180"/>
      <c r="C293" s="413"/>
      <c r="D293" s="413"/>
      <c r="E293" s="413"/>
      <c r="F293" s="413"/>
      <c r="G293" s="63"/>
      <c r="H293" s="63"/>
      <c r="I293" s="63"/>
      <c r="J293" s="63"/>
      <c r="K293" s="413"/>
      <c r="L293" s="63"/>
      <c r="M293" s="63"/>
      <c r="N293" s="63"/>
      <c r="O293" s="63"/>
      <c r="P293" s="413"/>
      <c r="Q293" s="63"/>
      <c r="R293" s="63"/>
      <c r="S293" s="63"/>
      <c r="T293" s="63"/>
      <c r="U293" s="413"/>
      <c r="V293" s="63"/>
      <c r="W293" s="63"/>
      <c r="X293" s="63"/>
      <c r="Y293" s="63"/>
      <c r="Z293" s="413"/>
      <c r="AA293" s="63"/>
      <c r="AB293" s="63"/>
      <c r="AC293" s="63"/>
      <c r="AD293" s="63"/>
      <c r="AE293" s="413"/>
      <c r="AF293" s="63"/>
      <c r="AG293" s="63"/>
      <c r="AH293" s="63"/>
      <c r="AI293" s="63"/>
      <c r="AJ293" s="413"/>
      <c r="AK293" s="63"/>
      <c r="AL293" s="63"/>
      <c r="AM293" s="63"/>
      <c r="AN293" s="63"/>
      <c r="AO293" s="413"/>
      <c r="AP293" s="63"/>
      <c r="AQ293" s="63"/>
      <c r="AR293" s="63"/>
      <c r="AS293" s="63"/>
      <c r="AT293" s="413"/>
      <c r="AU293" s="63"/>
      <c r="AV293" s="63"/>
      <c r="AW293" s="63"/>
      <c r="AX293" s="63"/>
      <c r="AY293" s="413"/>
      <c r="AZ293" s="63"/>
      <c r="BA293" s="63"/>
      <c r="BB293" s="63"/>
      <c r="BC293" s="63"/>
      <c r="BD293" s="413"/>
      <c r="BE293" s="63"/>
      <c r="BF293" s="63"/>
      <c r="BG293" s="63"/>
      <c r="BH293" s="63"/>
      <c r="BI293" s="413"/>
      <c r="BJ293" s="63"/>
      <c r="BK293" s="63"/>
      <c r="BL293" s="63"/>
      <c r="BM293" s="63"/>
      <c r="BN293" s="413"/>
      <c r="BO293" s="63"/>
      <c r="BP293" s="63"/>
      <c r="BQ293" s="63"/>
      <c r="BR293" s="63"/>
      <c r="BS293" s="425"/>
      <c r="BT293" s="63"/>
      <c r="BU293" s="63"/>
      <c r="BV293" s="63"/>
      <c r="BW293" s="63"/>
      <c r="BX293" s="413"/>
      <c r="BY293" s="63"/>
      <c r="BZ293" s="63"/>
      <c r="CA293" s="63"/>
      <c r="CB293" s="63"/>
      <c r="CC293" s="413"/>
      <c r="CD293" s="413"/>
      <c r="CE293" s="413"/>
      <c r="CF293" s="413"/>
      <c r="CG293" s="99"/>
    </row>
    <row r="294" spans="1:85" ht="14.45" customHeight="1" x14ac:dyDescent="0.25">
      <c r="A294" s="95" t="s">
        <v>409</v>
      </c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121" t="s">
        <v>121</v>
      </c>
      <c r="BF294" s="121" t="s">
        <v>121</v>
      </c>
      <c r="BG294" s="121" t="s">
        <v>121</v>
      </c>
      <c r="BH294" s="121" t="s">
        <v>121</v>
      </c>
      <c r="BI294" s="121" t="s">
        <v>121</v>
      </c>
      <c r="BJ294" s="95"/>
      <c r="BK294" s="121"/>
      <c r="BL294" s="121"/>
      <c r="BM294" s="121"/>
      <c r="BN294" s="121"/>
      <c r="BO294" s="95"/>
      <c r="BP294" s="121"/>
      <c r="BQ294" s="121"/>
      <c r="BR294" s="121"/>
      <c r="BS294" s="436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109"/>
    </row>
    <row r="295" spans="1:85" ht="14.45" hidden="1" customHeight="1" x14ac:dyDescent="0.25">
      <c r="A295" s="135" t="s">
        <v>410</v>
      </c>
      <c r="B295" s="211"/>
      <c r="C295" s="423"/>
      <c r="D295" s="423"/>
      <c r="E295" s="423"/>
      <c r="F295" s="423"/>
      <c r="G295" s="112"/>
      <c r="H295" s="112"/>
      <c r="I295" s="112"/>
      <c r="J295" s="112"/>
      <c r="K295" s="423"/>
      <c r="L295" s="112"/>
      <c r="M295" s="112"/>
      <c r="N295" s="112"/>
      <c r="O295" s="112"/>
      <c r="P295" s="423"/>
      <c r="Q295" s="109">
        <f t="shared" ref="Q295:AE295" si="202">Q274</f>
        <v>453.25299999999999</v>
      </c>
      <c r="R295" s="109">
        <f t="shared" si="202"/>
        <v>614.68299999999999</v>
      </c>
      <c r="S295" s="109">
        <f t="shared" si="202"/>
        <v>618.80600000000004</v>
      </c>
      <c r="T295" s="109">
        <f t="shared" si="202"/>
        <v>619.71600000000012</v>
      </c>
      <c r="U295" s="421">
        <f t="shared" si="202"/>
        <v>2306.4580000000001</v>
      </c>
      <c r="V295" s="109">
        <f t="shared" si="202"/>
        <v>625.45600000000002</v>
      </c>
      <c r="W295" s="109">
        <f t="shared" si="202"/>
        <v>840.38400000000001</v>
      </c>
      <c r="X295" s="109">
        <f t="shared" si="202"/>
        <v>849.02800000000002</v>
      </c>
      <c r="Y295" s="109">
        <f t="shared" si="202"/>
        <v>841.55999999999972</v>
      </c>
      <c r="Z295" s="421">
        <f t="shared" si="202"/>
        <v>3156.4279999999999</v>
      </c>
      <c r="AA295" s="109">
        <f t="shared" si="202"/>
        <v>865.702</v>
      </c>
      <c r="AB295" s="109">
        <f t="shared" si="202"/>
        <v>1169.2909999999999</v>
      </c>
      <c r="AC295" s="109">
        <f t="shared" si="202"/>
        <v>1162.5260000000001</v>
      </c>
      <c r="AD295" s="109">
        <f t="shared" si="202"/>
        <v>1126.1489999999994</v>
      </c>
      <c r="AE295" s="421">
        <f t="shared" si="202"/>
        <v>4323.6679999999997</v>
      </c>
      <c r="AF295" s="112"/>
      <c r="AG295" s="112"/>
      <c r="AH295" s="112"/>
      <c r="AI295" s="112"/>
      <c r="AJ295" s="423"/>
      <c r="AK295" s="112"/>
      <c r="AL295" s="112"/>
      <c r="AM295" s="112"/>
      <c r="AN295" s="112"/>
      <c r="AO295" s="423"/>
      <c r="AP295" s="112"/>
      <c r="AQ295" s="112"/>
      <c r="AR295" s="112"/>
      <c r="AS295" s="112"/>
      <c r="AT295" s="423"/>
      <c r="AU295" s="112"/>
      <c r="AV295" s="112"/>
      <c r="AW295" s="112"/>
      <c r="AX295" s="112"/>
      <c r="AY295" s="423"/>
      <c r="AZ295" s="112"/>
      <c r="BA295" s="112"/>
      <c r="BB295" s="112"/>
      <c r="BC295" s="112"/>
      <c r="BD295" s="423"/>
      <c r="BE295" s="112"/>
      <c r="BF295" s="112"/>
      <c r="BG295" s="112"/>
      <c r="BH295" s="112"/>
      <c r="BI295" s="423"/>
      <c r="BJ295" s="112"/>
      <c r="BK295" s="112"/>
      <c r="BL295" s="112"/>
      <c r="BM295" s="112"/>
      <c r="BN295" s="423"/>
      <c r="BO295" s="112"/>
      <c r="BP295" s="112"/>
      <c r="BQ295" s="112"/>
      <c r="BR295" s="112"/>
      <c r="BS295" s="424"/>
      <c r="BT295" s="112"/>
      <c r="BU295" s="112"/>
      <c r="BV295" s="112"/>
      <c r="BW295" s="112"/>
      <c r="BX295" s="423"/>
      <c r="BY295" s="112"/>
      <c r="BZ295" s="112"/>
      <c r="CA295" s="112"/>
      <c r="CB295" s="112"/>
      <c r="CC295" s="423"/>
      <c r="CD295" s="423"/>
      <c r="CE295" s="423"/>
      <c r="CF295" s="423"/>
      <c r="CG295" s="109"/>
    </row>
    <row r="296" spans="1:85" ht="14.45" hidden="1" customHeight="1" x14ac:dyDescent="0.25">
      <c r="A296" s="125" t="s">
        <v>411</v>
      </c>
      <c r="B296" s="180"/>
      <c r="C296" s="413"/>
      <c r="D296" s="413"/>
      <c r="E296" s="413"/>
      <c r="F296" s="413"/>
      <c r="G296" s="63"/>
      <c r="H296" s="63"/>
      <c r="I296" s="63"/>
      <c r="J296" s="63"/>
      <c r="K296" s="413"/>
      <c r="L296" s="63"/>
      <c r="M296" s="63"/>
      <c r="N296" s="63"/>
      <c r="O296" s="63"/>
      <c r="P296" s="413"/>
      <c r="Q296" s="63"/>
      <c r="R296" s="98">
        <v>-72.456999999999994</v>
      </c>
      <c r="S296" s="98">
        <v>-84.733999999999995</v>
      </c>
      <c r="T296" s="98">
        <v>-103.372</v>
      </c>
      <c r="U296" s="410">
        <v>-278.61200000000002</v>
      </c>
      <c r="V296" s="98">
        <v>-35.311</v>
      </c>
      <c r="W296" s="98">
        <v>-162.81899999999999</v>
      </c>
      <c r="X296" s="98">
        <v>-174.42</v>
      </c>
      <c r="Y296" s="98">
        <v>-219.78</v>
      </c>
      <c r="Z296" s="410">
        <v>-592.33000000000004</v>
      </c>
      <c r="AA296" s="98">
        <v>-264.90600000000001</v>
      </c>
      <c r="AB296" s="98">
        <v>-472.649</v>
      </c>
      <c r="AC296" s="98">
        <v>-478.27199999999999</v>
      </c>
      <c r="AD296" s="98">
        <v>-536.07000000000005</v>
      </c>
      <c r="AE296" s="410">
        <v>-1751.8969999999999</v>
      </c>
      <c r="AF296" s="63"/>
      <c r="AG296" s="63"/>
      <c r="AH296" s="63"/>
      <c r="AI296" s="63"/>
      <c r="AJ296" s="413"/>
      <c r="AK296" s="63"/>
      <c r="AL296" s="63"/>
      <c r="AM296" s="63"/>
      <c r="AN296" s="63"/>
      <c r="AO296" s="413"/>
      <c r="AP296" s="63"/>
      <c r="AQ296" s="63"/>
      <c r="AR296" s="63"/>
      <c r="AS296" s="63"/>
      <c r="AT296" s="413"/>
      <c r="AU296" s="63"/>
      <c r="AV296" s="63"/>
      <c r="AW296" s="63"/>
      <c r="AX296" s="63"/>
      <c r="AY296" s="413"/>
      <c r="AZ296" s="63"/>
      <c r="BA296" s="63"/>
      <c r="BB296" s="63"/>
      <c r="BC296" s="63"/>
      <c r="BD296" s="413"/>
      <c r="BE296" s="63"/>
      <c r="BF296" s="63"/>
      <c r="BG296" s="63"/>
      <c r="BH296" s="63"/>
      <c r="BI296" s="413"/>
      <c r="BJ296" s="63"/>
      <c r="BK296" s="63"/>
      <c r="BL296" s="63"/>
      <c r="BM296" s="63"/>
      <c r="BN296" s="413"/>
      <c r="BO296" s="63"/>
      <c r="BP296" s="63"/>
      <c r="BQ296" s="63"/>
      <c r="BR296" s="63"/>
      <c r="BS296" s="425"/>
      <c r="BT296" s="63"/>
      <c r="BU296" s="63"/>
      <c r="BV296" s="63"/>
      <c r="BW296" s="63"/>
      <c r="BX296" s="413"/>
      <c r="BY296" s="63"/>
      <c r="BZ296" s="63"/>
      <c r="CA296" s="63"/>
      <c r="CB296" s="63"/>
      <c r="CC296" s="413"/>
      <c r="CD296" s="413"/>
      <c r="CE296" s="413"/>
      <c r="CF296" s="413"/>
      <c r="CG296" s="99"/>
    </row>
    <row r="297" spans="1:85" ht="14.45" hidden="1" customHeight="1" x14ac:dyDescent="0.25">
      <c r="A297" s="125" t="s">
        <v>412</v>
      </c>
      <c r="B297" s="180"/>
      <c r="C297" s="413"/>
      <c r="D297" s="413"/>
      <c r="E297" s="413"/>
      <c r="F297" s="413"/>
      <c r="G297" s="63"/>
      <c r="H297" s="63"/>
      <c r="I297" s="63"/>
      <c r="J297" s="63"/>
      <c r="K297" s="413"/>
      <c r="L297" s="63"/>
      <c r="M297" s="63"/>
      <c r="N297" s="63"/>
      <c r="O297" s="63"/>
      <c r="P297" s="413"/>
      <c r="Q297" s="63"/>
      <c r="R297" s="98">
        <v>-12.775</v>
      </c>
      <c r="S297" s="98">
        <v>-5.0279999999999996</v>
      </c>
      <c r="T297" s="98">
        <v>1E-3</v>
      </c>
      <c r="U297" s="410">
        <v>-31.375</v>
      </c>
      <c r="V297" s="63"/>
      <c r="W297" s="63"/>
      <c r="X297" s="63"/>
      <c r="Y297" s="98">
        <v>-68.929000000000002</v>
      </c>
      <c r="Z297" s="410">
        <v>-68.929000000000002</v>
      </c>
      <c r="AA297" s="63"/>
      <c r="AB297" s="63"/>
      <c r="AC297" s="63"/>
      <c r="AD297" s="63"/>
      <c r="AE297" s="413"/>
      <c r="AF297" s="63"/>
      <c r="AG297" s="63"/>
      <c r="AH297" s="63"/>
      <c r="AI297" s="63"/>
      <c r="AJ297" s="413"/>
      <c r="AK297" s="63"/>
      <c r="AL297" s="63"/>
      <c r="AM297" s="63"/>
      <c r="AN297" s="63"/>
      <c r="AO297" s="413"/>
      <c r="AP297" s="63"/>
      <c r="AQ297" s="63"/>
      <c r="AR297" s="63"/>
      <c r="AS297" s="63"/>
      <c r="AT297" s="413"/>
      <c r="AU297" s="63"/>
      <c r="AV297" s="63"/>
      <c r="AW297" s="63"/>
      <c r="AX297" s="63"/>
      <c r="AY297" s="413"/>
      <c r="AZ297" s="63"/>
      <c r="BA297" s="63"/>
      <c r="BB297" s="63"/>
      <c r="BC297" s="63"/>
      <c r="BD297" s="413"/>
      <c r="BE297" s="63"/>
      <c r="BF297" s="63"/>
      <c r="BG297" s="63"/>
      <c r="BH297" s="63"/>
      <c r="BI297" s="413"/>
      <c r="BJ297" s="63"/>
      <c r="BK297" s="63"/>
      <c r="BL297" s="63"/>
      <c r="BM297" s="63"/>
      <c r="BN297" s="413"/>
      <c r="BO297" s="63"/>
      <c r="BP297" s="63"/>
      <c r="BQ297" s="63"/>
      <c r="BR297" s="63"/>
      <c r="BS297" s="425"/>
      <c r="BT297" s="63"/>
      <c r="BU297" s="63"/>
      <c r="BV297" s="63"/>
      <c r="BW297" s="63"/>
      <c r="BX297" s="413"/>
      <c r="BY297" s="63"/>
      <c r="BZ297" s="63"/>
      <c r="CA297" s="63"/>
      <c r="CB297" s="63"/>
      <c r="CC297" s="413"/>
      <c r="CD297" s="413"/>
      <c r="CE297" s="413"/>
      <c r="CF297" s="413"/>
      <c r="CG297" s="99"/>
    </row>
    <row r="298" spans="1:85" ht="14.45" hidden="1" customHeight="1" x14ac:dyDescent="0.25">
      <c r="A298" s="125" t="s">
        <v>413</v>
      </c>
      <c r="B298" s="180"/>
      <c r="C298" s="413"/>
      <c r="D298" s="413"/>
      <c r="E298" s="413"/>
      <c r="F298" s="413"/>
      <c r="G298" s="63"/>
      <c r="H298" s="63"/>
      <c r="I298" s="63"/>
      <c r="J298" s="63"/>
      <c r="K298" s="413"/>
      <c r="L298" s="63"/>
      <c r="M298" s="63"/>
      <c r="N298" s="63"/>
      <c r="O298" s="63"/>
      <c r="P298" s="413"/>
      <c r="Q298" s="63"/>
      <c r="R298" s="63"/>
      <c r="S298" s="63"/>
      <c r="T298" s="98">
        <v>-38.587000000000003</v>
      </c>
      <c r="U298" s="410">
        <v>-38.587000000000003</v>
      </c>
      <c r="V298" s="63"/>
      <c r="W298" s="63"/>
      <c r="X298" s="63"/>
      <c r="Y298" s="63"/>
      <c r="Z298" s="413"/>
      <c r="AA298" s="63"/>
      <c r="AB298" s="63"/>
      <c r="AC298" s="63"/>
      <c r="AD298" s="63"/>
      <c r="AE298" s="413"/>
      <c r="AF298" s="63"/>
      <c r="AG298" s="63"/>
      <c r="AH298" s="63"/>
      <c r="AI298" s="63"/>
      <c r="AJ298" s="413"/>
      <c r="AK298" s="63"/>
      <c r="AL298" s="63"/>
      <c r="AM298" s="63"/>
      <c r="AN298" s="63"/>
      <c r="AO298" s="413"/>
      <c r="AP298" s="63"/>
      <c r="AQ298" s="63"/>
      <c r="AR298" s="63"/>
      <c r="AS298" s="63"/>
      <c r="AT298" s="413"/>
      <c r="AU298" s="63"/>
      <c r="AV298" s="63"/>
      <c r="AW298" s="63"/>
      <c r="AX298" s="63"/>
      <c r="AY298" s="413"/>
      <c r="AZ298" s="63"/>
      <c r="BA298" s="63"/>
      <c r="BB298" s="63"/>
      <c r="BC298" s="63"/>
      <c r="BD298" s="413"/>
      <c r="BE298" s="63"/>
      <c r="BF298" s="63"/>
      <c r="BG298" s="63"/>
      <c r="BH298" s="63"/>
      <c r="BI298" s="413"/>
      <c r="BJ298" s="63"/>
      <c r="BK298" s="63"/>
      <c r="BL298" s="63"/>
      <c r="BM298" s="63"/>
      <c r="BN298" s="413"/>
      <c r="BO298" s="63"/>
      <c r="BP298" s="63"/>
      <c r="BQ298" s="63"/>
      <c r="BR298" s="63"/>
      <c r="BS298" s="425"/>
      <c r="BT298" s="63"/>
      <c r="BU298" s="63"/>
      <c r="BV298" s="63"/>
      <c r="BW298" s="63"/>
      <c r="BX298" s="413"/>
      <c r="BY298" s="63"/>
      <c r="BZ298" s="63"/>
      <c r="CA298" s="63"/>
      <c r="CB298" s="63"/>
      <c r="CC298" s="413"/>
      <c r="CD298" s="413"/>
      <c r="CE298" s="413"/>
      <c r="CF298" s="413"/>
      <c r="CG298" s="99"/>
    </row>
    <row r="299" spans="1:85" ht="14.45" hidden="1" customHeight="1" x14ac:dyDescent="0.25">
      <c r="A299" s="110" t="s">
        <v>414</v>
      </c>
      <c r="B299" s="212"/>
      <c r="C299" s="418"/>
      <c r="D299" s="418"/>
      <c r="E299" s="418"/>
      <c r="F299" s="418"/>
      <c r="G299" s="159"/>
      <c r="H299" s="159"/>
      <c r="I299" s="159"/>
      <c r="J299" s="159"/>
      <c r="K299" s="418"/>
      <c r="L299" s="159"/>
      <c r="M299" s="159"/>
      <c r="N299" s="159"/>
      <c r="O299" s="159"/>
      <c r="P299" s="418"/>
      <c r="Q299" s="159"/>
      <c r="R299" s="106">
        <f t="shared" ref="R299:AE299" si="203">SUM(R295:R298)</f>
        <v>529.45100000000002</v>
      </c>
      <c r="S299" s="106">
        <f t="shared" si="203"/>
        <v>529.04399999999998</v>
      </c>
      <c r="T299" s="106">
        <f t="shared" si="203"/>
        <v>477.75800000000015</v>
      </c>
      <c r="U299" s="416">
        <f t="shared" si="203"/>
        <v>1957.884</v>
      </c>
      <c r="V299" s="106">
        <f t="shared" si="203"/>
        <v>590.14499999999998</v>
      </c>
      <c r="W299" s="106">
        <f t="shared" si="203"/>
        <v>677.56500000000005</v>
      </c>
      <c r="X299" s="106">
        <f t="shared" si="203"/>
        <v>674.60800000000006</v>
      </c>
      <c r="Y299" s="106">
        <f t="shared" si="203"/>
        <v>552.85099999999977</v>
      </c>
      <c r="Z299" s="416">
        <f t="shared" si="203"/>
        <v>2495.1689999999999</v>
      </c>
      <c r="AA299" s="106">
        <f t="shared" si="203"/>
        <v>600.79600000000005</v>
      </c>
      <c r="AB299" s="106">
        <f t="shared" si="203"/>
        <v>696.64199999999994</v>
      </c>
      <c r="AC299" s="106">
        <f t="shared" si="203"/>
        <v>684.25400000000013</v>
      </c>
      <c r="AD299" s="106">
        <f t="shared" si="203"/>
        <v>590.07899999999938</v>
      </c>
      <c r="AE299" s="416">
        <f t="shared" si="203"/>
        <v>2571.7709999999997</v>
      </c>
      <c r="AF299" s="159"/>
      <c r="AG299" s="159"/>
      <c r="AH299" s="159"/>
      <c r="AI299" s="159"/>
      <c r="AJ299" s="418"/>
      <c r="AK299" s="159"/>
      <c r="AL299" s="159"/>
      <c r="AM299" s="159"/>
      <c r="AN299" s="159"/>
      <c r="AO299" s="418"/>
      <c r="AP299" s="159"/>
      <c r="AQ299" s="159"/>
      <c r="AR299" s="159"/>
      <c r="AS299" s="159"/>
      <c r="AT299" s="418"/>
      <c r="AU299" s="159"/>
      <c r="AV299" s="159"/>
      <c r="AW299" s="159"/>
      <c r="AX299" s="159"/>
      <c r="AY299" s="418"/>
      <c r="AZ299" s="159"/>
      <c r="BA299" s="159"/>
      <c r="BB299" s="159"/>
      <c r="BC299" s="159"/>
      <c r="BD299" s="418"/>
      <c r="BE299" s="159"/>
      <c r="BF299" s="159"/>
      <c r="BG299" s="159"/>
      <c r="BH299" s="159"/>
      <c r="BI299" s="418"/>
      <c r="BJ299" s="159"/>
      <c r="BK299" s="159"/>
      <c r="BL299" s="159"/>
      <c r="BM299" s="159"/>
      <c r="BN299" s="418"/>
      <c r="BO299" s="159"/>
      <c r="BP299" s="159"/>
      <c r="BQ299" s="159"/>
      <c r="BR299" s="159"/>
      <c r="BS299" s="469"/>
      <c r="BT299" s="159"/>
      <c r="BU299" s="159"/>
      <c r="BV299" s="159"/>
      <c r="BW299" s="159"/>
      <c r="BX299" s="418"/>
      <c r="BY299" s="159"/>
      <c r="BZ299" s="159"/>
      <c r="CA299" s="159"/>
      <c r="CB299" s="159"/>
      <c r="CC299" s="418"/>
      <c r="CD299" s="418"/>
      <c r="CE299" s="418"/>
      <c r="CF299" s="418"/>
      <c r="CG299" s="109"/>
    </row>
    <row r="300" spans="1:85" ht="14.45" hidden="1" customHeight="1" x14ac:dyDescent="0.25">
      <c r="A300" s="111"/>
      <c r="B300" s="211"/>
      <c r="C300" s="423"/>
      <c r="D300" s="423"/>
      <c r="E300" s="423"/>
      <c r="F300" s="423"/>
      <c r="G300" s="112"/>
      <c r="H300" s="112"/>
      <c r="I300" s="112"/>
      <c r="J300" s="112"/>
      <c r="K300" s="423"/>
      <c r="L300" s="112"/>
      <c r="M300" s="112"/>
      <c r="N300" s="112"/>
      <c r="O300" s="112"/>
      <c r="P300" s="423"/>
      <c r="Q300" s="112"/>
      <c r="R300" s="112"/>
      <c r="S300" s="112"/>
      <c r="T300" s="112"/>
      <c r="U300" s="423"/>
      <c r="V300" s="112"/>
      <c r="W300" s="112"/>
      <c r="X300" s="112"/>
      <c r="Y300" s="112"/>
      <c r="Z300" s="423"/>
      <c r="AA300" s="112"/>
      <c r="AB300" s="112"/>
      <c r="AC300" s="112"/>
      <c r="AD300" s="112"/>
      <c r="AE300" s="423"/>
      <c r="AF300" s="112"/>
      <c r="AG300" s="112"/>
      <c r="AH300" s="112"/>
      <c r="AI300" s="112"/>
      <c r="AJ300" s="423"/>
      <c r="AK300" s="112"/>
      <c r="AL300" s="112"/>
      <c r="AM300" s="112"/>
      <c r="AN300" s="112"/>
      <c r="AO300" s="423"/>
      <c r="AP300" s="112"/>
      <c r="AQ300" s="112"/>
      <c r="AR300" s="112"/>
      <c r="AS300" s="112"/>
      <c r="AT300" s="423"/>
      <c r="AU300" s="112"/>
      <c r="AV300" s="112"/>
      <c r="AW300" s="112"/>
      <c r="AX300" s="112"/>
      <c r="AY300" s="423"/>
      <c r="AZ300" s="112"/>
      <c r="BA300" s="112"/>
      <c r="BB300" s="112"/>
      <c r="BC300" s="112"/>
      <c r="BD300" s="423"/>
      <c r="BE300" s="112"/>
      <c r="BF300" s="112"/>
      <c r="BG300" s="112"/>
      <c r="BH300" s="112"/>
      <c r="BI300" s="423"/>
      <c r="BJ300" s="112"/>
      <c r="BK300" s="112"/>
      <c r="BL300" s="112"/>
      <c r="BM300" s="112"/>
      <c r="BN300" s="423"/>
      <c r="BO300" s="112"/>
      <c r="BP300" s="112"/>
      <c r="BQ300" s="112"/>
      <c r="BR300" s="112"/>
      <c r="BS300" s="424"/>
      <c r="BT300" s="112"/>
      <c r="BU300" s="112"/>
      <c r="BV300" s="112"/>
      <c r="BW300" s="112"/>
      <c r="BX300" s="423"/>
      <c r="BY300" s="112"/>
      <c r="BZ300" s="112"/>
      <c r="CA300" s="112"/>
      <c r="CB300" s="112"/>
      <c r="CC300" s="423"/>
      <c r="CD300" s="423"/>
      <c r="CE300" s="423"/>
      <c r="CF300" s="423"/>
      <c r="CG300" s="109"/>
    </row>
    <row r="301" spans="1:85" ht="14.45" hidden="1" customHeight="1" x14ac:dyDescent="0.25">
      <c r="A301" s="135" t="s">
        <v>415</v>
      </c>
      <c r="B301" s="211"/>
      <c r="C301" s="423"/>
      <c r="D301" s="423"/>
      <c r="E301" s="423"/>
      <c r="F301" s="423"/>
      <c r="G301" s="112"/>
      <c r="H301" s="112"/>
      <c r="I301" s="112"/>
      <c r="J301" s="112"/>
      <c r="K301" s="423"/>
      <c r="L301" s="112"/>
      <c r="M301" s="112"/>
      <c r="N301" s="112"/>
      <c r="O301" s="112"/>
      <c r="P301" s="423"/>
      <c r="Q301" s="112"/>
      <c r="R301" s="112"/>
      <c r="S301" s="112"/>
      <c r="T301" s="112"/>
      <c r="U301" s="423"/>
      <c r="V301" s="112"/>
      <c r="W301" s="112"/>
      <c r="X301" s="112"/>
      <c r="Y301" s="112"/>
      <c r="Z301" s="423"/>
      <c r="AA301" s="112"/>
      <c r="AB301" s="112"/>
      <c r="AC301" s="112"/>
      <c r="AD301" s="112"/>
      <c r="AE301" s="423"/>
      <c r="AF301" s="109">
        <f t="shared" ref="AF301:BS301" si="204">AF276</f>
        <v>357.64100000000008</v>
      </c>
      <c r="AG301" s="109">
        <f t="shared" si="204"/>
        <v>404.70799999999997</v>
      </c>
      <c r="AH301" s="109">
        <f t="shared" si="204"/>
        <v>412.71599999999989</v>
      </c>
      <c r="AI301" s="109">
        <f t="shared" si="204"/>
        <v>380.64699999999948</v>
      </c>
      <c r="AJ301" s="421">
        <f t="shared" si="204"/>
        <v>1555.7119999999995</v>
      </c>
      <c r="AK301" s="109">
        <f t="shared" si="204"/>
        <v>389.30799999999999</v>
      </c>
      <c r="AL301" s="109">
        <f t="shared" si="204"/>
        <v>435.77900000000011</v>
      </c>
      <c r="AM301" s="109">
        <f t="shared" si="204"/>
        <v>432.22400000000005</v>
      </c>
      <c r="AN301" s="109">
        <f t="shared" si="204"/>
        <v>413.1909999999998</v>
      </c>
      <c r="AO301" s="421">
        <f t="shared" si="204"/>
        <v>1670.502</v>
      </c>
      <c r="AP301" s="109">
        <f t="shared" si="204"/>
        <v>405.29499999999996</v>
      </c>
      <c r="AQ301" s="109">
        <f t="shared" si="204"/>
        <v>429.30099999999993</v>
      </c>
      <c r="AR301" s="109">
        <f t="shared" si="204"/>
        <v>472.43799999999987</v>
      </c>
      <c r="AS301" s="109">
        <f t="shared" si="204"/>
        <v>461.875</v>
      </c>
      <c r="AT301" s="421">
        <f t="shared" si="204"/>
        <v>1768.9090000000001</v>
      </c>
      <c r="AU301" s="109">
        <f t="shared" si="204"/>
        <v>448.70299999999997</v>
      </c>
      <c r="AV301" s="109">
        <f t="shared" si="204"/>
        <v>494.94000000000005</v>
      </c>
      <c r="AW301" s="109">
        <f t="shared" si="204"/>
        <v>517.71199999999999</v>
      </c>
      <c r="AX301" s="109">
        <f t="shared" si="204"/>
        <v>492.83199999999988</v>
      </c>
      <c r="AY301" s="421">
        <f t="shared" si="204"/>
        <v>1954.1869999999999</v>
      </c>
      <c r="AZ301" s="109">
        <f t="shared" si="204"/>
        <v>507.57599999999991</v>
      </c>
      <c r="BA301" s="109">
        <f t="shared" si="204"/>
        <v>550.65899999999988</v>
      </c>
      <c r="BB301" s="109">
        <f t="shared" si="204"/>
        <v>621.10699999999997</v>
      </c>
      <c r="BC301" s="109">
        <f t="shared" si="204"/>
        <v>598.61200000000008</v>
      </c>
      <c r="BD301" s="421">
        <f t="shared" si="204"/>
        <v>2277.9540000000002</v>
      </c>
      <c r="BE301" s="109">
        <f t="shared" si="204"/>
        <v>624.10600000000011</v>
      </c>
      <c r="BF301" s="109">
        <f t="shared" si="204"/>
        <v>671.577</v>
      </c>
      <c r="BG301" s="109">
        <f t="shared" si="204"/>
        <v>661.55000000000018</v>
      </c>
      <c r="BH301" s="109">
        <f t="shared" si="204"/>
        <v>641.47800000000007</v>
      </c>
      <c r="BI301" s="421">
        <f t="shared" si="204"/>
        <v>2598.7110000000002</v>
      </c>
      <c r="BJ301" s="109">
        <f t="shared" si="204"/>
        <v>640.55899999999997</v>
      </c>
      <c r="BK301" s="109">
        <f t="shared" si="204"/>
        <v>716.71</v>
      </c>
      <c r="BL301" s="109">
        <f t="shared" si="204"/>
        <v>698.03600000000006</v>
      </c>
      <c r="BM301" s="109">
        <f t="shared" si="204"/>
        <v>697.87400000000071</v>
      </c>
      <c r="BN301" s="421">
        <f t="shared" si="204"/>
        <v>2753.1790000000001</v>
      </c>
      <c r="BO301" s="109">
        <f t="shared" si="204"/>
        <v>627.10400000000004</v>
      </c>
      <c r="BP301" s="109">
        <f t="shared" si="204"/>
        <v>742.49600000000009</v>
      </c>
      <c r="BQ301" s="109">
        <f t="shared" si="204"/>
        <v>748.51600000000008</v>
      </c>
      <c r="BR301" s="109">
        <f t="shared" si="204"/>
        <v>754.24599999999964</v>
      </c>
      <c r="BS301" s="422">
        <f t="shared" si="204"/>
        <v>2872.3620000000001</v>
      </c>
      <c r="BT301" s="112"/>
      <c r="BU301" s="112"/>
      <c r="BV301" s="112"/>
      <c r="BW301" s="112"/>
      <c r="BX301" s="423"/>
      <c r="BY301" s="112"/>
      <c r="BZ301" s="112"/>
      <c r="CA301" s="112"/>
      <c r="CB301" s="112"/>
      <c r="CC301" s="423"/>
      <c r="CD301" s="423"/>
      <c r="CE301" s="423"/>
      <c r="CF301" s="423"/>
      <c r="CG301" s="109"/>
    </row>
    <row r="302" spans="1:85" ht="14.45" hidden="1" customHeight="1" x14ac:dyDescent="0.25">
      <c r="A302" s="125" t="s">
        <v>416</v>
      </c>
      <c r="B302" s="180"/>
      <c r="C302" s="413"/>
      <c r="D302" s="413"/>
      <c r="E302" s="413"/>
      <c r="F302" s="413"/>
      <c r="G302" s="63"/>
      <c r="H302" s="63"/>
      <c r="I302" s="63"/>
      <c r="J302" s="63"/>
      <c r="K302" s="413"/>
      <c r="L302" s="63"/>
      <c r="M302" s="63"/>
      <c r="N302" s="63"/>
      <c r="O302" s="63"/>
      <c r="P302" s="413"/>
      <c r="Q302" s="63"/>
      <c r="R302" s="63"/>
      <c r="S302" s="63"/>
      <c r="T302" s="63"/>
      <c r="U302" s="413"/>
      <c r="V302" s="63"/>
      <c r="W302" s="63"/>
      <c r="X302" s="63"/>
      <c r="Y302" s="63"/>
      <c r="Z302" s="413"/>
      <c r="AA302" s="63"/>
      <c r="AB302" s="63"/>
      <c r="AC302" s="63"/>
      <c r="AD302" s="63"/>
      <c r="AE302" s="413"/>
      <c r="AF302" s="98">
        <v>0.19900000000000001</v>
      </c>
      <c r="AG302" s="98">
        <v>2.8000000000000001E-2</v>
      </c>
      <c r="AH302" s="98">
        <v>0.112</v>
      </c>
      <c r="AI302" s="98">
        <v>0.83499999999999996</v>
      </c>
      <c r="AJ302" s="410">
        <v>1.1739999999999999</v>
      </c>
      <c r="AK302" s="63"/>
      <c r="AL302" s="63"/>
      <c r="AM302" s="63"/>
      <c r="AN302" s="63"/>
      <c r="AO302" s="413"/>
      <c r="AP302" s="63"/>
      <c r="AQ302" s="63"/>
      <c r="AR302" s="63"/>
      <c r="AS302" s="63"/>
      <c r="AT302" s="413"/>
      <c r="AU302" s="63"/>
      <c r="AV302" s="63"/>
      <c r="AW302" s="63"/>
      <c r="AX302" s="63"/>
      <c r="AY302" s="413"/>
      <c r="AZ302" s="63"/>
      <c r="BA302" s="63"/>
      <c r="BB302" s="63"/>
      <c r="BC302" s="63"/>
      <c r="BD302" s="413"/>
      <c r="BE302" s="63"/>
      <c r="BF302" s="63"/>
      <c r="BG302" s="63"/>
      <c r="BH302" s="63"/>
      <c r="BI302" s="413"/>
      <c r="BJ302" s="63"/>
      <c r="BK302" s="63"/>
      <c r="BL302" s="63"/>
      <c r="BM302" s="63"/>
      <c r="BN302" s="413"/>
      <c r="BO302" s="63"/>
      <c r="BP302" s="63"/>
      <c r="BQ302" s="63"/>
      <c r="BR302" s="63"/>
      <c r="BS302" s="425"/>
      <c r="BT302" s="63"/>
      <c r="BU302" s="63"/>
      <c r="BV302" s="63"/>
      <c r="BW302" s="63"/>
      <c r="BX302" s="413"/>
      <c r="BY302" s="63"/>
      <c r="BZ302" s="63"/>
      <c r="CA302" s="63"/>
      <c r="CB302" s="63"/>
      <c r="CC302" s="413"/>
      <c r="CD302" s="413"/>
      <c r="CE302" s="413"/>
      <c r="CF302" s="413"/>
      <c r="CG302" s="99"/>
    </row>
    <row r="303" spans="1:85" ht="14.45" hidden="1" customHeight="1" x14ac:dyDescent="0.25">
      <c r="A303" s="125" t="s">
        <v>417</v>
      </c>
      <c r="B303" s="180"/>
      <c r="C303" s="413"/>
      <c r="D303" s="413"/>
      <c r="E303" s="413"/>
      <c r="F303" s="413"/>
      <c r="G303" s="63"/>
      <c r="H303" s="63"/>
      <c r="I303" s="63"/>
      <c r="J303" s="63"/>
      <c r="K303" s="413"/>
      <c r="L303" s="63"/>
      <c r="M303" s="63"/>
      <c r="N303" s="63"/>
      <c r="O303" s="63"/>
      <c r="P303" s="413"/>
      <c r="Q303" s="63"/>
      <c r="R303" s="63"/>
      <c r="S303" s="63"/>
      <c r="T303" s="63"/>
      <c r="U303" s="413"/>
      <c r="V303" s="63"/>
      <c r="W303" s="63"/>
      <c r="X303" s="63"/>
      <c r="Y303" s="63"/>
      <c r="Z303" s="413"/>
      <c r="AA303" s="63"/>
      <c r="AB303" s="63"/>
      <c r="AC303" s="63"/>
      <c r="AD303" s="63"/>
      <c r="AE303" s="413"/>
      <c r="AF303" s="63"/>
      <c r="AG303" s="63"/>
      <c r="AH303" s="63"/>
      <c r="AI303" s="63"/>
      <c r="AJ303" s="413"/>
      <c r="AK303" s="63"/>
      <c r="AL303" s="63"/>
      <c r="AM303" s="63"/>
      <c r="AN303" s="63"/>
      <c r="AO303" s="413"/>
      <c r="AP303" s="63"/>
      <c r="AQ303" s="63"/>
      <c r="AR303" s="63"/>
      <c r="AS303" s="98">
        <v>-21.707000000000001</v>
      </c>
      <c r="AT303" s="410">
        <v>-21.707000000000001</v>
      </c>
      <c r="AU303" s="63"/>
      <c r="AV303" s="63"/>
      <c r="AW303" s="63"/>
      <c r="AX303" s="63"/>
      <c r="AY303" s="413"/>
      <c r="AZ303" s="63"/>
      <c r="BA303" s="63"/>
      <c r="BB303" s="63"/>
      <c r="BC303" s="63"/>
      <c r="BD303" s="413"/>
      <c r="BE303" s="63"/>
      <c r="BF303" s="63"/>
      <c r="BG303" s="63"/>
      <c r="BH303" s="63"/>
      <c r="BI303" s="413"/>
      <c r="BJ303" s="63"/>
      <c r="BK303" s="63"/>
      <c r="BL303" s="63"/>
      <c r="BM303" s="63"/>
      <c r="BN303" s="413"/>
      <c r="BO303" s="63"/>
      <c r="BP303" s="63"/>
      <c r="BQ303" s="63"/>
      <c r="BR303" s="63"/>
      <c r="BS303" s="425"/>
      <c r="BT303" s="63"/>
      <c r="BU303" s="63"/>
      <c r="BV303" s="63"/>
      <c r="BW303" s="63"/>
      <c r="BX303" s="413"/>
      <c r="BY303" s="63"/>
      <c r="BZ303" s="63"/>
      <c r="CA303" s="63"/>
      <c r="CB303" s="63"/>
      <c r="CC303" s="413"/>
      <c r="CD303" s="413"/>
      <c r="CE303" s="413"/>
      <c r="CF303" s="413"/>
      <c r="CG303" s="99"/>
    </row>
    <row r="304" spans="1:85" ht="14.45" hidden="1" customHeight="1" x14ac:dyDescent="0.25">
      <c r="A304" s="125" t="s">
        <v>418</v>
      </c>
      <c r="B304" s="180"/>
      <c r="C304" s="413"/>
      <c r="D304" s="413"/>
      <c r="E304" s="413"/>
      <c r="F304" s="413"/>
      <c r="G304" s="63"/>
      <c r="H304" s="63"/>
      <c r="I304" s="63"/>
      <c r="J304" s="63"/>
      <c r="K304" s="413"/>
      <c r="L304" s="63"/>
      <c r="M304" s="63"/>
      <c r="N304" s="63"/>
      <c r="O304" s="63"/>
      <c r="P304" s="413"/>
      <c r="Q304" s="63"/>
      <c r="R304" s="63"/>
      <c r="S304" s="63"/>
      <c r="T304" s="63"/>
      <c r="U304" s="413"/>
      <c r="V304" s="63"/>
      <c r="W304" s="63"/>
      <c r="X304" s="63"/>
      <c r="Y304" s="63"/>
      <c r="Z304" s="413"/>
      <c r="AA304" s="63"/>
      <c r="AB304" s="63"/>
      <c r="AC304" s="63"/>
      <c r="AD304" s="63"/>
      <c r="AE304" s="413"/>
      <c r="AF304" s="98">
        <v>2.7650000000000001</v>
      </c>
      <c r="AG304" s="98">
        <v>-0.249</v>
      </c>
      <c r="AH304" s="98">
        <v>0.26</v>
      </c>
      <c r="AI304" s="98">
        <v>7.6</v>
      </c>
      <c r="AJ304" s="410">
        <v>10.375999999999999</v>
      </c>
      <c r="AK304" s="98">
        <v>-3.9049999999999998</v>
      </c>
      <c r="AL304" s="98">
        <v>4.8739999999999997</v>
      </c>
      <c r="AM304" s="98">
        <v>-0.48699999999999999</v>
      </c>
      <c r="AN304" s="98">
        <v>-7.0839999999999996</v>
      </c>
      <c r="AO304" s="410">
        <v>-6.6020000000000003</v>
      </c>
      <c r="AP304" s="98">
        <v>1.536</v>
      </c>
      <c r="AQ304" s="98">
        <v>-1.266</v>
      </c>
      <c r="AR304" s="98">
        <v>-1.194</v>
      </c>
      <c r="AS304" s="98">
        <v>-1.0720000000000001</v>
      </c>
      <c r="AT304" s="410">
        <v>-1.996</v>
      </c>
      <c r="AU304" s="98">
        <v>-0.28799999999999998</v>
      </c>
      <c r="AV304" s="98">
        <v>-2.1280000000000001</v>
      </c>
      <c r="AW304" s="98">
        <v>-3.794</v>
      </c>
      <c r="AX304" s="98">
        <v>2.7410000000000001</v>
      </c>
      <c r="AY304" s="410">
        <v>-3.4689999999999999</v>
      </c>
      <c r="AZ304" s="98">
        <v>-7.4939999999999998</v>
      </c>
      <c r="BA304" s="98">
        <v>13.663</v>
      </c>
      <c r="BB304" s="98">
        <v>-1.1000000000000001</v>
      </c>
      <c r="BC304" s="98">
        <v>-1.736</v>
      </c>
      <c r="BD304" s="410">
        <v>3.3330000000000002</v>
      </c>
      <c r="BE304" s="98">
        <v>0.39500000000000002</v>
      </c>
      <c r="BF304" s="98">
        <v>1.097</v>
      </c>
      <c r="BG304" s="98">
        <v>2.5000000000000001E-2</v>
      </c>
      <c r="BH304" s="98">
        <v>-2.7370000000000001</v>
      </c>
      <c r="BI304" s="410">
        <v>-1.22</v>
      </c>
      <c r="BJ304" s="98">
        <v>1.1559999999999999</v>
      </c>
      <c r="BK304" s="98">
        <v>-1.075</v>
      </c>
      <c r="BL304" s="98">
        <v>-1.4259999999999999</v>
      </c>
      <c r="BM304" s="98">
        <v>2.073</v>
      </c>
      <c r="BN304" s="410">
        <v>0.72799999999999998</v>
      </c>
      <c r="BO304" s="98">
        <v>0.79900000000000004</v>
      </c>
      <c r="BP304" s="98">
        <v>-1.32</v>
      </c>
      <c r="BQ304" s="98">
        <v>-0.378</v>
      </c>
      <c r="BR304" s="98">
        <v>-1.284</v>
      </c>
      <c r="BS304" s="419">
        <v>-2.1829999999999998</v>
      </c>
      <c r="BT304" s="63"/>
      <c r="BU304" s="63"/>
      <c r="BV304" s="63"/>
      <c r="BW304" s="63"/>
      <c r="BX304" s="413"/>
      <c r="BY304" s="63"/>
      <c r="BZ304" s="63"/>
      <c r="CA304" s="63"/>
      <c r="CB304" s="63"/>
      <c r="CC304" s="413"/>
      <c r="CD304" s="413"/>
      <c r="CE304" s="413"/>
      <c r="CF304" s="413"/>
      <c r="CG304" s="99"/>
    </row>
    <row r="305" spans="1:85" ht="14.45" hidden="1" customHeight="1" x14ac:dyDescent="0.25">
      <c r="A305" s="130" t="s">
        <v>419</v>
      </c>
      <c r="B305" s="190"/>
      <c r="C305" s="415"/>
      <c r="D305" s="415"/>
      <c r="E305" s="415"/>
      <c r="F305" s="415"/>
      <c r="G305" s="158"/>
      <c r="H305" s="158"/>
      <c r="I305" s="158"/>
      <c r="J305" s="158"/>
      <c r="K305" s="415"/>
      <c r="L305" s="158"/>
      <c r="M305" s="158"/>
      <c r="N305" s="158"/>
      <c r="O305" s="158"/>
      <c r="P305" s="415"/>
      <c r="Q305" s="158"/>
      <c r="R305" s="158"/>
      <c r="S305" s="158"/>
      <c r="T305" s="158"/>
      <c r="U305" s="415"/>
      <c r="V305" s="158"/>
      <c r="W305" s="158"/>
      <c r="X305" s="158"/>
      <c r="Y305" s="158"/>
      <c r="Z305" s="415"/>
      <c r="AA305" s="158"/>
      <c r="AB305" s="158"/>
      <c r="AC305" s="158"/>
      <c r="AD305" s="158"/>
      <c r="AE305" s="415"/>
      <c r="AF305" s="158"/>
      <c r="AG305" s="158"/>
      <c r="AH305" s="158"/>
      <c r="AI305" s="158"/>
      <c r="AJ305" s="415"/>
      <c r="AK305" s="158"/>
      <c r="AL305" s="102">
        <v>1.294</v>
      </c>
      <c r="AM305" s="102">
        <v>3.581</v>
      </c>
      <c r="AN305" s="102">
        <v>0.75</v>
      </c>
      <c r="AO305" s="414">
        <v>5.625</v>
      </c>
      <c r="AP305" s="102">
        <v>0.64800000000000002</v>
      </c>
      <c r="AQ305" s="102">
        <v>0.67100000000000004</v>
      </c>
      <c r="AR305" s="102">
        <v>3.1219999999999999</v>
      </c>
      <c r="AS305" s="102">
        <v>0.54300000000000004</v>
      </c>
      <c r="AT305" s="414">
        <v>4.984</v>
      </c>
      <c r="AU305" s="102">
        <v>0.27600000000000002</v>
      </c>
      <c r="AV305" s="102">
        <v>1.8280000000000001</v>
      </c>
      <c r="AW305" s="102">
        <v>4.3600000000000003</v>
      </c>
      <c r="AX305" s="102">
        <v>1.0780000000000001</v>
      </c>
      <c r="AY305" s="414">
        <v>7.5419999999999998</v>
      </c>
      <c r="AZ305" s="102">
        <v>5.0000000000000001E-3</v>
      </c>
      <c r="BA305" s="102">
        <v>8.4000000000000005E-2</v>
      </c>
      <c r="BB305" s="102">
        <v>0.36899999999999999</v>
      </c>
      <c r="BC305" s="102">
        <v>7.4999999999999997E-2</v>
      </c>
      <c r="BD305" s="414">
        <v>0.53300000000000003</v>
      </c>
      <c r="BE305" s="158"/>
      <c r="BF305" s="158"/>
      <c r="BG305" s="158"/>
      <c r="BH305" s="158"/>
      <c r="BI305" s="415"/>
      <c r="BJ305" s="158"/>
      <c r="BK305" s="158"/>
      <c r="BL305" s="158"/>
      <c r="BM305" s="158"/>
      <c r="BN305" s="415"/>
      <c r="BO305" s="158"/>
      <c r="BP305" s="158"/>
      <c r="BQ305" s="158"/>
      <c r="BR305" s="158"/>
      <c r="BS305" s="470"/>
      <c r="BT305" s="158"/>
      <c r="BU305" s="158"/>
      <c r="BV305" s="158"/>
      <c r="BW305" s="158"/>
      <c r="BX305" s="415"/>
      <c r="BY305" s="158"/>
      <c r="BZ305" s="158"/>
      <c r="CA305" s="158"/>
      <c r="CB305" s="158"/>
      <c r="CC305" s="415"/>
      <c r="CD305" s="415"/>
      <c r="CE305" s="415"/>
      <c r="CF305" s="415"/>
      <c r="CG305" s="99"/>
    </row>
    <row r="306" spans="1:85" ht="14.45" hidden="1" customHeight="1" x14ac:dyDescent="0.25">
      <c r="A306" s="135" t="s">
        <v>420</v>
      </c>
      <c r="B306" s="211"/>
      <c r="C306" s="423"/>
      <c r="D306" s="423"/>
      <c r="E306" s="423"/>
      <c r="F306" s="423"/>
      <c r="G306" s="112"/>
      <c r="H306" s="112"/>
      <c r="I306" s="112"/>
      <c r="J306" s="112"/>
      <c r="K306" s="423"/>
      <c r="L306" s="112"/>
      <c r="M306" s="112"/>
      <c r="N306" s="112"/>
      <c r="O306" s="112"/>
      <c r="P306" s="423"/>
      <c r="Q306" s="112"/>
      <c r="R306" s="112"/>
      <c r="S306" s="112"/>
      <c r="T306" s="112"/>
      <c r="U306" s="423"/>
      <c r="V306" s="112"/>
      <c r="W306" s="112"/>
      <c r="X306" s="112"/>
      <c r="Y306" s="112"/>
      <c r="Z306" s="423"/>
      <c r="AA306" s="112"/>
      <c r="AB306" s="112"/>
      <c r="AC306" s="112"/>
      <c r="AD306" s="112"/>
      <c r="AE306" s="423"/>
      <c r="AF306" s="109">
        <f t="shared" ref="AF306:BS306" si="205">SUM(AF301:AF305)</f>
        <v>360.60500000000008</v>
      </c>
      <c r="AG306" s="109">
        <f t="shared" si="205"/>
        <v>404.48699999999997</v>
      </c>
      <c r="AH306" s="109">
        <f t="shared" si="205"/>
        <v>413.08799999999991</v>
      </c>
      <c r="AI306" s="109">
        <f t="shared" si="205"/>
        <v>389.08199999999948</v>
      </c>
      <c r="AJ306" s="421">
        <f t="shared" si="205"/>
        <v>1567.2619999999995</v>
      </c>
      <c r="AK306" s="109">
        <f t="shared" si="205"/>
        <v>385.40300000000002</v>
      </c>
      <c r="AL306" s="109">
        <f t="shared" si="205"/>
        <v>441.94700000000012</v>
      </c>
      <c r="AM306" s="109">
        <f t="shared" si="205"/>
        <v>435.31800000000004</v>
      </c>
      <c r="AN306" s="109">
        <f t="shared" si="205"/>
        <v>406.8569999999998</v>
      </c>
      <c r="AO306" s="421">
        <f t="shared" si="205"/>
        <v>1669.5249999999999</v>
      </c>
      <c r="AP306" s="109">
        <f t="shared" si="205"/>
        <v>407.47899999999998</v>
      </c>
      <c r="AQ306" s="109">
        <f t="shared" si="205"/>
        <v>428.7059999999999</v>
      </c>
      <c r="AR306" s="109">
        <f t="shared" si="205"/>
        <v>474.36599999999987</v>
      </c>
      <c r="AS306" s="109">
        <f t="shared" si="205"/>
        <v>439.63900000000001</v>
      </c>
      <c r="AT306" s="421">
        <f t="shared" si="205"/>
        <v>1750.1899999999998</v>
      </c>
      <c r="AU306" s="109">
        <f t="shared" si="205"/>
        <v>448.69099999999997</v>
      </c>
      <c r="AV306" s="109">
        <f t="shared" si="205"/>
        <v>494.64000000000004</v>
      </c>
      <c r="AW306" s="109">
        <f t="shared" si="205"/>
        <v>518.27800000000002</v>
      </c>
      <c r="AX306" s="109">
        <f t="shared" si="205"/>
        <v>496.65099999999984</v>
      </c>
      <c r="AY306" s="421">
        <f t="shared" si="205"/>
        <v>1958.2599999999998</v>
      </c>
      <c r="AZ306" s="109">
        <f t="shared" si="205"/>
        <v>500.08699999999988</v>
      </c>
      <c r="BA306" s="109">
        <f t="shared" si="205"/>
        <v>564.40599999999984</v>
      </c>
      <c r="BB306" s="109">
        <f t="shared" si="205"/>
        <v>620.37599999999998</v>
      </c>
      <c r="BC306" s="109">
        <f t="shared" si="205"/>
        <v>596.95100000000014</v>
      </c>
      <c r="BD306" s="421">
        <f t="shared" si="205"/>
        <v>2281.8200000000002</v>
      </c>
      <c r="BE306" s="109">
        <f t="shared" si="205"/>
        <v>624.50100000000009</v>
      </c>
      <c r="BF306" s="109">
        <f t="shared" si="205"/>
        <v>672.67399999999998</v>
      </c>
      <c r="BG306" s="109">
        <f t="shared" si="205"/>
        <v>661.57500000000016</v>
      </c>
      <c r="BH306" s="109">
        <f t="shared" si="205"/>
        <v>638.7410000000001</v>
      </c>
      <c r="BI306" s="421">
        <f t="shared" si="205"/>
        <v>2597.4910000000004</v>
      </c>
      <c r="BJ306" s="109">
        <f t="shared" si="205"/>
        <v>641.71499999999992</v>
      </c>
      <c r="BK306" s="109">
        <f t="shared" si="205"/>
        <v>715.63499999999999</v>
      </c>
      <c r="BL306" s="109">
        <f t="shared" si="205"/>
        <v>696.61</v>
      </c>
      <c r="BM306" s="109">
        <f t="shared" si="205"/>
        <v>699.94700000000068</v>
      </c>
      <c r="BN306" s="421">
        <f t="shared" si="205"/>
        <v>2753.9070000000002</v>
      </c>
      <c r="BO306" s="109">
        <f t="shared" si="205"/>
        <v>627.90300000000002</v>
      </c>
      <c r="BP306" s="109">
        <f t="shared" si="205"/>
        <v>741.17600000000004</v>
      </c>
      <c r="BQ306" s="109">
        <f t="shared" si="205"/>
        <v>748.13800000000003</v>
      </c>
      <c r="BR306" s="109">
        <f t="shared" si="205"/>
        <v>752.96199999999965</v>
      </c>
      <c r="BS306" s="422">
        <f t="shared" si="205"/>
        <v>2870.1790000000001</v>
      </c>
      <c r="BT306" s="112"/>
      <c r="BU306" s="112"/>
      <c r="BV306" s="112"/>
      <c r="BW306" s="112"/>
      <c r="BX306" s="423"/>
      <c r="BY306" s="112"/>
      <c r="BZ306" s="112"/>
      <c r="CA306" s="112"/>
      <c r="CB306" s="112"/>
      <c r="CC306" s="423"/>
      <c r="CD306" s="423"/>
      <c r="CE306" s="423"/>
      <c r="CF306" s="423"/>
      <c r="CG306" s="109"/>
    </row>
    <row r="307" spans="1:85" ht="14.45" hidden="1" customHeight="1" x14ac:dyDescent="0.25">
      <c r="A307" s="111"/>
      <c r="B307" s="211"/>
      <c r="C307" s="423"/>
      <c r="D307" s="423"/>
      <c r="E307" s="423"/>
      <c r="F307" s="423"/>
      <c r="G307" s="112"/>
      <c r="H307" s="112"/>
      <c r="I307" s="112"/>
      <c r="J307" s="112"/>
      <c r="K307" s="423"/>
      <c r="L307" s="112"/>
      <c r="M307" s="112"/>
      <c r="N307" s="112"/>
      <c r="O307" s="112"/>
      <c r="P307" s="423"/>
      <c r="Q307" s="112"/>
      <c r="R307" s="112"/>
      <c r="S307" s="112"/>
      <c r="T307" s="112"/>
      <c r="U307" s="423"/>
      <c r="V307" s="112"/>
      <c r="W307" s="112"/>
      <c r="X307" s="112"/>
      <c r="Y307" s="112"/>
      <c r="Z307" s="423"/>
      <c r="AA307" s="112"/>
      <c r="AB307" s="112"/>
      <c r="AC307" s="112"/>
      <c r="AD307" s="112"/>
      <c r="AE307" s="423"/>
      <c r="AF307" s="112"/>
      <c r="AG307" s="112"/>
      <c r="AH307" s="112"/>
      <c r="AI307" s="112"/>
      <c r="AJ307" s="423"/>
      <c r="AK307" s="112"/>
      <c r="AL307" s="112"/>
      <c r="AM307" s="112"/>
      <c r="AN307" s="112"/>
      <c r="AO307" s="423"/>
      <c r="AP307" s="112"/>
      <c r="AQ307" s="112"/>
      <c r="AR307" s="112"/>
      <c r="AS307" s="112"/>
      <c r="AT307" s="423"/>
      <c r="AU307" s="112"/>
      <c r="AV307" s="112"/>
      <c r="AW307" s="112"/>
      <c r="AX307" s="112"/>
      <c r="AY307" s="423"/>
      <c r="AZ307" s="112"/>
      <c r="BA307" s="112"/>
      <c r="BB307" s="112"/>
      <c r="BC307" s="112"/>
      <c r="BD307" s="423"/>
      <c r="BE307" s="112"/>
      <c r="BF307" s="112"/>
      <c r="BG307" s="112"/>
      <c r="BH307" s="112"/>
      <c r="BI307" s="423"/>
      <c r="BJ307" s="112"/>
      <c r="BK307" s="112"/>
      <c r="BL307" s="112"/>
      <c r="BM307" s="112"/>
      <c r="BN307" s="423"/>
      <c r="BO307" s="112"/>
      <c r="BP307" s="112"/>
      <c r="BQ307" s="112"/>
      <c r="BR307" s="112"/>
      <c r="BS307" s="424"/>
      <c r="BT307" s="112"/>
      <c r="BU307" s="112"/>
      <c r="BV307" s="112"/>
      <c r="BW307" s="112"/>
      <c r="BX307" s="423"/>
      <c r="BY307" s="112"/>
      <c r="BZ307" s="112"/>
      <c r="CA307" s="112"/>
      <c r="CB307" s="112"/>
      <c r="CC307" s="423"/>
      <c r="CD307" s="423"/>
      <c r="CE307" s="423"/>
      <c r="CF307" s="423"/>
      <c r="CG307" s="109"/>
    </row>
    <row r="308" spans="1:85" ht="14.45" hidden="1" customHeight="1" x14ac:dyDescent="0.25">
      <c r="A308" s="135" t="s">
        <v>421</v>
      </c>
      <c r="B308" s="211"/>
      <c r="C308" s="423"/>
      <c r="D308" s="423"/>
      <c r="E308" s="423"/>
      <c r="F308" s="423"/>
      <c r="G308" s="112"/>
      <c r="H308" s="112"/>
      <c r="I308" s="112"/>
      <c r="J308" s="112"/>
      <c r="K308" s="423"/>
      <c r="L308" s="112"/>
      <c r="M308" s="112"/>
      <c r="N308" s="112"/>
      <c r="O308" s="112"/>
      <c r="P308" s="423"/>
      <c r="Q308" s="112"/>
      <c r="R308" s="112"/>
      <c r="S308" s="112"/>
      <c r="T308" s="112"/>
      <c r="U308" s="423"/>
      <c r="V308" s="112"/>
      <c r="W308" s="112"/>
      <c r="X308" s="112"/>
      <c r="Y308" s="112"/>
      <c r="Z308" s="423"/>
      <c r="AA308" s="112"/>
      <c r="AB308" s="112"/>
      <c r="AC308" s="112"/>
      <c r="AD308" s="112"/>
      <c r="AE308" s="423"/>
      <c r="AF308" s="109">
        <f t="shared" ref="AF308:BS308" si="206">AF277</f>
        <v>376.63799999999998</v>
      </c>
      <c r="AG308" s="109">
        <f t="shared" si="206"/>
        <v>385.029</v>
      </c>
      <c r="AH308" s="109">
        <f t="shared" si="206"/>
        <v>368.31200000000001</v>
      </c>
      <c r="AI308" s="109">
        <f t="shared" si="206"/>
        <v>367.83100000000013</v>
      </c>
      <c r="AJ308" s="421">
        <f t="shared" si="206"/>
        <v>1497.81</v>
      </c>
      <c r="AK308" s="109">
        <f t="shared" si="206"/>
        <v>369.154</v>
      </c>
      <c r="AL308" s="109">
        <f t="shared" si="206"/>
        <v>368.565</v>
      </c>
      <c r="AM308" s="109">
        <f t="shared" si="206"/>
        <v>378.37799999999999</v>
      </c>
      <c r="AN308" s="109">
        <f t="shared" si="206"/>
        <v>373.65100000000007</v>
      </c>
      <c r="AO308" s="421">
        <f t="shared" si="206"/>
        <v>1489.748</v>
      </c>
      <c r="AP308" s="109">
        <f t="shared" si="206"/>
        <v>372.47399999999999</v>
      </c>
      <c r="AQ308" s="109">
        <f t="shared" si="206"/>
        <v>346.18299999999999</v>
      </c>
      <c r="AR308" s="109">
        <f t="shared" si="206"/>
        <v>368.59399999999999</v>
      </c>
      <c r="AS308" s="109">
        <f t="shared" si="206"/>
        <v>368.28</v>
      </c>
      <c r="AT308" s="421">
        <f t="shared" si="206"/>
        <v>1455.5309999999999</v>
      </c>
      <c r="AU308" s="109">
        <f t="shared" si="206"/>
        <v>354.51900000000001</v>
      </c>
      <c r="AV308" s="109">
        <f t="shared" si="206"/>
        <v>374.07900000000001</v>
      </c>
      <c r="AW308" s="109">
        <f t="shared" si="206"/>
        <v>380.68099999999998</v>
      </c>
      <c r="AX308" s="109">
        <f t="shared" si="206"/>
        <v>405.73700000000008</v>
      </c>
      <c r="AY308" s="421">
        <f t="shared" si="206"/>
        <v>1515.0160000000001</v>
      </c>
      <c r="AZ308" s="109">
        <f t="shared" si="206"/>
        <v>376.59100000000001</v>
      </c>
      <c r="BA308" s="109">
        <f t="shared" si="206"/>
        <v>403.36599999999999</v>
      </c>
      <c r="BB308" s="109">
        <f t="shared" si="206"/>
        <v>431.17700000000002</v>
      </c>
      <c r="BC308" s="109">
        <f t="shared" si="206"/>
        <v>425.77299999999991</v>
      </c>
      <c r="BD308" s="421">
        <f t="shared" si="206"/>
        <v>1636.9069999999999</v>
      </c>
      <c r="BE308" s="109">
        <f t="shared" si="206"/>
        <v>418.05200000000002</v>
      </c>
      <c r="BF308" s="109">
        <f t="shared" si="206"/>
        <v>437.90699999999998</v>
      </c>
      <c r="BG308" s="109">
        <f t="shared" si="206"/>
        <v>445.29</v>
      </c>
      <c r="BH308" s="109">
        <f t="shared" si="206"/>
        <v>463.01099999999997</v>
      </c>
      <c r="BI308" s="421">
        <f t="shared" si="206"/>
        <v>1764.26</v>
      </c>
      <c r="BJ308" s="109">
        <f t="shared" si="206"/>
        <v>425.15300000000002</v>
      </c>
      <c r="BK308" s="109">
        <f t="shared" si="206"/>
        <v>457.57</v>
      </c>
      <c r="BL308" s="109">
        <f t="shared" si="206"/>
        <v>470.98099999999999</v>
      </c>
      <c r="BM308" s="109">
        <f t="shared" si="206"/>
        <v>479.125</v>
      </c>
      <c r="BN308" s="421">
        <f t="shared" si="206"/>
        <v>1832.829</v>
      </c>
      <c r="BO308" s="109">
        <f t="shared" si="206"/>
        <v>437.28399999999999</v>
      </c>
      <c r="BP308" s="109">
        <f t="shared" si="206"/>
        <v>470.41199999999998</v>
      </c>
      <c r="BQ308" s="109">
        <f t="shared" si="206"/>
        <v>501.88200000000001</v>
      </c>
      <c r="BR308" s="109">
        <f t="shared" si="206"/>
        <v>512.12799999999993</v>
      </c>
      <c r="BS308" s="422">
        <f t="shared" si="206"/>
        <v>1921.7059999999999</v>
      </c>
      <c r="BT308" s="112"/>
      <c r="BU308" s="112"/>
      <c r="BV308" s="112"/>
      <c r="BW308" s="112"/>
      <c r="BX308" s="423"/>
      <c r="BY308" s="112"/>
      <c r="BZ308" s="112"/>
      <c r="CA308" s="112"/>
      <c r="CB308" s="112"/>
      <c r="CC308" s="423"/>
      <c r="CD308" s="423"/>
      <c r="CE308" s="423"/>
      <c r="CF308" s="423"/>
      <c r="CG308" s="109"/>
    </row>
    <row r="309" spans="1:85" ht="14.45" hidden="1" customHeight="1" x14ac:dyDescent="0.25">
      <c r="A309" s="125" t="s">
        <v>416</v>
      </c>
      <c r="B309" s="180"/>
      <c r="C309" s="413"/>
      <c r="D309" s="413"/>
      <c r="E309" s="413"/>
      <c r="F309" s="413"/>
      <c r="G309" s="63"/>
      <c r="H309" s="63"/>
      <c r="I309" s="63"/>
      <c r="J309" s="63"/>
      <c r="K309" s="413"/>
      <c r="L309" s="63"/>
      <c r="M309" s="63"/>
      <c r="N309" s="63"/>
      <c r="O309" s="63"/>
      <c r="P309" s="413"/>
      <c r="Q309" s="63"/>
      <c r="R309" s="63"/>
      <c r="S309" s="63"/>
      <c r="T309" s="63"/>
      <c r="U309" s="413"/>
      <c r="V309" s="63"/>
      <c r="W309" s="63"/>
      <c r="X309" s="63"/>
      <c r="Y309" s="63"/>
      <c r="Z309" s="413"/>
      <c r="AA309" s="63"/>
      <c r="AB309" s="63"/>
      <c r="AC309" s="63"/>
      <c r="AD309" s="63"/>
      <c r="AE309" s="413"/>
      <c r="AF309" s="98">
        <v>-12.250999999999999</v>
      </c>
      <c r="AG309" s="98">
        <v>-9.843</v>
      </c>
      <c r="AH309" s="98">
        <v>-10.305</v>
      </c>
      <c r="AI309" s="98">
        <v>-9.7629999999999999</v>
      </c>
      <c r="AJ309" s="410">
        <v>-42.161999999999999</v>
      </c>
      <c r="AK309" s="98">
        <v>-4.7300000000000004</v>
      </c>
      <c r="AL309" s="98">
        <v>-2.1850000000000001</v>
      </c>
      <c r="AM309" s="63"/>
      <c r="AN309" s="63"/>
      <c r="AO309" s="410">
        <v>-6.915</v>
      </c>
      <c r="AP309" s="63"/>
      <c r="AQ309" s="63"/>
      <c r="AR309" s="63"/>
      <c r="AS309" s="63"/>
      <c r="AT309" s="413"/>
      <c r="AU309" s="63"/>
      <c r="AV309" s="63"/>
      <c r="AW309" s="63"/>
      <c r="AX309" s="63"/>
      <c r="AY309" s="413"/>
      <c r="AZ309" s="63"/>
      <c r="BA309" s="63"/>
      <c r="BB309" s="63"/>
      <c r="BC309" s="63"/>
      <c r="BD309" s="413"/>
      <c r="BE309" s="63"/>
      <c r="BF309" s="63"/>
      <c r="BG309" s="63"/>
      <c r="BH309" s="63"/>
      <c r="BI309" s="413"/>
      <c r="BJ309" s="63"/>
      <c r="BK309" s="63"/>
      <c r="BL309" s="63"/>
      <c r="BM309" s="63"/>
      <c r="BN309" s="413"/>
      <c r="BO309" s="63"/>
      <c r="BP309" s="63"/>
      <c r="BQ309" s="63"/>
      <c r="BR309" s="63"/>
      <c r="BS309" s="425"/>
      <c r="BT309" s="63"/>
      <c r="BU309" s="63"/>
      <c r="BV309" s="63"/>
      <c r="BW309" s="63"/>
      <c r="BX309" s="413"/>
      <c r="BY309" s="63"/>
      <c r="BZ309" s="63"/>
      <c r="CA309" s="63"/>
      <c r="CB309" s="63"/>
      <c r="CC309" s="413"/>
      <c r="CD309" s="413"/>
      <c r="CE309" s="413"/>
      <c r="CF309" s="413"/>
      <c r="CG309" s="99"/>
    </row>
    <row r="310" spans="1:85" ht="14.45" hidden="1" customHeight="1" x14ac:dyDescent="0.25">
      <c r="A310" s="125" t="s">
        <v>422</v>
      </c>
      <c r="B310" s="180"/>
      <c r="C310" s="413"/>
      <c r="D310" s="413"/>
      <c r="E310" s="413"/>
      <c r="F310" s="413"/>
      <c r="G310" s="63"/>
      <c r="H310" s="63"/>
      <c r="I310" s="63"/>
      <c r="J310" s="63"/>
      <c r="K310" s="413"/>
      <c r="L310" s="63"/>
      <c r="M310" s="63"/>
      <c r="N310" s="63"/>
      <c r="O310" s="63"/>
      <c r="P310" s="413"/>
      <c r="Q310" s="63"/>
      <c r="R310" s="63"/>
      <c r="S310" s="63"/>
      <c r="T310" s="63"/>
      <c r="U310" s="413"/>
      <c r="V310" s="63"/>
      <c r="W310" s="63"/>
      <c r="X310" s="63"/>
      <c r="Y310" s="63"/>
      <c r="Z310" s="413"/>
      <c r="AA310" s="63"/>
      <c r="AB310" s="63"/>
      <c r="AC310" s="63"/>
      <c r="AD310" s="63"/>
      <c r="AE310" s="413"/>
      <c r="AF310" s="63"/>
      <c r="AG310" s="98">
        <v>-4.8099999999999996</v>
      </c>
      <c r="AH310" s="63"/>
      <c r="AI310" s="98">
        <v>-3.7450000000000001</v>
      </c>
      <c r="AJ310" s="410">
        <v>-8.5549999999999997</v>
      </c>
      <c r="AK310" s="63"/>
      <c r="AL310" s="63"/>
      <c r="AM310" s="63"/>
      <c r="AN310" s="63"/>
      <c r="AO310" s="413"/>
      <c r="AP310" s="63"/>
      <c r="AQ310" s="63"/>
      <c r="AR310" s="63"/>
      <c r="AS310" s="63"/>
      <c r="AT310" s="413"/>
      <c r="AU310" s="63"/>
      <c r="AV310" s="63"/>
      <c r="AW310" s="63"/>
      <c r="AX310" s="63"/>
      <c r="AY310" s="413"/>
      <c r="AZ310" s="63"/>
      <c r="BA310" s="63"/>
      <c r="BB310" s="63"/>
      <c r="BC310" s="63"/>
      <c r="BD310" s="413"/>
      <c r="BE310" s="63"/>
      <c r="BF310" s="63"/>
      <c r="BG310" s="63"/>
      <c r="BH310" s="63"/>
      <c r="BI310" s="413"/>
      <c r="BJ310" s="63"/>
      <c r="BK310" s="63"/>
      <c r="BL310" s="63"/>
      <c r="BM310" s="63"/>
      <c r="BN310" s="413"/>
      <c r="BO310" s="63"/>
      <c r="BP310" s="63"/>
      <c r="BQ310" s="63"/>
      <c r="BR310" s="63"/>
      <c r="BS310" s="425"/>
      <c r="BT310" s="63"/>
      <c r="BU310" s="63"/>
      <c r="BV310" s="63"/>
      <c r="BW310" s="63"/>
      <c r="BX310" s="413"/>
      <c r="BY310" s="63"/>
      <c r="BZ310" s="63"/>
      <c r="CA310" s="63"/>
      <c r="CB310" s="63"/>
      <c r="CC310" s="413"/>
      <c r="CD310" s="413"/>
      <c r="CE310" s="413"/>
      <c r="CF310" s="413"/>
      <c r="CG310" s="99"/>
    </row>
    <row r="311" spans="1:85" ht="14.45" hidden="1" customHeight="1" x14ac:dyDescent="0.25">
      <c r="A311" s="125" t="s">
        <v>417</v>
      </c>
      <c r="B311" s="180"/>
      <c r="C311" s="413"/>
      <c r="D311" s="413"/>
      <c r="E311" s="413"/>
      <c r="F311" s="413"/>
      <c r="G311" s="63"/>
      <c r="H311" s="63"/>
      <c r="I311" s="63"/>
      <c r="J311" s="63"/>
      <c r="K311" s="413"/>
      <c r="L311" s="63"/>
      <c r="M311" s="63"/>
      <c r="N311" s="63"/>
      <c r="O311" s="63"/>
      <c r="P311" s="413"/>
      <c r="Q311" s="63"/>
      <c r="R311" s="63"/>
      <c r="S311" s="63"/>
      <c r="T311" s="63"/>
      <c r="U311" s="413"/>
      <c r="V311" s="63"/>
      <c r="W311" s="63"/>
      <c r="X311" s="63"/>
      <c r="Y311" s="63"/>
      <c r="Z311" s="413"/>
      <c r="AA311" s="63"/>
      <c r="AB311" s="63"/>
      <c r="AC311" s="63"/>
      <c r="AD311" s="63"/>
      <c r="AE311" s="413"/>
      <c r="AF311" s="63"/>
      <c r="AG311" s="63"/>
      <c r="AH311" s="63"/>
      <c r="AI311" s="63"/>
      <c r="AJ311" s="413"/>
      <c r="AK311" s="63"/>
      <c r="AL311" s="63"/>
      <c r="AM311" s="63"/>
      <c r="AN311" s="63"/>
      <c r="AO311" s="413"/>
      <c r="AP311" s="63"/>
      <c r="AQ311" s="63"/>
      <c r="AR311" s="63"/>
      <c r="AS311" s="98">
        <v>-14.353</v>
      </c>
      <c r="AT311" s="410">
        <v>-14.353</v>
      </c>
      <c r="AU311" s="63"/>
      <c r="AV311" s="63"/>
      <c r="AW311" s="63"/>
      <c r="AX311" s="63"/>
      <c r="AY311" s="413"/>
      <c r="AZ311" s="63"/>
      <c r="BA311" s="63"/>
      <c r="BB311" s="63"/>
      <c r="BC311" s="63"/>
      <c r="BD311" s="413"/>
      <c r="BE311" s="63"/>
      <c r="BF311" s="63"/>
      <c r="BG311" s="63"/>
      <c r="BH311" s="63"/>
      <c r="BI311" s="413"/>
      <c r="BJ311" s="63"/>
      <c r="BK311" s="63"/>
      <c r="BL311" s="63"/>
      <c r="BM311" s="63"/>
      <c r="BN311" s="413"/>
      <c r="BO311" s="63"/>
      <c r="BP311" s="63"/>
      <c r="BQ311" s="63"/>
      <c r="BR311" s="63"/>
      <c r="BS311" s="425"/>
      <c r="BT311" s="63"/>
      <c r="BU311" s="63"/>
      <c r="BV311" s="63"/>
      <c r="BW311" s="63"/>
      <c r="BX311" s="413"/>
      <c r="BY311" s="63"/>
      <c r="BZ311" s="63"/>
      <c r="CA311" s="63"/>
      <c r="CB311" s="63"/>
      <c r="CC311" s="413"/>
      <c r="CD311" s="413"/>
      <c r="CE311" s="413"/>
      <c r="CF311" s="413"/>
      <c r="CG311" s="99"/>
    </row>
    <row r="312" spans="1:85" ht="14.45" hidden="1" customHeight="1" x14ac:dyDescent="0.25">
      <c r="A312" s="125" t="s">
        <v>418</v>
      </c>
      <c r="B312" s="180"/>
      <c r="C312" s="413"/>
      <c r="D312" s="413"/>
      <c r="E312" s="413"/>
      <c r="F312" s="413"/>
      <c r="G312" s="63"/>
      <c r="H312" s="63"/>
      <c r="I312" s="63"/>
      <c r="J312" s="63"/>
      <c r="K312" s="413"/>
      <c r="L312" s="63"/>
      <c r="M312" s="63"/>
      <c r="N312" s="63"/>
      <c r="O312" s="63"/>
      <c r="P312" s="413"/>
      <c r="Q312" s="63"/>
      <c r="R312" s="63"/>
      <c r="S312" s="63"/>
      <c r="T312" s="63"/>
      <c r="U312" s="413"/>
      <c r="V312" s="63"/>
      <c r="W312" s="63"/>
      <c r="X312" s="63"/>
      <c r="Y312" s="63"/>
      <c r="Z312" s="413"/>
      <c r="AA312" s="63"/>
      <c r="AB312" s="63"/>
      <c r="AC312" s="63"/>
      <c r="AD312" s="63"/>
      <c r="AE312" s="413"/>
      <c r="AF312" s="98">
        <v>-0.20200000000000001</v>
      </c>
      <c r="AG312" s="98">
        <v>4.8000000000000001E-2</v>
      </c>
      <c r="AH312" s="98">
        <v>-0.20899999999999999</v>
      </c>
      <c r="AI312" s="98">
        <v>-3.9860000000000002</v>
      </c>
      <c r="AJ312" s="410">
        <v>-4.3490000000000002</v>
      </c>
      <c r="AK312" s="98">
        <v>2.7149999999999999</v>
      </c>
      <c r="AL312" s="98">
        <v>-6.6000000000000003E-2</v>
      </c>
      <c r="AM312" s="98">
        <v>-7.3999999999999996E-2</v>
      </c>
      <c r="AN312" s="98">
        <v>0.96099999999999997</v>
      </c>
      <c r="AO312" s="410">
        <v>3.536</v>
      </c>
      <c r="AP312" s="98">
        <v>-2.3290000000000002</v>
      </c>
      <c r="AQ312" s="98">
        <v>0.80500000000000005</v>
      </c>
      <c r="AR312" s="98">
        <v>0.57499999999999996</v>
      </c>
      <c r="AS312" s="98">
        <v>1.74</v>
      </c>
      <c r="AT312" s="410">
        <v>0.79100000000000004</v>
      </c>
      <c r="AU312" s="98">
        <v>0.56000000000000005</v>
      </c>
      <c r="AV312" s="98">
        <v>0.505</v>
      </c>
      <c r="AW312" s="98">
        <v>0.42599999999999999</v>
      </c>
      <c r="AX312" s="98">
        <v>0.28100000000000003</v>
      </c>
      <c r="AY312" s="410">
        <v>1.772</v>
      </c>
      <c r="AZ312" s="98">
        <v>6.2249999999999996</v>
      </c>
      <c r="BA312" s="98">
        <v>0.998</v>
      </c>
      <c r="BB312" s="98">
        <v>-4.7110000000000003</v>
      </c>
      <c r="BC312" s="98">
        <v>-2.085</v>
      </c>
      <c r="BD312" s="410">
        <v>0.42699999999999999</v>
      </c>
      <c r="BE312" s="98">
        <v>-2.69</v>
      </c>
      <c r="BF312" s="98">
        <v>-0.224</v>
      </c>
      <c r="BG312" s="98">
        <v>0.70299999999999996</v>
      </c>
      <c r="BH312" s="98">
        <v>-7.0000000000000007E-2</v>
      </c>
      <c r="BI312" s="410">
        <v>-2.2810000000000001</v>
      </c>
      <c r="BJ312" s="98">
        <v>-4.2999999999999997E-2</v>
      </c>
      <c r="BK312" s="98">
        <v>0.254</v>
      </c>
      <c r="BL312" s="98">
        <v>-0.63100000000000001</v>
      </c>
      <c r="BM312" s="98">
        <v>-0.127</v>
      </c>
      <c r="BN312" s="410">
        <v>-0.54700000000000004</v>
      </c>
      <c r="BO312" s="98">
        <v>0.16500000000000001</v>
      </c>
      <c r="BP312" s="98">
        <v>0.68899999999999995</v>
      </c>
      <c r="BQ312" s="98">
        <v>-8.4000000000000005E-2</v>
      </c>
      <c r="BR312" s="98">
        <v>-1.2250000000000001</v>
      </c>
      <c r="BS312" s="419">
        <v>-0.45500000000000002</v>
      </c>
      <c r="BT312" s="63"/>
      <c r="BU312" s="63"/>
      <c r="BV312" s="63"/>
      <c r="BW312" s="63"/>
      <c r="BX312" s="413"/>
      <c r="BY312" s="63"/>
      <c r="BZ312" s="63"/>
      <c r="CA312" s="63"/>
      <c r="CB312" s="63"/>
      <c r="CC312" s="413"/>
      <c r="CD312" s="413"/>
      <c r="CE312" s="413"/>
      <c r="CF312" s="413"/>
      <c r="CG312" s="99"/>
    </row>
    <row r="313" spans="1:85" ht="14.45" hidden="1" customHeight="1" x14ac:dyDescent="0.25">
      <c r="A313" s="125" t="s">
        <v>423</v>
      </c>
      <c r="B313" s="180"/>
      <c r="C313" s="413"/>
      <c r="D313" s="413"/>
      <c r="E313" s="413"/>
      <c r="F313" s="413"/>
      <c r="G313" s="63"/>
      <c r="H313" s="63"/>
      <c r="I313" s="63"/>
      <c r="J313" s="63"/>
      <c r="K313" s="413"/>
      <c r="L313" s="63"/>
      <c r="M313" s="63"/>
      <c r="N313" s="63"/>
      <c r="O313" s="63"/>
      <c r="P313" s="413"/>
      <c r="Q313" s="63"/>
      <c r="R313" s="63"/>
      <c r="S313" s="63"/>
      <c r="T313" s="63"/>
      <c r="U313" s="413"/>
      <c r="V313" s="63"/>
      <c r="W313" s="63"/>
      <c r="X313" s="63"/>
      <c r="Y313" s="63"/>
      <c r="Z313" s="413"/>
      <c r="AA313" s="63"/>
      <c r="AB313" s="63"/>
      <c r="AC313" s="63"/>
      <c r="AD313" s="63"/>
      <c r="AE313" s="413"/>
      <c r="AF313" s="63"/>
      <c r="AG313" s="63"/>
      <c r="AH313" s="63"/>
      <c r="AI313" s="63"/>
      <c r="AJ313" s="413"/>
      <c r="AK313" s="98">
        <v>-2.476</v>
      </c>
      <c r="AL313" s="98">
        <v>-1.903</v>
      </c>
      <c r="AM313" s="98">
        <v>-1.732</v>
      </c>
      <c r="AN313" s="98">
        <v>-1.194</v>
      </c>
      <c r="AO313" s="410">
        <v>-7.3049999999999997</v>
      </c>
      <c r="AP313" s="63"/>
      <c r="AQ313" s="63"/>
      <c r="AR313" s="63"/>
      <c r="AS313" s="63"/>
      <c r="AT313" s="413"/>
      <c r="AU313" s="63"/>
      <c r="AV313" s="63"/>
      <c r="AW313" s="63"/>
      <c r="AX313" s="63"/>
      <c r="AY313" s="413"/>
      <c r="AZ313" s="63"/>
      <c r="BA313" s="63"/>
      <c r="BB313" s="63"/>
      <c r="BC313" s="63"/>
      <c r="BD313" s="413"/>
      <c r="BE313" s="63"/>
      <c r="BF313" s="63"/>
      <c r="BG313" s="63"/>
      <c r="BH313" s="63"/>
      <c r="BI313" s="413"/>
      <c r="BJ313" s="63"/>
      <c r="BK313" s="63"/>
      <c r="BL313" s="63"/>
      <c r="BM313" s="63"/>
      <c r="BN313" s="413"/>
      <c r="BO313" s="63"/>
      <c r="BP313" s="63"/>
      <c r="BQ313" s="63"/>
      <c r="BR313" s="63"/>
      <c r="BS313" s="425"/>
      <c r="BT313" s="63"/>
      <c r="BU313" s="63"/>
      <c r="BV313" s="63"/>
      <c r="BW313" s="63"/>
      <c r="BX313" s="413"/>
      <c r="BY313" s="63"/>
      <c r="BZ313" s="63"/>
      <c r="CA313" s="63"/>
      <c r="CB313" s="63"/>
      <c r="CC313" s="413"/>
      <c r="CD313" s="413"/>
      <c r="CE313" s="413"/>
      <c r="CF313" s="413"/>
      <c r="CG313" s="99"/>
    </row>
    <row r="314" spans="1:85" ht="14.45" hidden="1" customHeight="1" x14ac:dyDescent="0.25">
      <c r="A314" s="125" t="s">
        <v>419</v>
      </c>
      <c r="B314" s="180"/>
      <c r="C314" s="413"/>
      <c r="D314" s="413"/>
      <c r="E314" s="413"/>
      <c r="F314" s="413"/>
      <c r="G314" s="63"/>
      <c r="H314" s="63"/>
      <c r="I314" s="63"/>
      <c r="J314" s="63"/>
      <c r="K314" s="413"/>
      <c r="L314" s="63"/>
      <c r="M314" s="63"/>
      <c r="N314" s="63"/>
      <c r="O314" s="63"/>
      <c r="P314" s="413"/>
      <c r="Q314" s="63"/>
      <c r="R314" s="63"/>
      <c r="S314" s="63"/>
      <c r="T314" s="63"/>
      <c r="U314" s="413"/>
      <c r="V314" s="63"/>
      <c r="W314" s="63"/>
      <c r="X314" s="63"/>
      <c r="Y314" s="63"/>
      <c r="Z314" s="413"/>
      <c r="AA314" s="63"/>
      <c r="AB314" s="63"/>
      <c r="AC314" s="63"/>
      <c r="AD314" s="63"/>
      <c r="AE314" s="413"/>
      <c r="AF314" s="63"/>
      <c r="AG314" s="63"/>
      <c r="AH314" s="63"/>
      <c r="AI314" s="63"/>
      <c r="AJ314" s="413"/>
      <c r="AK314" s="63"/>
      <c r="AL314" s="63"/>
      <c r="AM314" s="63"/>
      <c r="AN314" s="98">
        <v>-4.952</v>
      </c>
      <c r="AO314" s="410">
        <v>-4.952</v>
      </c>
      <c r="AP314" s="98">
        <v>0.57099999999999995</v>
      </c>
      <c r="AQ314" s="98">
        <v>0.03</v>
      </c>
      <c r="AR314" s="63"/>
      <c r="AS314" s="98">
        <v>-5.0000000000000001E-3</v>
      </c>
      <c r="AT314" s="410">
        <v>0.59599999999999997</v>
      </c>
      <c r="AU314" s="98">
        <v>-0.106</v>
      </c>
      <c r="AV314" s="98">
        <v>-0.65200000000000002</v>
      </c>
      <c r="AW314" s="98">
        <v>-3.5000000000000003E-2</v>
      </c>
      <c r="AX314" s="98">
        <v>-0.154</v>
      </c>
      <c r="AY314" s="410">
        <v>-0.94699999999999995</v>
      </c>
      <c r="AZ314" s="98">
        <v>-3.9E-2</v>
      </c>
      <c r="BA314" s="98">
        <v>-3.3000000000000002E-2</v>
      </c>
      <c r="BB314" s="98">
        <v>-6.0000000000000001E-3</v>
      </c>
      <c r="BC314" s="98">
        <v>5.0000000000000001E-3</v>
      </c>
      <c r="BD314" s="410">
        <v>-7.2999999999999995E-2</v>
      </c>
      <c r="BE314" s="63"/>
      <c r="BF314" s="63"/>
      <c r="BG314" s="63"/>
      <c r="BH314" s="63"/>
      <c r="BI314" s="413"/>
      <c r="BJ314" s="63"/>
      <c r="BK314" s="63"/>
      <c r="BL314" s="63"/>
      <c r="BM314" s="63"/>
      <c r="BN314" s="413"/>
      <c r="BO314" s="63"/>
      <c r="BP314" s="63"/>
      <c r="BQ314" s="63"/>
      <c r="BR314" s="63"/>
      <c r="BS314" s="425"/>
      <c r="BT314" s="63"/>
      <c r="BU314" s="63"/>
      <c r="BV314" s="63"/>
      <c r="BW314" s="63"/>
      <c r="BX314" s="413"/>
      <c r="BY314" s="63"/>
      <c r="BZ314" s="63"/>
      <c r="CA314" s="63"/>
      <c r="CB314" s="63"/>
      <c r="CC314" s="413"/>
      <c r="CD314" s="413"/>
      <c r="CE314" s="413"/>
      <c r="CF314" s="413"/>
      <c r="CG314" s="99"/>
    </row>
    <row r="315" spans="1:85" ht="14.45" hidden="1" customHeight="1" x14ac:dyDescent="0.25">
      <c r="A315" s="110" t="s">
        <v>424</v>
      </c>
      <c r="B315" s="212"/>
      <c r="C315" s="418"/>
      <c r="D315" s="418"/>
      <c r="E315" s="418"/>
      <c r="F315" s="418"/>
      <c r="G315" s="159"/>
      <c r="H315" s="159"/>
      <c r="I315" s="159"/>
      <c r="J315" s="159"/>
      <c r="K315" s="418"/>
      <c r="L315" s="159"/>
      <c r="M315" s="159"/>
      <c r="N315" s="159"/>
      <c r="O315" s="159"/>
      <c r="P315" s="418"/>
      <c r="Q315" s="159"/>
      <c r="R315" s="159"/>
      <c r="S315" s="159"/>
      <c r="T315" s="159"/>
      <c r="U315" s="418"/>
      <c r="V315" s="159"/>
      <c r="W315" s="159"/>
      <c r="X315" s="159"/>
      <c r="Y315" s="159"/>
      <c r="Z315" s="418"/>
      <c r="AA315" s="159"/>
      <c r="AB315" s="159"/>
      <c r="AC315" s="159"/>
      <c r="AD315" s="159"/>
      <c r="AE315" s="418"/>
      <c r="AF315" s="106">
        <f t="shared" ref="AF315:BS315" si="207">SUM(AF308:AF314)</f>
        <v>364.185</v>
      </c>
      <c r="AG315" s="106">
        <f t="shared" si="207"/>
        <v>370.42399999999998</v>
      </c>
      <c r="AH315" s="106">
        <f t="shared" si="207"/>
        <v>357.798</v>
      </c>
      <c r="AI315" s="106">
        <f t="shared" si="207"/>
        <v>350.33700000000016</v>
      </c>
      <c r="AJ315" s="416">
        <f t="shared" si="207"/>
        <v>1442.7439999999999</v>
      </c>
      <c r="AK315" s="106">
        <f t="shared" si="207"/>
        <v>364.66299999999995</v>
      </c>
      <c r="AL315" s="106">
        <f t="shared" si="207"/>
        <v>364.411</v>
      </c>
      <c r="AM315" s="106">
        <f t="shared" si="207"/>
        <v>376.57199999999995</v>
      </c>
      <c r="AN315" s="106">
        <f t="shared" si="207"/>
        <v>368.46600000000007</v>
      </c>
      <c r="AO315" s="416">
        <f t="shared" si="207"/>
        <v>1474.1120000000001</v>
      </c>
      <c r="AP315" s="106">
        <f t="shared" si="207"/>
        <v>370.71600000000001</v>
      </c>
      <c r="AQ315" s="106">
        <f t="shared" si="207"/>
        <v>347.01799999999997</v>
      </c>
      <c r="AR315" s="106">
        <f t="shared" si="207"/>
        <v>369.16899999999998</v>
      </c>
      <c r="AS315" s="106">
        <f t="shared" si="207"/>
        <v>355.66199999999998</v>
      </c>
      <c r="AT315" s="416">
        <f t="shared" si="207"/>
        <v>1442.5649999999998</v>
      </c>
      <c r="AU315" s="106">
        <f t="shared" si="207"/>
        <v>354.97300000000001</v>
      </c>
      <c r="AV315" s="106">
        <f t="shared" si="207"/>
        <v>373.93200000000002</v>
      </c>
      <c r="AW315" s="106">
        <f t="shared" si="207"/>
        <v>381.07199999999995</v>
      </c>
      <c r="AX315" s="106">
        <f t="shared" si="207"/>
        <v>405.86400000000009</v>
      </c>
      <c r="AY315" s="416">
        <f t="shared" si="207"/>
        <v>1515.8410000000001</v>
      </c>
      <c r="AZ315" s="106">
        <f t="shared" si="207"/>
        <v>382.77700000000004</v>
      </c>
      <c r="BA315" s="106">
        <f t="shared" si="207"/>
        <v>404.33099999999996</v>
      </c>
      <c r="BB315" s="106">
        <f t="shared" si="207"/>
        <v>426.46000000000004</v>
      </c>
      <c r="BC315" s="106">
        <f t="shared" si="207"/>
        <v>423.69299999999993</v>
      </c>
      <c r="BD315" s="416">
        <f t="shared" si="207"/>
        <v>1637.2609999999997</v>
      </c>
      <c r="BE315" s="106">
        <f t="shared" si="207"/>
        <v>415.36200000000002</v>
      </c>
      <c r="BF315" s="106">
        <f t="shared" si="207"/>
        <v>437.68299999999999</v>
      </c>
      <c r="BG315" s="106">
        <f t="shared" si="207"/>
        <v>445.99299999999999</v>
      </c>
      <c r="BH315" s="106">
        <f t="shared" si="207"/>
        <v>462.94099999999997</v>
      </c>
      <c r="BI315" s="416">
        <f t="shared" si="207"/>
        <v>1761.979</v>
      </c>
      <c r="BJ315" s="106">
        <f t="shared" si="207"/>
        <v>425.11</v>
      </c>
      <c r="BK315" s="106">
        <f t="shared" si="207"/>
        <v>457.82400000000001</v>
      </c>
      <c r="BL315" s="106">
        <f t="shared" si="207"/>
        <v>470.35</v>
      </c>
      <c r="BM315" s="106">
        <f t="shared" si="207"/>
        <v>478.99799999999999</v>
      </c>
      <c r="BN315" s="416">
        <f t="shared" si="207"/>
        <v>1832.2819999999999</v>
      </c>
      <c r="BO315" s="106">
        <f t="shared" si="207"/>
        <v>437.44900000000001</v>
      </c>
      <c r="BP315" s="106">
        <f t="shared" si="207"/>
        <v>471.101</v>
      </c>
      <c r="BQ315" s="106">
        <f t="shared" si="207"/>
        <v>501.798</v>
      </c>
      <c r="BR315" s="106">
        <f t="shared" si="207"/>
        <v>510.90299999999991</v>
      </c>
      <c r="BS315" s="417">
        <f t="shared" si="207"/>
        <v>1921.251</v>
      </c>
      <c r="BT315" s="159"/>
      <c r="BU315" s="159"/>
      <c r="BV315" s="159"/>
      <c r="BW315" s="159"/>
      <c r="BX315" s="418"/>
      <c r="BY315" s="159"/>
      <c r="BZ315" s="159"/>
      <c r="CA315" s="159"/>
      <c r="CB315" s="159"/>
      <c r="CC315" s="418"/>
      <c r="CD315" s="418"/>
      <c r="CE315" s="418"/>
      <c r="CF315" s="418"/>
      <c r="CG315" s="109"/>
    </row>
    <row r="316" spans="1:85" ht="14.45" hidden="1" customHeight="1" x14ac:dyDescent="0.25">
      <c r="A316" s="111"/>
      <c r="B316" s="211"/>
      <c r="C316" s="423"/>
      <c r="D316" s="423"/>
      <c r="E316" s="423"/>
      <c r="F316" s="423"/>
      <c r="G316" s="112"/>
      <c r="H316" s="112"/>
      <c r="I316" s="112"/>
      <c r="J316" s="112"/>
      <c r="K316" s="423"/>
      <c r="L316" s="112"/>
      <c r="M316" s="112"/>
      <c r="N316" s="112"/>
      <c r="O316" s="112"/>
      <c r="P316" s="423"/>
      <c r="Q316" s="112"/>
      <c r="R316" s="112"/>
      <c r="S316" s="112"/>
      <c r="T316" s="112"/>
      <c r="U316" s="423"/>
      <c r="V316" s="112"/>
      <c r="W316" s="112"/>
      <c r="X316" s="112"/>
      <c r="Y316" s="112"/>
      <c r="Z316" s="423"/>
      <c r="AA316" s="112"/>
      <c r="AB316" s="112"/>
      <c r="AC316" s="112"/>
      <c r="AD316" s="112"/>
      <c r="AE316" s="423"/>
      <c r="AF316" s="112"/>
      <c r="AG316" s="112"/>
      <c r="AH316" s="112"/>
      <c r="AI316" s="112"/>
      <c r="AJ316" s="423"/>
      <c r="AK316" s="112"/>
      <c r="AL316" s="112"/>
      <c r="AM316" s="112"/>
      <c r="AN316" s="112"/>
      <c r="AO316" s="423"/>
      <c r="AP316" s="112"/>
      <c r="AQ316" s="112"/>
      <c r="AR316" s="112"/>
      <c r="AS316" s="112"/>
      <c r="AT316" s="423"/>
      <c r="AU316" s="112"/>
      <c r="AV316" s="112"/>
      <c r="AW316" s="112"/>
      <c r="AX316" s="112"/>
      <c r="AY316" s="423"/>
      <c r="AZ316" s="112"/>
      <c r="BA316" s="112"/>
      <c r="BB316" s="112"/>
      <c r="BC316" s="112"/>
      <c r="BD316" s="423"/>
      <c r="BE316" s="112"/>
      <c r="BF316" s="112"/>
      <c r="BG316" s="112"/>
      <c r="BH316" s="112"/>
      <c r="BI316" s="423"/>
      <c r="BJ316" s="112"/>
      <c r="BK316" s="112"/>
      <c r="BL316" s="112"/>
      <c r="BM316" s="112"/>
      <c r="BN316" s="423"/>
      <c r="BO316" s="112"/>
      <c r="BP316" s="112"/>
      <c r="BQ316" s="112"/>
      <c r="BR316" s="112"/>
      <c r="BS316" s="424"/>
      <c r="BT316" s="112"/>
      <c r="BU316" s="112"/>
      <c r="BV316" s="112"/>
      <c r="BW316" s="112"/>
      <c r="BX316" s="423"/>
      <c r="BY316" s="112"/>
      <c r="BZ316" s="112"/>
      <c r="CA316" s="112"/>
      <c r="CB316" s="112"/>
      <c r="CC316" s="423"/>
      <c r="CD316" s="423"/>
      <c r="CE316" s="423"/>
      <c r="CF316" s="423"/>
      <c r="CG316" s="109"/>
    </row>
    <row r="317" spans="1:85" ht="14.45" hidden="1" customHeight="1" x14ac:dyDescent="0.25">
      <c r="A317" s="135" t="s">
        <v>425</v>
      </c>
      <c r="B317" s="211"/>
      <c r="C317" s="423"/>
      <c r="D317" s="423"/>
      <c r="E317" s="423"/>
      <c r="F317" s="423"/>
      <c r="G317" s="112"/>
      <c r="H317" s="112"/>
      <c r="I317" s="112"/>
      <c r="J317" s="112"/>
      <c r="K317" s="423"/>
      <c r="L317" s="112"/>
      <c r="M317" s="112"/>
      <c r="N317" s="112"/>
      <c r="O317" s="112"/>
      <c r="P317" s="423"/>
      <c r="Q317" s="109">
        <f t="shared" ref="Q317:AV317" si="208">Q279</f>
        <v>16.901999999999987</v>
      </c>
      <c r="R317" s="109">
        <f t="shared" si="208"/>
        <v>38.316000000000003</v>
      </c>
      <c r="S317" s="109">
        <f t="shared" si="208"/>
        <v>27.685000000000059</v>
      </c>
      <c r="T317" s="109">
        <f t="shared" si="208"/>
        <v>15.241000000000213</v>
      </c>
      <c r="U317" s="421">
        <f t="shared" si="208"/>
        <v>98.144000000000119</v>
      </c>
      <c r="V317" s="109">
        <f t="shared" si="208"/>
        <v>12.40100000000001</v>
      </c>
      <c r="W317" s="109">
        <f t="shared" si="208"/>
        <v>54.73599999999999</v>
      </c>
      <c r="X317" s="109">
        <f t="shared" si="208"/>
        <v>39.801000000000045</v>
      </c>
      <c r="Y317" s="109">
        <f t="shared" si="208"/>
        <v>20.920999999999708</v>
      </c>
      <c r="Z317" s="421">
        <f t="shared" si="208"/>
        <v>127.85899999999992</v>
      </c>
      <c r="AA317" s="109">
        <f t="shared" si="208"/>
        <v>13.607999999999947</v>
      </c>
      <c r="AB317" s="109">
        <f t="shared" si="208"/>
        <v>47.312999999999874</v>
      </c>
      <c r="AC317" s="109">
        <f t="shared" si="208"/>
        <v>36.130000000000052</v>
      </c>
      <c r="AD317" s="109">
        <f t="shared" si="208"/>
        <v>-0.87200000000052569</v>
      </c>
      <c r="AE317" s="421">
        <f t="shared" si="208"/>
        <v>96.178999999999633</v>
      </c>
      <c r="AF317" s="109">
        <f t="shared" si="208"/>
        <v>-18.9969999999999</v>
      </c>
      <c r="AG317" s="109">
        <f t="shared" si="208"/>
        <v>19.678999999999974</v>
      </c>
      <c r="AH317" s="109">
        <f t="shared" si="208"/>
        <v>44.403999999999883</v>
      </c>
      <c r="AI317" s="109">
        <f t="shared" si="208"/>
        <v>12.815999999999349</v>
      </c>
      <c r="AJ317" s="421">
        <f t="shared" si="208"/>
        <v>57.901999999999589</v>
      </c>
      <c r="AK317" s="109">
        <f t="shared" si="208"/>
        <v>20.153999999999996</v>
      </c>
      <c r="AL317" s="109">
        <f t="shared" si="208"/>
        <v>67.214000000000112</v>
      </c>
      <c r="AM317" s="109">
        <f t="shared" si="208"/>
        <v>53.84600000000006</v>
      </c>
      <c r="AN317" s="109">
        <f t="shared" si="208"/>
        <v>39.539999999999736</v>
      </c>
      <c r="AO317" s="421">
        <f t="shared" si="208"/>
        <v>180.75399999999991</v>
      </c>
      <c r="AP317" s="109">
        <f t="shared" si="208"/>
        <v>32.82099999999997</v>
      </c>
      <c r="AQ317" s="109">
        <f t="shared" si="208"/>
        <v>83.117999999999938</v>
      </c>
      <c r="AR317" s="109">
        <f t="shared" si="208"/>
        <v>103.84399999999988</v>
      </c>
      <c r="AS317" s="109">
        <f t="shared" si="208"/>
        <v>93.595000000000027</v>
      </c>
      <c r="AT317" s="421">
        <f t="shared" si="208"/>
        <v>313.37800000000016</v>
      </c>
      <c r="AU317" s="109">
        <f t="shared" si="208"/>
        <v>94.183999999999969</v>
      </c>
      <c r="AV317" s="109">
        <f t="shared" si="208"/>
        <v>120.86100000000005</v>
      </c>
      <c r="AW317" s="109">
        <f t="shared" ref="AW317:BS317" si="209">AW279</f>
        <v>137.03100000000001</v>
      </c>
      <c r="AX317" s="109">
        <f t="shared" si="209"/>
        <v>87.0949999999998</v>
      </c>
      <c r="AY317" s="421">
        <f t="shared" si="209"/>
        <v>439.17099999999982</v>
      </c>
      <c r="AZ317" s="109">
        <f t="shared" si="209"/>
        <v>130.9849999999999</v>
      </c>
      <c r="BA317" s="109">
        <f t="shared" si="209"/>
        <v>147.29299999999989</v>
      </c>
      <c r="BB317" s="109">
        <f t="shared" si="209"/>
        <v>189.92999999999995</v>
      </c>
      <c r="BC317" s="109">
        <f t="shared" si="209"/>
        <v>172.83900000000017</v>
      </c>
      <c r="BD317" s="421">
        <f t="shared" si="209"/>
        <v>641.04700000000025</v>
      </c>
      <c r="BE317" s="109">
        <f t="shared" si="209"/>
        <v>206.05400000000009</v>
      </c>
      <c r="BF317" s="109">
        <f t="shared" si="209"/>
        <v>233.67000000000002</v>
      </c>
      <c r="BG317" s="109">
        <f t="shared" si="209"/>
        <v>216.26000000000016</v>
      </c>
      <c r="BH317" s="109">
        <f t="shared" si="209"/>
        <v>178.4670000000001</v>
      </c>
      <c r="BI317" s="421">
        <f t="shared" si="209"/>
        <v>834.45100000000025</v>
      </c>
      <c r="BJ317" s="109">
        <f t="shared" si="209"/>
        <v>215.40599999999995</v>
      </c>
      <c r="BK317" s="109">
        <f t="shared" si="209"/>
        <v>259.14000000000004</v>
      </c>
      <c r="BL317" s="109">
        <f t="shared" si="209"/>
        <v>227.05500000000006</v>
      </c>
      <c r="BM317" s="109">
        <f t="shared" si="209"/>
        <v>218.74900000000071</v>
      </c>
      <c r="BN317" s="421">
        <f t="shared" si="209"/>
        <v>920.35000000000014</v>
      </c>
      <c r="BO317" s="109">
        <f t="shared" si="209"/>
        <v>189.82000000000005</v>
      </c>
      <c r="BP317" s="109">
        <f t="shared" si="209"/>
        <v>272.08400000000012</v>
      </c>
      <c r="BQ317" s="109">
        <f t="shared" si="209"/>
        <v>246.63400000000007</v>
      </c>
      <c r="BR317" s="109">
        <f t="shared" si="209"/>
        <v>242.11799999999971</v>
      </c>
      <c r="BS317" s="422">
        <f t="shared" si="209"/>
        <v>950.65600000000018</v>
      </c>
      <c r="BT317" s="112"/>
      <c r="BU317" s="112"/>
      <c r="BV317" s="112"/>
      <c r="BW317" s="112"/>
      <c r="BX317" s="423"/>
      <c r="BY317" s="112"/>
      <c r="BZ317" s="112"/>
      <c r="CA317" s="112"/>
      <c r="CB317" s="112"/>
      <c r="CC317" s="423"/>
      <c r="CD317" s="423"/>
      <c r="CE317" s="423"/>
      <c r="CF317" s="423"/>
      <c r="CG317" s="109"/>
    </row>
    <row r="318" spans="1:85" ht="14.45" hidden="1" customHeight="1" x14ac:dyDescent="0.25">
      <c r="A318" s="125" t="s">
        <v>411</v>
      </c>
      <c r="B318" s="180"/>
      <c r="C318" s="413"/>
      <c r="D318" s="413"/>
      <c r="E318" s="413"/>
      <c r="F318" s="413"/>
      <c r="G318" s="63"/>
      <c r="H318" s="63"/>
      <c r="I318" s="63"/>
      <c r="J318" s="63"/>
      <c r="K318" s="413"/>
      <c r="L318" s="63"/>
      <c r="M318" s="63"/>
      <c r="N318" s="63"/>
      <c r="O318" s="63"/>
      <c r="P318" s="413"/>
      <c r="Q318" s="63"/>
      <c r="R318" s="98">
        <v>-2.6720000000000002</v>
      </c>
      <c r="S318" s="98">
        <v>-1.2969999999999999</v>
      </c>
      <c r="T318" s="98">
        <v>2.3679999999999999</v>
      </c>
      <c r="U318" s="410">
        <v>-3.3650000000000002</v>
      </c>
      <c r="V318" s="98">
        <v>-1.206</v>
      </c>
      <c r="W318" s="98">
        <v>-13.502000000000001</v>
      </c>
      <c r="X318" s="98">
        <v>-2.512</v>
      </c>
      <c r="Y318" s="98">
        <v>-5.1529999999999996</v>
      </c>
      <c r="Z318" s="410">
        <v>-22.373000000000001</v>
      </c>
      <c r="AA318" s="98">
        <v>-4.45</v>
      </c>
      <c r="AB318" s="98">
        <v>-15.32</v>
      </c>
      <c r="AC318" s="98">
        <v>-10.329000000000001</v>
      </c>
      <c r="AD318" s="98">
        <v>0.41499999999999998</v>
      </c>
      <c r="AE318" s="410">
        <v>-29.684000000000001</v>
      </c>
      <c r="AF318" s="63"/>
      <c r="AG318" s="63"/>
      <c r="AH318" s="63"/>
      <c r="AI318" s="63"/>
      <c r="AJ318" s="413"/>
      <c r="AK318" s="63"/>
      <c r="AL318" s="63"/>
      <c r="AM318" s="63"/>
      <c r="AN318" s="63"/>
      <c r="AO318" s="413"/>
      <c r="AP318" s="63"/>
      <c r="AQ318" s="63"/>
      <c r="AR318" s="63"/>
      <c r="AS318" s="63"/>
      <c r="AT318" s="413"/>
      <c r="AU318" s="63"/>
      <c r="AV318" s="63"/>
      <c r="AW318" s="63"/>
      <c r="AX318" s="63"/>
      <c r="AY318" s="413"/>
      <c r="AZ318" s="63"/>
      <c r="BA318" s="63"/>
      <c r="BB318" s="63"/>
      <c r="BC318" s="63"/>
      <c r="BD318" s="413"/>
      <c r="BE318" s="63"/>
      <c r="BF318" s="63"/>
      <c r="BG318" s="63"/>
      <c r="BH318" s="63"/>
      <c r="BI318" s="413"/>
      <c r="BJ318" s="63"/>
      <c r="BK318" s="63"/>
      <c r="BL318" s="63"/>
      <c r="BM318" s="63"/>
      <c r="BN318" s="413"/>
      <c r="BO318" s="63"/>
      <c r="BP318" s="63"/>
      <c r="BQ318" s="63"/>
      <c r="BR318" s="63"/>
      <c r="BS318" s="425"/>
      <c r="BT318" s="63"/>
      <c r="BU318" s="63"/>
      <c r="BV318" s="63"/>
      <c r="BW318" s="63"/>
      <c r="BX318" s="413"/>
      <c r="BY318" s="63"/>
      <c r="BZ318" s="63"/>
      <c r="CA318" s="63"/>
      <c r="CB318" s="63"/>
      <c r="CC318" s="413"/>
      <c r="CD318" s="413"/>
      <c r="CE318" s="413"/>
      <c r="CF318" s="413"/>
      <c r="CG318" s="99"/>
    </row>
    <row r="319" spans="1:85" ht="14.45" hidden="1" customHeight="1" x14ac:dyDescent="0.25">
      <c r="A319" s="125" t="s">
        <v>412</v>
      </c>
      <c r="B319" s="180"/>
      <c r="C319" s="413"/>
      <c r="D319" s="413"/>
      <c r="E319" s="413"/>
      <c r="F319" s="413"/>
      <c r="G319" s="63"/>
      <c r="H319" s="63"/>
      <c r="I319" s="63"/>
      <c r="J319" s="63"/>
      <c r="K319" s="413"/>
      <c r="L319" s="63"/>
      <c r="M319" s="63"/>
      <c r="N319" s="63"/>
      <c r="O319" s="63"/>
      <c r="P319" s="413"/>
      <c r="Q319" s="63"/>
      <c r="R319" s="98">
        <v>-2.395</v>
      </c>
      <c r="S319" s="98">
        <v>0.27700000000000002</v>
      </c>
      <c r="T319" s="98">
        <v>3.1E-2</v>
      </c>
      <c r="U319" s="410">
        <v>-3.222</v>
      </c>
      <c r="V319" s="63"/>
      <c r="W319" s="63"/>
      <c r="X319" s="63"/>
      <c r="Y319" s="98">
        <v>-11.538</v>
      </c>
      <c r="Z319" s="410">
        <v>-11.538</v>
      </c>
      <c r="AA319" s="63"/>
      <c r="AB319" s="63"/>
      <c r="AC319" s="63"/>
      <c r="AD319" s="63"/>
      <c r="AE319" s="413"/>
      <c r="AF319" s="63"/>
      <c r="AG319" s="63"/>
      <c r="AH319" s="63"/>
      <c r="AI319" s="63"/>
      <c r="AJ319" s="413"/>
      <c r="AK319" s="63"/>
      <c r="AL319" s="63"/>
      <c r="AM319" s="63"/>
      <c r="AN319" s="63"/>
      <c r="AO319" s="413"/>
      <c r="AP319" s="63"/>
      <c r="AQ319" s="63"/>
      <c r="AR319" s="63"/>
      <c r="AS319" s="63"/>
      <c r="AT319" s="413"/>
      <c r="AU319" s="63"/>
      <c r="AV319" s="63"/>
      <c r="AW319" s="63"/>
      <c r="AX319" s="63"/>
      <c r="AY319" s="413"/>
      <c r="AZ319" s="63"/>
      <c r="BA319" s="63"/>
      <c r="BB319" s="63"/>
      <c r="BC319" s="63"/>
      <c r="BD319" s="413"/>
      <c r="BE319" s="63"/>
      <c r="BF319" s="63"/>
      <c r="BG319" s="63"/>
      <c r="BH319" s="63"/>
      <c r="BI319" s="413"/>
      <c r="BJ319" s="63"/>
      <c r="BK319" s="63"/>
      <c r="BL319" s="63"/>
      <c r="BM319" s="63"/>
      <c r="BN319" s="413"/>
      <c r="BO319" s="63"/>
      <c r="BP319" s="63"/>
      <c r="BQ319" s="63"/>
      <c r="BR319" s="63"/>
      <c r="BS319" s="425"/>
      <c r="BT319" s="63"/>
      <c r="BU319" s="63"/>
      <c r="BV319" s="63"/>
      <c r="BW319" s="63"/>
      <c r="BX319" s="413"/>
      <c r="BY319" s="63"/>
      <c r="BZ319" s="63"/>
      <c r="CA319" s="63"/>
      <c r="CB319" s="63"/>
      <c r="CC319" s="413"/>
      <c r="CD319" s="413"/>
      <c r="CE319" s="413"/>
      <c r="CF319" s="413"/>
      <c r="CG319" s="99"/>
    </row>
    <row r="320" spans="1:85" ht="14.45" hidden="1" customHeight="1" x14ac:dyDescent="0.25">
      <c r="A320" s="125" t="s">
        <v>426</v>
      </c>
      <c r="B320" s="180"/>
      <c r="C320" s="413"/>
      <c r="D320" s="413"/>
      <c r="E320" s="413"/>
      <c r="F320" s="413"/>
      <c r="G320" s="63"/>
      <c r="H320" s="63"/>
      <c r="I320" s="63"/>
      <c r="J320" s="63"/>
      <c r="K320" s="413"/>
      <c r="L320" s="63"/>
      <c r="M320" s="63"/>
      <c r="N320" s="63"/>
      <c r="O320" s="63"/>
      <c r="P320" s="413"/>
      <c r="Q320" s="63"/>
      <c r="R320" s="98">
        <v>4.2519999999999998</v>
      </c>
      <c r="S320" s="98">
        <v>6.9470000000000001</v>
      </c>
      <c r="T320" s="98">
        <v>5.7889999999999997</v>
      </c>
      <c r="U320" s="410">
        <v>19.981999999999999</v>
      </c>
      <c r="V320" s="63"/>
      <c r="W320" s="63"/>
      <c r="X320" s="63"/>
      <c r="Y320" s="63"/>
      <c r="Z320" s="413"/>
      <c r="AA320" s="63"/>
      <c r="AB320" s="63"/>
      <c r="AC320" s="63"/>
      <c r="AD320" s="63"/>
      <c r="AE320" s="413"/>
      <c r="AF320" s="63"/>
      <c r="AG320" s="63"/>
      <c r="AH320" s="63"/>
      <c r="AI320" s="63"/>
      <c r="AJ320" s="413"/>
      <c r="AK320" s="63"/>
      <c r="AL320" s="63"/>
      <c r="AM320" s="63"/>
      <c r="AN320" s="63"/>
      <c r="AO320" s="413"/>
      <c r="AP320" s="63"/>
      <c r="AQ320" s="63"/>
      <c r="AR320" s="63"/>
      <c r="AS320" s="63"/>
      <c r="AT320" s="413"/>
      <c r="AU320" s="63"/>
      <c r="AV320" s="63"/>
      <c r="AW320" s="63"/>
      <c r="AX320" s="63"/>
      <c r="AY320" s="413"/>
      <c r="AZ320" s="63"/>
      <c r="BA320" s="63"/>
      <c r="BB320" s="63"/>
      <c r="BC320" s="63"/>
      <c r="BD320" s="413"/>
      <c r="BE320" s="63"/>
      <c r="BF320" s="63"/>
      <c r="BG320" s="63"/>
      <c r="BH320" s="63"/>
      <c r="BI320" s="413"/>
      <c r="BJ320" s="63"/>
      <c r="BK320" s="63"/>
      <c r="BL320" s="63"/>
      <c r="BM320" s="63"/>
      <c r="BN320" s="413"/>
      <c r="BO320" s="63"/>
      <c r="BP320" s="63"/>
      <c r="BQ320" s="63"/>
      <c r="BR320" s="63"/>
      <c r="BS320" s="425"/>
      <c r="BT320" s="63"/>
      <c r="BU320" s="63"/>
      <c r="BV320" s="63"/>
      <c r="BW320" s="63"/>
      <c r="BX320" s="413"/>
      <c r="BY320" s="63"/>
      <c r="BZ320" s="63"/>
      <c r="CA320" s="63"/>
      <c r="CB320" s="63"/>
      <c r="CC320" s="413"/>
      <c r="CD320" s="413"/>
      <c r="CE320" s="413"/>
      <c r="CF320" s="413"/>
      <c r="CG320" s="99"/>
    </row>
    <row r="321" spans="1:85" ht="14.45" hidden="1" customHeight="1" x14ac:dyDescent="0.25">
      <c r="A321" s="125" t="s">
        <v>413</v>
      </c>
      <c r="B321" s="180"/>
      <c r="C321" s="413"/>
      <c r="D321" s="413"/>
      <c r="E321" s="413"/>
      <c r="F321" s="413"/>
      <c r="G321" s="63"/>
      <c r="H321" s="63"/>
      <c r="I321" s="63"/>
      <c r="J321" s="63"/>
      <c r="K321" s="413"/>
      <c r="L321" s="63"/>
      <c r="M321" s="63"/>
      <c r="N321" s="63"/>
      <c r="O321" s="63"/>
      <c r="P321" s="413"/>
      <c r="Q321" s="63"/>
      <c r="R321" s="63"/>
      <c r="S321" s="63"/>
      <c r="T321" s="98">
        <v>-4.0220000000000002</v>
      </c>
      <c r="U321" s="410">
        <v>-4.0220000000000002</v>
      </c>
      <c r="V321" s="63"/>
      <c r="W321" s="63"/>
      <c r="X321" s="63"/>
      <c r="Y321" s="63"/>
      <c r="Z321" s="413"/>
      <c r="AA321" s="63"/>
      <c r="AB321" s="63"/>
      <c r="AC321" s="63"/>
      <c r="AD321" s="63"/>
      <c r="AE321" s="413"/>
      <c r="AF321" s="63"/>
      <c r="AG321" s="63"/>
      <c r="AH321" s="63"/>
      <c r="AI321" s="63"/>
      <c r="AJ321" s="413"/>
      <c r="AK321" s="63"/>
      <c r="AL321" s="63"/>
      <c r="AM321" s="63"/>
      <c r="AN321" s="63"/>
      <c r="AO321" s="413"/>
      <c r="AP321" s="63"/>
      <c r="AQ321" s="63"/>
      <c r="AR321" s="63"/>
      <c r="AS321" s="63"/>
      <c r="AT321" s="413"/>
      <c r="AU321" s="63"/>
      <c r="AV321" s="63"/>
      <c r="AW321" s="63"/>
      <c r="AX321" s="63"/>
      <c r="AY321" s="413"/>
      <c r="AZ321" s="63"/>
      <c r="BA321" s="63"/>
      <c r="BB321" s="63"/>
      <c r="BC321" s="63"/>
      <c r="BD321" s="413"/>
      <c r="BE321" s="63"/>
      <c r="BF321" s="63"/>
      <c r="BG321" s="63"/>
      <c r="BH321" s="63"/>
      <c r="BI321" s="413"/>
      <c r="BJ321" s="63"/>
      <c r="BK321" s="63"/>
      <c r="BL321" s="63"/>
      <c r="BM321" s="63"/>
      <c r="BN321" s="413"/>
      <c r="BO321" s="63"/>
      <c r="BP321" s="63"/>
      <c r="BQ321" s="63"/>
      <c r="BR321" s="63"/>
      <c r="BS321" s="425"/>
      <c r="BT321" s="63"/>
      <c r="BU321" s="63"/>
      <c r="BV321" s="63"/>
      <c r="BW321" s="63"/>
      <c r="BX321" s="413"/>
      <c r="BY321" s="63"/>
      <c r="BZ321" s="63"/>
      <c r="CA321" s="63"/>
      <c r="CB321" s="63"/>
      <c r="CC321" s="413"/>
      <c r="CD321" s="413"/>
      <c r="CE321" s="413"/>
      <c r="CF321" s="413"/>
      <c r="CG321" s="99"/>
    </row>
    <row r="322" spans="1:85" ht="14.45" hidden="1" customHeight="1" x14ac:dyDescent="0.25">
      <c r="A322" s="125" t="s">
        <v>427</v>
      </c>
      <c r="B322" s="180"/>
      <c r="C322" s="413"/>
      <c r="D322" s="413"/>
      <c r="E322" s="413"/>
      <c r="F322" s="413"/>
      <c r="G322" s="63"/>
      <c r="H322" s="63"/>
      <c r="I322" s="63"/>
      <c r="J322" s="63"/>
      <c r="K322" s="413"/>
      <c r="L322" s="63"/>
      <c r="M322" s="63"/>
      <c r="N322" s="63"/>
      <c r="O322" s="63"/>
      <c r="P322" s="413"/>
      <c r="Q322" s="63"/>
      <c r="R322" s="63"/>
      <c r="S322" s="63"/>
      <c r="T322" s="63"/>
      <c r="U322" s="413"/>
      <c r="V322" s="98">
        <v>4</v>
      </c>
      <c r="W322" s="63"/>
      <c r="X322" s="63"/>
      <c r="Y322" s="63"/>
      <c r="Z322" s="410">
        <v>4</v>
      </c>
      <c r="AA322" s="63"/>
      <c r="AB322" s="63"/>
      <c r="AC322" s="63"/>
      <c r="AD322" s="63"/>
      <c r="AE322" s="413"/>
      <c r="AF322" s="63"/>
      <c r="AG322" s="63"/>
      <c r="AH322" s="63"/>
      <c r="AI322" s="63"/>
      <c r="AJ322" s="413"/>
      <c r="AK322" s="63"/>
      <c r="AL322" s="63"/>
      <c r="AM322" s="63"/>
      <c r="AN322" s="63"/>
      <c r="AO322" s="413"/>
      <c r="AP322" s="63"/>
      <c r="AQ322" s="63"/>
      <c r="AR322" s="63"/>
      <c r="AS322" s="63"/>
      <c r="AT322" s="413"/>
      <c r="AU322" s="63"/>
      <c r="AV322" s="63"/>
      <c r="AW322" s="63"/>
      <c r="AX322" s="63"/>
      <c r="AY322" s="413"/>
      <c r="AZ322" s="63"/>
      <c r="BA322" s="63"/>
      <c r="BB322" s="63"/>
      <c r="BC322" s="63"/>
      <c r="BD322" s="413"/>
      <c r="BE322" s="63"/>
      <c r="BF322" s="63"/>
      <c r="BG322" s="63"/>
      <c r="BH322" s="63"/>
      <c r="BI322" s="413"/>
      <c r="BJ322" s="63"/>
      <c r="BK322" s="63"/>
      <c r="BL322" s="63"/>
      <c r="BM322" s="63"/>
      <c r="BN322" s="413"/>
      <c r="BO322" s="63"/>
      <c r="BP322" s="63"/>
      <c r="BQ322" s="63"/>
      <c r="BR322" s="63"/>
      <c r="BS322" s="425"/>
      <c r="BT322" s="63"/>
      <c r="BU322" s="63"/>
      <c r="BV322" s="63"/>
      <c r="BW322" s="63"/>
      <c r="BX322" s="413"/>
      <c r="BY322" s="63"/>
      <c r="BZ322" s="63"/>
      <c r="CA322" s="63"/>
      <c r="CB322" s="63"/>
      <c r="CC322" s="413"/>
      <c r="CD322" s="413"/>
      <c r="CE322" s="413"/>
      <c r="CF322" s="413"/>
      <c r="CG322" s="99"/>
    </row>
    <row r="323" spans="1:85" ht="14.45" hidden="1" customHeight="1" x14ac:dyDescent="0.25">
      <c r="A323" s="125" t="s">
        <v>428</v>
      </c>
      <c r="B323" s="180"/>
      <c r="C323" s="413"/>
      <c r="D323" s="413"/>
      <c r="E323" s="413"/>
      <c r="F323" s="413"/>
      <c r="G323" s="63"/>
      <c r="H323" s="63"/>
      <c r="I323" s="63"/>
      <c r="J323" s="63"/>
      <c r="K323" s="413"/>
      <c r="L323" s="63"/>
      <c r="M323" s="63"/>
      <c r="N323" s="63"/>
      <c r="O323" s="63"/>
      <c r="P323" s="413"/>
      <c r="Q323" s="63"/>
      <c r="R323" s="63"/>
      <c r="S323" s="63"/>
      <c r="T323" s="63"/>
      <c r="U323" s="413"/>
      <c r="V323" s="98">
        <v>-2.2130000000000001</v>
      </c>
      <c r="W323" s="98">
        <v>-1.105</v>
      </c>
      <c r="X323" s="98">
        <v>-1.6140000000000001</v>
      </c>
      <c r="Y323" s="98">
        <v>-2.5910000000000002</v>
      </c>
      <c r="Z323" s="410">
        <v>-7.5229999999999997</v>
      </c>
      <c r="AA323" s="63"/>
      <c r="AB323" s="63"/>
      <c r="AC323" s="63"/>
      <c r="AD323" s="63"/>
      <c r="AE323" s="413"/>
      <c r="AF323" s="63"/>
      <c r="AG323" s="63"/>
      <c r="AH323" s="63"/>
      <c r="AI323" s="63"/>
      <c r="AJ323" s="413"/>
      <c r="AK323" s="63"/>
      <c r="AL323" s="63"/>
      <c r="AM323" s="63"/>
      <c r="AN323" s="63"/>
      <c r="AO323" s="413"/>
      <c r="AP323" s="63"/>
      <c r="AQ323" s="63"/>
      <c r="AR323" s="63"/>
      <c r="AS323" s="63"/>
      <c r="AT323" s="413"/>
      <c r="AU323" s="63"/>
      <c r="AV323" s="63"/>
      <c r="AW323" s="63"/>
      <c r="AX323" s="63"/>
      <c r="AY323" s="413"/>
      <c r="AZ323" s="63"/>
      <c r="BA323" s="63"/>
      <c r="BB323" s="63"/>
      <c r="BC323" s="63"/>
      <c r="BD323" s="413"/>
      <c r="BE323" s="63"/>
      <c r="BF323" s="63"/>
      <c r="BG323" s="63"/>
      <c r="BH323" s="63"/>
      <c r="BI323" s="413"/>
      <c r="BJ323" s="63"/>
      <c r="BK323" s="63"/>
      <c r="BL323" s="63"/>
      <c r="BM323" s="63"/>
      <c r="BN323" s="413"/>
      <c r="BO323" s="63"/>
      <c r="BP323" s="63"/>
      <c r="BQ323" s="63"/>
      <c r="BR323" s="63"/>
      <c r="BS323" s="425"/>
      <c r="BT323" s="63"/>
      <c r="BU323" s="63"/>
      <c r="BV323" s="63"/>
      <c r="BW323" s="63"/>
      <c r="BX323" s="413"/>
      <c r="BY323" s="63"/>
      <c r="BZ323" s="63"/>
      <c r="CA323" s="63"/>
      <c r="CB323" s="63"/>
      <c r="CC323" s="413"/>
      <c r="CD323" s="413"/>
      <c r="CE323" s="413"/>
      <c r="CF323" s="413"/>
      <c r="CG323" s="99"/>
    </row>
    <row r="324" spans="1:85" ht="14.45" hidden="1" customHeight="1" x14ac:dyDescent="0.25">
      <c r="A324" s="125" t="s">
        <v>416</v>
      </c>
      <c r="B324" s="180"/>
      <c r="C324" s="413"/>
      <c r="D324" s="413"/>
      <c r="E324" s="413"/>
      <c r="F324" s="413"/>
      <c r="G324" s="63"/>
      <c r="H324" s="63"/>
      <c r="I324" s="63"/>
      <c r="J324" s="63"/>
      <c r="K324" s="413"/>
      <c r="L324" s="63"/>
      <c r="M324" s="63"/>
      <c r="N324" s="63"/>
      <c r="O324" s="63"/>
      <c r="P324" s="413"/>
      <c r="Q324" s="63"/>
      <c r="R324" s="63"/>
      <c r="S324" s="63"/>
      <c r="T324" s="63"/>
      <c r="U324" s="413"/>
      <c r="V324" s="98">
        <v>6.423</v>
      </c>
      <c r="W324" s="98">
        <v>7.0049999999999999</v>
      </c>
      <c r="X324" s="98">
        <v>9.7799999999999994</v>
      </c>
      <c r="Y324" s="98">
        <v>9.0660000000000007</v>
      </c>
      <c r="Z324" s="410">
        <v>32.274000000000001</v>
      </c>
      <c r="AA324" s="98">
        <v>7.6520000000000001</v>
      </c>
      <c r="AB324" s="98">
        <v>11.574</v>
      </c>
      <c r="AC324" s="98">
        <v>13.148</v>
      </c>
      <c r="AD324" s="98">
        <v>17.170999999999999</v>
      </c>
      <c r="AE324" s="410">
        <v>49.545000000000002</v>
      </c>
      <c r="AF324" s="98">
        <v>12.45</v>
      </c>
      <c r="AG324" s="98">
        <v>9.8710000000000004</v>
      </c>
      <c r="AH324" s="98">
        <v>10.417</v>
      </c>
      <c r="AI324" s="98">
        <v>10.598000000000001</v>
      </c>
      <c r="AJ324" s="410">
        <v>43.335999999999999</v>
      </c>
      <c r="AK324" s="98">
        <v>4.7300000000000004</v>
      </c>
      <c r="AL324" s="98">
        <v>2.1850000000000001</v>
      </c>
      <c r="AM324" s="63"/>
      <c r="AN324" s="63"/>
      <c r="AO324" s="410">
        <v>6.915</v>
      </c>
      <c r="AP324" s="63"/>
      <c r="AQ324" s="63"/>
      <c r="AR324" s="63"/>
      <c r="AS324" s="63"/>
      <c r="AT324" s="413"/>
      <c r="AU324" s="63"/>
      <c r="AV324" s="63"/>
      <c r="AW324" s="63"/>
      <c r="AX324" s="63"/>
      <c r="AY324" s="413"/>
      <c r="AZ324" s="63"/>
      <c r="BA324" s="63"/>
      <c r="BB324" s="63"/>
      <c r="BC324" s="63"/>
      <c r="BD324" s="413"/>
      <c r="BE324" s="63"/>
      <c r="BF324" s="63"/>
      <c r="BG324" s="63"/>
      <c r="BH324" s="63"/>
      <c r="BI324" s="413"/>
      <c r="BJ324" s="63"/>
      <c r="BK324" s="63"/>
      <c r="BL324" s="63"/>
      <c r="BM324" s="63"/>
      <c r="BN324" s="413"/>
      <c r="BO324" s="63"/>
      <c r="BP324" s="63"/>
      <c r="BQ324" s="63"/>
      <c r="BR324" s="63"/>
      <c r="BS324" s="425"/>
      <c r="BT324" s="63"/>
      <c r="BU324" s="63"/>
      <c r="BV324" s="63"/>
      <c r="BW324" s="63"/>
      <c r="BX324" s="413"/>
      <c r="BY324" s="63"/>
      <c r="BZ324" s="63"/>
      <c r="CA324" s="63"/>
      <c r="CB324" s="63"/>
      <c r="CC324" s="413"/>
      <c r="CD324" s="413"/>
      <c r="CE324" s="413"/>
      <c r="CF324" s="413"/>
      <c r="CG324" s="99"/>
    </row>
    <row r="325" spans="1:85" ht="14.45" hidden="1" customHeight="1" x14ac:dyDescent="0.25">
      <c r="A325" s="125" t="s">
        <v>422</v>
      </c>
      <c r="B325" s="180"/>
      <c r="C325" s="413"/>
      <c r="D325" s="413"/>
      <c r="E325" s="413"/>
      <c r="F325" s="413"/>
      <c r="G325" s="63"/>
      <c r="H325" s="63"/>
      <c r="I325" s="63"/>
      <c r="J325" s="63"/>
      <c r="K325" s="413"/>
      <c r="L325" s="63"/>
      <c r="M325" s="63"/>
      <c r="N325" s="63"/>
      <c r="O325" s="63"/>
      <c r="P325" s="413"/>
      <c r="Q325" s="63"/>
      <c r="R325" s="63"/>
      <c r="S325" s="63"/>
      <c r="T325" s="63"/>
      <c r="U325" s="413"/>
      <c r="V325" s="63"/>
      <c r="W325" s="63"/>
      <c r="X325" s="63"/>
      <c r="Y325" s="63"/>
      <c r="Z325" s="413"/>
      <c r="AA325" s="63"/>
      <c r="AB325" s="63"/>
      <c r="AC325" s="63"/>
      <c r="AD325" s="63"/>
      <c r="AE325" s="413"/>
      <c r="AF325" s="63"/>
      <c r="AG325" s="98">
        <v>4.8099999999999996</v>
      </c>
      <c r="AH325" s="63"/>
      <c r="AI325" s="98">
        <v>3.7450000000000001</v>
      </c>
      <c r="AJ325" s="410">
        <v>8.5549999999999997</v>
      </c>
      <c r="AK325" s="63"/>
      <c r="AL325" s="63"/>
      <c r="AM325" s="63"/>
      <c r="AN325" s="63"/>
      <c r="AO325" s="413"/>
      <c r="AP325" s="63"/>
      <c r="AQ325" s="63"/>
      <c r="AR325" s="63"/>
      <c r="AS325" s="63"/>
      <c r="AT325" s="413"/>
      <c r="AU325" s="63"/>
      <c r="AV325" s="63"/>
      <c r="AW325" s="63"/>
      <c r="AX325" s="63"/>
      <c r="AY325" s="413"/>
      <c r="AZ325" s="63"/>
      <c r="BA325" s="63"/>
      <c r="BB325" s="63"/>
      <c r="BC325" s="63"/>
      <c r="BD325" s="413"/>
      <c r="BE325" s="63"/>
      <c r="BF325" s="63"/>
      <c r="BG325" s="63"/>
      <c r="BH325" s="63"/>
      <c r="BI325" s="413"/>
      <c r="BJ325" s="63"/>
      <c r="BK325" s="63"/>
      <c r="BL325" s="63"/>
      <c r="BM325" s="63"/>
      <c r="BN325" s="413"/>
      <c r="BO325" s="63"/>
      <c r="BP325" s="63"/>
      <c r="BQ325" s="63"/>
      <c r="BR325" s="63"/>
      <c r="BS325" s="425"/>
      <c r="BT325" s="63"/>
      <c r="BU325" s="63"/>
      <c r="BV325" s="63"/>
      <c r="BW325" s="63"/>
      <c r="BX325" s="413"/>
      <c r="BY325" s="63"/>
      <c r="BZ325" s="63"/>
      <c r="CA325" s="63"/>
      <c r="CB325" s="63"/>
      <c r="CC325" s="413"/>
      <c r="CD325" s="413"/>
      <c r="CE325" s="413"/>
      <c r="CF325" s="413"/>
      <c r="CG325" s="99"/>
    </row>
    <row r="326" spans="1:85" ht="14.45" hidden="1" customHeight="1" x14ac:dyDescent="0.25">
      <c r="A326" s="125" t="s">
        <v>429</v>
      </c>
      <c r="B326" s="180"/>
      <c r="C326" s="413"/>
      <c r="D326" s="413"/>
      <c r="E326" s="413"/>
      <c r="F326" s="413"/>
      <c r="G326" s="63"/>
      <c r="H326" s="63"/>
      <c r="I326" s="63"/>
      <c r="J326" s="63"/>
      <c r="K326" s="413"/>
      <c r="L326" s="63"/>
      <c r="M326" s="63"/>
      <c r="N326" s="63"/>
      <c r="O326" s="63"/>
      <c r="P326" s="413"/>
      <c r="Q326" s="63"/>
      <c r="R326" s="63"/>
      <c r="S326" s="63"/>
      <c r="T326" s="63"/>
      <c r="U326" s="413"/>
      <c r="V326" s="63"/>
      <c r="W326" s="63"/>
      <c r="X326" s="63"/>
      <c r="Y326" s="63"/>
      <c r="Z326" s="413"/>
      <c r="AA326" s="63"/>
      <c r="AB326" s="98">
        <v>2.76</v>
      </c>
      <c r="AC326" s="98">
        <v>2.76</v>
      </c>
      <c r="AD326" s="98">
        <v>2.33</v>
      </c>
      <c r="AE326" s="410">
        <v>7.85</v>
      </c>
      <c r="AF326" s="63"/>
      <c r="AG326" s="63"/>
      <c r="AH326" s="63"/>
      <c r="AI326" s="63"/>
      <c r="AJ326" s="413"/>
      <c r="AK326" s="63"/>
      <c r="AL326" s="63"/>
      <c r="AM326" s="63"/>
      <c r="AN326" s="63"/>
      <c r="AO326" s="413"/>
      <c r="AP326" s="63"/>
      <c r="AQ326" s="63"/>
      <c r="AR326" s="63"/>
      <c r="AS326" s="63"/>
      <c r="AT326" s="413"/>
      <c r="AU326" s="63"/>
      <c r="AV326" s="63"/>
      <c r="AW326" s="63"/>
      <c r="AX326" s="63"/>
      <c r="AY326" s="413"/>
      <c r="AZ326" s="63"/>
      <c r="BA326" s="63"/>
      <c r="BB326" s="63"/>
      <c r="BC326" s="63"/>
      <c r="BD326" s="413"/>
      <c r="BE326" s="63"/>
      <c r="BF326" s="63"/>
      <c r="BG326" s="63"/>
      <c r="BH326" s="63"/>
      <c r="BI326" s="413"/>
      <c r="BJ326" s="63"/>
      <c r="BK326" s="63"/>
      <c r="BL326" s="63"/>
      <c r="BM326" s="63"/>
      <c r="BN326" s="413"/>
      <c r="BO326" s="63"/>
      <c r="BP326" s="63"/>
      <c r="BQ326" s="63"/>
      <c r="BR326" s="63"/>
      <c r="BS326" s="425"/>
      <c r="BT326" s="63"/>
      <c r="BU326" s="63"/>
      <c r="BV326" s="63"/>
      <c r="BW326" s="63"/>
      <c r="BX326" s="413"/>
      <c r="BY326" s="63"/>
      <c r="BZ326" s="63"/>
      <c r="CA326" s="63"/>
      <c r="CB326" s="63"/>
      <c r="CC326" s="413"/>
      <c r="CD326" s="413"/>
      <c r="CE326" s="413"/>
      <c r="CF326" s="413"/>
      <c r="CG326" s="99"/>
    </row>
    <row r="327" spans="1:85" ht="14.45" hidden="1" customHeight="1" x14ac:dyDescent="0.25">
      <c r="A327" s="125" t="s">
        <v>417</v>
      </c>
      <c r="B327" s="180"/>
      <c r="C327" s="413"/>
      <c r="D327" s="413"/>
      <c r="E327" s="413"/>
      <c r="F327" s="413"/>
      <c r="G327" s="63"/>
      <c r="H327" s="63"/>
      <c r="I327" s="63"/>
      <c r="J327" s="63"/>
      <c r="K327" s="413"/>
      <c r="L327" s="63"/>
      <c r="M327" s="63"/>
      <c r="N327" s="63"/>
      <c r="O327" s="63"/>
      <c r="P327" s="413"/>
      <c r="Q327" s="63"/>
      <c r="R327" s="63"/>
      <c r="S327" s="63"/>
      <c r="T327" s="63"/>
      <c r="U327" s="413"/>
      <c r="V327" s="63"/>
      <c r="W327" s="63"/>
      <c r="X327" s="63"/>
      <c r="Y327" s="63"/>
      <c r="Z327" s="413"/>
      <c r="AA327" s="63"/>
      <c r="AB327" s="63"/>
      <c r="AC327" s="63"/>
      <c r="AD327" s="63"/>
      <c r="AE327" s="413"/>
      <c r="AF327" s="63"/>
      <c r="AG327" s="63"/>
      <c r="AH327" s="63"/>
      <c r="AI327" s="63"/>
      <c r="AJ327" s="413"/>
      <c r="AK327" s="63"/>
      <c r="AL327" s="63"/>
      <c r="AM327" s="63"/>
      <c r="AN327" s="63"/>
      <c r="AO327" s="413"/>
      <c r="AP327" s="63"/>
      <c r="AQ327" s="63"/>
      <c r="AR327" s="63"/>
      <c r="AS327" s="98">
        <v>-7.3540000000000001</v>
      </c>
      <c r="AT327" s="410">
        <v>-7.3540000000000001</v>
      </c>
      <c r="AU327" s="63"/>
      <c r="AV327" s="63"/>
      <c r="AW327" s="63"/>
      <c r="AX327" s="63"/>
      <c r="AY327" s="413"/>
      <c r="AZ327" s="63"/>
      <c r="BA327" s="63"/>
      <c r="BB327" s="63"/>
      <c r="BC327" s="63"/>
      <c r="BD327" s="413"/>
      <c r="BE327" s="63"/>
      <c r="BF327" s="63"/>
      <c r="BG327" s="63"/>
      <c r="BH327" s="63"/>
      <c r="BI327" s="413"/>
      <c r="BJ327" s="63"/>
      <c r="BK327" s="63"/>
      <c r="BL327" s="63"/>
      <c r="BM327" s="63"/>
      <c r="BN327" s="413"/>
      <c r="BO327" s="63"/>
      <c r="BP327" s="63"/>
      <c r="BQ327" s="63"/>
      <c r="BR327" s="63"/>
      <c r="BS327" s="425"/>
      <c r="BT327" s="63"/>
      <c r="BU327" s="63"/>
      <c r="BV327" s="63"/>
      <c r="BW327" s="63"/>
      <c r="BX327" s="413"/>
      <c r="BY327" s="63"/>
      <c r="BZ327" s="63"/>
      <c r="CA327" s="63"/>
      <c r="CB327" s="63"/>
      <c r="CC327" s="413"/>
      <c r="CD327" s="413"/>
      <c r="CE327" s="413"/>
      <c r="CF327" s="413"/>
      <c r="CG327" s="99"/>
    </row>
    <row r="328" spans="1:85" ht="14.45" hidden="1" customHeight="1" x14ac:dyDescent="0.25">
      <c r="A328" s="125" t="s">
        <v>418</v>
      </c>
      <c r="B328" s="180"/>
      <c r="C328" s="413"/>
      <c r="D328" s="413"/>
      <c r="E328" s="413"/>
      <c r="F328" s="413"/>
      <c r="G328" s="63"/>
      <c r="H328" s="63"/>
      <c r="I328" s="63"/>
      <c r="J328" s="63"/>
      <c r="K328" s="413"/>
      <c r="L328" s="63"/>
      <c r="M328" s="63"/>
      <c r="N328" s="63"/>
      <c r="O328" s="63"/>
      <c r="P328" s="413"/>
      <c r="Q328" s="63"/>
      <c r="R328" s="98">
        <v>0.749</v>
      </c>
      <c r="S328" s="98">
        <v>2.13</v>
      </c>
      <c r="T328" s="98">
        <v>1.2030000000000001</v>
      </c>
      <c r="U328" s="410">
        <v>3.4390000000000001</v>
      </c>
      <c r="V328" s="98">
        <v>-1.04</v>
      </c>
      <c r="W328" s="98">
        <v>-2.77</v>
      </c>
      <c r="X328" s="98">
        <v>-0.38800000000000001</v>
      </c>
      <c r="Y328" s="98">
        <v>-0.53</v>
      </c>
      <c r="Z328" s="410">
        <v>-4.7279999999999998</v>
      </c>
      <c r="AA328" s="98">
        <v>-0.32700000000000001</v>
      </c>
      <c r="AB328" s="98">
        <v>1.1870000000000001</v>
      </c>
      <c r="AC328" s="98">
        <v>-3.4009999999999998</v>
      </c>
      <c r="AD328" s="98">
        <v>-0.58899999999999997</v>
      </c>
      <c r="AE328" s="410">
        <v>-3.13</v>
      </c>
      <c r="AF328" s="98">
        <v>2.9670000000000001</v>
      </c>
      <c r="AG328" s="98">
        <v>-0.29699999999999999</v>
      </c>
      <c r="AH328" s="98">
        <v>0.46899999999999997</v>
      </c>
      <c r="AI328" s="98">
        <v>11.586</v>
      </c>
      <c r="AJ328" s="410">
        <v>14.725</v>
      </c>
      <c r="AK328" s="98">
        <v>-6.62</v>
      </c>
      <c r="AL328" s="98">
        <v>4.9400000000000004</v>
      </c>
      <c r="AM328" s="98">
        <v>-0.41299999999999998</v>
      </c>
      <c r="AN328" s="98">
        <v>-8.0449999999999999</v>
      </c>
      <c r="AO328" s="410">
        <v>-10.138</v>
      </c>
      <c r="AP328" s="98">
        <v>3.8650000000000002</v>
      </c>
      <c r="AQ328" s="98">
        <v>-2.0710000000000002</v>
      </c>
      <c r="AR328" s="98">
        <v>-1.7689999999999999</v>
      </c>
      <c r="AS328" s="98">
        <v>-2.8119999999999998</v>
      </c>
      <c r="AT328" s="410">
        <v>-2.7869999999999999</v>
      </c>
      <c r="AU328" s="98">
        <v>-0.84799999999999998</v>
      </c>
      <c r="AV328" s="98">
        <v>-2.633</v>
      </c>
      <c r="AW328" s="98">
        <v>-4.22</v>
      </c>
      <c r="AX328" s="98">
        <v>2.46</v>
      </c>
      <c r="AY328" s="410">
        <v>-5.2409999999999997</v>
      </c>
      <c r="AZ328" s="98">
        <v>-13.718999999999999</v>
      </c>
      <c r="BA328" s="98">
        <v>12.664999999999999</v>
      </c>
      <c r="BB328" s="98">
        <v>3.6110000000000002</v>
      </c>
      <c r="BC328" s="98">
        <v>0.34899999999999998</v>
      </c>
      <c r="BD328" s="410">
        <v>2.9060000000000001</v>
      </c>
      <c r="BE328" s="98">
        <v>3.085</v>
      </c>
      <c r="BF328" s="98">
        <v>1.321</v>
      </c>
      <c r="BG328" s="98">
        <v>-0.67800000000000005</v>
      </c>
      <c r="BH328" s="98">
        <v>-2.6669999999999998</v>
      </c>
      <c r="BI328" s="410">
        <v>1.0609999999999999</v>
      </c>
      <c r="BJ328" s="98">
        <v>1.1990000000000001</v>
      </c>
      <c r="BK328" s="98">
        <v>-1.329</v>
      </c>
      <c r="BL328" s="98">
        <v>-0.79500000000000004</v>
      </c>
      <c r="BM328" s="98">
        <v>2.2000000000000002</v>
      </c>
      <c r="BN328" s="410">
        <v>1.2749999999999999</v>
      </c>
      <c r="BO328" s="98">
        <v>0.63400000000000001</v>
      </c>
      <c r="BP328" s="98">
        <v>-2.0089999999999999</v>
      </c>
      <c r="BQ328" s="98">
        <v>-0.29399999999999998</v>
      </c>
      <c r="BR328" s="98">
        <v>-5.8999999999999997E-2</v>
      </c>
      <c r="BS328" s="419">
        <v>-1.728</v>
      </c>
      <c r="BT328" s="63"/>
      <c r="BU328" s="63"/>
      <c r="BV328" s="63"/>
      <c r="BW328" s="63"/>
      <c r="BX328" s="413"/>
      <c r="BY328" s="63"/>
      <c r="BZ328" s="63"/>
      <c r="CA328" s="63"/>
      <c r="CB328" s="63"/>
      <c r="CC328" s="413"/>
      <c r="CD328" s="413"/>
      <c r="CE328" s="413"/>
      <c r="CF328" s="413"/>
      <c r="CG328" s="99"/>
    </row>
    <row r="329" spans="1:85" ht="14.45" hidden="1" customHeight="1" x14ac:dyDescent="0.25">
      <c r="A329" s="125" t="s">
        <v>423</v>
      </c>
      <c r="B329" s="180"/>
      <c r="C329" s="413"/>
      <c r="D329" s="413"/>
      <c r="E329" s="413"/>
      <c r="F329" s="413"/>
      <c r="G329" s="63"/>
      <c r="H329" s="63"/>
      <c r="I329" s="63"/>
      <c r="J329" s="63"/>
      <c r="K329" s="413"/>
      <c r="L329" s="63"/>
      <c r="M329" s="63"/>
      <c r="N329" s="63"/>
      <c r="O329" s="63"/>
      <c r="P329" s="413"/>
      <c r="Q329" s="63"/>
      <c r="R329" s="63"/>
      <c r="S329" s="63"/>
      <c r="T329" s="63"/>
      <c r="U329" s="413"/>
      <c r="V329" s="63"/>
      <c r="W329" s="63"/>
      <c r="X329" s="63"/>
      <c r="Y329" s="63"/>
      <c r="Z329" s="413"/>
      <c r="AA329" s="63"/>
      <c r="AB329" s="63"/>
      <c r="AC329" s="63"/>
      <c r="AD329" s="63"/>
      <c r="AE329" s="413"/>
      <c r="AF329" s="63"/>
      <c r="AG329" s="63"/>
      <c r="AH329" s="63"/>
      <c r="AI329" s="63"/>
      <c r="AJ329" s="413"/>
      <c r="AK329" s="98">
        <v>2.476</v>
      </c>
      <c r="AL329" s="98">
        <v>1.903</v>
      </c>
      <c r="AM329" s="98">
        <v>1.732</v>
      </c>
      <c r="AN329" s="98">
        <v>1.194</v>
      </c>
      <c r="AO329" s="410">
        <v>7.3049999999999997</v>
      </c>
      <c r="AP329" s="63"/>
      <c r="AQ329" s="63"/>
      <c r="AR329" s="63"/>
      <c r="AS329" s="63"/>
      <c r="AT329" s="413"/>
      <c r="AU329" s="63"/>
      <c r="AV329" s="63"/>
      <c r="AW329" s="63"/>
      <c r="AX329" s="63"/>
      <c r="AY329" s="413"/>
      <c r="AZ329" s="63"/>
      <c r="BA329" s="63"/>
      <c r="BB329" s="63"/>
      <c r="BC329" s="63"/>
      <c r="BD329" s="413"/>
      <c r="BE329" s="63"/>
      <c r="BF329" s="63"/>
      <c r="BG329" s="63"/>
      <c r="BH329" s="63"/>
      <c r="BI329" s="413"/>
      <c r="BJ329" s="63"/>
      <c r="BK329" s="63"/>
      <c r="BL329" s="63"/>
      <c r="BM329" s="63"/>
      <c r="BN329" s="413"/>
      <c r="BO329" s="63"/>
      <c r="BP329" s="63"/>
      <c r="BQ329" s="63"/>
      <c r="BR329" s="63"/>
      <c r="BS329" s="425"/>
      <c r="BT329" s="63"/>
      <c r="BU329" s="63"/>
      <c r="BV329" s="63"/>
      <c r="BW329" s="63"/>
      <c r="BX329" s="413"/>
      <c r="BY329" s="63"/>
      <c r="BZ329" s="63"/>
      <c r="CA329" s="63"/>
      <c r="CB329" s="63"/>
      <c r="CC329" s="413"/>
      <c r="CD329" s="413"/>
      <c r="CE329" s="413"/>
      <c r="CF329" s="413"/>
      <c r="CG329" s="99"/>
    </row>
    <row r="330" spans="1:85" ht="14.45" hidden="1" customHeight="1" x14ac:dyDescent="0.25">
      <c r="A330" s="130" t="s">
        <v>419</v>
      </c>
      <c r="B330" s="190"/>
      <c r="C330" s="415"/>
      <c r="D330" s="415"/>
      <c r="E330" s="415"/>
      <c r="F330" s="415"/>
      <c r="G330" s="158"/>
      <c r="H330" s="158"/>
      <c r="I330" s="158"/>
      <c r="J330" s="158"/>
      <c r="K330" s="415"/>
      <c r="L330" s="158"/>
      <c r="M330" s="158"/>
      <c r="N330" s="158"/>
      <c r="O330" s="158"/>
      <c r="P330" s="415"/>
      <c r="Q330" s="158"/>
      <c r="R330" s="158"/>
      <c r="S330" s="158"/>
      <c r="T330" s="158"/>
      <c r="U330" s="415"/>
      <c r="V330" s="158"/>
      <c r="W330" s="158"/>
      <c r="X330" s="158"/>
      <c r="Y330" s="158"/>
      <c r="Z330" s="415"/>
      <c r="AA330" s="158"/>
      <c r="AB330" s="158"/>
      <c r="AC330" s="158"/>
      <c r="AD330" s="158"/>
      <c r="AE330" s="415"/>
      <c r="AF330" s="158"/>
      <c r="AG330" s="158"/>
      <c r="AH330" s="158"/>
      <c r="AI330" s="158"/>
      <c r="AJ330" s="415"/>
      <c r="AK330" s="158"/>
      <c r="AL330" s="102">
        <v>1.294</v>
      </c>
      <c r="AM330" s="102">
        <v>3.581</v>
      </c>
      <c r="AN330" s="102">
        <v>5.702</v>
      </c>
      <c r="AO330" s="414">
        <v>10.577</v>
      </c>
      <c r="AP330" s="102">
        <v>7.6999999999999999E-2</v>
      </c>
      <c r="AQ330" s="102">
        <v>0.64100000000000001</v>
      </c>
      <c r="AR330" s="102">
        <v>3.1219999999999999</v>
      </c>
      <c r="AS330" s="102">
        <v>0.54800000000000004</v>
      </c>
      <c r="AT330" s="414">
        <v>4.3879999999999999</v>
      </c>
      <c r="AU330" s="102">
        <v>0.38200000000000001</v>
      </c>
      <c r="AV330" s="102">
        <v>2.48</v>
      </c>
      <c r="AW330" s="102">
        <v>4.3949999999999996</v>
      </c>
      <c r="AX330" s="102">
        <v>1.232</v>
      </c>
      <c r="AY330" s="414">
        <v>8.4890000000000008</v>
      </c>
      <c r="AZ330" s="102">
        <v>4.3999999999999997E-2</v>
      </c>
      <c r="BA330" s="102">
        <v>0.11700000000000001</v>
      </c>
      <c r="BB330" s="102">
        <v>0.375</v>
      </c>
      <c r="BC330" s="102">
        <v>7.0000000000000007E-2</v>
      </c>
      <c r="BD330" s="414">
        <v>0.60599999999999998</v>
      </c>
      <c r="BE330" s="158"/>
      <c r="BF330" s="158"/>
      <c r="BG330" s="158"/>
      <c r="BH330" s="158"/>
      <c r="BI330" s="415"/>
      <c r="BJ330" s="102">
        <v>0</v>
      </c>
      <c r="BK330" s="158"/>
      <c r="BL330" s="158"/>
      <c r="BM330" s="158"/>
      <c r="BN330" s="415"/>
      <c r="BO330" s="158"/>
      <c r="BP330" s="158"/>
      <c r="BQ330" s="158"/>
      <c r="BR330" s="158"/>
      <c r="BS330" s="470"/>
      <c r="BT330" s="158"/>
      <c r="BU330" s="158"/>
      <c r="BV330" s="158"/>
      <c r="BW330" s="158"/>
      <c r="BX330" s="415"/>
      <c r="BY330" s="158"/>
      <c r="BZ330" s="158"/>
      <c r="CA330" s="158"/>
      <c r="CB330" s="158"/>
      <c r="CC330" s="415"/>
      <c r="CD330" s="415"/>
      <c r="CE330" s="415"/>
      <c r="CF330" s="415"/>
      <c r="CG330" s="99"/>
    </row>
    <row r="331" spans="1:85" ht="14.45" hidden="1" customHeight="1" x14ac:dyDescent="0.25">
      <c r="A331" s="135" t="s">
        <v>430</v>
      </c>
      <c r="B331" s="211"/>
      <c r="C331" s="423"/>
      <c r="D331" s="423"/>
      <c r="E331" s="423"/>
      <c r="F331" s="423"/>
      <c r="G331" s="112"/>
      <c r="H331" s="112"/>
      <c r="I331" s="112"/>
      <c r="J331" s="112"/>
      <c r="K331" s="423"/>
      <c r="L331" s="112"/>
      <c r="M331" s="112"/>
      <c r="N331" s="112"/>
      <c r="O331" s="112"/>
      <c r="P331" s="423"/>
      <c r="Q331" s="112"/>
      <c r="R331" s="109">
        <f t="shared" ref="R331:AW331" si="210">SUM(R317:R330)</f>
        <v>38.250000000000007</v>
      </c>
      <c r="S331" s="109">
        <f t="shared" si="210"/>
        <v>35.742000000000061</v>
      </c>
      <c r="T331" s="109">
        <f t="shared" si="210"/>
        <v>20.610000000000209</v>
      </c>
      <c r="U331" s="421">
        <f t="shared" si="210"/>
        <v>110.95600000000013</v>
      </c>
      <c r="V331" s="109">
        <f t="shared" si="210"/>
        <v>18.365000000000009</v>
      </c>
      <c r="W331" s="109">
        <f t="shared" si="210"/>
        <v>44.36399999999999</v>
      </c>
      <c r="X331" s="109">
        <f t="shared" si="210"/>
        <v>45.06700000000005</v>
      </c>
      <c r="Y331" s="109">
        <f t="shared" si="210"/>
        <v>10.174999999999711</v>
      </c>
      <c r="Z331" s="421">
        <f t="shared" si="210"/>
        <v>117.97099999999993</v>
      </c>
      <c r="AA331" s="109">
        <f t="shared" si="210"/>
        <v>16.482999999999947</v>
      </c>
      <c r="AB331" s="109">
        <f t="shared" si="210"/>
        <v>47.513999999999868</v>
      </c>
      <c r="AC331" s="109">
        <f t="shared" si="210"/>
        <v>38.30800000000005</v>
      </c>
      <c r="AD331" s="109">
        <f t="shared" si="210"/>
        <v>18.454999999999472</v>
      </c>
      <c r="AE331" s="421">
        <f t="shared" si="210"/>
        <v>120.75999999999964</v>
      </c>
      <c r="AF331" s="109">
        <f t="shared" si="210"/>
        <v>-3.579999999999901</v>
      </c>
      <c r="AG331" s="109">
        <f t="shared" si="210"/>
        <v>34.062999999999981</v>
      </c>
      <c r="AH331" s="109">
        <f t="shared" si="210"/>
        <v>55.289999999999885</v>
      </c>
      <c r="AI331" s="109">
        <f t="shared" si="210"/>
        <v>38.744999999999351</v>
      </c>
      <c r="AJ331" s="421">
        <f t="shared" si="210"/>
        <v>124.51799999999957</v>
      </c>
      <c r="AK331" s="109">
        <f t="shared" si="210"/>
        <v>20.739999999999995</v>
      </c>
      <c r="AL331" s="109">
        <f t="shared" si="210"/>
        <v>77.536000000000115</v>
      </c>
      <c r="AM331" s="109">
        <f t="shared" si="210"/>
        <v>58.746000000000066</v>
      </c>
      <c r="AN331" s="109">
        <f t="shared" si="210"/>
        <v>38.390999999999735</v>
      </c>
      <c r="AO331" s="421">
        <f t="shared" si="210"/>
        <v>195.4129999999999</v>
      </c>
      <c r="AP331" s="109">
        <f t="shared" si="210"/>
        <v>36.76299999999997</v>
      </c>
      <c r="AQ331" s="109">
        <f t="shared" si="210"/>
        <v>81.687999999999946</v>
      </c>
      <c r="AR331" s="109">
        <f t="shared" si="210"/>
        <v>105.19699999999987</v>
      </c>
      <c r="AS331" s="109">
        <f t="shared" si="210"/>
        <v>83.977000000000032</v>
      </c>
      <c r="AT331" s="421">
        <f t="shared" si="210"/>
        <v>307.62500000000017</v>
      </c>
      <c r="AU331" s="109">
        <f t="shared" si="210"/>
        <v>93.717999999999975</v>
      </c>
      <c r="AV331" s="109">
        <f t="shared" si="210"/>
        <v>120.70800000000006</v>
      </c>
      <c r="AW331" s="109">
        <f t="shared" si="210"/>
        <v>137.20600000000002</v>
      </c>
      <c r="AX331" s="109">
        <f t="shared" ref="AX331:BS331" si="211">SUM(AX317:AX330)</f>
        <v>90.786999999999793</v>
      </c>
      <c r="AY331" s="421">
        <f t="shared" si="211"/>
        <v>442.41899999999981</v>
      </c>
      <c r="AZ331" s="109">
        <f t="shared" si="211"/>
        <v>117.3099999999999</v>
      </c>
      <c r="BA331" s="109">
        <f t="shared" si="211"/>
        <v>160.07499999999987</v>
      </c>
      <c r="BB331" s="109">
        <f t="shared" si="211"/>
        <v>193.91599999999994</v>
      </c>
      <c r="BC331" s="109">
        <f t="shared" si="211"/>
        <v>173.25800000000015</v>
      </c>
      <c r="BD331" s="421">
        <f t="shared" si="211"/>
        <v>644.5590000000002</v>
      </c>
      <c r="BE331" s="109">
        <f t="shared" si="211"/>
        <v>209.1390000000001</v>
      </c>
      <c r="BF331" s="109">
        <f t="shared" si="211"/>
        <v>234.99100000000001</v>
      </c>
      <c r="BG331" s="109">
        <f t="shared" si="211"/>
        <v>215.58200000000016</v>
      </c>
      <c r="BH331" s="109">
        <f t="shared" si="211"/>
        <v>175.8000000000001</v>
      </c>
      <c r="BI331" s="421">
        <f t="shared" si="211"/>
        <v>835.51200000000028</v>
      </c>
      <c r="BJ331" s="109">
        <f t="shared" si="211"/>
        <v>216.60499999999996</v>
      </c>
      <c r="BK331" s="109">
        <f t="shared" si="211"/>
        <v>257.81100000000004</v>
      </c>
      <c r="BL331" s="109">
        <f t="shared" si="211"/>
        <v>226.26000000000008</v>
      </c>
      <c r="BM331" s="109">
        <f t="shared" si="211"/>
        <v>220.94900000000069</v>
      </c>
      <c r="BN331" s="421">
        <f t="shared" si="211"/>
        <v>921.62500000000011</v>
      </c>
      <c r="BO331" s="109">
        <f t="shared" si="211"/>
        <v>190.45400000000004</v>
      </c>
      <c r="BP331" s="109">
        <f t="shared" si="211"/>
        <v>270.0750000000001</v>
      </c>
      <c r="BQ331" s="109">
        <f t="shared" si="211"/>
        <v>246.34000000000006</v>
      </c>
      <c r="BR331" s="109">
        <f t="shared" si="211"/>
        <v>242.05899999999971</v>
      </c>
      <c r="BS331" s="422">
        <f t="shared" si="211"/>
        <v>948.92800000000022</v>
      </c>
      <c r="BT331" s="112"/>
      <c r="BU331" s="112"/>
      <c r="BV331" s="112"/>
      <c r="BW331" s="112"/>
      <c r="BX331" s="423"/>
      <c r="BY331" s="112"/>
      <c r="BZ331" s="112"/>
      <c r="CA331" s="112"/>
      <c r="CB331" s="112"/>
      <c r="CC331" s="423"/>
      <c r="CD331" s="423"/>
      <c r="CE331" s="423"/>
      <c r="CF331" s="423"/>
      <c r="CG331" s="109"/>
    </row>
    <row r="332" spans="1:85" ht="14.45" hidden="1" customHeight="1" x14ac:dyDescent="0.25">
      <c r="A332" s="111"/>
      <c r="B332" s="211"/>
      <c r="C332" s="423"/>
      <c r="D332" s="423"/>
      <c r="E332" s="423"/>
      <c r="F332" s="423"/>
      <c r="G332" s="112"/>
      <c r="H332" s="112"/>
      <c r="I332" s="112"/>
      <c r="J332" s="112"/>
      <c r="K332" s="423"/>
      <c r="L332" s="112"/>
      <c r="M332" s="112"/>
      <c r="N332" s="112"/>
      <c r="O332" s="112"/>
      <c r="P332" s="423"/>
      <c r="Q332" s="112"/>
      <c r="R332" s="112"/>
      <c r="S332" s="112"/>
      <c r="T332" s="112"/>
      <c r="U332" s="423"/>
      <c r="V332" s="112"/>
      <c r="W332" s="112"/>
      <c r="X332" s="112"/>
      <c r="Y332" s="112"/>
      <c r="Z332" s="423"/>
      <c r="AA332" s="112"/>
      <c r="AB332" s="112"/>
      <c r="AC332" s="112"/>
      <c r="AD332" s="112"/>
      <c r="AE332" s="423"/>
      <c r="AF332" s="112"/>
      <c r="AG332" s="112"/>
      <c r="AH332" s="112"/>
      <c r="AI332" s="112"/>
      <c r="AJ332" s="423"/>
      <c r="AK332" s="112"/>
      <c r="AL332" s="112"/>
      <c r="AM332" s="112"/>
      <c r="AN332" s="112"/>
      <c r="AO332" s="423"/>
      <c r="AP332" s="112"/>
      <c r="AQ332" s="112"/>
      <c r="AR332" s="112"/>
      <c r="AS332" s="112"/>
      <c r="AT332" s="423"/>
      <c r="AU332" s="112"/>
      <c r="AV332" s="112"/>
      <c r="AW332" s="112"/>
      <c r="AX332" s="112"/>
      <c r="AY332" s="423"/>
      <c r="AZ332" s="112"/>
      <c r="BA332" s="112"/>
      <c r="BB332" s="112"/>
      <c r="BC332" s="112"/>
      <c r="BD332" s="423"/>
      <c r="BE332" s="112"/>
      <c r="BF332" s="112"/>
      <c r="BG332" s="112"/>
      <c r="BH332" s="112"/>
      <c r="BI332" s="423"/>
      <c r="BJ332" s="112"/>
      <c r="BK332" s="112"/>
      <c r="BL332" s="112"/>
      <c r="BM332" s="112"/>
      <c r="BN332" s="423"/>
      <c r="BO332" s="112"/>
      <c r="BP332" s="112"/>
      <c r="BQ332" s="112"/>
      <c r="BR332" s="112"/>
      <c r="BS332" s="424"/>
      <c r="BT332" s="112"/>
      <c r="BU332" s="112"/>
      <c r="BV332" s="112"/>
      <c r="BW332" s="112"/>
      <c r="BX332" s="423"/>
      <c r="BY332" s="112"/>
      <c r="BZ332" s="112"/>
      <c r="CA332" s="112"/>
      <c r="CB332" s="112"/>
      <c r="CC332" s="423"/>
      <c r="CD332" s="423"/>
      <c r="CE332" s="423"/>
      <c r="CF332" s="423"/>
      <c r="CG332" s="109"/>
    </row>
    <row r="333" spans="1:85" ht="14.45" hidden="1" customHeight="1" x14ac:dyDescent="0.25">
      <c r="A333" s="135" t="s">
        <v>431</v>
      </c>
      <c r="B333" s="211"/>
      <c r="C333" s="423"/>
      <c r="D333" s="423"/>
      <c r="E333" s="423"/>
      <c r="F333" s="423"/>
      <c r="G333" s="112"/>
      <c r="H333" s="112"/>
      <c r="I333" s="112"/>
      <c r="J333" s="112"/>
      <c r="K333" s="423"/>
      <c r="L333" s="112"/>
      <c r="M333" s="112"/>
      <c r="N333" s="112"/>
      <c r="O333" s="112"/>
      <c r="P333" s="423"/>
      <c r="Q333" s="109">
        <f t="shared" ref="Q333:AV333" si="212">Q286</f>
        <v>4.4659999999999851</v>
      </c>
      <c r="R333" s="109">
        <f t="shared" si="212"/>
        <v>46.483000000000004</v>
      </c>
      <c r="S333" s="109">
        <f t="shared" si="212"/>
        <v>39.658000000000058</v>
      </c>
      <c r="T333" s="109">
        <f t="shared" si="212"/>
        <v>8.5150000000002155</v>
      </c>
      <c r="U333" s="421">
        <f t="shared" si="212"/>
        <v>99.122000000000128</v>
      </c>
      <c r="V333" s="109">
        <f t="shared" si="212"/>
        <v>-14.11099999999999</v>
      </c>
      <c r="W333" s="109">
        <f t="shared" si="212"/>
        <v>27.961999999999989</v>
      </c>
      <c r="X333" s="109">
        <f t="shared" si="212"/>
        <v>38.674000000000049</v>
      </c>
      <c r="Y333" s="109">
        <f t="shared" si="212"/>
        <v>40.186999999999706</v>
      </c>
      <c r="Z333" s="421">
        <f t="shared" si="212"/>
        <v>92.711999999999932</v>
      </c>
      <c r="AA333" s="109">
        <f t="shared" si="212"/>
        <v>-8.1080000000000538</v>
      </c>
      <c r="AB333" s="109">
        <f t="shared" si="212"/>
        <v>11.323999999999877</v>
      </c>
      <c r="AC333" s="109">
        <f t="shared" si="212"/>
        <v>30.659000000000052</v>
      </c>
      <c r="AD333" s="109">
        <f t="shared" si="212"/>
        <v>29.130999999999478</v>
      </c>
      <c r="AE333" s="421">
        <f t="shared" si="212"/>
        <v>63.005999999999631</v>
      </c>
      <c r="AF333" s="109">
        <f t="shared" si="212"/>
        <v>-26.532999999999902</v>
      </c>
      <c r="AG333" s="109">
        <f t="shared" si="212"/>
        <v>-2.8830000000000258</v>
      </c>
      <c r="AH333" s="109">
        <f t="shared" si="212"/>
        <v>43.442999999999884</v>
      </c>
      <c r="AI333" s="109">
        <f t="shared" si="212"/>
        <v>-27.314000000000654</v>
      </c>
      <c r="AJ333" s="421">
        <f t="shared" si="212"/>
        <v>-13.287000000000413</v>
      </c>
      <c r="AK333" s="109">
        <f t="shared" si="212"/>
        <v>-8.5830000000000037</v>
      </c>
      <c r="AL333" s="109">
        <f t="shared" si="212"/>
        <v>24.038000000000114</v>
      </c>
      <c r="AM333" s="109">
        <f t="shared" si="212"/>
        <v>22.170000000000059</v>
      </c>
      <c r="AN333" s="109">
        <f t="shared" si="212"/>
        <v>-3.4000000000002686</v>
      </c>
      <c r="AO333" s="421">
        <f t="shared" si="212"/>
        <v>34.224999999999895</v>
      </c>
      <c r="AP333" s="109">
        <f t="shared" si="212"/>
        <v>20.961999999999968</v>
      </c>
      <c r="AQ333" s="109">
        <f t="shared" si="212"/>
        <v>57.79999999999994</v>
      </c>
      <c r="AR333" s="109">
        <f t="shared" si="212"/>
        <v>73.416999999999888</v>
      </c>
      <c r="AS333" s="109">
        <f t="shared" si="212"/>
        <v>88.861000000000033</v>
      </c>
      <c r="AT333" s="421">
        <f t="shared" si="212"/>
        <v>241.04000000000013</v>
      </c>
      <c r="AU333" s="109">
        <f t="shared" si="212"/>
        <v>73.382999999999981</v>
      </c>
      <c r="AV333" s="109">
        <f t="shared" si="212"/>
        <v>65.455000000000055</v>
      </c>
      <c r="AW333" s="109">
        <f t="shared" ref="AW333:BS333" si="213">AW286</f>
        <v>93.951999999999998</v>
      </c>
      <c r="AX333" s="109">
        <f t="shared" si="213"/>
        <v>22.358999999999796</v>
      </c>
      <c r="AY333" s="421">
        <f t="shared" si="213"/>
        <v>255.1489999999998</v>
      </c>
      <c r="AZ333" s="109">
        <f t="shared" si="213"/>
        <v>126.5649999999999</v>
      </c>
      <c r="BA333" s="109">
        <f t="shared" si="213"/>
        <v>133.94799999999989</v>
      </c>
      <c r="BB333" s="109">
        <f t="shared" si="213"/>
        <v>159.10099999999994</v>
      </c>
      <c r="BC333" s="109">
        <f t="shared" si="213"/>
        <v>155.47300000000016</v>
      </c>
      <c r="BD333" s="421">
        <f t="shared" si="213"/>
        <v>575.08700000000022</v>
      </c>
      <c r="BE333" s="109">
        <f t="shared" si="213"/>
        <v>159.20200000000008</v>
      </c>
      <c r="BF333" s="109">
        <f t="shared" si="213"/>
        <v>164.75200000000001</v>
      </c>
      <c r="BG333" s="109">
        <f t="shared" si="213"/>
        <v>120.98400000000017</v>
      </c>
      <c r="BH333" s="109">
        <f t="shared" si="213"/>
        <v>112.54300000000008</v>
      </c>
      <c r="BI333" s="421">
        <f t="shared" si="213"/>
        <v>557.48100000000022</v>
      </c>
      <c r="BJ333" s="109">
        <f t="shared" si="213"/>
        <v>222.83499999999995</v>
      </c>
      <c r="BK333" s="109">
        <f t="shared" si="213"/>
        <v>232.22500000000005</v>
      </c>
      <c r="BL333" s="109">
        <f t="shared" si="213"/>
        <v>155.56300000000005</v>
      </c>
      <c r="BM333" s="109">
        <f t="shared" si="213"/>
        <v>246.03100000000069</v>
      </c>
      <c r="BN333" s="421">
        <f t="shared" si="213"/>
        <v>856.65400000000022</v>
      </c>
      <c r="BO333" s="109">
        <f t="shared" si="213"/>
        <v>139.47300000000007</v>
      </c>
      <c r="BP333" s="109">
        <f t="shared" si="213"/>
        <v>252.99200000000013</v>
      </c>
      <c r="BQ333" s="109">
        <f t="shared" si="213"/>
        <v>192.23000000000008</v>
      </c>
      <c r="BR333" s="109">
        <f t="shared" si="213"/>
        <v>188.22299999999973</v>
      </c>
      <c r="BS333" s="422">
        <f t="shared" si="213"/>
        <v>772.91800000000012</v>
      </c>
      <c r="BT333" s="112"/>
      <c r="BU333" s="112"/>
      <c r="BV333" s="112"/>
      <c r="BW333" s="112"/>
      <c r="BX333" s="423"/>
      <c r="BY333" s="112"/>
      <c r="BZ333" s="112"/>
      <c r="CA333" s="112"/>
      <c r="CB333" s="112"/>
      <c r="CC333" s="423"/>
      <c r="CD333" s="423"/>
      <c r="CE333" s="423"/>
      <c r="CF333" s="423"/>
      <c r="CG333" s="109"/>
    </row>
    <row r="334" spans="1:85" ht="14.45" hidden="1" customHeight="1" x14ac:dyDescent="0.25">
      <c r="A334" s="125" t="s">
        <v>411</v>
      </c>
      <c r="B334" s="180"/>
      <c r="C334" s="413"/>
      <c r="D334" s="413"/>
      <c r="E334" s="413"/>
      <c r="F334" s="413"/>
      <c r="G334" s="63"/>
      <c r="H334" s="63"/>
      <c r="I334" s="63"/>
      <c r="J334" s="63"/>
      <c r="K334" s="413"/>
      <c r="L334" s="63"/>
      <c r="M334" s="63"/>
      <c r="N334" s="63"/>
      <c r="O334" s="63"/>
      <c r="P334" s="413"/>
      <c r="Q334" s="63"/>
      <c r="R334" s="98">
        <v>-2.6720000000000002</v>
      </c>
      <c r="S334" s="98">
        <v>-1.2969999999999999</v>
      </c>
      <c r="T334" s="98">
        <v>2.3679999999999999</v>
      </c>
      <c r="U334" s="410">
        <v>-3.3650000000000002</v>
      </c>
      <c r="V334" s="98">
        <v>-1.206</v>
      </c>
      <c r="W334" s="98">
        <v>-13.502000000000001</v>
      </c>
      <c r="X334" s="98">
        <v>-2.512</v>
      </c>
      <c r="Y334" s="98">
        <v>-5.1529999999999996</v>
      </c>
      <c r="Z334" s="410">
        <v>-22.373000000000001</v>
      </c>
      <c r="AA334" s="98">
        <v>-4.45</v>
      </c>
      <c r="AB334" s="98">
        <v>-15.32</v>
      </c>
      <c r="AC334" s="98">
        <v>-10.329000000000001</v>
      </c>
      <c r="AD334" s="98">
        <v>0.41499999999999998</v>
      </c>
      <c r="AE334" s="410">
        <v>-29.684000000000001</v>
      </c>
      <c r="AF334" s="63"/>
      <c r="AG334" s="63"/>
      <c r="AH334" s="63"/>
      <c r="AI334" s="63"/>
      <c r="AJ334" s="413"/>
      <c r="AK334" s="63"/>
      <c r="AL334" s="63"/>
      <c r="AM334" s="63"/>
      <c r="AN334" s="63"/>
      <c r="AO334" s="413"/>
      <c r="AP334" s="63"/>
      <c r="AQ334" s="63"/>
      <c r="AR334" s="63"/>
      <c r="AS334" s="63"/>
      <c r="AT334" s="413"/>
      <c r="AU334" s="63"/>
      <c r="AV334" s="63"/>
      <c r="AW334" s="63"/>
      <c r="AX334" s="63"/>
      <c r="AY334" s="413"/>
      <c r="AZ334" s="63"/>
      <c r="BA334" s="63"/>
      <c r="BB334" s="63"/>
      <c r="BC334" s="63"/>
      <c r="BD334" s="413"/>
      <c r="BE334" s="63"/>
      <c r="BF334" s="63"/>
      <c r="BG334" s="63"/>
      <c r="BH334" s="63"/>
      <c r="BI334" s="413"/>
      <c r="BJ334" s="63"/>
      <c r="BK334" s="63"/>
      <c r="BL334" s="63"/>
      <c r="BM334" s="63"/>
      <c r="BN334" s="413"/>
      <c r="BO334" s="63"/>
      <c r="BP334" s="63"/>
      <c r="BQ334" s="63"/>
      <c r="BR334" s="63"/>
      <c r="BS334" s="425"/>
      <c r="BT334" s="63"/>
      <c r="BU334" s="63"/>
      <c r="BV334" s="63"/>
      <c r="BW334" s="63"/>
      <c r="BX334" s="413"/>
      <c r="BY334" s="63"/>
      <c r="BZ334" s="63"/>
      <c r="CA334" s="63"/>
      <c r="CB334" s="63"/>
      <c r="CC334" s="413"/>
      <c r="CD334" s="413"/>
      <c r="CE334" s="413"/>
      <c r="CF334" s="413"/>
      <c r="CG334" s="99"/>
    </row>
    <row r="335" spans="1:85" ht="14.45" hidden="1" customHeight="1" x14ac:dyDescent="0.25">
      <c r="A335" s="125" t="s">
        <v>412</v>
      </c>
      <c r="B335" s="180"/>
      <c r="C335" s="413"/>
      <c r="D335" s="413"/>
      <c r="E335" s="413"/>
      <c r="F335" s="413"/>
      <c r="G335" s="63"/>
      <c r="H335" s="63"/>
      <c r="I335" s="63"/>
      <c r="J335" s="63"/>
      <c r="K335" s="413"/>
      <c r="L335" s="63"/>
      <c r="M335" s="63"/>
      <c r="N335" s="63"/>
      <c r="O335" s="63"/>
      <c r="P335" s="413"/>
      <c r="Q335" s="63"/>
      <c r="R335" s="98">
        <v>-2.395</v>
      </c>
      <c r="S335" s="98">
        <v>0.27700000000000002</v>
      </c>
      <c r="T335" s="98">
        <v>3.1E-2</v>
      </c>
      <c r="U335" s="410">
        <v>-3.222</v>
      </c>
      <c r="V335" s="63"/>
      <c r="W335" s="63"/>
      <c r="X335" s="63"/>
      <c r="Y335" s="98">
        <v>-11.538</v>
      </c>
      <c r="Z335" s="410">
        <v>-11.538</v>
      </c>
      <c r="AA335" s="63"/>
      <c r="AB335" s="63"/>
      <c r="AC335" s="63"/>
      <c r="AD335" s="63"/>
      <c r="AE335" s="413"/>
      <c r="AF335" s="63"/>
      <c r="AG335" s="63"/>
      <c r="AH335" s="63"/>
      <c r="AI335" s="63"/>
      <c r="AJ335" s="413"/>
      <c r="AK335" s="63"/>
      <c r="AL335" s="63"/>
      <c r="AM335" s="63"/>
      <c r="AN335" s="63"/>
      <c r="AO335" s="413"/>
      <c r="AP335" s="63"/>
      <c r="AQ335" s="63"/>
      <c r="AR335" s="63"/>
      <c r="AS335" s="63"/>
      <c r="AT335" s="413"/>
      <c r="AU335" s="63"/>
      <c r="AV335" s="63"/>
      <c r="AW335" s="63"/>
      <c r="AX335" s="63"/>
      <c r="AY335" s="413"/>
      <c r="AZ335" s="63"/>
      <c r="BA335" s="63"/>
      <c r="BB335" s="63"/>
      <c r="BC335" s="63"/>
      <c r="BD335" s="413"/>
      <c r="BE335" s="63"/>
      <c r="BF335" s="63"/>
      <c r="BG335" s="63"/>
      <c r="BH335" s="63"/>
      <c r="BI335" s="413"/>
      <c r="BJ335" s="63"/>
      <c r="BK335" s="63"/>
      <c r="BL335" s="63"/>
      <c r="BM335" s="63"/>
      <c r="BN335" s="413"/>
      <c r="BO335" s="63"/>
      <c r="BP335" s="63"/>
      <c r="BQ335" s="63"/>
      <c r="BR335" s="63"/>
      <c r="BS335" s="425"/>
      <c r="BT335" s="63"/>
      <c r="BU335" s="63"/>
      <c r="BV335" s="63"/>
      <c r="BW335" s="63"/>
      <c r="BX335" s="413"/>
      <c r="BY335" s="63"/>
      <c r="BZ335" s="63"/>
      <c r="CA335" s="63"/>
      <c r="CB335" s="63"/>
      <c r="CC335" s="413"/>
      <c r="CD335" s="413"/>
      <c r="CE335" s="413"/>
      <c r="CF335" s="413"/>
      <c r="CG335" s="99"/>
    </row>
    <row r="336" spans="1:85" ht="14.45" hidden="1" customHeight="1" x14ac:dyDescent="0.25">
      <c r="A336" s="125" t="s">
        <v>432</v>
      </c>
      <c r="B336" s="180"/>
      <c r="C336" s="413"/>
      <c r="D336" s="413"/>
      <c r="E336" s="413"/>
      <c r="F336" s="413"/>
      <c r="G336" s="63"/>
      <c r="H336" s="63"/>
      <c r="I336" s="63"/>
      <c r="J336" s="63"/>
      <c r="K336" s="413"/>
      <c r="L336" s="63"/>
      <c r="M336" s="63"/>
      <c r="N336" s="63"/>
      <c r="O336" s="63"/>
      <c r="P336" s="413"/>
      <c r="Q336" s="63"/>
      <c r="R336" s="63"/>
      <c r="S336" s="63"/>
      <c r="T336" s="63"/>
      <c r="U336" s="413"/>
      <c r="V336" s="63"/>
      <c r="W336" s="63"/>
      <c r="X336" s="63"/>
      <c r="Y336" s="63"/>
      <c r="Z336" s="413"/>
      <c r="AA336" s="63"/>
      <c r="AB336" s="98">
        <v>9.4420000000000002</v>
      </c>
      <c r="AC336" s="63"/>
      <c r="AD336" s="98">
        <v>-2.4460000000000002</v>
      </c>
      <c r="AE336" s="410">
        <v>6.9960000000000004</v>
      </c>
      <c r="AF336" s="63"/>
      <c r="AG336" s="63"/>
      <c r="AH336" s="63"/>
      <c r="AI336" s="63"/>
      <c r="AJ336" s="413"/>
      <c r="AK336" s="63"/>
      <c r="AL336" s="63"/>
      <c r="AM336" s="63"/>
      <c r="AN336" s="63"/>
      <c r="AO336" s="413"/>
      <c r="AP336" s="63"/>
      <c r="AQ336" s="63"/>
      <c r="AR336" s="63"/>
      <c r="AS336" s="63"/>
      <c r="AT336" s="413"/>
      <c r="AU336" s="63"/>
      <c r="AV336" s="63"/>
      <c r="AW336" s="63"/>
      <c r="AX336" s="63"/>
      <c r="AY336" s="413"/>
      <c r="AZ336" s="63"/>
      <c r="BA336" s="63"/>
      <c r="BB336" s="63"/>
      <c r="BC336" s="63"/>
      <c r="BD336" s="413"/>
      <c r="BE336" s="63"/>
      <c r="BF336" s="63"/>
      <c r="BG336" s="63"/>
      <c r="BH336" s="63"/>
      <c r="BI336" s="413"/>
      <c r="BJ336" s="63"/>
      <c r="BK336" s="63"/>
      <c r="BL336" s="63"/>
      <c r="BM336" s="63"/>
      <c r="BN336" s="413"/>
      <c r="BO336" s="63"/>
      <c r="BP336" s="63"/>
      <c r="BQ336" s="63"/>
      <c r="BR336" s="63"/>
      <c r="BS336" s="425"/>
      <c r="BT336" s="63"/>
      <c r="BU336" s="63"/>
      <c r="BV336" s="63"/>
      <c r="BW336" s="63"/>
      <c r="BX336" s="413"/>
      <c r="BY336" s="63"/>
      <c r="BZ336" s="63"/>
      <c r="CA336" s="63"/>
      <c r="CB336" s="63"/>
      <c r="CC336" s="413"/>
      <c r="CD336" s="413"/>
      <c r="CE336" s="413"/>
      <c r="CF336" s="413"/>
      <c r="CG336" s="99"/>
    </row>
    <row r="337" spans="1:85" ht="14.45" hidden="1" customHeight="1" x14ac:dyDescent="0.25">
      <c r="A337" s="125" t="s">
        <v>416</v>
      </c>
      <c r="B337" s="180"/>
      <c r="C337" s="413"/>
      <c r="D337" s="413"/>
      <c r="E337" s="413"/>
      <c r="F337" s="413"/>
      <c r="G337" s="63"/>
      <c r="H337" s="63"/>
      <c r="I337" s="63"/>
      <c r="J337" s="63"/>
      <c r="K337" s="413"/>
      <c r="L337" s="63"/>
      <c r="M337" s="63"/>
      <c r="N337" s="63"/>
      <c r="O337" s="63"/>
      <c r="P337" s="413"/>
      <c r="Q337" s="63"/>
      <c r="R337" s="63"/>
      <c r="S337" s="63"/>
      <c r="T337" s="63"/>
      <c r="U337" s="413"/>
      <c r="V337" s="63"/>
      <c r="W337" s="63"/>
      <c r="X337" s="63"/>
      <c r="Y337" s="63"/>
      <c r="Z337" s="413"/>
      <c r="AA337" s="63"/>
      <c r="AB337" s="63"/>
      <c r="AC337" s="63"/>
      <c r="AD337" s="98">
        <v>17.170999999999999</v>
      </c>
      <c r="AE337" s="410">
        <v>49.545000000000002</v>
      </c>
      <c r="AF337" s="98">
        <v>12.45</v>
      </c>
      <c r="AG337" s="98">
        <v>9.8710000000000004</v>
      </c>
      <c r="AH337" s="98">
        <v>10.417</v>
      </c>
      <c r="AI337" s="98">
        <v>10.598000000000001</v>
      </c>
      <c r="AJ337" s="410">
        <v>43.335999999999999</v>
      </c>
      <c r="AK337" s="98">
        <v>4.7300000000000004</v>
      </c>
      <c r="AL337" s="98">
        <v>2.1850000000000001</v>
      </c>
      <c r="AM337" s="63"/>
      <c r="AN337" s="63"/>
      <c r="AO337" s="410">
        <v>6.915</v>
      </c>
      <c r="AP337" s="63"/>
      <c r="AQ337" s="63"/>
      <c r="AR337" s="63"/>
      <c r="AS337" s="63"/>
      <c r="AT337" s="413"/>
      <c r="AU337" s="63"/>
      <c r="AV337" s="63"/>
      <c r="AW337" s="63"/>
      <c r="AX337" s="63"/>
      <c r="AY337" s="413"/>
      <c r="AZ337" s="63"/>
      <c r="BA337" s="63"/>
      <c r="BB337" s="63"/>
      <c r="BC337" s="63"/>
      <c r="BD337" s="413"/>
      <c r="BE337" s="63"/>
      <c r="BF337" s="63"/>
      <c r="BG337" s="63"/>
      <c r="BH337" s="63"/>
      <c r="BI337" s="413"/>
      <c r="BJ337" s="63"/>
      <c r="BK337" s="63"/>
      <c r="BL337" s="63"/>
      <c r="BM337" s="63"/>
      <c r="BN337" s="413"/>
      <c r="BO337" s="63"/>
      <c r="BP337" s="63"/>
      <c r="BQ337" s="63"/>
      <c r="BR337" s="63"/>
      <c r="BS337" s="425"/>
      <c r="BT337" s="63"/>
      <c r="BU337" s="63"/>
      <c r="BV337" s="63"/>
      <c r="BW337" s="63"/>
      <c r="BX337" s="413"/>
      <c r="BY337" s="63"/>
      <c r="BZ337" s="63"/>
      <c r="CA337" s="63"/>
      <c r="CB337" s="63"/>
      <c r="CC337" s="413"/>
      <c r="CD337" s="413"/>
      <c r="CE337" s="413"/>
      <c r="CF337" s="413"/>
      <c r="CG337" s="99"/>
    </row>
    <row r="338" spans="1:85" ht="14.45" hidden="1" customHeight="1" x14ac:dyDescent="0.25">
      <c r="A338" s="125" t="s">
        <v>433</v>
      </c>
      <c r="B338" s="180"/>
      <c r="C338" s="413"/>
      <c r="D338" s="413"/>
      <c r="E338" s="413"/>
      <c r="F338" s="413"/>
      <c r="G338" s="63"/>
      <c r="H338" s="63"/>
      <c r="I338" s="63"/>
      <c r="J338" s="63"/>
      <c r="K338" s="413"/>
      <c r="L338" s="63"/>
      <c r="M338" s="63"/>
      <c r="N338" s="63"/>
      <c r="O338" s="63"/>
      <c r="P338" s="413"/>
      <c r="Q338" s="63"/>
      <c r="R338" s="63"/>
      <c r="S338" s="63"/>
      <c r="T338" s="63"/>
      <c r="U338" s="413"/>
      <c r="V338" s="63"/>
      <c r="W338" s="63"/>
      <c r="X338" s="63"/>
      <c r="Y338" s="63"/>
      <c r="Z338" s="413"/>
      <c r="AA338" s="63"/>
      <c r="AB338" s="63"/>
      <c r="AC338" s="63"/>
      <c r="AD338" s="98">
        <v>-0.52900000000000003</v>
      </c>
      <c r="AE338" s="410">
        <v>-0.52900000000000003</v>
      </c>
      <c r="AF338" s="63"/>
      <c r="AG338" s="63"/>
      <c r="AH338" s="98">
        <v>-10.17</v>
      </c>
      <c r="AI338" s="63"/>
      <c r="AJ338" s="410">
        <v>-10.17</v>
      </c>
      <c r="AK338" s="63"/>
      <c r="AL338" s="63"/>
      <c r="AM338" s="63"/>
      <c r="AN338" s="63"/>
      <c r="AO338" s="413"/>
      <c r="AP338" s="63"/>
      <c r="AQ338" s="63"/>
      <c r="AR338" s="63"/>
      <c r="AS338" s="63"/>
      <c r="AT338" s="413"/>
      <c r="AU338" s="63"/>
      <c r="AV338" s="63"/>
      <c r="AW338" s="63"/>
      <c r="AX338" s="63"/>
      <c r="AY338" s="413"/>
      <c r="AZ338" s="63"/>
      <c r="BA338" s="63"/>
      <c r="BB338" s="63"/>
      <c r="BC338" s="63"/>
      <c r="BD338" s="413"/>
      <c r="BE338" s="63"/>
      <c r="BF338" s="63"/>
      <c r="BG338" s="63"/>
      <c r="BH338" s="63"/>
      <c r="BI338" s="413"/>
      <c r="BJ338" s="63"/>
      <c r="BK338" s="63"/>
      <c r="BL338" s="63"/>
      <c r="BM338" s="63"/>
      <c r="BN338" s="413"/>
      <c r="BO338" s="63"/>
      <c r="BP338" s="63"/>
      <c r="BQ338" s="63"/>
      <c r="BR338" s="63"/>
      <c r="BS338" s="425"/>
      <c r="BT338" s="63"/>
      <c r="BU338" s="63"/>
      <c r="BV338" s="63"/>
      <c r="BW338" s="63"/>
      <c r="BX338" s="413"/>
      <c r="BY338" s="63"/>
      <c r="BZ338" s="63"/>
      <c r="CA338" s="63"/>
      <c r="CB338" s="63"/>
      <c r="CC338" s="413"/>
      <c r="CD338" s="413"/>
      <c r="CE338" s="413"/>
      <c r="CF338" s="413"/>
      <c r="CG338" s="99"/>
    </row>
    <row r="339" spans="1:85" ht="14.45" hidden="1" customHeight="1" x14ac:dyDescent="0.25">
      <c r="A339" s="125" t="s">
        <v>434</v>
      </c>
      <c r="B339" s="180"/>
      <c r="C339" s="413"/>
      <c r="D339" s="413"/>
      <c r="E339" s="413"/>
      <c r="F339" s="413"/>
      <c r="G339" s="63"/>
      <c r="H339" s="63"/>
      <c r="I339" s="63"/>
      <c r="J339" s="63"/>
      <c r="K339" s="413"/>
      <c r="L339" s="63"/>
      <c r="M339" s="63"/>
      <c r="N339" s="63"/>
      <c r="O339" s="63"/>
      <c r="P339" s="413"/>
      <c r="Q339" s="63"/>
      <c r="R339" s="63"/>
      <c r="S339" s="63"/>
      <c r="T339" s="63"/>
      <c r="U339" s="413"/>
      <c r="V339" s="63"/>
      <c r="W339" s="63"/>
      <c r="X339" s="63"/>
      <c r="Y339" s="63"/>
      <c r="Z339" s="413"/>
      <c r="AA339" s="63"/>
      <c r="AB339" s="63"/>
      <c r="AC339" s="63"/>
      <c r="AD339" s="98">
        <v>-12.364000000000001</v>
      </c>
      <c r="AE339" s="410">
        <v>-12.364000000000001</v>
      </c>
      <c r="AF339" s="63"/>
      <c r="AG339" s="63"/>
      <c r="AH339" s="63"/>
      <c r="AI339" s="63"/>
      <c r="AJ339" s="413"/>
      <c r="AK339" s="63"/>
      <c r="AL339" s="63"/>
      <c r="AM339" s="63"/>
      <c r="AN339" s="63"/>
      <c r="AO339" s="413"/>
      <c r="AP339" s="63"/>
      <c r="AQ339" s="63"/>
      <c r="AR339" s="63"/>
      <c r="AS339" s="63"/>
      <c r="AT339" s="413"/>
      <c r="AU339" s="63"/>
      <c r="AV339" s="63"/>
      <c r="AW339" s="63"/>
      <c r="AX339" s="63"/>
      <c r="AY339" s="413"/>
      <c r="AZ339" s="63"/>
      <c r="BA339" s="63"/>
      <c r="BB339" s="63"/>
      <c r="BC339" s="63"/>
      <c r="BD339" s="413"/>
      <c r="BE339" s="63"/>
      <c r="BF339" s="63"/>
      <c r="BG339" s="63"/>
      <c r="BH339" s="63"/>
      <c r="BI339" s="413"/>
      <c r="BJ339" s="63"/>
      <c r="BK339" s="63"/>
      <c r="BL339" s="63"/>
      <c r="BM339" s="63"/>
      <c r="BN339" s="413"/>
      <c r="BO339" s="63"/>
      <c r="BP339" s="63"/>
      <c r="BQ339" s="63"/>
      <c r="BR339" s="63"/>
      <c r="BS339" s="425"/>
      <c r="BT339" s="63"/>
      <c r="BU339" s="63"/>
      <c r="BV339" s="63"/>
      <c r="BW339" s="63"/>
      <c r="BX339" s="413"/>
      <c r="BY339" s="63"/>
      <c r="BZ339" s="63"/>
      <c r="CA339" s="63"/>
      <c r="CB339" s="63"/>
      <c r="CC339" s="413"/>
      <c r="CD339" s="413"/>
      <c r="CE339" s="413"/>
      <c r="CF339" s="413"/>
      <c r="CG339" s="99"/>
    </row>
    <row r="340" spans="1:85" ht="14.45" hidden="1" customHeight="1" x14ac:dyDescent="0.25">
      <c r="A340" s="125" t="s">
        <v>435</v>
      </c>
      <c r="B340" s="180"/>
      <c r="C340" s="413"/>
      <c r="D340" s="413"/>
      <c r="E340" s="413"/>
      <c r="F340" s="413"/>
      <c r="G340" s="63"/>
      <c r="H340" s="63"/>
      <c r="I340" s="63"/>
      <c r="J340" s="63"/>
      <c r="K340" s="413"/>
      <c r="L340" s="63"/>
      <c r="M340" s="63"/>
      <c r="N340" s="63"/>
      <c r="O340" s="63"/>
      <c r="P340" s="413"/>
      <c r="Q340" s="63"/>
      <c r="R340" s="63"/>
      <c r="S340" s="63"/>
      <c r="T340" s="63"/>
      <c r="U340" s="413"/>
      <c r="V340" s="63"/>
      <c r="W340" s="63"/>
      <c r="X340" s="63"/>
      <c r="Y340" s="63"/>
      <c r="Z340" s="413"/>
      <c r="AA340" s="63"/>
      <c r="AB340" s="63"/>
      <c r="AC340" s="63"/>
      <c r="AD340" s="98">
        <v>-6.0119999999999996</v>
      </c>
      <c r="AE340" s="410">
        <v>-6.0119999999999996</v>
      </c>
      <c r="AF340" s="63"/>
      <c r="AG340" s="63"/>
      <c r="AH340" s="63"/>
      <c r="AI340" s="63"/>
      <c r="AJ340" s="413"/>
      <c r="AK340" s="63"/>
      <c r="AL340" s="63"/>
      <c r="AM340" s="63"/>
      <c r="AN340" s="63"/>
      <c r="AO340" s="413"/>
      <c r="AP340" s="63"/>
      <c r="AQ340" s="63"/>
      <c r="AR340" s="63"/>
      <c r="AS340" s="63"/>
      <c r="AT340" s="413"/>
      <c r="AU340" s="63"/>
      <c r="AV340" s="63"/>
      <c r="AW340" s="63"/>
      <c r="AX340" s="63"/>
      <c r="AY340" s="413"/>
      <c r="AZ340" s="63"/>
      <c r="BA340" s="63"/>
      <c r="BB340" s="63"/>
      <c r="BC340" s="63"/>
      <c r="BD340" s="413"/>
      <c r="BE340" s="63"/>
      <c r="BF340" s="63"/>
      <c r="BG340" s="63"/>
      <c r="BH340" s="63"/>
      <c r="BI340" s="413"/>
      <c r="BJ340" s="63"/>
      <c r="BK340" s="63"/>
      <c r="BL340" s="63"/>
      <c r="BM340" s="63"/>
      <c r="BN340" s="413"/>
      <c r="BO340" s="63"/>
      <c r="BP340" s="63"/>
      <c r="BQ340" s="63"/>
      <c r="BR340" s="63"/>
      <c r="BS340" s="425"/>
      <c r="BT340" s="63"/>
      <c r="BU340" s="63"/>
      <c r="BV340" s="63"/>
      <c r="BW340" s="63"/>
      <c r="BX340" s="413"/>
      <c r="BY340" s="63"/>
      <c r="BZ340" s="63"/>
      <c r="CA340" s="63"/>
      <c r="CB340" s="63"/>
      <c r="CC340" s="413"/>
      <c r="CD340" s="413"/>
      <c r="CE340" s="413"/>
      <c r="CF340" s="413"/>
      <c r="CG340" s="99"/>
    </row>
    <row r="341" spans="1:85" ht="14.45" hidden="1" customHeight="1" x14ac:dyDescent="0.25">
      <c r="A341" s="125" t="s">
        <v>422</v>
      </c>
      <c r="B341" s="180"/>
      <c r="C341" s="413"/>
      <c r="D341" s="413"/>
      <c r="E341" s="413"/>
      <c r="F341" s="413"/>
      <c r="G341" s="63"/>
      <c r="H341" s="63"/>
      <c r="I341" s="63"/>
      <c r="J341" s="63"/>
      <c r="K341" s="413"/>
      <c r="L341" s="63"/>
      <c r="M341" s="63"/>
      <c r="N341" s="63"/>
      <c r="O341" s="63"/>
      <c r="P341" s="413"/>
      <c r="Q341" s="63"/>
      <c r="R341" s="63"/>
      <c r="S341" s="63"/>
      <c r="T341" s="63"/>
      <c r="U341" s="413"/>
      <c r="V341" s="63"/>
      <c r="W341" s="63"/>
      <c r="X341" s="63"/>
      <c r="Y341" s="63"/>
      <c r="Z341" s="413"/>
      <c r="AA341" s="63"/>
      <c r="AB341" s="63"/>
      <c r="AC341" s="63"/>
      <c r="AD341" s="63"/>
      <c r="AE341" s="413"/>
      <c r="AF341" s="63"/>
      <c r="AG341" s="98">
        <v>4.8099999999999996</v>
      </c>
      <c r="AH341" s="63"/>
      <c r="AI341" s="98">
        <v>3.7450000000000001</v>
      </c>
      <c r="AJ341" s="410">
        <v>8.5549999999999997</v>
      </c>
      <c r="AK341" s="63"/>
      <c r="AL341" s="63"/>
      <c r="AM341" s="63"/>
      <c r="AN341" s="63"/>
      <c r="AO341" s="413"/>
      <c r="AP341" s="63"/>
      <c r="AQ341" s="63"/>
      <c r="AR341" s="63"/>
      <c r="AS341" s="63"/>
      <c r="AT341" s="413"/>
      <c r="AU341" s="63"/>
      <c r="AV341" s="63"/>
      <c r="AW341" s="63"/>
      <c r="AX341" s="63"/>
      <c r="AY341" s="413"/>
      <c r="AZ341" s="63"/>
      <c r="BA341" s="63"/>
      <c r="BB341" s="63"/>
      <c r="BC341" s="63"/>
      <c r="BD341" s="413"/>
      <c r="BE341" s="63"/>
      <c r="BF341" s="63"/>
      <c r="BG341" s="63"/>
      <c r="BH341" s="63"/>
      <c r="BI341" s="413"/>
      <c r="BJ341" s="63"/>
      <c r="BK341" s="63"/>
      <c r="BL341" s="63"/>
      <c r="BM341" s="63"/>
      <c r="BN341" s="413"/>
      <c r="BO341" s="63"/>
      <c r="BP341" s="63"/>
      <c r="BQ341" s="63"/>
      <c r="BR341" s="63"/>
      <c r="BS341" s="425"/>
      <c r="BT341" s="63"/>
      <c r="BU341" s="63"/>
      <c r="BV341" s="63"/>
      <c r="BW341" s="63"/>
      <c r="BX341" s="413"/>
      <c r="BY341" s="63"/>
      <c r="BZ341" s="63"/>
      <c r="CA341" s="63"/>
      <c r="CB341" s="63"/>
      <c r="CC341" s="413"/>
      <c r="CD341" s="413"/>
      <c r="CE341" s="413"/>
      <c r="CF341" s="413"/>
      <c r="CG341" s="99"/>
    </row>
    <row r="342" spans="1:85" ht="14.45" hidden="1" customHeight="1" x14ac:dyDescent="0.25">
      <c r="A342" s="125" t="s">
        <v>426</v>
      </c>
      <c r="B342" s="180"/>
      <c r="C342" s="413"/>
      <c r="D342" s="413"/>
      <c r="E342" s="413"/>
      <c r="F342" s="413"/>
      <c r="G342" s="63"/>
      <c r="H342" s="63"/>
      <c r="I342" s="63"/>
      <c r="J342" s="63"/>
      <c r="K342" s="413"/>
      <c r="L342" s="63"/>
      <c r="M342" s="63"/>
      <c r="N342" s="63"/>
      <c r="O342" s="63"/>
      <c r="P342" s="413"/>
      <c r="Q342" s="63"/>
      <c r="R342" s="98">
        <v>4.2519999999999998</v>
      </c>
      <c r="S342" s="98">
        <v>6.9470000000000001</v>
      </c>
      <c r="T342" s="98">
        <v>5.7889999999999997</v>
      </c>
      <c r="U342" s="410">
        <v>19.981999999999999</v>
      </c>
      <c r="V342" s="98">
        <v>6.423</v>
      </c>
      <c r="W342" s="98">
        <v>7.0049999999999999</v>
      </c>
      <c r="X342" s="98">
        <v>9.7799999999999994</v>
      </c>
      <c r="Y342" s="98">
        <v>9.0660000000000007</v>
      </c>
      <c r="Z342" s="410">
        <v>32.274000000000001</v>
      </c>
      <c r="AA342" s="98">
        <v>7.6520000000000001</v>
      </c>
      <c r="AB342" s="98">
        <v>11.574</v>
      </c>
      <c r="AC342" s="98">
        <v>13.148</v>
      </c>
      <c r="AD342" s="63"/>
      <c r="AE342" s="413"/>
      <c r="AF342" s="63"/>
      <c r="AG342" s="63"/>
      <c r="AH342" s="63"/>
      <c r="AI342" s="63"/>
      <c r="AJ342" s="413"/>
      <c r="AK342" s="63"/>
      <c r="AL342" s="63"/>
      <c r="AM342" s="63"/>
      <c r="AN342" s="63"/>
      <c r="AO342" s="413"/>
      <c r="AP342" s="63"/>
      <c r="AQ342" s="63"/>
      <c r="AR342" s="63"/>
      <c r="AS342" s="63"/>
      <c r="AT342" s="413"/>
      <c r="AU342" s="63"/>
      <c r="AV342" s="63"/>
      <c r="AW342" s="63"/>
      <c r="AX342" s="63"/>
      <c r="AY342" s="413"/>
      <c r="AZ342" s="63"/>
      <c r="BA342" s="63"/>
      <c r="BB342" s="63"/>
      <c r="BC342" s="63"/>
      <c r="BD342" s="413"/>
      <c r="BE342" s="63"/>
      <c r="BF342" s="63"/>
      <c r="BG342" s="63"/>
      <c r="BH342" s="63"/>
      <c r="BI342" s="413"/>
      <c r="BJ342" s="63"/>
      <c r="BK342" s="63"/>
      <c r="BL342" s="63"/>
      <c r="BM342" s="63"/>
      <c r="BN342" s="413"/>
      <c r="BO342" s="63"/>
      <c r="BP342" s="63"/>
      <c r="BQ342" s="63"/>
      <c r="BR342" s="63"/>
      <c r="BS342" s="425"/>
      <c r="BT342" s="63"/>
      <c r="BU342" s="63"/>
      <c r="BV342" s="63"/>
      <c r="BW342" s="63"/>
      <c r="BX342" s="413"/>
      <c r="BY342" s="63"/>
      <c r="BZ342" s="63"/>
      <c r="CA342" s="63"/>
      <c r="CB342" s="63"/>
      <c r="CC342" s="413"/>
      <c r="CD342" s="413"/>
      <c r="CE342" s="413"/>
      <c r="CF342" s="413"/>
      <c r="CG342" s="99"/>
    </row>
    <row r="343" spans="1:85" ht="14.45" hidden="1" customHeight="1" x14ac:dyDescent="0.25">
      <c r="A343" s="125" t="s">
        <v>413</v>
      </c>
      <c r="B343" s="180"/>
      <c r="C343" s="413"/>
      <c r="D343" s="413"/>
      <c r="E343" s="413"/>
      <c r="F343" s="413"/>
      <c r="G343" s="63"/>
      <c r="H343" s="63"/>
      <c r="I343" s="63"/>
      <c r="J343" s="63"/>
      <c r="K343" s="413"/>
      <c r="L343" s="63"/>
      <c r="M343" s="63"/>
      <c r="N343" s="63"/>
      <c r="O343" s="63"/>
      <c r="P343" s="413"/>
      <c r="Q343" s="63"/>
      <c r="R343" s="63"/>
      <c r="S343" s="63"/>
      <c r="T343" s="98">
        <v>-4.0220000000000002</v>
      </c>
      <c r="U343" s="410">
        <v>-4.0220000000000002</v>
      </c>
      <c r="V343" s="63"/>
      <c r="W343" s="63"/>
      <c r="X343" s="63"/>
      <c r="Y343" s="63"/>
      <c r="Z343" s="413"/>
      <c r="AA343" s="63"/>
      <c r="AB343" s="63"/>
      <c r="AC343" s="63"/>
      <c r="AD343" s="63"/>
      <c r="AE343" s="413"/>
      <c r="AF343" s="63"/>
      <c r="AG343" s="63"/>
      <c r="AH343" s="63"/>
      <c r="AI343" s="63"/>
      <c r="AJ343" s="413"/>
      <c r="AK343" s="63"/>
      <c r="AL343" s="63"/>
      <c r="AM343" s="63"/>
      <c r="AN343" s="63"/>
      <c r="AO343" s="413"/>
      <c r="AP343" s="63"/>
      <c r="AQ343" s="63"/>
      <c r="AR343" s="63"/>
      <c r="AS343" s="63"/>
      <c r="AT343" s="413"/>
      <c r="AU343" s="63"/>
      <c r="AV343" s="63"/>
      <c r="AW343" s="63"/>
      <c r="AX343" s="63"/>
      <c r="AY343" s="413"/>
      <c r="AZ343" s="63"/>
      <c r="BA343" s="63"/>
      <c r="BB343" s="63"/>
      <c r="BC343" s="63"/>
      <c r="BD343" s="413"/>
      <c r="BE343" s="63"/>
      <c r="BF343" s="63"/>
      <c r="BG343" s="63"/>
      <c r="BH343" s="63"/>
      <c r="BI343" s="413"/>
      <c r="BJ343" s="63"/>
      <c r="BK343" s="63"/>
      <c r="BL343" s="63"/>
      <c r="BM343" s="63"/>
      <c r="BN343" s="413"/>
      <c r="BO343" s="63"/>
      <c r="BP343" s="63"/>
      <c r="BQ343" s="63"/>
      <c r="BR343" s="63"/>
      <c r="BS343" s="425"/>
      <c r="BT343" s="63"/>
      <c r="BU343" s="63"/>
      <c r="BV343" s="63"/>
      <c r="BW343" s="63"/>
      <c r="BX343" s="413"/>
      <c r="BY343" s="63"/>
      <c r="BZ343" s="63"/>
      <c r="CA343" s="63"/>
      <c r="CB343" s="63"/>
      <c r="CC343" s="413"/>
      <c r="CD343" s="413"/>
      <c r="CE343" s="413"/>
      <c r="CF343" s="413"/>
      <c r="CG343" s="99"/>
    </row>
    <row r="344" spans="1:85" ht="14.45" hidden="1" customHeight="1" x14ac:dyDescent="0.25">
      <c r="A344" s="125" t="s">
        <v>436</v>
      </c>
      <c r="B344" s="180"/>
      <c r="C344" s="413"/>
      <c r="D344" s="413"/>
      <c r="E344" s="413"/>
      <c r="F344" s="413"/>
      <c r="G344" s="63"/>
      <c r="H344" s="63"/>
      <c r="I344" s="63"/>
      <c r="J344" s="63"/>
      <c r="K344" s="413"/>
      <c r="L344" s="63"/>
      <c r="M344" s="63"/>
      <c r="N344" s="63"/>
      <c r="O344" s="63"/>
      <c r="P344" s="413"/>
      <c r="Q344" s="63"/>
      <c r="R344" s="63"/>
      <c r="S344" s="63"/>
      <c r="T344" s="98">
        <v>-3.2759999999999998</v>
      </c>
      <c r="U344" s="410">
        <v>-3.2759999999999998</v>
      </c>
      <c r="V344" s="63"/>
      <c r="W344" s="63"/>
      <c r="X344" s="63"/>
      <c r="Y344" s="63"/>
      <c r="Z344" s="413"/>
      <c r="AA344" s="63"/>
      <c r="AB344" s="63"/>
      <c r="AC344" s="63"/>
      <c r="AD344" s="63"/>
      <c r="AE344" s="413"/>
      <c r="AF344" s="63"/>
      <c r="AG344" s="63"/>
      <c r="AH344" s="63"/>
      <c r="AI344" s="63"/>
      <c r="AJ344" s="413"/>
      <c r="AK344" s="63"/>
      <c r="AL344" s="63"/>
      <c r="AM344" s="63"/>
      <c r="AN344" s="63"/>
      <c r="AO344" s="413"/>
      <c r="AP344" s="63"/>
      <c r="AQ344" s="63"/>
      <c r="AR344" s="63"/>
      <c r="AS344" s="63"/>
      <c r="AT344" s="413"/>
      <c r="AU344" s="63"/>
      <c r="AV344" s="63"/>
      <c r="AW344" s="63"/>
      <c r="AX344" s="63"/>
      <c r="AY344" s="413"/>
      <c r="AZ344" s="63"/>
      <c r="BA344" s="63"/>
      <c r="BB344" s="63"/>
      <c r="BC344" s="63"/>
      <c r="BD344" s="413"/>
      <c r="BE344" s="63"/>
      <c r="BF344" s="63"/>
      <c r="BG344" s="63"/>
      <c r="BH344" s="63"/>
      <c r="BI344" s="413"/>
      <c r="BJ344" s="63"/>
      <c r="BK344" s="63"/>
      <c r="BL344" s="63"/>
      <c r="BM344" s="63"/>
      <c r="BN344" s="413"/>
      <c r="BO344" s="63"/>
      <c r="BP344" s="63"/>
      <c r="BQ344" s="63"/>
      <c r="BR344" s="63"/>
      <c r="BS344" s="425"/>
      <c r="BT344" s="63"/>
      <c r="BU344" s="63"/>
      <c r="BV344" s="63"/>
      <c r="BW344" s="63"/>
      <c r="BX344" s="413"/>
      <c r="BY344" s="63"/>
      <c r="BZ344" s="63"/>
      <c r="CA344" s="63"/>
      <c r="CB344" s="63"/>
      <c r="CC344" s="413"/>
      <c r="CD344" s="413"/>
      <c r="CE344" s="413"/>
      <c r="CF344" s="413"/>
      <c r="CG344" s="99"/>
    </row>
    <row r="345" spans="1:85" ht="14.45" hidden="1" customHeight="1" x14ac:dyDescent="0.25">
      <c r="A345" s="125" t="s">
        <v>437</v>
      </c>
      <c r="B345" s="180"/>
      <c r="C345" s="413"/>
      <c r="D345" s="413"/>
      <c r="E345" s="413"/>
      <c r="F345" s="413"/>
      <c r="G345" s="63"/>
      <c r="H345" s="63"/>
      <c r="I345" s="63"/>
      <c r="J345" s="63"/>
      <c r="K345" s="413"/>
      <c r="L345" s="63"/>
      <c r="M345" s="63"/>
      <c r="N345" s="63"/>
      <c r="O345" s="63"/>
      <c r="P345" s="413"/>
      <c r="Q345" s="63"/>
      <c r="R345" s="98">
        <v>-8.8070000000000004</v>
      </c>
      <c r="S345" s="63"/>
      <c r="T345" s="63"/>
      <c r="U345" s="410">
        <v>-8.8070000000000004</v>
      </c>
      <c r="V345" s="63"/>
      <c r="W345" s="98">
        <v>0.69199999999999995</v>
      </c>
      <c r="X345" s="63"/>
      <c r="Y345" s="63"/>
      <c r="Z345" s="410">
        <v>0.69199999999999995</v>
      </c>
      <c r="AA345" s="63"/>
      <c r="AB345" s="63"/>
      <c r="AC345" s="63"/>
      <c r="AD345" s="63"/>
      <c r="AE345" s="413"/>
      <c r="AF345" s="63"/>
      <c r="AG345" s="63"/>
      <c r="AH345" s="63"/>
      <c r="AI345" s="63"/>
      <c r="AJ345" s="413"/>
      <c r="AK345" s="63"/>
      <c r="AL345" s="63"/>
      <c r="AM345" s="63"/>
      <c r="AN345" s="63"/>
      <c r="AO345" s="413"/>
      <c r="AP345" s="63"/>
      <c r="AQ345" s="63"/>
      <c r="AR345" s="63"/>
      <c r="AS345" s="63"/>
      <c r="AT345" s="413"/>
      <c r="AU345" s="63"/>
      <c r="AV345" s="63"/>
      <c r="AW345" s="63"/>
      <c r="AX345" s="63"/>
      <c r="AY345" s="413"/>
      <c r="AZ345" s="63"/>
      <c r="BA345" s="63"/>
      <c r="BB345" s="63"/>
      <c r="BC345" s="63"/>
      <c r="BD345" s="413"/>
      <c r="BE345" s="63"/>
      <c r="BF345" s="63"/>
      <c r="BG345" s="63"/>
      <c r="BH345" s="63"/>
      <c r="BI345" s="413"/>
      <c r="BJ345" s="63"/>
      <c r="BK345" s="63"/>
      <c r="BL345" s="63"/>
      <c r="BM345" s="63"/>
      <c r="BN345" s="413"/>
      <c r="BO345" s="63"/>
      <c r="BP345" s="63"/>
      <c r="BQ345" s="63"/>
      <c r="BR345" s="63"/>
      <c r="BS345" s="425"/>
      <c r="BT345" s="63"/>
      <c r="BU345" s="63"/>
      <c r="BV345" s="63"/>
      <c r="BW345" s="63"/>
      <c r="BX345" s="413"/>
      <c r="BY345" s="63"/>
      <c r="BZ345" s="63"/>
      <c r="CA345" s="63"/>
      <c r="CB345" s="63"/>
      <c r="CC345" s="413"/>
      <c r="CD345" s="413"/>
      <c r="CE345" s="413"/>
      <c r="CF345" s="413"/>
      <c r="CG345" s="99"/>
    </row>
    <row r="346" spans="1:85" ht="14.45" hidden="1" customHeight="1" x14ac:dyDescent="0.25">
      <c r="A346" s="125" t="s">
        <v>401</v>
      </c>
      <c r="B346" s="180"/>
      <c r="C346" s="413"/>
      <c r="D346" s="413"/>
      <c r="E346" s="413"/>
      <c r="F346" s="413"/>
      <c r="G346" s="63"/>
      <c r="H346" s="63"/>
      <c r="I346" s="63"/>
      <c r="J346" s="63"/>
      <c r="K346" s="413"/>
      <c r="L346" s="63"/>
      <c r="M346" s="63"/>
      <c r="N346" s="63"/>
      <c r="O346" s="63"/>
      <c r="P346" s="413"/>
      <c r="Q346" s="63"/>
      <c r="R346" s="63"/>
      <c r="S346" s="98">
        <v>-22.651</v>
      </c>
      <c r="T346" s="63"/>
      <c r="U346" s="410">
        <v>-22.651</v>
      </c>
      <c r="V346" s="63"/>
      <c r="W346" s="63"/>
      <c r="X346" s="63"/>
      <c r="Y346" s="63"/>
      <c r="Z346" s="413"/>
      <c r="AA346" s="63"/>
      <c r="AB346" s="63"/>
      <c r="AC346" s="63"/>
      <c r="AD346" s="63"/>
      <c r="AE346" s="413"/>
      <c r="AF346" s="63"/>
      <c r="AG346" s="63"/>
      <c r="AH346" s="63"/>
      <c r="AI346" s="63"/>
      <c r="AJ346" s="413"/>
      <c r="AK346" s="63"/>
      <c r="AL346" s="63"/>
      <c r="AM346" s="63"/>
      <c r="AN346" s="63"/>
      <c r="AO346" s="413"/>
      <c r="AP346" s="63"/>
      <c r="AQ346" s="63"/>
      <c r="AR346" s="63"/>
      <c r="AS346" s="63"/>
      <c r="AT346" s="413"/>
      <c r="AU346" s="63"/>
      <c r="AV346" s="63"/>
      <c r="AW346" s="63"/>
      <c r="AX346" s="63"/>
      <c r="AY346" s="413"/>
      <c r="AZ346" s="63"/>
      <c r="BA346" s="63"/>
      <c r="BB346" s="63"/>
      <c r="BC346" s="63"/>
      <c r="BD346" s="413"/>
      <c r="BE346" s="63"/>
      <c r="BF346" s="63"/>
      <c r="BG346" s="63"/>
      <c r="BH346" s="63"/>
      <c r="BI346" s="413"/>
      <c r="BJ346" s="63"/>
      <c r="BK346" s="63"/>
      <c r="BL346" s="63"/>
      <c r="BM346" s="63"/>
      <c r="BN346" s="413"/>
      <c r="BO346" s="63"/>
      <c r="BP346" s="63"/>
      <c r="BQ346" s="63"/>
      <c r="BR346" s="63"/>
      <c r="BS346" s="425"/>
      <c r="BT346" s="63"/>
      <c r="BU346" s="63"/>
      <c r="BV346" s="63"/>
      <c r="BW346" s="63"/>
      <c r="BX346" s="413"/>
      <c r="BY346" s="63"/>
      <c r="BZ346" s="63"/>
      <c r="CA346" s="63"/>
      <c r="CB346" s="63"/>
      <c r="CC346" s="413"/>
      <c r="CD346" s="413"/>
      <c r="CE346" s="413"/>
      <c r="CF346" s="413"/>
      <c r="CG346" s="99"/>
    </row>
    <row r="347" spans="1:85" ht="14.45" hidden="1" customHeight="1" x14ac:dyDescent="0.25">
      <c r="A347" s="125" t="s">
        <v>427</v>
      </c>
      <c r="B347" s="180"/>
      <c r="C347" s="413"/>
      <c r="D347" s="413"/>
      <c r="E347" s="413"/>
      <c r="F347" s="413"/>
      <c r="G347" s="63"/>
      <c r="H347" s="63"/>
      <c r="I347" s="63"/>
      <c r="J347" s="63"/>
      <c r="K347" s="413"/>
      <c r="L347" s="63"/>
      <c r="M347" s="63"/>
      <c r="N347" s="63"/>
      <c r="O347" s="63"/>
      <c r="P347" s="413"/>
      <c r="Q347" s="63"/>
      <c r="R347" s="63"/>
      <c r="S347" s="63"/>
      <c r="T347" s="63"/>
      <c r="U347" s="413"/>
      <c r="V347" s="98">
        <v>4</v>
      </c>
      <c r="W347" s="63"/>
      <c r="X347" s="63"/>
      <c r="Y347" s="63"/>
      <c r="Z347" s="410">
        <v>4</v>
      </c>
      <c r="AA347" s="63"/>
      <c r="AB347" s="63"/>
      <c r="AC347" s="63"/>
      <c r="AD347" s="63"/>
      <c r="AE347" s="413"/>
      <c r="AF347" s="63"/>
      <c r="AG347" s="63"/>
      <c r="AH347" s="63"/>
      <c r="AI347" s="63"/>
      <c r="AJ347" s="413"/>
      <c r="AK347" s="63"/>
      <c r="AL347" s="63"/>
      <c r="AM347" s="63"/>
      <c r="AN347" s="63"/>
      <c r="AO347" s="413"/>
      <c r="AP347" s="63"/>
      <c r="AQ347" s="63"/>
      <c r="AR347" s="63"/>
      <c r="AS347" s="63"/>
      <c r="AT347" s="413"/>
      <c r="AU347" s="63"/>
      <c r="AV347" s="63"/>
      <c r="AW347" s="63"/>
      <c r="AX347" s="63"/>
      <c r="AY347" s="413"/>
      <c r="AZ347" s="63"/>
      <c r="BA347" s="63"/>
      <c r="BB347" s="63"/>
      <c r="BC347" s="63"/>
      <c r="BD347" s="413"/>
      <c r="BE347" s="63"/>
      <c r="BF347" s="63"/>
      <c r="BG347" s="63"/>
      <c r="BH347" s="63"/>
      <c r="BI347" s="413"/>
      <c r="BJ347" s="63"/>
      <c r="BK347" s="63"/>
      <c r="BL347" s="63"/>
      <c r="BM347" s="63"/>
      <c r="BN347" s="413"/>
      <c r="BO347" s="63"/>
      <c r="BP347" s="63"/>
      <c r="BQ347" s="63"/>
      <c r="BR347" s="63"/>
      <c r="BS347" s="425"/>
      <c r="BT347" s="63"/>
      <c r="BU347" s="63"/>
      <c r="BV347" s="63"/>
      <c r="BW347" s="63"/>
      <c r="BX347" s="413"/>
      <c r="BY347" s="63"/>
      <c r="BZ347" s="63"/>
      <c r="CA347" s="63"/>
      <c r="CB347" s="63"/>
      <c r="CC347" s="413"/>
      <c r="CD347" s="413"/>
      <c r="CE347" s="413"/>
      <c r="CF347" s="413"/>
      <c r="CG347" s="99"/>
    </row>
    <row r="348" spans="1:85" ht="14.45" hidden="1" customHeight="1" x14ac:dyDescent="0.25">
      <c r="A348" s="125" t="s">
        <v>428</v>
      </c>
      <c r="B348" s="180"/>
      <c r="C348" s="413"/>
      <c r="D348" s="413"/>
      <c r="E348" s="413"/>
      <c r="F348" s="413"/>
      <c r="G348" s="63"/>
      <c r="H348" s="63"/>
      <c r="I348" s="63"/>
      <c r="J348" s="63"/>
      <c r="K348" s="413"/>
      <c r="L348" s="63"/>
      <c r="M348" s="63"/>
      <c r="N348" s="63"/>
      <c r="O348" s="63"/>
      <c r="P348" s="413"/>
      <c r="Q348" s="63"/>
      <c r="R348" s="63"/>
      <c r="S348" s="63"/>
      <c r="T348" s="63"/>
      <c r="U348" s="413"/>
      <c r="V348" s="98">
        <v>-2.2130000000000001</v>
      </c>
      <c r="W348" s="98">
        <v>-1.105</v>
      </c>
      <c r="X348" s="98">
        <v>-1.6140000000000001</v>
      </c>
      <c r="Y348" s="98">
        <v>-2.5910000000000002</v>
      </c>
      <c r="Z348" s="410">
        <v>-7.5229999999999997</v>
      </c>
      <c r="AA348" s="63"/>
      <c r="AB348" s="63"/>
      <c r="AC348" s="63"/>
      <c r="AD348" s="63"/>
      <c r="AE348" s="413"/>
      <c r="AF348" s="63"/>
      <c r="AG348" s="63"/>
      <c r="AH348" s="63"/>
      <c r="AI348" s="63"/>
      <c r="AJ348" s="413"/>
      <c r="AK348" s="63"/>
      <c r="AL348" s="63"/>
      <c r="AM348" s="63"/>
      <c r="AN348" s="63"/>
      <c r="AO348" s="413"/>
      <c r="AP348" s="63"/>
      <c r="AQ348" s="63"/>
      <c r="AR348" s="63"/>
      <c r="AS348" s="63"/>
      <c r="AT348" s="413"/>
      <c r="AU348" s="63"/>
      <c r="AV348" s="63"/>
      <c r="AW348" s="63"/>
      <c r="AX348" s="63"/>
      <c r="AY348" s="413"/>
      <c r="AZ348" s="63"/>
      <c r="BA348" s="63"/>
      <c r="BB348" s="63"/>
      <c r="BC348" s="63"/>
      <c r="BD348" s="413"/>
      <c r="BE348" s="63"/>
      <c r="BF348" s="63"/>
      <c r="BG348" s="63"/>
      <c r="BH348" s="63"/>
      <c r="BI348" s="413"/>
      <c r="BJ348" s="63"/>
      <c r="BK348" s="63"/>
      <c r="BL348" s="63"/>
      <c r="BM348" s="63"/>
      <c r="BN348" s="413"/>
      <c r="BO348" s="63"/>
      <c r="BP348" s="63"/>
      <c r="BQ348" s="63"/>
      <c r="BR348" s="63"/>
      <c r="BS348" s="425"/>
      <c r="BT348" s="63"/>
      <c r="BU348" s="63"/>
      <c r="BV348" s="63"/>
      <c r="BW348" s="63"/>
      <c r="BX348" s="413"/>
      <c r="BY348" s="63"/>
      <c r="BZ348" s="63"/>
      <c r="CA348" s="63"/>
      <c r="CB348" s="63"/>
      <c r="CC348" s="413"/>
      <c r="CD348" s="413"/>
      <c r="CE348" s="413"/>
      <c r="CF348" s="413"/>
      <c r="CG348" s="99"/>
    </row>
    <row r="349" spans="1:85" ht="14.45" hidden="1" customHeight="1" x14ac:dyDescent="0.25">
      <c r="A349" s="125" t="s">
        <v>438</v>
      </c>
      <c r="B349" s="180"/>
      <c r="C349" s="413"/>
      <c r="D349" s="413"/>
      <c r="E349" s="413"/>
      <c r="F349" s="413"/>
      <c r="G349" s="63"/>
      <c r="H349" s="63"/>
      <c r="I349" s="63"/>
      <c r="J349" s="63"/>
      <c r="K349" s="413"/>
      <c r="L349" s="63"/>
      <c r="M349" s="63"/>
      <c r="N349" s="63"/>
      <c r="O349" s="63"/>
      <c r="P349" s="413"/>
      <c r="Q349" s="63"/>
      <c r="R349" s="98">
        <v>-6.0780000000000003</v>
      </c>
      <c r="S349" s="98">
        <v>3.992</v>
      </c>
      <c r="T349" s="98">
        <v>0.57299999999999995</v>
      </c>
      <c r="U349" s="410">
        <v>3.5760000000000001</v>
      </c>
      <c r="V349" s="98">
        <v>17.151</v>
      </c>
      <c r="W349" s="98">
        <v>16.274000000000001</v>
      </c>
      <c r="X349" s="98">
        <v>-7.3650000000000002</v>
      </c>
      <c r="Y349" s="98">
        <v>-27.97</v>
      </c>
      <c r="Z349" s="410">
        <v>-1.91</v>
      </c>
      <c r="AA349" s="98">
        <v>12.246</v>
      </c>
      <c r="AB349" s="98">
        <v>16.119</v>
      </c>
      <c r="AC349" s="98">
        <v>-5.2249999999999996</v>
      </c>
      <c r="AD349" s="98">
        <v>-19.914000000000001</v>
      </c>
      <c r="AE349" s="410">
        <v>3.226</v>
      </c>
      <c r="AF349" s="98">
        <v>-5.1859999999999999</v>
      </c>
      <c r="AG349" s="98">
        <v>9.1430000000000007</v>
      </c>
      <c r="AH349" s="98">
        <v>-2.3730000000000002</v>
      </c>
      <c r="AI349" s="98">
        <v>27.183</v>
      </c>
      <c r="AJ349" s="410">
        <v>28.766999999999999</v>
      </c>
      <c r="AK349" s="98">
        <v>14.045999999999999</v>
      </c>
      <c r="AL349" s="98">
        <v>29.222000000000001</v>
      </c>
      <c r="AM349" s="98">
        <v>18.748999999999999</v>
      </c>
      <c r="AN349" s="98">
        <v>30.771000000000001</v>
      </c>
      <c r="AO349" s="410">
        <v>92.787999999999997</v>
      </c>
      <c r="AP349" s="98">
        <v>0.71199999999999997</v>
      </c>
      <c r="AQ349" s="98">
        <v>14.548</v>
      </c>
      <c r="AR349" s="98">
        <v>19.808</v>
      </c>
      <c r="AS349" s="98">
        <v>-3.8580000000000001</v>
      </c>
      <c r="AT349" s="410">
        <v>31.21</v>
      </c>
      <c r="AU349" s="98">
        <v>10.997999999999999</v>
      </c>
      <c r="AV349" s="98">
        <v>45.982999999999997</v>
      </c>
      <c r="AW349" s="98">
        <v>33.923999999999999</v>
      </c>
      <c r="AX349" s="98">
        <v>55.402999999999999</v>
      </c>
      <c r="AY349" s="410">
        <v>146.30799999999999</v>
      </c>
      <c r="AZ349" s="98">
        <v>-5.4569999999999999</v>
      </c>
      <c r="BA349" s="98">
        <v>4.0209999999999999</v>
      </c>
      <c r="BB349" s="98">
        <v>22.568000000000001</v>
      </c>
      <c r="BC349" s="98">
        <v>11.169</v>
      </c>
      <c r="BD349" s="410">
        <v>32.301000000000002</v>
      </c>
      <c r="BE349" s="98">
        <v>41.654000000000003</v>
      </c>
      <c r="BF349" s="98">
        <v>25.52</v>
      </c>
      <c r="BG349" s="98">
        <v>18.864000000000001</v>
      </c>
      <c r="BH349" s="98">
        <v>73.316000000000003</v>
      </c>
      <c r="BI349" s="410">
        <v>159.35400000000001</v>
      </c>
      <c r="BJ349" s="98">
        <v>-5.5410000000000004</v>
      </c>
      <c r="BK349" s="98">
        <v>27.826000000000001</v>
      </c>
      <c r="BL349" s="98">
        <v>68.591999999999999</v>
      </c>
      <c r="BM349" s="98">
        <v>-31.710999999999999</v>
      </c>
      <c r="BN349" s="410">
        <v>59.165999999999997</v>
      </c>
      <c r="BO349" s="98">
        <v>42.728000000000002</v>
      </c>
      <c r="BP349" s="98">
        <v>12.39</v>
      </c>
      <c r="BQ349" s="98">
        <v>49.35</v>
      </c>
      <c r="BR349" s="98">
        <v>27.433</v>
      </c>
      <c r="BS349" s="419">
        <v>131.90100000000001</v>
      </c>
      <c r="BT349" s="63"/>
      <c r="BU349" s="63"/>
      <c r="BV349" s="63"/>
      <c r="BW349" s="63"/>
      <c r="BX349" s="413"/>
      <c r="BY349" s="63"/>
      <c r="BZ349" s="63"/>
      <c r="CA349" s="63"/>
      <c r="CB349" s="63"/>
      <c r="CC349" s="413"/>
      <c r="CD349" s="413"/>
      <c r="CE349" s="413"/>
      <c r="CF349" s="413"/>
      <c r="CG349" s="99"/>
    </row>
    <row r="350" spans="1:85" ht="14.45" hidden="1" customHeight="1" x14ac:dyDescent="0.25">
      <c r="A350" s="125" t="s">
        <v>429</v>
      </c>
      <c r="B350" s="180"/>
      <c r="C350" s="413"/>
      <c r="D350" s="413"/>
      <c r="E350" s="413"/>
      <c r="F350" s="413"/>
      <c r="G350" s="63"/>
      <c r="H350" s="63"/>
      <c r="I350" s="63"/>
      <c r="J350" s="63"/>
      <c r="K350" s="413"/>
      <c r="L350" s="63"/>
      <c r="M350" s="63"/>
      <c r="N350" s="63"/>
      <c r="O350" s="63"/>
      <c r="P350" s="413"/>
      <c r="Q350" s="63"/>
      <c r="R350" s="63"/>
      <c r="S350" s="63"/>
      <c r="T350" s="63"/>
      <c r="U350" s="413"/>
      <c r="V350" s="63"/>
      <c r="W350" s="63"/>
      <c r="X350" s="63"/>
      <c r="Y350" s="63"/>
      <c r="Z350" s="413"/>
      <c r="AA350" s="63"/>
      <c r="AB350" s="98">
        <v>2.76</v>
      </c>
      <c r="AC350" s="98">
        <v>2.76</v>
      </c>
      <c r="AD350" s="98">
        <v>2.33</v>
      </c>
      <c r="AE350" s="410">
        <v>7.85</v>
      </c>
      <c r="AF350" s="63"/>
      <c r="AG350" s="63"/>
      <c r="AH350" s="63"/>
      <c r="AI350" s="63"/>
      <c r="AJ350" s="413"/>
      <c r="AK350" s="63"/>
      <c r="AL350" s="63"/>
      <c r="AM350" s="63"/>
      <c r="AN350" s="63"/>
      <c r="AO350" s="413"/>
      <c r="AP350" s="63"/>
      <c r="AQ350" s="63"/>
      <c r="AR350" s="63"/>
      <c r="AS350" s="63"/>
      <c r="AT350" s="413"/>
      <c r="AU350" s="63"/>
      <c r="AV350" s="63"/>
      <c r="AW350" s="63"/>
      <c r="AX350" s="63"/>
      <c r="AY350" s="413"/>
      <c r="AZ350" s="63"/>
      <c r="BA350" s="63"/>
      <c r="BB350" s="63"/>
      <c r="BC350" s="63"/>
      <c r="BD350" s="413"/>
      <c r="BE350" s="63"/>
      <c r="BF350" s="63"/>
      <c r="BG350" s="63"/>
      <c r="BH350" s="63"/>
      <c r="BI350" s="413"/>
      <c r="BJ350" s="63"/>
      <c r="BK350" s="63"/>
      <c r="BL350" s="63"/>
      <c r="BM350" s="63"/>
      <c r="BN350" s="413"/>
      <c r="BO350" s="63"/>
      <c r="BP350" s="63"/>
      <c r="BQ350" s="63"/>
      <c r="BR350" s="63"/>
      <c r="BS350" s="425"/>
      <c r="BT350" s="63"/>
      <c r="BU350" s="63"/>
      <c r="BV350" s="63"/>
      <c r="BW350" s="63"/>
      <c r="BX350" s="413"/>
      <c r="BY350" s="63"/>
      <c r="BZ350" s="63"/>
      <c r="CA350" s="63"/>
      <c r="CB350" s="63"/>
      <c r="CC350" s="413"/>
      <c r="CD350" s="413"/>
      <c r="CE350" s="413"/>
      <c r="CF350" s="413"/>
      <c r="CG350" s="99"/>
    </row>
    <row r="351" spans="1:85" ht="14.45" hidden="1" customHeight="1" x14ac:dyDescent="0.25">
      <c r="A351" s="125" t="s">
        <v>418</v>
      </c>
      <c r="B351" s="180"/>
      <c r="C351" s="413"/>
      <c r="D351" s="413"/>
      <c r="E351" s="413"/>
      <c r="F351" s="413"/>
      <c r="G351" s="63"/>
      <c r="H351" s="63"/>
      <c r="I351" s="63"/>
      <c r="J351" s="63"/>
      <c r="K351" s="413"/>
      <c r="L351" s="63"/>
      <c r="M351" s="63"/>
      <c r="N351" s="63"/>
      <c r="O351" s="63"/>
      <c r="P351" s="413"/>
      <c r="Q351" s="63"/>
      <c r="R351" s="98">
        <v>0.749</v>
      </c>
      <c r="S351" s="98">
        <v>2.13</v>
      </c>
      <c r="T351" s="98">
        <v>1.2030000000000001</v>
      </c>
      <c r="U351" s="410">
        <v>3.4390000000000001</v>
      </c>
      <c r="V351" s="98">
        <v>-1.04</v>
      </c>
      <c r="W351" s="98">
        <v>-2.77</v>
      </c>
      <c r="X351" s="98">
        <v>-0.38800000000000001</v>
      </c>
      <c r="Y351" s="98">
        <v>-0.53</v>
      </c>
      <c r="Z351" s="410">
        <v>-4.7279999999999998</v>
      </c>
      <c r="AA351" s="98">
        <v>-0.32700000000000001</v>
      </c>
      <c r="AB351" s="98">
        <v>1.1870000000000001</v>
      </c>
      <c r="AC351" s="98">
        <v>-3.4009999999999998</v>
      </c>
      <c r="AD351" s="98">
        <v>-0.58899999999999997</v>
      </c>
      <c r="AE351" s="410">
        <v>-3.13</v>
      </c>
      <c r="AF351" s="98">
        <v>2.9670000000000001</v>
      </c>
      <c r="AG351" s="98">
        <v>-0.29699999999999999</v>
      </c>
      <c r="AH351" s="98">
        <v>0.46899999999999997</v>
      </c>
      <c r="AI351" s="98">
        <v>11.586</v>
      </c>
      <c r="AJ351" s="410">
        <v>14.725</v>
      </c>
      <c r="AK351" s="98">
        <v>-6.62</v>
      </c>
      <c r="AL351" s="98">
        <v>4.9400000000000004</v>
      </c>
      <c r="AM351" s="98">
        <v>-0.41299999999999998</v>
      </c>
      <c r="AN351" s="98">
        <v>-8.0449999999999999</v>
      </c>
      <c r="AO351" s="410">
        <v>-10.138</v>
      </c>
      <c r="AP351" s="98">
        <v>3.8650000000000002</v>
      </c>
      <c r="AQ351" s="98">
        <v>-2.0710000000000002</v>
      </c>
      <c r="AR351" s="98">
        <v>-1.7689999999999999</v>
      </c>
      <c r="AS351" s="98">
        <v>-2.8119999999999998</v>
      </c>
      <c r="AT351" s="410">
        <v>-2.7869999999999999</v>
      </c>
      <c r="AU351" s="98">
        <v>-0.84799999999999998</v>
      </c>
      <c r="AV351" s="98">
        <v>-2.633</v>
      </c>
      <c r="AW351" s="98">
        <v>-4.22</v>
      </c>
      <c r="AX351" s="98">
        <v>2.46</v>
      </c>
      <c r="AY351" s="410">
        <v>-5.2409999999999997</v>
      </c>
      <c r="AZ351" s="98">
        <v>-13.718999999999999</v>
      </c>
      <c r="BA351" s="98">
        <v>12.664999999999999</v>
      </c>
      <c r="BB351" s="98">
        <v>3.6110000000000002</v>
      </c>
      <c r="BC351" s="98">
        <v>0.34899999999999998</v>
      </c>
      <c r="BD351" s="410">
        <v>2.9060000000000001</v>
      </c>
      <c r="BE351" s="98">
        <v>3.085</v>
      </c>
      <c r="BF351" s="98">
        <v>1.321</v>
      </c>
      <c r="BG351" s="98">
        <v>-0.67800000000000005</v>
      </c>
      <c r="BH351" s="98">
        <v>-2.6669999999999998</v>
      </c>
      <c r="BI351" s="410">
        <v>1.0609999999999999</v>
      </c>
      <c r="BJ351" s="98">
        <v>1.1990000000000001</v>
      </c>
      <c r="BK351" s="98">
        <v>-1.329</v>
      </c>
      <c r="BL351" s="98">
        <v>-0.79500000000000004</v>
      </c>
      <c r="BM351" s="98">
        <v>2.2000000000000002</v>
      </c>
      <c r="BN351" s="410">
        <v>1.2749999999999999</v>
      </c>
      <c r="BO351" s="98">
        <v>0.63400000000000001</v>
      </c>
      <c r="BP351" s="98">
        <v>-2.0089999999999999</v>
      </c>
      <c r="BQ351" s="98">
        <v>-0.29399999999999998</v>
      </c>
      <c r="BR351" s="98">
        <v>-5.8999999999999997E-2</v>
      </c>
      <c r="BS351" s="419">
        <v>-1.728</v>
      </c>
      <c r="BT351" s="63"/>
      <c r="BU351" s="63"/>
      <c r="BV351" s="63"/>
      <c r="BW351" s="63"/>
      <c r="BX351" s="413"/>
      <c r="BY351" s="63"/>
      <c r="BZ351" s="63"/>
      <c r="CA351" s="63"/>
      <c r="CB351" s="63"/>
      <c r="CC351" s="413"/>
      <c r="CD351" s="413"/>
      <c r="CE351" s="413"/>
      <c r="CF351" s="413"/>
      <c r="CG351" s="99"/>
    </row>
    <row r="352" spans="1:85" ht="14.45" hidden="1" customHeight="1" x14ac:dyDescent="0.25">
      <c r="A352" s="125" t="s">
        <v>423</v>
      </c>
      <c r="B352" s="180"/>
      <c r="C352" s="413"/>
      <c r="D352" s="413"/>
      <c r="E352" s="413"/>
      <c r="F352" s="413"/>
      <c r="G352" s="63"/>
      <c r="H352" s="63"/>
      <c r="I352" s="63"/>
      <c r="J352" s="63"/>
      <c r="K352" s="413"/>
      <c r="L352" s="63"/>
      <c r="M352" s="63"/>
      <c r="N352" s="63"/>
      <c r="O352" s="63"/>
      <c r="P352" s="413"/>
      <c r="Q352" s="63"/>
      <c r="R352" s="63"/>
      <c r="S352" s="63"/>
      <c r="T352" s="63"/>
      <c r="U352" s="413"/>
      <c r="V352" s="63"/>
      <c r="W352" s="63"/>
      <c r="X352" s="63"/>
      <c r="Y352" s="63"/>
      <c r="Z352" s="413"/>
      <c r="AA352" s="63"/>
      <c r="AB352" s="63"/>
      <c r="AC352" s="63"/>
      <c r="AD352" s="63"/>
      <c r="AE352" s="413"/>
      <c r="AF352" s="63"/>
      <c r="AG352" s="63"/>
      <c r="AH352" s="63"/>
      <c r="AI352" s="63"/>
      <c r="AJ352" s="413"/>
      <c r="AK352" s="98">
        <v>2.476</v>
      </c>
      <c r="AL352" s="98">
        <v>1.903</v>
      </c>
      <c r="AM352" s="98">
        <v>1.732</v>
      </c>
      <c r="AN352" s="98">
        <v>1.194</v>
      </c>
      <c r="AO352" s="410">
        <v>7.3049999999999997</v>
      </c>
      <c r="AP352" s="63"/>
      <c r="AQ352" s="63"/>
      <c r="AR352" s="63"/>
      <c r="AS352" s="63"/>
      <c r="AT352" s="413"/>
      <c r="AU352" s="63"/>
      <c r="AV352" s="63"/>
      <c r="AW352" s="63"/>
      <c r="AX352" s="63"/>
      <c r="AY352" s="413"/>
      <c r="AZ352" s="63"/>
      <c r="BA352" s="63"/>
      <c r="BB352" s="63"/>
      <c r="BC352" s="63"/>
      <c r="BD352" s="413"/>
      <c r="BE352" s="63"/>
      <c r="BF352" s="63"/>
      <c r="BG352" s="63"/>
      <c r="BH352" s="63"/>
      <c r="BI352" s="413"/>
      <c r="BJ352" s="63"/>
      <c r="BK352" s="63"/>
      <c r="BL352" s="63"/>
      <c r="BM352" s="63"/>
      <c r="BN352" s="413"/>
      <c r="BO352" s="63"/>
      <c r="BP352" s="63"/>
      <c r="BQ352" s="63"/>
      <c r="BR352" s="63"/>
      <c r="BS352" s="425"/>
      <c r="BT352" s="63"/>
      <c r="BU352" s="63"/>
      <c r="BV352" s="63"/>
      <c r="BW352" s="63"/>
      <c r="BX352" s="413"/>
      <c r="BY352" s="63"/>
      <c r="BZ352" s="63"/>
      <c r="CA352" s="63"/>
      <c r="CB352" s="63"/>
      <c r="CC352" s="413"/>
      <c r="CD352" s="413"/>
      <c r="CE352" s="413"/>
      <c r="CF352" s="413"/>
      <c r="CG352" s="99"/>
    </row>
    <row r="353" spans="1:85" ht="14.45" hidden="1" customHeight="1" x14ac:dyDescent="0.25">
      <c r="A353" s="125" t="s">
        <v>419</v>
      </c>
      <c r="B353" s="180"/>
      <c r="C353" s="413"/>
      <c r="D353" s="413"/>
      <c r="E353" s="413"/>
      <c r="F353" s="413"/>
      <c r="G353" s="63"/>
      <c r="H353" s="63"/>
      <c r="I353" s="63"/>
      <c r="J353" s="63"/>
      <c r="K353" s="413"/>
      <c r="L353" s="63"/>
      <c r="M353" s="63"/>
      <c r="N353" s="63"/>
      <c r="O353" s="63"/>
      <c r="P353" s="413"/>
      <c r="Q353" s="63"/>
      <c r="R353" s="63"/>
      <c r="S353" s="63"/>
      <c r="T353" s="63"/>
      <c r="U353" s="413"/>
      <c r="V353" s="63"/>
      <c r="W353" s="63"/>
      <c r="X353" s="63"/>
      <c r="Y353" s="63"/>
      <c r="Z353" s="413"/>
      <c r="AA353" s="63"/>
      <c r="AB353" s="63"/>
      <c r="AC353" s="63"/>
      <c r="AD353" s="63"/>
      <c r="AE353" s="413"/>
      <c r="AF353" s="63"/>
      <c r="AG353" s="63"/>
      <c r="AH353" s="63"/>
      <c r="AI353" s="63"/>
      <c r="AJ353" s="413"/>
      <c r="AK353" s="63"/>
      <c r="AL353" s="98">
        <v>1.294</v>
      </c>
      <c r="AM353" s="98">
        <v>3.581</v>
      </c>
      <c r="AN353" s="98">
        <v>5.702</v>
      </c>
      <c r="AO353" s="410">
        <v>10.577</v>
      </c>
      <c r="AP353" s="98">
        <v>7.6999999999999999E-2</v>
      </c>
      <c r="AQ353" s="98">
        <v>0.64100000000000001</v>
      </c>
      <c r="AR353" s="98">
        <v>3.1219999999999999</v>
      </c>
      <c r="AS353" s="98">
        <v>0.54800000000000004</v>
      </c>
      <c r="AT353" s="410">
        <v>4.3879999999999999</v>
      </c>
      <c r="AU353" s="98">
        <v>0.38200000000000001</v>
      </c>
      <c r="AV353" s="98">
        <v>2.48</v>
      </c>
      <c r="AW353" s="98">
        <v>4.3949999999999996</v>
      </c>
      <c r="AX353" s="98">
        <v>1.232</v>
      </c>
      <c r="AY353" s="410">
        <v>8.4890000000000008</v>
      </c>
      <c r="AZ353" s="98">
        <v>4.3999999999999997E-2</v>
      </c>
      <c r="BA353" s="98">
        <v>0.11700000000000001</v>
      </c>
      <c r="BB353" s="98">
        <v>0.375</v>
      </c>
      <c r="BC353" s="98">
        <v>7.0000000000000007E-2</v>
      </c>
      <c r="BD353" s="410">
        <v>0.60599999999999998</v>
      </c>
      <c r="BE353" s="63"/>
      <c r="BF353" s="63"/>
      <c r="BG353" s="63"/>
      <c r="BH353" s="63"/>
      <c r="BI353" s="413"/>
      <c r="BJ353" s="63"/>
      <c r="BK353" s="63"/>
      <c r="BL353" s="63"/>
      <c r="BM353" s="63"/>
      <c r="BN353" s="413"/>
      <c r="BO353" s="63"/>
      <c r="BP353" s="63"/>
      <c r="BQ353" s="63"/>
      <c r="BR353" s="63"/>
      <c r="BS353" s="425"/>
      <c r="BT353" s="63"/>
      <c r="BU353" s="63"/>
      <c r="BV353" s="63"/>
      <c r="BW353" s="63"/>
      <c r="BX353" s="413"/>
      <c r="BY353" s="63"/>
      <c r="BZ353" s="63"/>
      <c r="CA353" s="63"/>
      <c r="CB353" s="63"/>
      <c r="CC353" s="413"/>
      <c r="CD353" s="413"/>
      <c r="CE353" s="413"/>
      <c r="CF353" s="413"/>
      <c r="CG353" s="99"/>
    </row>
    <row r="354" spans="1:85" ht="14.45" hidden="1" customHeight="1" x14ac:dyDescent="0.25">
      <c r="A354" s="125" t="s">
        <v>439</v>
      </c>
      <c r="B354" s="180"/>
      <c r="C354" s="413"/>
      <c r="D354" s="413"/>
      <c r="E354" s="413"/>
      <c r="F354" s="413"/>
      <c r="G354" s="63"/>
      <c r="H354" s="63"/>
      <c r="I354" s="63"/>
      <c r="J354" s="63"/>
      <c r="K354" s="413"/>
      <c r="L354" s="63"/>
      <c r="M354" s="63"/>
      <c r="N354" s="63"/>
      <c r="O354" s="63"/>
      <c r="P354" s="413"/>
      <c r="Q354" s="63"/>
      <c r="R354" s="63"/>
      <c r="S354" s="63"/>
      <c r="T354" s="63"/>
      <c r="U354" s="413"/>
      <c r="V354" s="63"/>
      <c r="W354" s="63"/>
      <c r="X354" s="63"/>
      <c r="Y354" s="63"/>
      <c r="Z354" s="413"/>
      <c r="AA354" s="63"/>
      <c r="AB354" s="63"/>
      <c r="AC354" s="63"/>
      <c r="AD354" s="63"/>
      <c r="AE354" s="413"/>
      <c r="AF354" s="63"/>
      <c r="AG354" s="63"/>
      <c r="AH354" s="63"/>
      <c r="AI354" s="63"/>
      <c r="AJ354" s="413"/>
      <c r="AK354" s="63"/>
      <c r="AL354" s="63"/>
      <c r="AM354" s="63"/>
      <c r="AN354" s="63"/>
      <c r="AO354" s="413"/>
      <c r="AP354" s="63"/>
      <c r="AQ354" s="63"/>
      <c r="AR354" s="63"/>
      <c r="AS354" s="63"/>
      <c r="AT354" s="413"/>
      <c r="AU354" s="63"/>
      <c r="AV354" s="63"/>
      <c r="AW354" s="63"/>
      <c r="AX354" s="63"/>
      <c r="AY354" s="413"/>
      <c r="AZ354" s="63"/>
      <c r="BA354" s="63"/>
      <c r="BB354" s="63"/>
      <c r="BC354" s="63"/>
      <c r="BD354" s="413"/>
      <c r="BE354" s="63"/>
      <c r="BF354" s="98">
        <v>39.777000000000001</v>
      </c>
      <c r="BG354" s="98">
        <v>77.319000000000003</v>
      </c>
      <c r="BH354" s="98">
        <v>-4.3</v>
      </c>
      <c r="BI354" s="410">
        <v>112.79600000000001</v>
      </c>
      <c r="BJ354" s="63"/>
      <c r="BK354" s="63"/>
      <c r="BL354" s="63"/>
      <c r="BM354" s="63"/>
      <c r="BN354" s="413"/>
      <c r="BO354" s="63"/>
      <c r="BP354" s="63"/>
      <c r="BQ354" s="63"/>
      <c r="BR354" s="63"/>
      <c r="BS354" s="425"/>
      <c r="BT354" s="63"/>
      <c r="BU354" s="63"/>
      <c r="BV354" s="63"/>
      <c r="BW354" s="63"/>
      <c r="BX354" s="413"/>
      <c r="BY354" s="63"/>
      <c r="BZ354" s="63"/>
      <c r="CA354" s="63"/>
      <c r="CB354" s="63"/>
      <c r="CC354" s="413"/>
      <c r="CD354" s="413"/>
      <c r="CE354" s="413"/>
      <c r="CF354" s="413"/>
      <c r="CG354" s="99"/>
    </row>
    <row r="355" spans="1:85" ht="14.45" hidden="1" customHeight="1" x14ac:dyDescent="0.25">
      <c r="A355" s="125" t="s">
        <v>417</v>
      </c>
      <c r="B355" s="180"/>
      <c r="C355" s="413"/>
      <c r="D355" s="413"/>
      <c r="E355" s="413"/>
      <c r="F355" s="413"/>
      <c r="G355" s="63"/>
      <c r="H355" s="63"/>
      <c r="I355" s="63"/>
      <c r="J355" s="63"/>
      <c r="K355" s="413"/>
      <c r="L355" s="63"/>
      <c r="M355" s="63"/>
      <c r="N355" s="63"/>
      <c r="O355" s="63"/>
      <c r="P355" s="413"/>
      <c r="Q355" s="63"/>
      <c r="R355" s="63"/>
      <c r="S355" s="63"/>
      <c r="T355" s="63"/>
      <c r="U355" s="413"/>
      <c r="V355" s="63"/>
      <c r="W355" s="63"/>
      <c r="X355" s="63"/>
      <c r="Y355" s="63"/>
      <c r="Z355" s="413"/>
      <c r="AA355" s="63"/>
      <c r="AB355" s="63"/>
      <c r="AC355" s="63"/>
      <c r="AD355" s="63"/>
      <c r="AE355" s="413"/>
      <c r="AF355" s="63"/>
      <c r="AG355" s="63"/>
      <c r="AH355" s="63"/>
      <c r="AI355" s="63"/>
      <c r="AJ355" s="413"/>
      <c r="AK355" s="63"/>
      <c r="AL355" s="63"/>
      <c r="AM355" s="63"/>
      <c r="AN355" s="63"/>
      <c r="AO355" s="413"/>
      <c r="AP355" s="63"/>
      <c r="AQ355" s="63"/>
      <c r="AR355" s="63"/>
      <c r="AS355" s="98">
        <v>-7.3540000000000001</v>
      </c>
      <c r="AT355" s="410">
        <v>-7.3540000000000001</v>
      </c>
      <c r="AU355" s="63"/>
      <c r="AV355" s="63"/>
      <c r="AW355" s="63"/>
      <c r="AX355" s="63"/>
      <c r="AY355" s="413"/>
      <c r="AZ355" s="63"/>
      <c r="BA355" s="63"/>
      <c r="BB355" s="63"/>
      <c r="BC355" s="63"/>
      <c r="BD355" s="413"/>
      <c r="BE355" s="63"/>
      <c r="BF355" s="63"/>
      <c r="BG355" s="63"/>
      <c r="BH355" s="63"/>
      <c r="BI355" s="413"/>
      <c r="BJ355" s="63"/>
      <c r="BK355" s="63"/>
      <c r="BL355" s="63"/>
      <c r="BM355" s="63"/>
      <c r="BN355" s="413"/>
      <c r="BO355" s="63"/>
      <c r="BP355" s="63"/>
      <c r="BQ355" s="63"/>
      <c r="BR355" s="63"/>
      <c r="BS355" s="425"/>
      <c r="BT355" s="63"/>
      <c r="BU355" s="63"/>
      <c r="BV355" s="63"/>
      <c r="BW355" s="63"/>
      <c r="BX355" s="413"/>
      <c r="BY355" s="63"/>
      <c r="BZ355" s="63"/>
      <c r="CA355" s="63"/>
      <c r="CB355" s="63"/>
      <c r="CC355" s="413"/>
      <c r="CD355" s="413"/>
      <c r="CE355" s="413"/>
      <c r="CF355" s="413"/>
      <c r="CG355" s="99"/>
    </row>
    <row r="356" spans="1:85" ht="14.45" hidden="1" customHeight="1" x14ac:dyDescent="0.25">
      <c r="A356" s="125" t="s">
        <v>440</v>
      </c>
      <c r="B356" s="180"/>
      <c r="C356" s="413"/>
      <c r="D356" s="413"/>
      <c r="E356" s="413"/>
      <c r="F356" s="413"/>
      <c r="G356" s="63"/>
      <c r="H356" s="63"/>
      <c r="I356" s="63"/>
      <c r="J356" s="63"/>
      <c r="K356" s="413"/>
      <c r="L356" s="63"/>
      <c r="M356" s="63"/>
      <c r="N356" s="63"/>
      <c r="O356" s="63"/>
      <c r="P356" s="413"/>
      <c r="Q356" s="63"/>
      <c r="R356" s="63"/>
      <c r="S356" s="63"/>
      <c r="T356" s="63"/>
      <c r="U356" s="413"/>
      <c r="V356" s="63"/>
      <c r="W356" s="63"/>
      <c r="X356" s="63"/>
      <c r="Y356" s="63"/>
      <c r="Z356" s="413"/>
      <c r="AA356" s="63"/>
      <c r="AB356" s="63"/>
      <c r="AC356" s="63"/>
      <c r="AD356" s="63"/>
      <c r="AE356" s="413"/>
      <c r="AF356" s="63"/>
      <c r="AG356" s="63"/>
      <c r="AH356" s="63"/>
      <c r="AI356" s="63"/>
      <c r="AJ356" s="413"/>
      <c r="AK356" s="63"/>
      <c r="AL356" s="63"/>
      <c r="AM356" s="63"/>
      <c r="AN356" s="63"/>
      <c r="AO356" s="413"/>
      <c r="AP356" s="63"/>
      <c r="AQ356" s="63"/>
      <c r="AR356" s="63"/>
      <c r="AS356" s="63"/>
      <c r="AT356" s="413"/>
      <c r="AU356" s="63"/>
      <c r="AV356" s="63"/>
      <c r="AW356" s="63"/>
      <c r="AX356" s="63"/>
      <c r="AY356" s="413"/>
      <c r="AZ356" s="63"/>
      <c r="BA356" s="63"/>
      <c r="BB356" s="63"/>
      <c r="BC356" s="63"/>
      <c r="BD356" s="413"/>
      <c r="BE356" s="63"/>
      <c r="BF356" s="63"/>
      <c r="BG356" s="63"/>
      <c r="BH356" s="63"/>
      <c r="BI356" s="413"/>
      <c r="BJ356" s="63"/>
      <c r="BK356" s="63"/>
      <c r="BL356" s="63"/>
      <c r="BM356" s="63"/>
      <c r="BN356" s="413"/>
      <c r="BO356" s="63"/>
      <c r="BP356" s="63"/>
      <c r="BQ356" s="63"/>
      <c r="BR356" s="63"/>
      <c r="BS356" s="425"/>
      <c r="BT356" s="63"/>
      <c r="BU356" s="63"/>
      <c r="BV356" s="63"/>
      <c r="BW356" s="63"/>
      <c r="BX356" s="413"/>
      <c r="BY356" s="63"/>
      <c r="BZ356" s="63"/>
      <c r="CA356" s="63"/>
      <c r="CB356" s="63"/>
      <c r="CC356" s="413"/>
      <c r="CD356" s="413"/>
      <c r="CE356" s="413"/>
      <c r="CF356" s="413"/>
      <c r="CG356" s="99"/>
    </row>
    <row r="357" spans="1:85" ht="14.45" hidden="1" customHeight="1" x14ac:dyDescent="0.25">
      <c r="A357" s="110" t="s">
        <v>441</v>
      </c>
      <c r="B357" s="212"/>
      <c r="C357" s="418"/>
      <c r="D357" s="418"/>
      <c r="E357" s="418"/>
      <c r="F357" s="418"/>
      <c r="G357" s="159"/>
      <c r="H357" s="159"/>
      <c r="I357" s="159"/>
      <c r="J357" s="159"/>
      <c r="K357" s="418"/>
      <c r="L357" s="159"/>
      <c r="M357" s="159"/>
      <c r="N357" s="159"/>
      <c r="O357" s="159"/>
      <c r="P357" s="418"/>
      <c r="Q357" s="159"/>
      <c r="R357" s="106">
        <f t="shared" ref="R357:AW357" si="214">SUM(R333:R356)</f>
        <v>31.532000000000004</v>
      </c>
      <c r="S357" s="106">
        <f t="shared" si="214"/>
        <v>29.056000000000065</v>
      </c>
      <c r="T357" s="106">
        <f t="shared" si="214"/>
        <v>11.181000000000216</v>
      </c>
      <c r="U357" s="416">
        <f t="shared" si="214"/>
        <v>80.776000000000124</v>
      </c>
      <c r="V357" s="106">
        <f t="shared" si="214"/>
        <v>9.004000000000012</v>
      </c>
      <c r="W357" s="106">
        <f t="shared" si="214"/>
        <v>34.55599999999999</v>
      </c>
      <c r="X357" s="106">
        <f t="shared" si="214"/>
        <v>36.575000000000053</v>
      </c>
      <c r="Y357" s="106">
        <f t="shared" si="214"/>
        <v>1.4709999999997063</v>
      </c>
      <c r="Z357" s="416">
        <f t="shared" si="214"/>
        <v>81.605999999999938</v>
      </c>
      <c r="AA357" s="106">
        <f t="shared" si="214"/>
        <v>7.0129999999999475</v>
      </c>
      <c r="AB357" s="106">
        <f t="shared" si="214"/>
        <v>37.085999999999871</v>
      </c>
      <c r="AC357" s="106">
        <f t="shared" si="214"/>
        <v>27.612000000000048</v>
      </c>
      <c r="AD357" s="106">
        <f t="shared" si="214"/>
        <v>7.1929999999994685</v>
      </c>
      <c r="AE357" s="416">
        <f t="shared" si="214"/>
        <v>78.903999999999627</v>
      </c>
      <c r="AF357" s="106">
        <f t="shared" si="214"/>
        <v>-16.301999999999904</v>
      </c>
      <c r="AG357" s="106">
        <f t="shared" si="214"/>
        <v>20.643999999999973</v>
      </c>
      <c r="AH357" s="106">
        <f t="shared" si="214"/>
        <v>41.785999999999888</v>
      </c>
      <c r="AI357" s="106">
        <f t="shared" si="214"/>
        <v>25.797999999999348</v>
      </c>
      <c r="AJ357" s="416">
        <f t="shared" si="214"/>
        <v>71.925999999999576</v>
      </c>
      <c r="AK357" s="106">
        <f t="shared" si="214"/>
        <v>6.0489999999999959</v>
      </c>
      <c r="AL357" s="106">
        <f t="shared" si="214"/>
        <v>63.582000000000107</v>
      </c>
      <c r="AM357" s="106">
        <f t="shared" si="214"/>
        <v>45.819000000000059</v>
      </c>
      <c r="AN357" s="106">
        <f t="shared" si="214"/>
        <v>26.221999999999731</v>
      </c>
      <c r="AO357" s="416">
        <f t="shared" si="214"/>
        <v>141.67199999999988</v>
      </c>
      <c r="AP357" s="106">
        <f t="shared" si="214"/>
        <v>25.615999999999968</v>
      </c>
      <c r="AQ357" s="106">
        <f t="shared" si="214"/>
        <v>70.91799999999995</v>
      </c>
      <c r="AR357" s="106">
        <f t="shared" si="214"/>
        <v>94.577999999999875</v>
      </c>
      <c r="AS357" s="106">
        <f t="shared" si="214"/>
        <v>75.385000000000034</v>
      </c>
      <c r="AT357" s="416">
        <f t="shared" si="214"/>
        <v>266.49700000000013</v>
      </c>
      <c r="AU357" s="106">
        <f t="shared" si="214"/>
        <v>83.914999999999992</v>
      </c>
      <c r="AV357" s="106">
        <f t="shared" si="214"/>
        <v>111.28500000000005</v>
      </c>
      <c r="AW357" s="106">
        <f t="shared" si="214"/>
        <v>128.05100000000002</v>
      </c>
      <c r="AX357" s="106">
        <f t="shared" ref="AX357:BS357" si="215">SUM(AX333:AX356)</f>
        <v>81.453999999999795</v>
      </c>
      <c r="AY357" s="416">
        <f t="shared" si="215"/>
        <v>404.70499999999976</v>
      </c>
      <c r="AZ357" s="106">
        <f t="shared" si="215"/>
        <v>107.43299999999991</v>
      </c>
      <c r="BA357" s="106">
        <f t="shared" si="215"/>
        <v>150.75099999999986</v>
      </c>
      <c r="BB357" s="106">
        <f t="shared" si="215"/>
        <v>185.65499999999994</v>
      </c>
      <c r="BC357" s="106">
        <f t="shared" si="215"/>
        <v>167.06100000000015</v>
      </c>
      <c r="BD357" s="416">
        <f t="shared" si="215"/>
        <v>610.9000000000002</v>
      </c>
      <c r="BE357" s="106">
        <f t="shared" si="215"/>
        <v>203.94100000000009</v>
      </c>
      <c r="BF357" s="106">
        <f t="shared" si="215"/>
        <v>231.37</v>
      </c>
      <c r="BG357" s="106">
        <f t="shared" si="215"/>
        <v>216.48900000000015</v>
      </c>
      <c r="BH357" s="106">
        <f t="shared" si="215"/>
        <v>178.89200000000008</v>
      </c>
      <c r="BI357" s="416">
        <f t="shared" si="215"/>
        <v>830.69200000000035</v>
      </c>
      <c r="BJ357" s="106">
        <f t="shared" si="215"/>
        <v>218.49299999999997</v>
      </c>
      <c r="BK357" s="106">
        <f t="shared" si="215"/>
        <v>258.72200000000004</v>
      </c>
      <c r="BL357" s="106">
        <f t="shared" si="215"/>
        <v>223.36000000000004</v>
      </c>
      <c r="BM357" s="106">
        <f t="shared" si="215"/>
        <v>216.52000000000066</v>
      </c>
      <c r="BN357" s="416">
        <f t="shared" si="215"/>
        <v>917.09500000000014</v>
      </c>
      <c r="BO357" s="106">
        <f t="shared" si="215"/>
        <v>182.83500000000006</v>
      </c>
      <c r="BP357" s="106">
        <f t="shared" si="215"/>
        <v>263.3730000000001</v>
      </c>
      <c r="BQ357" s="106">
        <f t="shared" si="215"/>
        <v>241.28600000000006</v>
      </c>
      <c r="BR357" s="106">
        <f t="shared" si="215"/>
        <v>215.59699999999972</v>
      </c>
      <c r="BS357" s="417">
        <f t="shared" si="215"/>
        <v>903.09100000000024</v>
      </c>
      <c r="BT357" s="159"/>
      <c r="BU357" s="159"/>
      <c r="BV357" s="159"/>
      <c r="BW357" s="159"/>
      <c r="BX357" s="418"/>
      <c r="BY357" s="159"/>
      <c r="BZ357" s="159"/>
      <c r="CA357" s="159"/>
      <c r="CB357" s="159"/>
      <c r="CC357" s="418"/>
      <c r="CD357" s="418"/>
      <c r="CE357" s="418"/>
      <c r="CF357" s="418"/>
      <c r="CG357" s="109"/>
    </row>
    <row r="358" spans="1:85" ht="14.45" hidden="1" customHeight="1" x14ac:dyDescent="0.25">
      <c r="A358" s="111"/>
      <c r="B358" s="211"/>
      <c r="C358" s="423"/>
      <c r="D358" s="423"/>
      <c r="E358" s="423"/>
      <c r="F358" s="423"/>
      <c r="G358" s="112"/>
      <c r="H358" s="112"/>
      <c r="I358" s="112"/>
      <c r="J358" s="112"/>
      <c r="K358" s="423"/>
      <c r="L358" s="112"/>
      <c r="M358" s="112"/>
      <c r="N358" s="112"/>
      <c r="O358" s="112"/>
      <c r="P358" s="423"/>
      <c r="Q358" s="112"/>
      <c r="R358" s="112"/>
      <c r="S358" s="112"/>
      <c r="T358" s="112"/>
      <c r="U358" s="423"/>
      <c r="V358" s="112"/>
      <c r="W358" s="112"/>
      <c r="X358" s="112"/>
      <c r="Y358" s="112"/>
      <c r="Z358" s="423"/>
      <c r="AA358" s="112"/>
      <c r="AB358" s="112"/>
      <c r="AC358" s="112"/>
      <c r="AD358" s="112"/>
      <c r="AE358" s="423"/>
      <c r="AF358" s="112"/>
      <c r="AG358" s="112"/>
      <c r="AH358" s="112"/>
      <c r="AI358" s="112"/>
      <c r="AJ358" s="423"/>
      <c r="AK358" s="112"/>
      <c r="AL358" s="112"/>
      <c r="AM358" s="112"/>
      <c r="AN358" s="112"/>
      <c r="AO358" s="423"/>
      <c r="AP358" s="112"/>
      <c r="AQ358" s="112"/>
      <c r="AR358" s="112"/>
      <c r="AS358" s="112"/>
      <c r="AT358" s="423"/>
      <c r="AU358" s="112"/>
      <c r="AV358" s="112"/>
      <c r="AW358" s="112"/>
      <c r="AX358" s="112"/>
      <c r="AY358" s="423"/>
      <c r="AZ358" s="112"/>
      <c r="BA358" s="112"/>
      <c r="BB358" s="112"/>
      <c r="BC358" s="112"/>
      <c r="BD358" s="423"/>
      <c r="BE358" s="112"/>
      <c r="BF358" s="112"/>
      <c r="BG358" s="112"/>
      <c r="BH358" s="112"/>
      <c r="BI358" s="423"/>
      <c r="BJ358" s="112"/>
      <c r="BK358" s="112"/>
      <c r="BL358" s="112"/>
      <c r="BM358" s="112"/>
      <c r="BN358" s="423"/>
      <c r="BO358" s="112"/>
      <c r="BP358" s="112"/>
      <c r="BQ358" s="112"/>
      <c r="BR358" s="112"/>
      <c r="BS358" s="424"/>
      <c r="BT358" s="112"/>
      <c r="BU358" s="112"/>
      <c r="BV358" s="112"/>
      <c r="BW358" s="112"/>
      <c r="BX358" s="423"/>
      <c r="BY358" s="112"/>
      <c r="BZ358" s="112"/>
      <c r="CA358" s="112"/>
      <c r="CB358" s="112"/>
      <c r="CC358" s="423"/>
      <c r="CD358" s="423"/>
      <c r="CE358" s="423"/>
      <c r="CF358" s="423"/>
      <c r="CG358" s="109"/>
    </row>
    <row r="359" spans="1:85" ht="14.45" hidden="1" customHeight="1" x14ac:dyDescent="0.25">
      <c r="A359" s="219" t="s">
        <v>442</v>
      </c>
      <c r="B359" s="211"/>
      <c r="C359" s="421">
        <f t="shared" ref="C359:AH359" si="216">C290</f>
        <v>38.136000000000166</v>
      </c>
      <c r="D359" s="421">
        <f t="shared" si="216"/>
        <v>36.056999999999867</v>
      </c>
      <c r="E359" s="421">
        <f t="shared" si="216"/>
        <v>28.608000000000089</v>
      </c>
      <c r="F359" s="421">
        <f t="shared" si="216"/>
        <v>27.216999999999921</v>
      </c>
      <c r="G359" s="109">
        <f t="shared" si="216"/>
        <v>4.8619999999999717</v>
      </c>
      <c r="H359" s="109">
        <f t="shared" si="216"/>
        <v>11.229000000000003</v>
      </c>
      <c r="I359" s="109">
        <f t="shared" si="216"/>
        <v>16.169000000000015</v>
      </c>
      <c r="J359" s="109">
        <f t="shared" si="216"/>
        <v>-4.585000000000198</v>
      </c>
      <c r="K359" s="421">
        <f t="shared" si="216"/>
        <v>27.67499999999982</v>
      </c>
      <c r="L359" s="109">
        <f t="shared" si="216"/>
        <v>2.4489999999999856</v>
      </c>
      <c r="M359" s="109">
        <f t="shared" si="216"/>
        <v>13.783000000000039</v>
      </c>
      <c r="N359" s="109">
        <f t="shared" si="216"/>
        <v>12.131999999999998</v>
      </c>
      <c r="O359" s="109">
        <f t="shared" si="216"/>
        <v>2.989999999999652</v>
      </c>
      <c r="P359" s="421">
        <f t="shared" si="216"/>
        <v>31.353999999999758</v>
      </c>
      <c r="Q359" s="109">
        <f t="shared" si="216"/>
        <v>2.2239999999999851</v>
      </c>
      <c r="R359" s="109">
        <f t="shared" si="216"/>
        <v>26.934000000000005</v>
      </c>
      <c r="S359" s="109">
        <f t="shared" si="216"/>
        <v>25.553000000000058</v>
      </c>
      <c r="T359" s="109">
        <f t="shared" si="216"/>
        <v>4.2910000000002118</v>
      </c>
      <c r="U359" s="421">
        <f t="shared" si="216"/>
        <v>59.002000000000123</v>
      </c>
      <c r="V359" s="109">
        <f t="shared" si="216"/>
        <v>-10.04099999999999</v>
      </c>
      <c r="W359" s="109">
        <f t="shared" si="216"/>
        <v>15.65199999999999</v>
      </c>
      <c r="X359" s="109">
        <f t="shared" si="216"/>
        <v>23.142000000000046</v>
      </c>
      <c r="Y359" s="109">
        <f t="shared" si="216"/>
        <v>21.392999999999702</v>
      </c>
      <c r="Z359" s="421">
        <f t="shared" si="216"/>
        <v>50.14599999999993</v>
      </c>
      <c r="AA359" s="109">
        <f t="shared" si="216"/>
        <v>-5.0510000000000543</v>
      </c>
      <c r="AB359" s="109">
        <f t="shared" si="216"/>
        <v>6.3479999999998764</v>
      </c>
      <c r="AC359" s="109">
        <f t="shared" si="216"/>
        <v>17.316000000000052</v>
      </c>
      <c r="AD359" s="109">
        <f t="shared" si="216"/>
        <v>77.921999999999485</v>
      </c>
      <c r="AE359" s="421">
        <f t="shared" si="216"/>
        <v>96.534999999999641</v>
      </c>
      <c r="AF359" s="109">
        <f t="shared" si="216"/>
        <v>-14.184999999999901</v>
      </c>
      <c r="AG359" s="109">
        <f t="shared" si="216"/>
        <v>-3.933000000000026</v>
      </c>
      <c r="AH359" s="109">
        <f t="shared" si="216"/>
        <v>25.163999999999884</v>
      </c>
      <c r="AI359" s="109">
        <f t="shared" ref="AI359:AI386" si="217">AJ359-SUM(AF359,AG359,AH359)</f>
        <v>-26.976000000000369</v>
      </c>
      <c r="AJ359" s="421">
        <f t="shared" ref="AJ359:BS359" si="218">AJ290</f>
        <v>-19.930000000000412</v>
      </c>
      <c r="AK359" s="109">
        <f t="shared" si="218"/>
        <v>-6.831000000000004</v>
      </c>
      <c r="AL359" s="109">
        <f t="shared" si="218"/>
        <v>15.370000000000115</v>
      </c>
      <c r="AM359" s="109">
        <f t="shared" si="218"/>
        <v>13.006000000000061</v>
      </c>
      <c r="AN359" s="109">
        <f t="shared" si="218"/>
        <v>-10.170000000000268</v>
      </c>
      <c r="AO359" s="421">
        <f t="shared" si="218"/>
        <v>11.374999999999897</v>
      </c>
      <c r="AP359" s="109">
        <f t="shared" si="218"/>
        <v>14.661999999999967</v>
      </c>
      <c r="AQ359" s="109">
        <f t="shared" si="218"/>
        <v>39.568999999999946</v>
      </c>
      <c r="AR359" s="109">
        <f t="shared" si="218"/>
        <v>51.883999999999887</v>
      </c>
      <c r="AS359" s="109">
        <f t="shared" si="218"/>
        <v>66.378000000000043</v>
      </c>
      <c r="AT359" s="421">
        <f t="shared" si="218"/>
        <v>172.49300000000014</v>
      </c>
      <c r="AU359" s="109">
        <f t="shared" si="218"/>
        <v>53.362999999999985</v>
      </c>
      <c r="AV359" s="109">
        <f t="shared" si="218"/>
        <v>48.180000000000057</v>
      </c>
      <c r="AW359" s="109">
        <f t="shared" si="218"/>
        <v>68.930000000000007</v>
      </c>
      <c r="AX359" s="109">
        <f t="shared" si="218"/>
        <v>19.106999999999793</v>
      </c>
      <c r="AY359" s="421">
        <f t="shared" si="218"/>
        <v>189.57999999999981</v>
      </c>
      <c r="AZ359" s="109">
        <f t="shared" si="218"/>
        <v>93.389999999999901</v>
      </c>
      <c r="BA359" s="109">
        <f t="shared" si="218"/>
        <v>99.561999999999898</v>
      </c>
      <c r="BB359" s="109">
        <f t="shared" si="218"/>
        <v>118.76099999999994</v>
      </c>
      <c r="BC359" s="109">
        <f t="shared" si="218"/>
        <v>118.44500000000016</v>
      </c>
      <c r="BD359" s="421">
        <f t="shared" si="218"/>
        <v>430.15800000000024</v>
      </c>
      <c r="BE359" s="109">
        <f t="shared" si="218"/>
        <v>118.12700000000008</v>
      </c>
      <c r="BF359" s="109">
        <f t="shared" si="218"/>
        <v>122.31900000000002</v>
      </c>
      <c r="BG359" s="109">
        <f t="shared" si="218"/>
        <v>92.09300000000016</v>
      </c>
      <c r="BH359" s="109">
        <f t="shared" si="218"/>
        <v>75.836000000000084</v>
      </c>
      <c r="BI359" s="421">
        <f t="shared" si="218"/>
        <v>408.37500000000023</v>
      </c>
      <c r="BJ359" s="109">
        <f t="shared" si="218"/>
        <v>165.74099999999996</v>
      </c>
      <c r="BK359" s="109">
        <f t="shared" si="218"/>
        <v>172.81200000000007</v>
      </c>
      <c r="BL359" s="109">
        <f t="shared" si="218"/>
        <v>115.62400000000005</v>
      </c>
      <c r="BM359" s="109">
        <f t="shared" si="218"/>
        <v>178.94800000000069</v>
      </c>
      <c r="BN359" s="421">
        <f t="shared" si="218"/>
        <v>633.12500000000023</v>
      </c>
      <c r="BO359" s="109">
        <f t="shared" si="218"/>
        <v>103.61100000000008</v>
      </c>
      <c r="BP359" s="109">
        <f t="shared" si="218"/>
        <v>187.38700000000011</v>
      </c>
      <c r="BQ359" s="109">
        <f t="shared" si="218"/>
        <v>142.33400000000006</v>
      </c>
      <c r="BR359" s="109">
        <f t="shared" si="218"/>
        <v>137.24999999999972</v>
      </c>
      <c r="BS359" s="422">
        <f t="shared" si="218"/>
        <v>570.58200000000011</v>
      </c>
      <c r="BT359" s="112"/>
      <c r="BU359" s="112"/>
      <c r="BV359" s="112"/>
      <c r="BW359" s="112"/>
      <c r="BX359" s="423"/>
      <c r="BY359" s="112"/>
      <c r="BZ359" s="112"/>
      <c r="CA359" s="112"/>
      <c r="CB359" s="112"/>
      <c r="CC359" s="423"/>
      <c r="CD359" s="423"/>
      <c r="CE359" s="423"/>
      <c r="CF359" s="423"/>
      <c r="CG359" s="109"/>
    </row>
    <row r="360" spans="1:85" ht="14.45" hidden="1" customHeight="1" x14ac:dyDescent="0.25">
      <c r="A360" s="125" t="s">
        <v>443</v>
      </c>
      <c r="B360" s="180"/>
      <c r="C360" s="413"/>
      <c r="D360" s="413"/>
      <c r="E360" s="413"/>
      <c r="F360" s="413"/>
      <c r="G360" s="63"/>
      <c r="H360" s="63"/>
      <c r="I360" s="63"/>
      <c r="J360" s="63"/>
      <c r="K360" s="413"/>
      <c r="L360" s="63"/>
      <c r="M360" s="63"/>
      <c r="N360" s="63"/>
      <c r="O360" s="63"/>
      <c r="P360" s="413"/>
      <c r="Q360" s="63"/>
      <c r="R360" s="63"/>
      <c r="S360" s="98">
        <v>-13.907999999999999</v>
      </c>
      <c r="T360" s="63"/>
      <c r="U360" s="410">
        <v>-13.907999999999999</v>
      </c>
      <c r="V360" s="63"/>
      <c r="W360" s="63"/>
      <c r="X360" s="63"/>
      <c r="Y360" s="63"/>
      <c r="Z360" s="413"/>
      <c r="AA360" s="63"/>
      <c r="AB360" s="63"/>
      <c r="AC360" s="63"/>
      <c r="AD360" s="63"/>
      <c r="AE360" s="413"/>
      <c r="AF360" s="63"/>
      <c r="AG360" s="63"/>
      <c r="AH360" s="63"/>
      <c r="AI360" s="99">
        <f t="shared" si="217"/>
        <v>0</v>
      </c>
      <c r="AJ360" s="413"/>
      <c r="AK360" s="63"/>
      <c r="AL360" s="63"/>
      <c r="AM360" s="63"/>
      <c r="AN360" s="63"/>
      <c r="AO360" s="413"/>
      <c r="AP360" s="63"/>
      <c r="AQ360" s="63"/>
      <c r="AR360" s="63"/>
      <c r="AS360" s="63"/>
      <c r="AT360" s="413"/>
      <c r="AU360" s="63"/>
      <c r="AV360" s="63"/>
      <c r="AW360" s="63"/>
      <c r="AX360" s="63"/>
      <c r="AY360" s="413"/>
      <c r="AZ360" s="63"/>
      <c r="BA360" s="63"/>
      <c r="BB360" s="63"/>
      <c r="BC360" s="63"/>
      <c r="BD360" s="413"/>
      <c r="BE360" s="63"/>
      <c r="BF360" s="63"/>
      <c r="BG360" s="63"/>
      <c r="BH360" s="63"/>
      <c r="BI360" s="413"/>
      <c r="BJ360" s="63"/>
      <c r="BK360" s="63"/>
      <c r="BL360" s="63"/>
      <c r="BM360" s="63"/>
      <c r="BN360" s="413"/>
      <c r="BO360" s="63"/>
      <c r="BP360" s="63"/>
      <c r="BQ360" s="63"/>
      <c r="BR360" s="63"/>
      <c r="BS360" s="425"/>
      <c r="BT360" s="63"/>
      <c r="BU360" s="63"/>
      <c r="BV360" s="63"/>
      <c r="BW360" s="63"/>
      <c r="BX360" s="413"/>
      <c r="BY360" s="63"/>
      <c r="BZ360" s="63"/>
      <c r="CA360" s="63"/>
      <c r="CB360" s="63"/>
      <c r="CC360" s="413"/>
      <c r="CD360" s="413"/>
      <c r="CE360" s="413"/>
      <c r="CF360" s="413"/>
      <c r="CG360" s="99"/>
    </row>
    <row r="361" spans="1:85" ht="14.45" hidden="1" customHeight="1" x14ac:dyDescent="0.25">
      <c r="A361" s="125" t="s">
        <v>444</v>
      </c>
      <c r="B361" s="180"/>
      <c r="C361" s="413"/>
      <c r="D361" s="413"/>
      <c r="E361" s="413"/>
      <c r="F361" s="413"/>
      <c r="G361" s="63"/>
      <c r="H361" s="63"/>
      <c r="I361" s="63"/>
      <c r="J361" s="63"/>
      <c r="K361" s="413"/>
      <c r="L361" s="63"/>
      <c r="M361" s="63"/>
      <c r="N361" s="63"/>
      <c r="O361" s="63"/>
      <c r="P361" s="413"/>
      <c r="Q361" s="63"/>
      <c r="R361" s="63"/>
      <c r="S361" s="63"/>
      <c r="T361" s="63"/>
      <c r="U361" s="413"/>
      <c r="V361" s="63"/>
      <c r="W361" s="98">
        <v>-1.7010000000000001</v>
      </c>
      <c r="X361" s="98">
        <v>-0.23899999999999999</v>
      </c>
      <c r="Y361" s="98">
        <v>-0.32700000000000001</v>
      </c>
      <c r="Z361" s="410">
        <v>-2.9079999999999999</v>
      </c>
      <c r="AA361" s="98">
        <v>-0.20100000000000001</v>
      </c>
      <c r="AB361" s="98">
        <v>0.72899999999999998</v>
      </c>
      <c r="AC361" s="98">
        <v>-2.0880000000000001</v>
      </c>
      <c r="AD361" s="98">
        <v>-0.254</v>
      </c>
      <c r="AE361" s="410">
        <v>-1.71</v>
      </c>
      <c r="AF361" s="98">
        <v>2.2309999999999999</v>
      </c>
      <c r="AG361" s="98">
        <v>-0.223</v>
      </c>
      <c r="AH361" s="98">
        <v>0.35299999999999998</v>
      </c>
      <c r="AI361" s="99">
        <f t="shared" si="217"/>
        <v>8.8590000000000018</v>
      </c>
      <c r="AJ361" s="410">
        <v>11.22</v>
      </c>
      <c r="AK361" s="98">
        <v>-4.9779999999999998</v>
      </c>
      <c r="AL361" s="98">
        <v>3.7149999999999999</v>
      </c>
      <c r="AM361" s="98">
        <v>-0.311</v>
      </c>
      <c r="AN361" s="98">
        <v>-6.03</v>
      </c>
      <c r="AO361" s="410">
        <v>-7.6040000000000001</v>
      </c>
      <c r="AP361" s="98">
        <v>2.9060000000000001</v>
      </c>
      <c r="AQ361" s="98">
        <v>-1.5569999999999999</v>
      </c>
      <c r="AR361" s="98">
        <v>-1.33</v>
      </c>
      <c r="AS361" s="98">
        <v>-2.109</v>
      </c>
      <c r="AT361" s="410">
        <v>-2.09</v>
      </c>
      <c r="AU361" s="98">
        <v>-0.63600000000000001</v>
      </c>
      <c r="AV361" s="98">
        <v>-1.9750000000000001</v>
      </c>
      <c r="AW361" s="98">
        <v>-3.169</v>
      </c>
      <c r="AX361" s="98">
        <v>1.849</v>
      </c>
      <c r="AY361" s="410">
        <v>-3.931</v>
      </c>
      <c r="AZ361" s="98">
        <v>-10.33</v>
      </c>
      <c r="BA361" s="98">
        <v>9.5359999999999996</v>
      </c>
      <c r="BB361" s="98">
        <v>2.7189999999999999</v>
      </c>
      <c r="BC361" s="98">
        <v>0.26200000000000001</v>
      </c>
      <c r="BD361" s="410">
        <v>2.1869999999999998</v>
      </c>
      <c r="BE361" s="98">
        <v>2.323</v>
      </c>
      <c r="BF361" s="98">
        <v>0.99399999999999999</v>
      </c>
      <c r="BG361" s="98">
        <v>-0.51</v>
      </c>
      <c r="BH361" s="98">
        <v>-2.0089999999999999</v>
      </c>
      <c r="BI361" s="410">
        <v>0.79800000000000004</v>
      </c>
      <c r="BJ361" s="98">
        <v>0.90300000000000002</v>
      </c>
      <c r="BK361" s="98">
        <v>-1.0009999999999999</v>
      </c>
      <c r="BL361" s="98">
        <v>-0.59899999999999998</v>
      </c>
      <c r="BM361" s="98">
        <v>1.6559999999999999</v>
      </c>
      <c r="BN361" s="410">
        <v>0.95899999999999996</v>
      </c>
      <c r="BO361" s="98">
        <v>0.47699999999999998</v>
      </c>
      <c r="BP361" s="98">
        <v>-1.5109999999999999</v>
      </c>
      <c r="BQ361" s="98">
        <v>-0.221</v>
      </c>
      <c r="BR361" s="98">
        <v>-4.3999999999999997E-2</v>
      </c>
      <c r="BS361" s="419">
        <v>-1.2989999999999999</v>
      </c>
      <c r="BT361" s="63"/>
      <c r="BU361" s="63"/>
      <c r="BV361" s="63"/>
      <c r="BW361" s="63"/>
      <c r="BX361" s="413"/>
      <c r="BY361" s="63"/>
      <c r="BZ361" s="63"/>
      <c r="CA361" s="63"/>
      <c r="CB361" s="63"/>
      <c r="CC361" s="413"/>
      <c r="CD361" s="413"/>
      <c r="CE361" s="413"/>
      <c r="CF361" s="413"/>
      <c r="CG361" s="99"/>
    </row>
    <row r="362" spans="1:85" ht="14.45" hidden="1" customHeight="1" x14ac:dyDescent="0.25">
      <c r="A362" s="125" t="s">
        <v>445</v>
      </c>
      <c r="B362" s="180"/>
      <c r="C362" s="413"/>
      <c r="D362" s="413"/>
      <c r="E362" s="413"/>
      <c r="F362" s="413"/>
      <c r="G362" s="63"/>
      <c r="H362" s="63"/>
      <c r="I362" s="63"/>
      <c r="J362" s="63"/>
      <c r="K362" s="413"/>
      <c r="L362" s="63"/>
      <c r="M362" s="63"/>
      <c r="N362" s="63"/>
      <c r="O362" s="63"/>
      <c r="P362" s="413"/>
      <c r="Q362" s="63"/>
      <c r="R362" s="63"/>
      <c r="S362" s="63"/>
      <c r="T362" s="63"/>
      <c r="U362" s="413"/>
      <c r="V362" s="63"/>
      <c r="W362" s="98">
        <v>-9.8079999999999998</v>
      </c>
      <c r="X362" s="98">
        <v>-1.4950000000000001</v>
      </c>
      <c r="Y362" s="98">
        <v>-2.8210000000000002</v>
      </c>
      <c r="Z362" s="410">
        <v>-14.932</v>
      </c>
      <c r="AA362" s="98">
        <v>-2.7320000000000002</v>
      </c>
      <c r="AB362" s="98">
        <v>-9.4060000000000006</v>
      </c>
      <c r="AC362" s="98">
        <v>-6.3419999999999996</v>
      </c>
      <c r="AD362" s="98">
        <v>0.17899999999999999</v>
      </c>
      <c r="AE362" s="410">
        <v>-16.215</v>
      </c>
      <c r="AF362" s="63"/>
      <c r="AG362" s="63"/>
      <c r="AH362" s="63"/>
      <c r="AI362" s="99">
        <f t="shared" si="217"/>
        <v>0</v>
      </c>
      <c r="AJ362" s="413"/>
      <c r="AK362" s="63"/>
      <c r="AL362" s="63"/>
      <c r="AM362" s="63"/>
      <c r="AN362" s="63"/>
      <c r="AO362" s="413"/>
      <c r="AP362" s="63"/>
      <c r="AQ362" s="63"/>
      <c r="AR362" s="63"/>
      <c r="AS362" s="63"/>
      <c r="AT362" s="413"/>
      <c r="AU362" s="63"/>
      <c r="AV362" s="63"/>
      <c r="AW362" s="63"/>
      <c r="AX362" s="63"/>
      <c r="AY362" s="413"/>
      <c r="AZ362" s="63"/>
      <c r="BA362" s="63"/>
      <c r="BB362" s="63"/>
      <c r="BC362" s="63"/>
      <c r="BD362" s="413"/>
      <c r="BE362" s="63"/>
      <c r="BF362" s="63"/>
      <c r="BG362" s="63"/>
      <c r="BH362" s="63"/>
      <c r="BI362" s="413"/>
      <c r="BJ362" s="63"/>
      <c r="BK362" s="63"/>
      <c r="BL362" s="63"/>
      <c r="BM362" s="63"/>
      <c r="BN362" s="413"/>
      <c r="BO362" s="63"/>
      <c r="BP362" s="63"/>
      <c r="BQ362" s="63"/>
      <c r="BR362" s="63"/>
      <c r="BS362" s="425"/>
      <c r="BT362" s="63"/>
      <c r="BU362" s="63"/>
      <c r="BV362" s="63"/>
      <c r="BW362" s="63"/>
      <c r="BX362" s="413"/>
      <c r="BY362" s="63"/>
      <c r="BZ362" s="63"/>
      <c r="CA362" s="63"/>
      <c r="CB362" s="63"/>
      <c r="CC362" s="413"/>
      <c r="CD362" s="413"/>
      <c r="CE362" s="413"/>
      <c r="CF362" s="413"/>
      <c r="CG362" s="99"/>
    </row>
    <row r="363" spans="1:85" ht="14.45" hidden="1" customHeight="1" x14ac:dyDescent="0.25">
      <c r="A363" s="125" t="s">
        <v>429</v>
      </c>
      <c r="B363" s="180"/>
      <c r="C363" s="413"/>
      <c r="D363" s="413"/>
      <c r="E363" s="413"/>
      <c r="F363" s="413"/>
      <c r="G363" s="63"/>
      <c r="H363" s="63"/>
      <c r="I363" s="63"/>
      <c r="J363" s="63"/>
      <c r="K363" s="413"/>
      <c r="L363" s="63"/>
      <c r="M363" s="63"/>
      <c r="N363" s="63"/>
      <c r="O363" s="63"/>
      <c r="P363" s="413"/>
      <c r="Q363" s="63"/>
      <c r="R363" s="63"/>
      <c r="S363" s="63"/>
      <c r="T363" s="63"/>
      <c r="U363" s="413"/>
      <c r="V363" s="63"/>
      <c r="W363" s="63"/>
      <c r="X363" s="63"/>
      <c r="Y363" s="63"/>
      <c r="Z363" s="413"/>
      <c r="AA363" s="63"/>
      <c r="AB363" s="98">
        <v>1.6950000000000001</v>
      </c>
      <c r="AC363" s="98">
        <v>1.6950000000000001</v>
      </c>
      <c r="AD363" s="98">
        <v>1.004</v>
      </c>
      <c r="AE363" s="410">
        <v>4.0019999999999998</v>
      </c>
      <c r="AF363" s="63"/>
      <c r="AG363" s="63"/>
      <c r="AH363" s="63"/>
      <c r="AI363" s="99">
        <f t="shared" si="217"/>
        <v>1.6779999999999999</v>
      </c>
      <c r="AJ363" s="410">
        <v>1.6779999999999999</v>
      </c>
      <c r="AK363" s="63"/>
      <c r="AL363" s="63"/>
      <c r="AM363" s="63"/>
      <c r="AN363" s="63"/>
      <c r="AO363" s="413"/>
      <c r="AP363" s="63"/>
      <c r="AQ363" s="63"/>
      <c r="AR363" s="63"/>
      <c r="AS363" s="63"/>
      <c r="AT363" s="413"/>
      <c r="AU363" s="63"/>
      <c r="AV363" s="63"/>
      <c r="AW363" s="63"/>
      <c r="AX363" s="63"/>
      <c r="AY363" s="413"/>
      <c r="AZ363" s="63"/>
      <c r="BA363" s="63"/>
      <c r="BB363" s="63"/>
      <c r="BC363" s="63"/>
      <c r="BD363" s="413"/>
      <c r="BE363" s="63"/>
      <c r="BF363" s="63"/>
      <c r="BG363" s="63"/>
      <c r="BH363" s="63"/>
      <c r="BI363" s="413"/>
      <c r="BJ363" s="63"/>
      <c r="BK363" s="63"/>
      <c r="BL363" s="63"/>
      <c r="BM363" s="63"/>
      <c r="BN363" s="413"/>
      <c r="BO363" s="63"/>
      <c r="BP363" s="63"/>
      <c r="BQ363" s="63"/>
      <c r="BR363" s="63"/>
      <c r="BS363" s="425"/>
      <c r="BT363" s="63"/>
      <c r="BU363" s="63"/>
      <c r="BV363" s="63"/>
      <c r="BW363" s="63"/>
      <c r="BX363" s="413"/>
      <c r="BY363" s="63"/>
      <c r="BZ363" s="63"/>
      <c r="CA363" s="63"/>
      <c r="CB363" s="63"/>
      <c r="CC363" s="413"/>
      <c r="CD363" s="413"/>
      <c r="CE363" s="413"/>
      <c r="CF363" s="413"/>
      <c r="CG363" s="99"/>
    </row>
    <row r="364" spans="1:85" ht="14.45" hidden="1" customHeight="1" x14ac:dyDescent="0.25">
      <c r="A364" s="125" t="s">
        <v>446</v>
      </c>
      <c r="B364" s="180"/>
      <c r="C364" s="413"/>
      <c r="D364" s="413"/>
      <c r="E364" s="413"/>
      <c r="F364" s="413"/>
      <c r="G364" s="98">
        <v>0.34399999999999997</v>
      </c>
      <c r="H364" s="98">
        <v>0.64900000000000002</v>
      </c>
      <c r="I364" s="98">
        <v>0.99199999999999999</v>
      </c>
      <c r="J364" s="98">
        <v>1.0649999999999999</v>
      </c>
      <c r="K364" s="410">
        <v>3.0510000000000002</v>
      </c>
      <c r="L364" s="98">
        <v>1.226</v>
      </c>
      <c r="M364" s="98">
        <v>1.891</v>
      </c>
      <c r="N364" s="98">
        <v>1.5620000000000001</v>
      </c>
      <c r="O364" s="98">
        <v>3.1850000000000001</v>
      </c>
      <c r="P364" s="410">
        <v>7.8650000000000002</v>
      </c>
      <c r="Q364" s="98">
        <v>1.839</v>
      </c>
      <c r="R364" s="98">
        <v>2.6110000000000002</v>
      </c>
      <c r="S364" s="98">
        <v>4.2649999999999997</v>
      </c>
      <c r="T364" s="98">
        <v>3.5539999999999998</v>
      </c>
      <c r="U364" s="410">
        <v>12.269</v>
      </c>
      <c r="V364" s="98">
        <v>3.9430000000000001</v>
      </c>
      <c r="W364" s="98">
        <v>4.3010000000000002</v>
      </c>
      <c r="X364" s="98">
        <v>6.0149999999999997</v>
      </c>
      <c r="Y364" s="98">
        <v>5.5759999999999996</v>
      </c>
      <c r="Z364" s="410">
        <v>19.849</v>
      </c>
      <c r="AA364" s="63"/>
      <c r="AB364" s="63"/>
      <c r="AC364" s="63"/>
      <c r="AD364" s="63"/>
      <c r="AE364" s="413"/>
      <c r="AF364" s="63"/>
      <c r="AG364" s="63"/>
      <c r="AH364" s="63"/>
      <c r="AI364" s="99">
        <f t="shared" si="217"/>
        <v>0</v>
      </c>
      <c r="AJ364" s="413"/>
      <c r="AK364" s="63"/>
      <c r="AL364" s="63"/>
      <c r="AM364" s="63"/>
      <c r="AN364" s="63"/>
      <c r="AO364" s="413"/>
      <c r="AP364" s="63"/>
      <c r="AQ364" s="63"/>
      <c r="AR364" s="63"/>
      <c r="AS364" s="63"/>
      <c r="AT364" s="413"/>
      <c r="AU364" s="63"/>
      <c r="AV364" s="63"/>
      <c r="AW364" s="63"/>
      <c r="AX364" s="63"/>
      <c r="AY364" s="413"/>
      <c r="AZ364" s="63"/>
      <c r="BA364" s="63"/>
      <c r="BB364" s="63"/>
      <c r="BC364" s="63"/>
      <c r="BD364" s="413"/>
      <c r="BE364" s="63"/>
      <c r="BF364" s="63"/>
      <c r="BG364" s="63"/>
      <c r="BH364" s="63"/>
      <c r="BI364" s="413"/>
      <c r="BJ364" s="63"/>
      <c r="BK364" s="63"/>
      <c r="BL364" s="63"/>
      <c r="BM364" s="63"/>
      <c r="BN364" s="413"/>
      <c r="BO364" s="63"/>
      <c r="BP364" s="63"/>
      <c r="BQ364" s="63"/>
      <c r="BR364" s="63"/>
      <c r="BS364" s="425"/>
      <c r="BT364" s="63"/>
      <c r="BU364" s="63"/>
      <c r="BV364" s="63"/>
      <c r="BW364" s="63"/>
      <c r="BX364" s="413"/>
      <c r="BY364" s="63"/>
      <c r="BZ364" s="63"/>
      <c r="CA364" s="63"/>
      <c r="CB364" s="63"/>
      <c r="CC364" s="413"/>
      <c r="CD364" s="413"/>
      <c r="CE364" s="413"/>
      <c r="CF364" s="413"/>
      <c r="CG364" s="99"/>
    </row>
    <row r="365" spans="1:85" ht="14.45" hidden="1" customHeight="1" x14ac:dyDescent="0.25">
      <c r="A365" s="125" t="s">
        <v>432</v>
      </c>
      <c r="B365" s="180"/>
      <c r="C365" s="413"/>
      <c r="D365" s="413"/>
      <c r="E365" s="413"/>
      <c r="F365" s="413"/>
      <c r="G365" s="63"/>
      <c r="H365" s="63"/>
      <c r="I365" s="63"/>
      <c r="J365" s="63"/>
      <c r="K365" s="413"/>
      <c r="L365" s="63"/>
      <c r="M365" s="63"/>
      <c r="N365" s="63"/>
      <c r="O365" s="63"/>
      <c r="P365" s="413"/>
      <c r="Q365" s="63"/>
      <c r="R365" s="63"/>
      <c r="S365" s="63"/>
      <c r="T365" s="63"/>
      <c r="U365" s="413"/>
      <c r="V365" s="63"/>
      <c r="W365" s="63"/>
      <c r="X365" s="63"/>
      <c r="Y365" s="63"/>
      <c r="Z365" s="413"/>
      <c r="AA365" s="63"/>
      <c r="AB365" s="63"/>
      <c r="AC365" s="63"/>
      <c r="AD365" s="98">
        <v>-1.054</v>
      </c>
      <c r="AE365" s="410">
        <v>3.5659999999999998</v>
      </c>
      <c r="AF365" s="63"/>
      <c r="AG365" s="63"/>
      <c r="AH365" s="63"/>
      <c r="AI365" s="99">
        <f t="shared" si="217"/>
        <v>0</v>
      </c>
      <c r="AJ365" s="413"/>
      <c r="AK365" s="63"/>
      <c r="AL365" s="63"/>
      <c r="AM365" s="63"/>
      <c r="AN365" s="63"/>
      <c r="AO365" s="413"/>
      <c r="AP365" s="63"/>
      <c r="AQ365" s="63"/>
      <c r="AR365" s="63"/>
      <c r="AS365" s="63"/>
      <c r="AT365" s="413"/>
      <c r="AU365" s="63"/>
      <c r="AV365" s="63"/>
      <c r="AW365" s="63"/>
      <c r="AX365" s="63"/>
      <c r="AY365" s="413"/>
      <c r="AZ365" s="63"/>
      <c r="BA365" s="63"/>
      <c r="BB365" s="63"/>
      <c r="BC365" s="63"/>
      <c r="BD365" s="413"/>
      <c r="BE365" s="63"/>
      <c r="BF365" s="63"/>
      <c r="BG365" s="63"/>
      <c r="BH365" s="63"/>
      <c r="BI365" s="413"/>
      <c r="BJ365" s="63"/>
      <c r="BK365" s="63"/>
      <c r="BL365" s="63"/>
      <c r="BM365" s="63"/>
      <c r="BN365" s="413"/>
      <c r="BO365" s="63"/>
      <c r="BP365" s="63"/>
      <c r="BQ365" s="63"/>
      <c r="BR365" s="63"/>
      <c r="BS365" s="425"/>
      <c r="BT365" s="63"/>
      <c r="BU365" s="63"/>
      <c r="BV365" s="63"/>
      <c r="BW365" s="63"/>
      <c r="BX365" s="413"/>
      <c r="BY365" s="63"/>
      <c r="BZ365" s="63"/>
      <c r="CA365" s="63"/>
      <c r="CB365" s="63"/>
      <c r="CC365" s="413"/>
      <c r="CD365" s="413"/>
      <c r="CE365" s="413"/>
      <c r="CF365" s="413"/>
      <c r="CG365" s="99"/>
    </row>
    <row r="366" spans="1:85" ht="14.45" hidden="1" customHeight="1" x14ac:dyDescent="0.25">
      <c r="A366" s="125" t="s">
        <v>447</v>
      </c>
      <c r="B366" s="180"/>
      <c r="C366" s="413"/>
      <c r="D366" s="413"/>
      <c r="E366" s="413"/>
      <c r="F366" s="413"/>
      <c r="G366" s="63"/>
      <c r="H366" s="63"/>
      <c r="I366" s="63"/>
      <c r="J366" s="63"/>
      <c r="K366" s="413"/>
      <c r="L366" s="63"/>
      <c r="M366" s="63"/>
      <c r="N366" s="63"/>
      <c r="O366" s="63"/>
      <c r="P366" s="413"/>
      <c r="Q366" s="63"/>
      <c r="R366" s="63"/>
      <c r="S366" s="63"/>
      <c r="T366" s="63"/>
      <c r="U366" s="413"/>
      <c r="V366" s="63"/>
      <c r="W366" s="63"/>
      <c r="X366" s="63"/>
      <c r="Y366" s="63"/>
      <c r="Z366" s="413"/>
      <c r="AA366" s="63"/>
      <c r="AB366" s="63"/>
      <c r="AC366" s="63"/>
      <c r="AD366" s="98">
        <v>7.4009999999999998</v>
      </c>
      <c r="AE366" s="410">
        <v>25.256</v>
      </c>
      <c r="AF366" s="98">
        <v>9.3620000000000001</v>
      </c>
      <c r="AG366" s="98">
        <v>7.423</v>
      </c>
      <c r="AH366" s="98">
        <v>7.8339999999999996</v>
      </c>
      <c r="AI366" s="99">
        <f t="shared" si="217"/>
        <v>8.4029999999999987</v>
      </c>
      <c r="AJ366" s="410">
        <v>33.021999999999998</v>
      </c>
      <c r="AK366" s="98">
        <v>3.5569999999999999</v>
      </c>
      <c r="AL366" s="98">
        <v>1.643</v>
      </c>
      <c r="AM366" s="63"/>
      <c r="AN366" s="63"/>
      <c r="AO366" s="410">
        <v>5.2</v>
      </c>
      <c r="AP366" s="63"/>
      <c r="AQ366" s="63"/>
      <c r="AR366" s="63"/>
      <c r="AS366" s="63"/>
      <c r="AT366" s="413"/>
      <c r="AU366" s="63"/>
      <c r="AV366" s="63"/>
      <c r="AW366" s="63"/>
      <c r="AX366" s="63"/>
      <c r="AY366" s="413"/>
      <c r="AZ366" s="63"/>
      <c r="BA366" s="63"/>
      <c r="BB366" s="63"/>
      <c r="BC366" s="63"/>
      <c r="BD366" s="413"/>
      <c r="BE366" s="63"/>
      <c r="BF366" s="63"/>
      <c r="BG366" s="63"/>
      <c r="BH366" s="63"/>
      <c r="BI366" s="413"/>
      <c r="BJ366" s="63"/>
      <c r="BK366" s="63"/>
      <c r="BL366" s="63"/>
      <c r="BM366" s="63"/>
      <c r="BN366" s="413"/>
      <c r="BO366" s="63"/>
      <c r="BP366" s="63"/>
      <c r="BQ366" s="63"/>
      <c r="BR366" s="63"/>
      <c r="BS366" s="425"/>
      <c r="BT366" s="63"/>
      <c r="BU366" s="63"/>
      <c r="BV366" s="63"/>
      <c r="BW366" s="63"/>
      <c r="BX366" s="413"/>
      <c r="BY366" s="63"/>
      <c r="BZ366" s="63"/>
      <c r="CA366" s="63"/>
      <c r="CB366" s="63"/>
      <c r="CC366" s="413"/>
      <c r="CD366" s="413"/>
      <c r="CE366" s="413"/>
      <c r="CF366" s="413"/>
      <c r="CG366" s="99"/>
    </row>
    <row r="367" spans="1:85" ht="14.45" hidden="1" customHeight="1" x14ac:dyDescent="0.25">
      <c r="A367" s="125" t="s">
        <v>422</v>
      </c>
      <c r="B367" s="180"/>
      <c r="C367" s="413"/>
      <c r="D367" s="413"/>
      <c r="E367" s="413"/>
      <c r="F367" s="413"/>
      <c r="G367" s="63"/>
      <c r="H367" s="63"/>
      <c r="I367" s="63"/>
      <c r="J367" s="63"/>
      <c r="K367" s="413"/>
      <c r="L367" s="63"/>
      <c r="M367" s="63"/>
      <c r="N367" s="63"/>
      <c r="O367" s="63"/>
      <c r="P367" s="413"/>
      <c r="Q367" s="63"/>
      <c r="R367" s="63"/>
      <c r="S367" s="63"/>
      <c r="T367" s="63"/>
      <c r="U367" s="413"/>
      <c r="V367" s="63"/>
      <c r="W367" s="63"/>
      <c r="X367" s="63"/>
      <c r="Y367" s="63"/>
      <c r="Z367" s="413"/>
      <c r="AA367" s="63"/>
      <c r="AB367" s="63"/>
      <c r="AC367" s="63"/>
      <c r="AD367" s="63"/>
      <c r="AE367" s="413"/>
      <c r="AF367" s="63"/>
      <c r="AG367" s="98">
        <v>3.617</v>
      </c>
      <c r="AH367" s="63"/>
      <c r="AI367" s="99">
        <f t="shared" si="217"/>
        <v>2.9020000000000001</v>
      </c>
      <c r="AJ367" s="410">
        <v>6.5190000000000001</v>
      </c>
      <c r="AK367" s="63"/>
      <c r="AL367" s="63"/>
      <c r="AM367" s="63"/>
      <c r="AN367" s="63"/>
      <c r="AO367" s="413"/>
      <c r="AP367" s="63"/>
      <c r="AQ367" s="63"/>
      <c r="AR367" s="63"/>
      <c r="AS367" s="63"/>
      <c r="AT367" s="413"/>
      <c r="AU367" s="63"/>
      <c r="AV367" s="63"/>
      <c r="AW367" s="63"/>
      <c r="AX367" s="63"/>
      <c r="AY367" s="413"/>
      <c r="AZ367" s="63"/>
      <c r="BA367" s="63"/>
      <c r="BB367" s="63"/>
      <c r="BC367" s="63"/>
      <c r="BD367" s="413"/>
      <c r="BE367" s="63"/>
      <c r="BF367" s="63"/>
      <c r="BG367" s="63"/>
      <c r="BH367" s="63"/>
      <c r="BI367" s="413"/>
      <c r="BJ367" s="63"/>
      <c r="BK367" s="63"/>
      <c r="BL367" s="63"/>
      <c r="BM367" s="63"/>
      <c r="BN367" s="413"/>
      <c r="BO367" s="63"/>
      <c r="BP367" s="63"/>
      <c r="BQ367" s="63"/>
      <c r="BR367" s="63"/>
      <c r="BS367" s="425"/>
      <c r="BT367" s="63"/>
      <c r="BU367" s="63"/>
      <c r="BV367" s="63"/>
      <c r="BW367" s="63"/>
      <c r="BX367" s="413"/>
      <c r="BY367" s="63"/>
      <c r="BZ367" s="63"/>
      <c r="CA367" s="63"/>
      <c r="CB367" s="63"/>
      <c r="CC367" s="413"/>
      <c r="CD367" s="413"/>
      <c r="CE367" s="413"/>
      <c r="CF367" s="413"/>
      <c r="CG367" s="99"/>
    </row>
    <row r="368" spans="1:85" ht="14.45" hidden="1" customHeight="1" x14ac:dyDescent="0.25">
      <c r="A368" s="125" t="s">
        <v>434</v>
      </c>
      <c r="B368" s="180"/>
      <c r="C368" s="413"/>
      <c r="D368" s="413"/>
      <c r="E368" s="413"/>
      <c r="F368" s="413"/>
      <c r="G368" s="63"/>
      <c r="H368" s="63"/>
      <c r="I368" s="63"/>
      <c r="J368" s="63"/>
      <c r="K368" s="413"/>
      <c r="L368" s="63"/>
      <c r="M368" s="63"/>
      <c r="N368" s="63"/>
      <c r="O368" s="63"/>
      <c r="P368" s="413"/>
      <c r="Q368" s="63"/>
      <c r="R368" s="63"/>
      <c r="S368" s="63"/>
      <c r="T368" s="63"/>
      <c r="U368" s="413"/>
      <c r="V368" s="63"/>
      <c r="W368" s="63"/>
      <c r="X368" s="63"/>
      <c r="Y368" s="63"/>
      <c r="Z368" s="413"/>
      <c r="AA368" s="63"/>
      <c r="AB368" s="63"/>
      <c r="AC368" s="63"/>
      <c r="AD368" s="98">
        <v>-5.3289999999999997</v>
      </c>
      <c r="AE368" s="410">
        <v>-5.3289999999999997</v>
      </c>
      <c r="AF368" s="63"/>
      <c r="AG368" s="63"/>
      <c r="AH368" s="63"/>
      <c r="AI368" s="99">
        <f t="shared" si="217"/>
        <v>0</v>
      </c>
      <c r="AJ368" s="413"/>
      <c r="AK368" s="63"/>
      <c r="AL368" s="63"/>
      <c r="AM368" s="63"/>
      <c r="AN368" s="63"/>
      <c r="AO368" s="413"/>
      <c r="AP368" s="63"/>
      <c r="AQ368" s="63"/>
      <c r="AR368" s="63"/>
      <c r="AS368" s="63"/>
      <c r="AT368" s="413"/>
      <c r="AU368" s="63"/>
      <c r="AV368" s="63"/>
      <c r="AW368" s="63"/>
      <c r="AX368" s="63"/>
      <c r="AY368" s="413"/>
      <c r="AZ368" s="63"/>
      <c r="BA368" s="63"/>
      <c r="BB368" s="63"/>
      <c r="BC368" s="63"/>
      <c r="BD368" s="413"/>
      <c r="BE368" s="63"/>
      <c r="BF368" s="63"/>
      <c r="BG368" s="63"/>
      <c r="BH368" s="63"/>
      <c r="BI368" s="413"/>
      <c r="BJ368" s="63"/>
      <c r="BK368" s="63"/>
      <c r="BL368" s="63"/>
      <c r="BM368" s="63"/>
      <c r="BN368" s="413"/>
      <c r="BO368" s="63"/>
      <c r="BP368" s="63"/>
      <c r="BQ368" s="63"/>
      <c r="BR368" s="63"/>
      <c r="BS368" s="425"/>
      <c r="BT368" s="63"/>
      <c r="BU368" s="63"/>
      <c r="BV368" s="63"/>
      <c r="BW368" s="63"/>
      <c r="BX368" s="413"/>
      <c r="BY368" s="63"/>
      <c r="BZ368" s="63"/>
      <c r="CA368" s="63"/>
      <c r="CB368" s="63"/>
      <c r="CC368" s="413"/>
      <c r="CD368" s="413"/>
      <c r="CE368" s="413"/>
      <c r="CF368" s="413"/>
      <c r="CG368" s="99"/>
    </row>
    <row r="369" spans="1:85" ht="14.45" hidden="1" customHeight="1" x14ac:dyDescent="0.25">
      <c r="A369" s="125" t="s">
        <v>435</v>
      </c>
      <c r="B369" s="180"/>
      <c r="C369" s="413"/>
      <c r="D369" s="413"/>
      <c r="E369" s="413"/>
      <c r="F369" s="413"/>
      <c r="G369" s="63"/>
      <c r="H369" s="63"/>
      <c r="I369" s="63"/>
      <c r="J369" s="63"/>
      <c r="K369" s="413"/>
      <c r="L369" s="63"/>
      <c r="M369" s="63"/>
      <c r="N369" s="63"/>
      <c r="O369" s="63"/>
      <c r="P369" s="413"/>
      <c r="Q369" s="63"/>
      <c r="R369" s="63"/>
      <c r="S369" s="63"/>
      <c r="T369" s="63"/>
      <c r="U369" s="413"/>
      <c r="V369" s="63"/>
      <c r="W369" s="63"/>
      <c r="X369" s="63"/>
      <c r="Y369" s="63"/>
      <c r="Z369" s="413"/>
      <c r="AA369" s="63"/>
      <c r="AB369" s="63"/>
      <c r="AC369" s="63"/>
      <c r="AD369" s="98">
        <v>-2.5910000000000002</v>
      </c>
      <c r="AE369" s="410">
        <v>-2.5910000000000002</v>
      </c>
      <c r="AF369" s="63"/>
      <c r="AG369" s="63"/>
      <c r="AH369" s="63"/>
      <c r="AI369" s="99">
        <f t="shared" si="217"/>
        <v>0</v>
      </c>
      <c r="AJ369" s="413"/>
      <c r="AK369" s="63"/>
      <c r="AL369" s="63"/>
      <c r="AM369" s="63"/>
      <c r="AN369" s="63"/>
      <c r="AO369" s="413"/>
      <c r="AP369" s="63"/>
      <c r="AQ369" s="63"/>
      <c r="AR369" s="63"/>
      <c r="AS369" s="63"/>
      <c r="AT369" s="413"/>
      <c r="AU369" s="63"/>
      <c r="AV369" s="63"/>
      <c r="AW369" s="63"/>
      <c r="AX369" s="63"/>
      <c r="AY369" s="413"/>
      <c r="AZ369" s="63"/>
      <c r="BA369" s="63"/>
      <c r="BB369" s="63"/>
      <c r="BC369" s="63"/>
      <c r="BD369" s="413"/>
      <c r="BE369" s="63"/>
      <c r="BF369" s="63"/>
      <c r="BG369" s="63"/>
      <c r="BH369" s="63"/>
      <c r="BI369" s="413"/>
      <c r="BJ369" s="63"/>
      <c r="BK369" s="63"/>
      <c r="BL369" s="63"/>
      <c r="BM369" s="63"/>
      <c r="BN369" s="413"/>
      <c r="BO369" s="63"/>
      <c r="BP369" s="63"/>
      <c r="BQ369" s="63"/>
      <c r="BR369" s="63"/>
      <c r="BS369" s="425"/>
      <c r="BT369" s="63"/>
      <c r="BU369" s="63"/>
      <c r="BV369" s="63"/>
      <c r="BW369" s="63"/>
      <c r="BX369" s="413"/>
      <c r="BY369" s="63"/>
      <c r="BZ369" s="63"/>
      <c r="CA369" s="63"/>
      <c r="CB369" s="63"/>
      <c r="CC369" s="413"/>
      <c r="CD369" s="413"/>
      <c r="CE369" s="413"/>
      <c r="CF369" s="413"/>
      <c r="CG369" s="99"/>
    </row>
    <row r="370" spans="1:85" ht="14.45" hidden="1" customHeight="1" x14ac:dyDescent="0.25">
      <c r="A370" s="125" t="s">
        <v>448</v>
      </c>
      <c r="B370" s="180"/>
      <c r="C370" s="413"/>
      <c r="D370" s="413"/>
      <c r="E370" s="413"/>
      <c r="F370" s="413"/>
      <c r="G370" s="63"/>
      <c r="H370" s="63"/>
      <c r="I370" s="63"/>
      <c r="J370" s="63"/>
      <c r="K370" s="413"/>
      <c r="L370" s="63"/>
      <c r="M370" s="63"/>
      <c r="N370" s="63"/>
      <c r="O370" s="63"/>
      <c r="P370" s="413"/>
      <c r="Q370" s="63"/>
      <c r="R370" s="63"/>
      <c r="S370" s="63"/>
      <c r="T370" s="63"/>
      <c r="U370" s="413"/>
      <c r="V370" s="63"/>
      <c r="W370" s="63"/>
      <c r="X370" s="63"/>
      <c r="Y370" s="63"/>
      <c r="Z370" s="413"/>
      <c r="AA370" s="63"/>
      <c r="AB370" s="63"/>
      <c r="AC370" s="63"/>
      <c r="AD370" s="98">
        <v>-66.594999999999999</v>
      </c>
      <c r="AE370" s="410">
        <v>-66.594999999999999</v>
      </c>
      <c r="AF370" s="63"/>
      <c r="AG370" s="63"/>
      <c r="AH370" s="63"/>
      <c r="AI370" s="99">
        <f t="shared" si="217"/>
        <v>-1.9890000000000001</v>
      </c>
      <c r="AJ370" s="410">
        <v>-1.9890000000000001</v>
      </c>
      <c r="AK370" s="63"/>
      <c r="AL370" s="63"/>
      <c r="AM370" s="63"/>
      <c r="AN370" s="63"/>
      <c r="AO370" s="413"/>
      <c r="AP370" s="63"/>
      <c r="AQ370" s="63"/>
      <c r="AR370" s="63"/>
      <c r="AS370" s="63"/>
      <c r="AT370" s="413"/>
      <c r="AU370" s="63"/>
      <c r="AV370" s="63"/>
      <c r="AW370" s="63"/>
      <c r="AX370" s="63"/>
      <c r="AY370" s="413"/>
      <c r="AZ370" s="63"/>
      <c r="BA370" s="63"/>
      <c r="BB370" s="63"/>
      <c r="BC370" s="63"/>
      <c r="BD370" s="413"/>
      <c r="BE370" s="63"/>
      <c r="BF370" s="63"/>
      <c r="BG370" s="63"/>
      <c r="BH370" s="63"/>
      <c r="BI370" s="413"/>
      <c r="BJ370" s="63"/>
      <c r="BK370" s="63"/>
      <c r="BL370" s="63"/>
      <c r="BM370" s="63"/>
      <c r="BN370" s="413"/>
      <c r="BO370" s="63"/>
      <c r="BP370" s="63"/>
      <c r="BQ370" s="63"/>
      <c r="BR370" s="63"/>
      <c r="BS370" s="425"/>
      <c r="BT370" s="63"/>
      <c r="BU370" s="63"/>
      <c r="BV370" s="63"/>
      <c r="BW370" s="63"/>
      <c r="BX370" s="413"/>
      <c r="BY370" s="63"/>
      <c r="BZ370" s="63"/>
      <c r="CA370" s="63"/>
      <c r="CB370" s="63"/>
      <c r="CC370" s="413"/>
      <c r="CD370" s="413"/>
      <c r="CE370" s="413"/>
      <c r="CF370" s="413"/>
      <c r="CG370" s="99"/>
    </row>
    <row r="371" spans="1:85" ht="14.45" hidden="1" customHeight="1" x14ac:dyDescent="0.25">
      <c r="A371" s="125" t="s">
        <v>449</v>
      </c>
      <c r="B371" s="180"/>
      <c r="C371" s="410">
        <v>-7.0709999999999997</v>
      </c>
      <c r="D371" s="413"/>
      <c r="E371" s="413"/>
      <c r="F371" s="410">
        <v>-0.217</v>
      </c>
      <c r="G371" s="98">
        <v>-0.41899999999999998</v>
      </c>
      <c r="H371" s="98">
        <v>7.6999999999999999E-2</v>
      </c>
      <c r="I371" s="98">
        <v>-0.89500000000000002</v>
      </c>
      <c r="J371" s="63"/>
      <c r="K371" s="413"/>
      <c r="L371" s="63"/>
      <c r="M371" s="63"/>
      <c r="N371" s="63"/>
      <c r="O371" s="63"/>
      <c r="P371" s="413"/>
      <c r="Q371" s="63"/>
      <c r="R371" s="63"/>
      <c r="S371" s="63"/>
      <c r="T371" s="63"/>
      <c r="U371" s="413"/>
      <c r="V371" s="63"/>
      <c r="W371" s="63"/>
      <c r="X371" s="63"/>
      <c r="Y371" s="63"/>
      <c r="Z371" s="413"/>
      <c r="AA371" s="63"/>
      <c r="AB371" s="63"/>
      <c r="AC371" s="63"/>
      <c r="AD371" s="63"/>
      <c r="AE371" s="413"/>
      <c r="AF371" s="63"/>
      <c r="AG371" s="63"/>
      <c r="AH371" s="63"/>
      <c r="AI371" s="99">
        <f t="shared" si="217"/>
        <v>0</v>
      </c>
      <c r="AJ371" s="413"/>
      <c r="AK371" s="63"/>
      <c r="AL371" s="63"/>
      <c r="AM371" s="63"/>
      <c r="AN371" s="63"/>
      <c r="AO371" s="413"/>
      <c r="AP371" s="63"/>
      <c r="AQ371" s="63"/>
      <c r="AR371" s="63"/>
      <c r="AS371" s="63"/>
      <c r="AT371" s="413"/>
      <c r="AU371" s="63"/>
      <c r="AV371" s="63"/>
      <c r="AW371" s="63"/>
      <c r="AX371" s="63"/>
      <c r="AY371" s="413"/>
      <c r="AZ371" s="63"/>
      <c r="BA371" s="63"/>
      <c r="BB371" s="63"/>
      <c r="BC371" s="63"/>
      <c r="BD371" s="413"/>
      <c r="BE371" s="63"/>
      <c r="BF371" s="63"/>
      <c r="BG371" s="63"/>
      <c r="BH371" s="63"/>
      <c r="BI371" s="413"/>
      <c r="BJ371" s="63"/>
      <c r="BK371" s="63"/>
      <c r="BL371" s="63"/>
      <c r="BM371" s="63"/>
      <c r="BN371" s="413"/>
      <c r="BO371" s="63"/>
      <c r="BP371" s="63"/>
      <c r="BQ371" s="63"/>
      <c r="BR371" s="63"/>
      <c r="BS371" s="425"/>
      <c r="BT371" s="63"/>
      <c r="BU371" s="63"/>
      <c r="BV371" s="63"/>
      <c r="BW371" s="63"/>
      <c r="BX371" s="413"/>
      <c r="BY371" s="63"/>
      <c r="BZ371" s="63"/>
      <c r="CA371" s="63"/>
      <c r="CB371" s="63"/>
      <c r="CC371" s="413"/>
      <c r="CD371" s="413"/>
      <c r="CE371" s="413"/>
      <c r="CF371" s="413"/>
      <c r="CG371" s="99"/>
    </row>
    <row r="372" spans="1:85" ht="14.45" hidden="1" customHeight="1" x14ac:dyDescent="0.25">
      <c r="A372" s="125" t="s">
        <v>450</v>
      </c>
      <c r="B372" s="180"/>
      <c r="C372" s="413"/>
      <c r="D372" s="413"/>
      <c r="E372" s="413"/>
      <c r="F372" s="413"/>
      <c r="G372" s="63"/>
      <c r="H372" s="63"/>
      <c r="I372" s="63"/>
      <c r="J372" s="63"/>
      <c r="K372" s="413"/>
      <c r="L372" s="63"/>
      <c r="M372" s="63"/>
      <c r="N372" s="63"/>
      <c r="O372" s="63"/>
      <c r="P372" s="413"/>
      <c r="Q372" s="63"/>
      <c r="R372" s="98">
        <v>-5.407</v>
      </c>
      <c r="S372" s="63"/>
      <c r="T372" s="63"/>
      <c r="U372" s="410">
        <v>-5.407</v>
      </c>
      <c r="V372" s="63"/>
      <c r="W372" s="98">
        <v>0.42499999999999999</v>
      </c>
      <c r="X372" s="63"/>
      <c r="Y372" s="63"/>
      <c r="Z372" s="410">
        <v>0.42599999999999999</v>
      </c>
      <c r="AA372" s="63"/>
      <c r="AB372" s="63"/>
      <c r="AC372" s="63"/>
      <c r="AD372" s="98">
        <v>-0.22800000000000001</v>
      </c>
      <c r="AE372" s="410">
        <v>-0.22800000000000001</v>
      </c>
      <c r="AF372" s="63"/>
      <c r="AG372" s="63"/>
      <c r="AH372" s="98">
        <v>-7.6479999999999997</v>
      </c>
      <c r="AI372" s="99">
        <f t="shared" si="217"/>
        <v>0</v>
      </c>
      <c r="AJ372" s="410">
        <v>-7.6479999999999997</v>
      </c>
      <c r="AK372" s="63"/>
      <c r="AL372" s="63"/>
      <c r="AM372" s="63"/>
      <c r="AN372" s="63"/>
      <c r="AO372" s="413"/>
      <c r="AP372" s="63"/>
      <c r="AQ372" s="63"/>
      <c r="AR372" s="63"/>
      <c r="AS372" s="63"/>
      <c r="AT372" s="413"/>
      <c r="AU372" s="63"/>
      <c r="AV372" s="63"/>
      <c r="AW372" s="63"/>
      <c r="AX372" s="63"/>
      <c r="AY372" s="413"/>
      <c r="AZ372" s="63"/>
      <c r="BA372" s="63"/>
      <c r="BB372" s="63"/>
      <c r="BC372" s="63"/>
      <c r="BD372" s="413"/>
      <c r="BE372" s="63"/>
      <c r="BF372" s="63"/>
      <c r="BG372" s="63"/>
      <c r="BH372" s="63"/>
      <c r="BI372" s="413"/>
      <c r="BJ372" s="63"/>
      <c r="BK372" s="63"/>
      <c r="BL372" s="63"/>
      <c r="BM372" s="63"/>
      <c r="BN372" s="413"/>
      <c r="BO372" s="63"/>
      <c r="BP372" s="63"/>
      <c r="BQ372" s="63"/>
      <c r="BR372" s="63"/>
      <c r="BS372" s="425"/>
      <c r="BT372" s="63"/>
      <c r="BU372" s="63"/>
      <c r="BV372" s="63"/>
      <c r="BW372" s="63"/>
      <c r="BX372" s="413"/>
      <c r="BY372" s="63"/>
      <c r="BZ372" s="63"/>
      <c r="CA372" s="63"/>
      <c r="CB372" s="63"/>
      <c r="CC372" s="413"/>
      <c r="CD372" s="413"/>
      <c r="CE372" s="413"/>
      <c r="CF372" s="413"/>
      <c r="CG372" s="99"/>
    </row>
    <row r="373" spans="1:85" ht="14.45" hidden="1" customHeight="1" x14ac:dyDescent="0.25">
      <c r="A373" s="125" t="s">
        <v>451</v>
      </c>
      <c r="B373" s="180"/>
      <c r="C373" s="413"/>
      <c r="D373" s="413"/>
      <c r="E373" s="413"/>
      <c r="F373" s="413"/>
      <c r="G373" s="63"/>
      <c r="H373" s="63"/>
      <c r="I373" s="63"/>
      <c r="J373" s="63"/>
      <c r="K373" s="413"/>
      <c r="L373" s="63"/>
      <c r="M373" s="63"/>
      <c r="N373" s="63"/>
      <c r="O373" s="63"/>
      <c r="P373" s="413"/>
      <c r="Q373" s="63"/>
      <c r="R373" s="63"/>
      <c r="S373" s="63"/>
      <c r="T373" s="63"/>
      <c r="U373" s="413"/>
      <c r="V373" s="98">
        <v>2.456</v>
      </c>
      <c r="W373" s="63"/>
      <c r="X373" s="63"/>
      <c r="Y373" s="63"/>
      <c r="Z373" s="410">
        <v>2.46</v>
      </c>
      <c r="AA373" s="63"/>
      <c r="AB373" s="63"/>
      <c r="AC373" s="63"/>
      <c r="AD373" s="63"/>
      <c r="AE373" s="413"/>
      <c r="AF373" s="63"/>
      <c r="AG373" s="63"/>
      <c r="AH373" s="63"/>
      <c r="AI373" s="99">
        <f t="shared" si="217"/>
        <v>0</v>
      </c>
      <c r="AJ373" s="413"/>
      <c r="AK373" s="63"/>
      <c r="AL373" s="63"/>
      <c r="AM373" s="63"/>
      <c r="AN373" s="63"/>
      <c r="AO373" s="413"/>
      <c r="AP373" s="63"/>
      <c r="AQ373" s="63"/>
      <c r="AR373" s="63"/>
      <c r="AS373" s="63"/>
      <c r="AT373" s="413"/>
      <c r="AU373" s="63"/>
      <c r="AV373" s="63"/>
      <c r="AW373" s="63"/>
      <c r="AX373" s="63"/>
      <c r="AY373" s="413"/>
      <c r="AZ373" s="63"/>
      <c r="BA373" s="63"/>
      <c r="BB373" s="63"/>
      <c r="BC373" s="63"/>
      <c r="BD373" s="413"/>
      <c r="BE373" s="63"/>
      <c r="BF373" s="63"/>
      <c r="BG373" s="63"/>
      <c r="BH373" s="63"/>
      <c r="BI373" s="413"/>
      <c r="BJ373" s="63"/>
      <c r="BK373" s="63"/>
      <c r="BL373" s="63"/>
      <c r="BM373" s="63"/>
      <c r="BN373" s="413"/>
      <c r="BO373" s="63"/>
      <c r="BP373" s="63"/>
      <c r="BQ373" s="63"/>
      <c r="BR373" s="63"/>
      <c r="BS373" s="425"/>
      <c r="BT373" s="63"/>
      <c r="BU373" s="63"/>
      <c r="BV373" s="63"/>
      <c r="BW373" s="63"/>
      <c r="BX373" s="413"/>
      <c r="BY373" s="63"/>
      <c r="BZ373" s="63"/>
      <c r="CA373" s="63"/>
      <c r="CB373" s="63"/>
      <c r="CC373" s="413"/>
      <c r="CD373" s="413"/>
      <c r="CE373" s="413"/>
      <c r="CF373" s="413"/>
      <c r="CG373" s="99"/>
    </row>
    <row r="374" spans="1:85" ht="14.45" hidden="1" customHeight="1" x14ac:dyDescent="0.25">
      <c r="A374" s="125" t="s">
        <v>452</v>
      </c>
      <c r="B374" s="180"/>
      <c r="C374" s="413"/>
      <c r="D374" s="413"/>
      <c r="E374" s="413"/>
      <c r="F374" s="413"/>
      <c r="G374" s="63"/>
      <c r="H374" s="63"/>
      <c r="I374" s="63"/>
      <c r="J374" s="63"/>
      <c r="K374" s="413"/>
      <c r="L374" s="63"/>
      <c r="M374" s="98">
        <v>-0.20399999999999999</v>
      </c>
      <c r="N374" s="98">
        <v>-0.72799999999999998</v>
      </c>
      <c r="O374" s="98">
        <v>-1.159</v>
      </c>
      <c r="P374" s="410">
        <v>-2.0910000000000002</v>
      </c>
      <c r="Q374" s="98">
        <v>-1.758</v>
      </c>
      <c r="R374" s="98">
        <v>-2.198</v>
      </c>
      <c r="S374" s="98">
        <v>-1.1220000000000001</v>
      </c>
      <c r="T374" s="98">
        <v>1.5980000000000001</v>
      </c>
      <c r="U374" s="410">
        <v>-3.4809999999999999</v>
      </c>
      <c r="V374" s="98">
        <v>-0.78900000000000003</v>
      </c>
      <c r="W374" s="63"/>
      <c r="X374" s="63"/>
      <c r="Y374" s="63"/>
      <c r="Z374" s="413"/>
      <c r="AA374" s="63"/>
      <c r="AB374" s="63"/>
      <c r="AC374" s="63"/>
      <c r="AD374" s="63"/>
      <c r="AE374" s="413"/>
      <c r="AF374" s="63"/>
      <c r="AG374" s="63"/>
      <c r="AH374" s="63"/>
      <c r="AI374" s="99">
        <f t="shared" si="217"/>
        <v>0</v>
      </c>
      <c r="AJ374" s="413"/>
      <c r="AK374" s="63"/>
      <c r="AL374" s="63"/>
      <c r="AM374" s="63"/>
      <c r="AN374" s="63"/>
      <c r="AO374" s="413"/>
      <c r="AP374" s="63"/>
      <c r="AQ374" s="63"/>
      <c r="AR374" s="63"/>
      <c r="AS374" s="63"/>
      <c r="AT374" s="413"/>
      <c r="AU374" s="63"/>
      <c r="AV374" s="63"/>
      <c r="AW374" s="63"/>
      <c r="AX374" s="63"/>
      <c r="AY374" s="413"/>
      <c r="AZ374" s="63"/>
      <c r="BA374" s="63"/>
      <c r="BB374" s="63"/>
      <c r="BC374" s="63"/>
      <c r="BD374" s="413"/>
      <c r="BE374" s="63"/>
      <c r="BF374" s="63"/>
      <c r="BG374" s="63"/>
      <c r="BH374" s="63"/>
      <c r="BI374" s="413"/>
      <c r="BJ374" s="63"/>
      <c r="BK374" s="63"/>
      <c r="BL374" s="63"/>
      <c r="BM374" s="63"/>
      <c r="BN374" s="413"/>
      <c r="BO374" s="63"/>
      <c r="BP374" s="63"/>
      <c r="BQ374" s="63"/>
      <c r="BR374" s="63"/>
      <c r="BS374" s="425"/>
      <c r="BT374" s="63"/>
      <c r="BU374" s="63"/>
      <c r="BV374" s="63"/>
      <c r="BW374" s="63"/>
      <c r="BX374" s="413"/>
      <c r="BY374" s="63"/>
      <c r="BZ374" s="63"/>
      <c r="CA374" s="63"/>
      <c r="CB374" s="63"/>
      <c r="CC374" s="413"/>
      <c r="CD374" s="413"/>
      <c r="CE374" s="413"/>
      <c r="CF374" s="413"/>
      <c r="CG374" s="99"/>
    </row>
    <row r="375" spans="1:85" ht="14.45" hidden="1" customHeight="1" x14ac:dyDescent="0.25">
      <c r="A375" s="125" t="s">
        <v>453</v>
      </c>
      <c r="B375" s="180"/>
      <c r="C375" s="413"/>
      <c r="D375" s="413"/>
      <c r="E375" s="413"/>
      <c r="F375" s="413"/>
      <c r="G375" s="63"/>
      <c r="H375" s="63"/>
      <c r="I375" s="63"/>
      <c r="J375" s="98">
        <v>7.3170000000000002</v>
      </c>
      <c r="K375" s="410">
        <v>7.3170000000000002</v>
      </c>
      <c r="L375" s="63"/>
      <c r="M375" s="63"/>
      <c r="N375" s="63"/>
      <c r="O375" s="63"/>
      <c r="P375" s="413"/>
      <c r="Q375" s="63"/>
      <c r="R375" s="63"/>
      <c r="S375" s="63"/>
      <c r="T375" s="63"/>
      <c r="U375" s="413"/>
      <c r="V375" s="63"/>
      <c r="W375" s="63"/>
      <c r="X375" s="63"/>
      <c r="Y375" s="63"/>
      <c r="Z375" s="413"/>
      <c r="AA375" s="63"/>
      <c r="AB375" s="63"/>
      <c r="AC375" s="63"/>
      <c r="AD375" s="63"/>
      <c r="AE375" s="413"/>
      <c r="AF375" s="63"/>
      <c r="AG375" s="63"/>
      <c r="AH375" s="63"/>
      <c r="AI375" s="99">
        <f t="shared" si="217"/>
        <v>0</v>
      </c>
      <c r="AJ375" s="413"/>
      <c r="AK375" s="63"/>
      <c r="AL375" s="63"/>
      <c r="AM375" s="63"/>
      <c r="AN375" s="63"/>
      <c r="AO375" s="413"/>
      <c r="AP375" s="63"/>
      <c r="AQ375" s="63"/>
      <c r="AR375" s="63"/>
      <c r="AS375" s="63"/>
      <c r="AT375" s="413"/>
      <c r="AU375" s="63"/>
      <c r="AV375" s="63"/>
      <c r="AW375" s="63"/>
      <c r="AX375" s="63"/>
      <c r="AY375" s="413"/>
      <c r="AZ375" s="63"/>
      <c r="BA375" s="63"/>
      <c r="BB375" s="63"/>
      <c r="BC375" s="63"/>
      <c r="BD375" s="413"/>
      <c r="BE375" s="63"/>
      <c r="BF375" s="63"/>
      <c r="BG375" s="63"/>
      <c r="BH375" s="63"/>
      <c r="BI375" s="413"/>
      <c r="BJ375" s="63"/>
      <c r="BK375" s="63"/>
      <c r="BL375" s="63"/>
      <c r="BM375" s="63"/>
      <c r="BN375" s="413"/>
      <c r="BO375" s="63"/>
      <c r="BP375" s="63"/>
      <c r="BQ375" s="63"/>
      <c r="BR375" s="63"/>
      <c r="BS375" s="425"/>
      <c r="BT375" s="63"/>
      <c r="BU375" s="63"/>
      <c r="BV375" s="63"/>
      <c r="BW375" s="63"/>
      <c r="BX375" s="413"/>
      <c r="BY375" s="63"/>
      <c r="BZ375" s="63"/>
      <c r="CA375" s="63"/>
      <c r="CB375" s="63"/>
      <c r="CC375" s="413"/>
      <c r="CD375" s="413"/>
      <c r="CE375" s="413"/>
      <c r="CF375" s="413"/>
      <c r="CG375" s="99"/>
    </row>
    <row r="376" spans="1:85" ht="14.45" hidden="1" customHeight="1" x14ac:dyDescent="0.25">
      <c r="A376" s="125" t="s">
        <v>454</v>
      </c>
      <c r="B376" s="180"/>
      <c r="C376" s="410">
        <v>-1.143</v>
      </c>
      <c r="D376" s="413"/>
      <c r="E376" s="413"/>
      <c r="F376" s="413"/>
      <c r="G376" s="63"/>
      <c r="H376" s="63"/>
      <c r="I376" s="63"/>
      <c r="J376" s="63"/>
      <c r="K376" s="413"/>
      <c r="L376" s="63"/>
      <c r="M376" s="63"/>
      <c r="N376" s="63"/>
      <c r="O376" s="63"/>
      <c r="P376" s="413"/>
      <c r="Q376" s="63"/>
      <c r="R376" s="63"/>
      <c r="S376" s="63"/>
      <c r="T376" s="98">
        <v>-2.415</v>
      </c>
      <c r="U376" s="410">
        <v>-2.415</v>
      </c>
      <c r="V376" s="63"/>
      <c r="W376" s="63"/>
      <c r="X376" s="63"/>
      <c r="Y376" s="63"/>
      <c r="Z376" s="413"/>
      <c r="AA376" s="63"/>
      <c r="AB376" s="63"/>
      <c r="AC376" s="63"/>
      <c r="AD376" s="63"/>
      <c r="AE376" s="413"/>
      <c r="AF376" s="63"/>
      <c r="AG376" s="63"/>
      <c r="AH376" s="63"/>
      <c r="AI376" s="99">
        <f t="shared" si="217"/>
        <v>0</v>
      </c>
      <c r="AJ376" s="413"/>
      <c r="AK376" s="63"/>
      <c r="AL376" s="63"/>
      <c r="AM376" s="63"/>
      <c r="AN376" s="63"/>
      <c r="AO376" s="413"/>
      <c r="AP376" s="63"/>
      <c r="AQ376" s="63"/>
      <c r="AR376" s="63"/>
      <c r="AS376" s="63"/>
      <c r="AT376" s="413"/>
      <c r="AU376" s="63"/>
      <c r="AV376" s="63"/>
      <c r="AW376" s="63"/>
      <c r="AX376" s="63"/>
      <c r="AY376" s="413"/>
      <c r="AZ376" s="63"/>
      <c r="BA376" s="63"/>
      <c r="BB376" s="63"/>
      <c r="BC376" s="63"/>
      <c r="BD376" s="413"/>
      <c r="BE376" s="63"/>
      <c r="BF376" s="63"/>
      <c r="BG376" s="63"/>
      <c r="BH376" s="63"/>
      <c r="BI376" s="413"/>
      <c r="BJ376" s="63"/>
      <c r="BK376" s="63"/>
      <c r="BL376" s="63"/>
      <c r="BM376" s="63"/>
      <c r="BN376" s="413"/>
      <c r="BO376" s="63"/>
      <c r="BP376" s="63"/>
      <c r="BQ376" s="63"/>
      <c r="BR376" s="63"/>
      <c r="BS376" s="425"/>
      <c r="BT376" s="63"/>
      <c r="BU376" s="63"/>
      <c r="BV376" s="63"/>
      <c r="BW376" s="63"/>
      <c r="BX376" s="413"/>
      <c r="BY376" s="63"/>
      <c r="BZ376" s="63"/>
      <c r="CA376" s="63"/>
      <c r="CB376" s="63"/>
      <c r="CC376" s="413"/>
      <c r="CD376" s="413"/>
      <c r="CE376" s="413"/>
      <c r="CF376" s="413"/>
      <c r="CG376" s="99"/>
    </row>
    <row r="377" spans="1:85" ht="14.45" hidden="1" customHeight="1" x14ac:dyDescent="0.25">
      <c r="A377" s="125" t="s">
        <v>455</v>
      </c>
      <c r="B377" s="180"/>
      <c r="C377" s="413"/>
      <c r="D377" s="413"/>
      <c r="E377" s="413"/>
      <c r="F377" s="413"/>
      <c r="G377" s="63"/>
      <c r="H377" s="63"/>
      <c r="I377" s="63"/>
      <c r="J377" s="63"/>
      <c r="K377" s="413"/>
      <c r="L377" s="63"/>
      <c r="M377" s="63"/>
      <c r="N377" s="63"/>
      <c r="O377" s="63"/>
      <c r="P377" s="413"/>
      <c r="Q377" s="63"/>
      <c r="R377" s="63"/>
      <c r="S377" s="63"/>
      <c r="T377" s="63"/>
      <c r="U377" s="413"/>
      <c r="V377" s="63"/>
      <c r="W377" s="63"/>
      <c r="X377" s="63"/>
      <c r="Y377" s="63"/>
      <c r="Z377" s="413"/>
      <c r="AA377" s="63"/>
      <c r="AB377" s="63"/>
      <c r="AC377" s="63"/>
      <c r="AD377" s="63"/>
      <c r="AE377" s="413"/>
      <c r="AF377" s="63"/>
      <c r="AG377" s="63"/>
      <c r="AH377" s="63"/>
      <c r="AI377" s="99">
        <f t="shared" si="217"/>
        <v>0</v>
      </c>
      <c r="AJ377" s="413"/>
      <c r="AK377" s="63"/>
      <c r="AL377" s="63"/>
      <c r="AM377" s="63"/>
      <c r="AN377" s="63"/>
      <c r="AO377" s="413"/>
      <c r="AP377" s="63"/>
      <c r="AQ377" s="63"/>
      <c r="AR377" s="63"/>
      <c r="AS377" s="63"/>
      <c r="AT377" s="413"/>
      <c r="AU377" s="63"/>
      <c r="AV377" s="63"/>
      <c r="AW377" s="63"/>
      <c r="AX377" s="63"/>
      <c r="AY377" s="413"/>
      <c r="AZ377" s="63"/>
      <c r="BA377" s="63"/>
      <c r="BB377" s="63"/>
      <c r="BC377" s="63"/>
      <c r="BD377" s="413"/>
      <c r="BE377" s="63"/>
      <c r="BF377" s="63"/>
      <c r="BG377" s="63"/>
      <c r="BH377" s="63"/>
      <c r="BI377" s="413"/>
      <c r="BJ377" s="63"/>
      <c r="BK377" s="63"/>
      <c r="BL377" s="63"/>
      <c r="BM377" s="63"/>
      <c r="BN377" s="413"/>
      <c r="BO377" s="63"/>
      <c r="BP377" s="63"/>
      <c r="BQ377" s="63"/>
      <c r="BR377" s="63"/>
      <c r="BS377" s="425"/>
      <c r="BT377" s="63"/>
      <c r="BU377" s="63"/>
      <c r="BV377" s="63"/>
      <c r="BW377" s="63"/>
      <c r="BX377" s="413"/>
      <c r="BY377" s="63"/>
      <c r="BZ377" s="63"/>
      <c r="CA377" s="63"/>
      <c r="CB377" s="63"/>
      <c r="CC377" s="413"/>
      <c r="CD377" s="413"/>
      <c r="CE377" s="413"/>
      <c r="CF377" s="413"/>
      <c r="CG377" s="99"/>
    </row>
    <row r="378" spans="1:85" ht="14.45" hidden="1" customHeight="1" x14ac:dyDescent="0.25">
      <c r="A378" s="125" t="s">
        <v>456</v>
      </c>
      <c r="B378" s="180"/>
      <c r="C378" s="410">
        <v>-8.5220000000000002</v>
      </c>
      <c r="D378" s="410">
        <v>3.1789999999999998</v>
      </c>
      <c r="E378" s="410">
        <v>4.1459999999999999</v>
      </c>
      <c r="F378" s="410">
        <v>-0.30399999999999999</v>
      </c>
      <c r="G378" s="98">
        <v>0.29799999999999999</v>
      </c>
      <c r="H378" s="98">
        <v>6.0000000000000001E-3</v>
      </c>
      <c r="I378" s="63"/>
      <c r="J378" s="63"/>
      <c r="K378" s="413"/>
      <c r="L378" s="63"/>
      <c r="M378" s="63"/>
      <c r="N378" s="98">
        <v>0.19500000000000001</v>
      </c>
      <c r="O378" s="98">
        <v>0.33800000000000002</v>
      </c>
      <c r="P378" s="413"/>
      <c r="Q378" s="63"/>
      <c r="R378" s="63"/>
      <c r="S378" s="98">
        <v>1.3080000000000001</v>
      </c>
      <c r="T378" s="98">
        <v>0.73899999999999999</v>
      </c>
      <c r="U378" s="410">
        <v>2.1120000000000001</v>
      </c>
      <c r="V378" s="98">
        <v>-0.63900000000000001</v>
      </c>
      <c r="W378" s="63"/>
      <c r="X378" s="63"/>
      <c r="Y378" s="63"/>
      <c r="Z378" s="413"/>
      <c r="AA378" s="63"/>
      <c r="AB378" s="63"/>
      <c r="AC378" s="63"/>
      <c r="AD378" s="63"/>
      <c r="AE378" s="413"/>
      <c r="AF378" s="63"/>
      <c r="AG378" s="63"/>
      <c r="AH378" s="63"/>
      <c r="AI378" s="99">
        <f t="shared" si="217"/>
        <v>0</v>
      </c>
      <c r="AJ378" s="413"/>
      <c r="AK378" s="63"/>
      <c r="AL378" s="63"/>
      <c r="AM378" s="63"/>
      <c r="AN378" s="63"/>
      <c r="AO378" s="413"/>
      <c r="AP378" s="63"/>
      <c r="AQ378" s="63"/>
      <c r="AR378" s="63"/>
      <c r="AS378" s="63"/>
      <c r="AT378" s="413"/>
      <c r="AU378" s="63"/>
      <c r="AV378" s="63"/>
      <c r="AW378" s="63"/>
      <c r="AX378" s="63"/>
      <c r="AY378" s="413"/>
      <c r="AZ378" s="63"/>
      <c r="BA378" s="63"/>
      <c r="BB378" s="63"/>
      <c r="BC378" s="63"/>
      <c r="BD378" s="413"/>
      <c r="BE378" s="63"/>
      <c r="BF378" s="63"/>
      <c r="BG378" s="63"/>
      <c r="BH378" s="63"/>
      <c r="BI378" s="413"/>
      <c r="BJ378" s="63"/>
      <c r="BK378" s="63"/>
      <c r="BL378" s="63"/>
      <c r="BM378" s="63"/>
      <c r="BN378" s="413"/>
      <c r="BO378" s="63"/>
      <c r="BP378" s="63"/>
      <c r="BQ378" s="63"/>
      <c r="BR378" s="63"/>
      <c r="BS378" s="425"/>
      <c r="BT378" s="63"/>
      <c r="BU378" s="63"/>
      <c r="BV378" s="63"/>
      <c r="BW378" s="63"/>
      <c r="BX378" s="413"/>
      <c r="BY378" s="63"/>
      <c r="BZ378" s="63"/>
      <c r="CA378" s="63"/>
      <c r="CB378" s="63"/>
      <c r="CC378" s="413"/>
      <c r="CD378" s="413"/>
      <c r="CE378" s="413"/>
      <c r="CF378" s="413"/>
      <c r="CG378" s="99"/>
    </row>
    <row r="379" spans="1:85" ht="14.45" hidden="1" customHeight="1" x14ac:dyDescent="0.25">
      <c r="A379" s="125" t="s">
        <v>457</v>
      </c>
      <c r="B379" s="180"/>
      <c r="C379" s="413"/>
      <c r="D379" s="413"/>
      <c r="E379" s="413"/>
      <c r="F379" s="413"/>
      <c r="G379" s="63"/>
      <c r="H379" s="63"/>
      <c r="I379" s="63"/>
      <c r="J379" s="63"/>
      <c r="K379" s="413"/>
      <c r="L379" s="63"/>
      <c r="M379" s="63"/>
      <c r="N379" s="63"/>
      <c r="O379" s="63"/>
      <c r="P379" s="413"/>
      <c r="Q379" s="63"/>
      <c r="R379" s="63"/>
      <c r="S379" s="63"/>
      <c r="T379" s="63"/>
      <c r="U379" s="413"/>
      <c r="V379" s="63"/>
      <c r="W379" s="63"/>
      <c r="X379" s="63"/>
      <c r="Y379" s="63"/>
      <c r="Z379" s="413"/>
      <c r="AA379" s="98">
        <v>4.6980000000000004</v>
      </c>
      <c r="AB379" s="98">
        <v>5.7969999999999997</v>
      </c>
      <c r="AC379" s="63"/>
      <c r="AD379" s="63"/>
      <c r="AE379" s="413"/>
      <c r="AF379" s="63"/>
      <c r="AG379" s="63"/>
      <c r="AH379" s="63"/>
      <c r="AI379" s="99">
        <f t="shared" si="217"/>
        <v>0</v>
      </c>
      <c r="AJ379" s="413"/>
      <c r="AK379" s="63"/>
      <c r="AL379" s="63"/>
      <c r="AM379" s="63"/>
      <c r="AN379" s="63"/>
      <c r="AO379" s="413"/>
      <c r="AP379" s="63"/>
      <c r="AQ379" s="63"/>
      <c r="AR379" s="63"/>
      <c r="AS379" s="63"/>
      <c r="AT379" s="413"/>
      <c r="AU379" s="63"/>
      <c r="AV379" s="63"/>
      <c r="AW379" s="63"/>
      <c r="AX379" s="63"/>
      <c r="AY379" s="413"/>
      <c r="AZ379" s="63"/>
      <c r="BA379" s="63"/>
      <c r="BB379" s="63"/>
      <c r="BC379" s="63"/>
      <c r="BD379" s="413"/>
      <c r="BE379" s="63"/>
      <c r="BF379" s="63"/>
      <c r="BG379" s="63"/>
      <c r="BH379" s="63"/>
      <c r="BI379" s="413"/>
      <c r="BJ379" s="63"/>
      <c r="BK379" s="63"/>
      <c r="BL379" s="63"/>
      <c r="BM379" s="63"/>
      <c r="BN379" s="413"/>
      <c r="BO379" s="63"/>
      <c r="BP379" s="63"/>
      <c r="BQ379" s="63"/>
      <c r="BR379" s="63"/>
      <c r="BS379" s="425"/>
      <c r="BT379" s="63"/>
      <c r="BU379" s="63"/>
      <c r="BV379" s="63"/>
      <c r="BW379" s="63"/>
      <c r="BX379" s="413"/>
      <c r="BY379" s="63"/>
      <c r="BZ379" s="63"/>
      <c r="CA379" s="63"/>
      <c r="CB379" s="63"/>
      <c r="CC379" s="413"/>
      <c r="CD379" s="413"/>
      <c r="CE379" s="413"/>
      <c r="CF379" s="413"/>
      <c r="CG379" s="99"/>
    </row>
    <row r="380" spans="1:85" ht="14.45" hidden="1" customHeight="1" x14ac:dyDescent="0.25">
      <c r="A380" s="125" t="s">
        <v>426</v>
      </c>
      <c r="B380" s="180"/>
      <c r="C380" s="413"/>
      <c r="D380" s="413"/>
      <c r="E380" s="413"/>
      <c r="F380" s="413"/>
      <c r="G380" s="63"/>
      <c r="H380" s="63"/>
      <c r="I380" s="63"/>
      <c r="J380" s="63"/>
      <c r="K380" s="413"/>
      <c r="L380" s="63"/>
      <c r="M380" s="63"/>
      <c r="N380" s="63"/>
      <c r="O380" s="63"/>
      <c r="P380" s="413"/>
      <c r="Q380" s="63"/>
      <c r="R380" s="63"/>
      <c r="S380" s="63"/>
      <c r="T380" s="63"/>
      <c r="U380" s="413"/>
      <c r="V380" s="63"/>
      <c r="W380" s="63"/>
      <c r="X380" s="63"/>
      <c r="Y380" s="63"/>
      <c r="Z380" s="413"/>
      <c r="AA380" s="63"/>
      <c r="AB380" s="98">
        <v>7.1059999999999999</v>
      </c>
      <c r="AC380" s="98">
        <v>8.0730000000000004</v>
      </c>
      <c r="AD380" s="63"/>
      <c r="AE380" s="413"/>
      <c r="AF380" s="63"/>
      <c r="AG380" s="63"/>
      <c r="AH380" s="63"/>
      <c r="AI380" s="99">
        <f t="shared" si="217"/>
        <v>0</v>
      </c>
      <c r="AJ380" s="413"/>
      <c r="AK380" s="63"/>
      <c r="AL380" s="63"/>
      <c r="AM380" s="63"/>
      <c r="AN380" s="63"/>
      <c r="AO380" s="413"/>
      <c r="AP380" s="63"/>
      <c r="AQ380" s="63"/>
      <c r="AR380" s="63"/>
      <c r="AS380" s="63"/>
      <c r="AT380" s="413"/>
      <c r="AU380" s="63"/>
      <c r="AV380" s="63"/>
      <c r="AW380" s="63"/>
      <c r="AX380" s="63"/>
      <c r="AY380" s="413"/>
      <c r="AZ380" s="63"/>
      <c r="BA380" s="63"/>
      <c r="BB380" s="63"/>
      <c r="BC380" s="63"/>
      <c r="BD380" s="413"/>
      <c r="BE380" s="63"/>
      <c r="BF380" s="63"/>
      <c r="BG380" s="63"/>
      <c r="BH380" s="63"/>
      <c r="BI380" s="413"/>
      <c r="BJ380" s="63"/>
      <c r="BK380" s="63"/>
      <c r="BL380" s="63"/>
      <c r="BM380" s="63"/>
      <c r="BN380" s="413"/>
      <c r="BO380" s="63"/>
      <c r="BP380" s="63"/>
      <c r="BQ380" s="63"/>
      <c r="BR380" s="63"/>
      <c r="BS380" s="425"/>
      <c r="BT380" s="63"/>
      <c r="BU380" s="63"/>
      <c r="BV380" s="63"/>
      <c r="BW380" s="63"/>
      <c r="BX380" s="413"/>
      <c r="BY380" s="63"/>
      <c r="BZ380" s="63"/>
      <c r="CA380" s="63"/>
      <c r="CB380" s="63"/>
      <c r="CC380" s="413"/>
      <c r="CD380" s="413"/>
      <c r="CE380" s="413"/>
      <c r="CF380" s="413"/>
      <c r="CG380" s="99"/>
    </row>
    <row r="381" spans="1:85" ht="14.45" hidden="1" customHeight="1" x14ac:dyDescent="0.25">
      <c r="A381" s="125" t="s">
        <v>458</v>
      </c>
      <c r="B381" s="180"/>
      <c r="C381" s="413"/>
      <c r="D381" s="413"/>
      <c r="E381" s="413"/>
      <c r="F381" s="413"/>
      <c r="G381" s="63"/>
      <c r="H381" s="63"/>
      <c r="I381" s="98">
        <v>-2.2610000000000001</v>
      </c>
      <c r="J381" s="63"/>
      <c r="K381" s="410">
        <v>-2.2610000000000001</v>
      </c>
      <c r="L381" s="63"/>
      <c r="M381" s="63"/>
      <c r="N381" s="63"/>
      <c r="O381" s="63"/>
      <c r="P381" s="413"/>
      <c r="Q381" s="63"/>
      <c r="R381" s="63"/>
      <c r="S381" s="98">
        <v>-1.17</v>
      </c>
      <c r="T381" s="63"/>
      <c r="U381" s="413"/>
      <c r="V381" s="63"/>
      <c r="W381" s="63"/>
      <c r="X381" s="63"/>
      <c r="Y381" s="63"/>
      <c r="Z381" s="413"/>
      <c r="AA381" s="63"/>
      <c r="AB381" s="63"/>
      <c r="AC381" s="63"/>
      <c r="AD381" s="63"/>
      <c r="AE381" s="413"/>
      <c r="AF381" s="63"/>
      <c r="AG381" s="63"/>
      <c r="AH381" s="63"/>
      <c r="AI381" s="99">
        <f t="shared" si="217"/>
        <v>0</v>
      </c>
      <c r="AJ381" s="413"/>
      <c r="AK381" s="63"/>
      <c r="AL381" s="63"/>
      <c r="AM381" s="63"/>
      <c r="AN381" s="63"/>
      <c r="AO381" s="413"/>
      <c r="AP381" s="63"/>
      <c r="AQ381" s="63"/>
      <c r="AR381" s="63"/>
      <c r="AS381" s="63"/>
      <c r="AT381" s="413"/>
      <c r="AU381" s="63"/>
      <c r="AV381" s="63"/>
      <c r="AW381" s="63"/>
      <c r="AX381" s="63"/>
      <c r="AY381" s="413"/>
      <c r="AZ381" s="63"/>
      <c r="BA381" s="63"/>
      <c r="BB381" s="63"/>
      <c r="BC381" s="63"/>
      <c r="BD381" s="413"/>
      <c r="BE381" s="63"/>
      <c r="BF381" s="63"/>
      <c r="BG381" s="63"/>
      <c r="BH381" s="63"/>
      <c r="BI381" s="413"/>
      <c r="BJ381" s="63"/>
      <c r="BK381" s="63"/>
      <c r="BL381" s="63"/>
      <c r="BM381" s="63"/>
      <c r="BN381" s="413"/>
      <c r="BO381" s="63"/>
      <c r="BP381" s="63"/>
      <c r="BQ381" s="63"/>
      <c r="BR381" s="63"/>
      <c r="BS381" s="425"/>
      <c r="BT381" s="63"/>
      <c r="BU381" s="63"/>
      <c r="BV381" s="63"/>
      <c r="BW381" s="63"/>
      <c r="BX381" s="413"/>
      <c r="BY381" s="63"/>
      <c r="BZ381" s="63"/>
      <c r="CA381" s="63"/>
      <c r="CB381" s="63"/>
      <c r="CC381" s="413"/>
      <c r="CD381" s="413"/>
      <c r="CE381" s="413"/>
      <c r="CF381" s="413"/>
      <c r="CG381" s="99"/>
    </row>
    <row r="382" spans="1:85" ht="14.45" hidden="1" customHeight="1" x14ac:dyDescent="0.25">
      <c r="A382" s="125" t="s">
        <v>459</v>
      </c>
      <c r="B382" s="180"/>
      <c r="C382" s="413"/>
      <c r="D382" s="413"/>
      <c r="E382" s="413"/>
      <c r="F382" s="413"/>
      <c r="G382" s="63"/>
      <c r="H382" s="63"/>
      <c r="I382" s="63"/>
      <c r="J382" s="63"/>
      <c r="K382" s="413"/>
      <c r="L382" s="63"/>
      <c r="M382" s="63"/>
      <c r="N382" s="63"/>
      <c r="O382" s="63"/>
      <c r="P382" s="410">
        <v>0.65900000000000003</v>
      </c>
      <c r="Q382" s="98">
        <v>3.125</v>
      </c>
      <c r="R382" s="98">
        <v>-3.7330000000000001</v>
      </c>
      <c r="S382" s="98">
        <v>2.4510000000000001</v>
      </c>
      <c r="T382" s="63"/>
      <c r="U382" s="410">
        <v>2.1960000000000002</v>
      </c>
      <c r="V382" s="98">
        <v>10.531000000000001</v>
      </c>
      <c r="W382" s="98">
        <v>9.9920000000000009</v>
      </c>
      <c r="X382" s="98">
        <v>-4.53</v>
      </c>
      <c r="Y382" s="98">
        <v>-17.202000000000002</v>
      </c>
      <c r="Z382" s="410">
        <v>-1.175</v>
      </c>
      <c r="AA382" s="98">
        <v>7.5190000000000001</v>
      </c>
      <c r="AB382" s="98">
        <v>9.8970000000000002</v>
      </c>
      <c r="AC382" s="98">
        <v>-3.2080000000000002</v>
      </c>
      <c r="AD382" s="98">
        <v>-8.5830000000000002</v>
      </c>
      <c r="AE382" s="410">
        <v>1.6439999999999999</v>
      </c>
      <c r="AF382" s="98">
        <v>-3.9</v>
      </c>
      <c r="AG382" s="98">
        <v>6.8760000000000003</v>
      </c>
      <c r="AH382" s="98">
        <v>-1.7849999999999999</v>
      </c>
      <c r="AI382" s="99">
        <f t="shared" si="217"/>
        <v>20.729000000000003</v>
      </c>
      <c r="AJ382" s="410">
        <v>21.92</v>
      </c>
      <c r="AK382" s="98">
        <v>10.563000000000001</v>
      </c>
      <c r="AL382" s="98">
        <v>21.975000000000001</v>
      </c>
      <c r="AM382" s="98">
        <v>14.099</v>
      </c>
      <c r="AN382" s="98">
        <v>22.954000000000001</v>
      </c>
      <c r="AO382" s="410">
        <v>69.590999999999994</v>
      </c>
      <c r="AP382" s="98">
        <v>0.53500000000000003</v>
      </c>
      <c r="AQ382" s="98">
        <v>10.941000000000001</v>
      </c>
      <c r="AR382" s="98">
        <v>14.895</v>
      </c>
      <c r="AS382" s="98">
        <v>-2.9630000000000001</v>
      </c>
      <c r="AT382" s="410">
        <v>23.408000000000001</v>
      </c>
      <c r="AU382" s="98">
        <v>8.2490000000000006</v>
      </c>
      <c r="AV382" s="98">
        <v>34.487000000000002</v>
      </c>
      <c r="AW382" s="98">
        <v>25.488</v>
      </c>
      <c r="AX382" s="98">
        <v>41.506999999999998</v>
      </c>
      <c r="AY382" s="410">
        <v>109.73099999999999</v>
      </c>
      <c r="AZ382" s="98">
        <v>-4.109</v>
      </c>
      <c r="BA382" s="98">
        <v>3.028</v>
      </c>
      <c r="BB382" s="98">
        <v>16.992999999999999</v>
      </c>
      <c r="BC382" s="98">
        <v>8.3940000000000001</v>
      </c>
      <c r="BD382" s="410">
        <v>24.306000000000001</v>
      </c>
      <c r="BE382" s="98">
        <v>31.361000000000001</v>
      </c>
      <c r="BF382" s="98">
        <v>19.213999999999999</v>
      </c>
      <c r="BG382" s="98">
        <v>14.212</v>
      </c>
      <c r="BH382" s="98">
        <v>55.046999999999997</v>
      </c>
      <c r="BI382" s="410">
        <v>119.834</v>
      </c>
      <c r="BJ382" s="98">
        <v>-4.1719999999999997</v>
      </c>
      <c r="BK382" s="98">
        <v>20.95</v>
      </c>
      <c r="BL382" s="98">
        <v>51.652000000000001</v>
      </c>
      <c r="BM382" s="98">
        <v>-23.937000000000001</v>
      </c>
      <c r="BN382" s="410">
        <v>44.493000000000002</v>
      </c>
      <c r="BO382" s="98">
        <v>32.173999999999999</v>
      </c>
      <c r="BP382" s="98">
        <v>9.2750000000000004</v>
      </c>
      <c r="BQ382" s="98">
        <v>37.110999999999997</v>
      </c>
      <c r="BR382" s="98">
        <v>20.63</v>
      </c>
      <c r="BS382" s="419">
        <v>99.19</v>
      </c>
      <c r="BT382" s="63"/>
      <c r="BU382" s="63"/>
      <c r="BV382" s="63"/>
      <c r="BW382" s="63"/>
      <c r="BX382" s="413"/>
      <c r="BY382" s="63"/>
      <c r="BZ382" s="63"/>
      <c r="CA382" s="63"/>
      <c r="CB382" s="63"/>
      <c r="CC382" s="413"/>
      <c r="CD382" s="413"/>
      <c r="CE382" s="413"/>
      <c r="CF382" s="413"/>
      <c r="CG382" s="99"/>
    </row>
    <row r="383" spans="1:85" ht="14.45" hidden="1" customHeight="1" x14ac:dyDescent="0.25">
      <c r="A383" s="125" t="s">
        <v>460</v>
      </c>
      <c r="B383" s="180"/>
      <c r="C383" s="413"/>
      <c r="D383" s="413"/>
      <c r="E383" s="413"/>
      <c r="F383" s="413"/>
      <c r="G383" s="63"/>
      <c r="H383" s="63"/>
      <c r="I383" s="63"/>
      <c r="J383" s="63"/>
      <c r="K383" s="413"/>
      <c r="L383" s="63"/>
      <c r="M383" s="63"/>
      <c r="N383" s="63"/>
      <c r="O383" s="63"/>
      <c r="P383" s="413"/>
      <c r="Q383" s="63"/>
      <c r="R383" s="63"/>
      <c r="S383" s="63"/>
      <c r="T383" s="63"/>
      <c r="U383" s="413"/>
      <c r="V383" s="63"/>
      <c r="W383" s="63"/>
      <c r="X383" s="63"/>
      <c r="Y383" s="63"/>
      <c r="Z383" s="413"/>
      <c r="AA383" s="63"/>
      <c r="AB383" s="63"/>
      <c r="AC383" s="63"/>
      <c r="AD383" s="63"/>
      <c r="AE383" s="413"/>
      <c r="AF383" s="63"/>
      <c r="AG383" s="63"/>
      <c r="AH383" s="63"/>
      <c r="AI383" s="99">
        <f t="shared" si="217"/>
        <v>0</v>
      </c>
      <c r="AJ383" s="413"/>
      <c r="AK383" s="63"/>
      <c r="AL383" s="98">
        <v>0.97299999999999998</v>
      </c>
      <c r="AM383" s="63"/>
      <c r="AN383" s="63"/>
      <c r="AO383" s="413"/>
      <c r="AP383" s="63"/>
      <c r="AQ383" s="63"/>
      <c r="AR383" s="63"/>
      <c r="AS383" s="63"/>
      <c r="AT383" s="413"/>
      <c r="AU383" s="63"/>
      <c r="AV383" s="63"/>
      <c r="AW383" s="63"/>
      <c r="AX383" s="63"/>
      <c r="AY383" s="413"/>
      <c r="AZ383" s="63"/>
      <c r="BA383" s="63"/>
      <c r="BB383" s="63"/>
      <c r="BC383" s="63"/>
      <c r="BD383" s="413"/>
      <c r="BE383" s="63"/>
      <c r="BF383" s="63"/>
      <c r="BG383" s="63"/>
      <c r="BH383" s="63"/>
      <c r="BI383" s="413"/>
      <c r="BJ383" s="63"/>
      <c r="BK383" s="63"/>
      <c r="BL383" s="63"/>
      <c r="BM383" s="63"/>
      <c r="BN383" s="413"/>
      <c r="BO383" s="63"/>
      <c r="BP383" s="63"/>
      <c r="BQ383" s="63"/>
      <c r="BR383" s="63"/>
      <c r="BS383" s="425"/>
      <c r="BT383" s="63"/>
      <c r="BU383" s="63"/>
      <c r="BV383" s="63"/>
      <c r="BW383" s="63"/>
      <c r="BX383" s="413"/>
      <c r="BY383" s="63"/>
      <c r="BZ383" s="63"/>
      <c r="CA383" s="63"/>
      <c r="CB383" s="63"/>
      <c r="CC383" s="413"/>
      <c r="CD383" s="413"/>
      <c r="CE383" s="413"/>
      <c r="CF383" s="413"/>
      <c r="CG383" s="99"/>
    </row>
    <row r="384" spans="1:85" ht="14.45" hidden="1" customHeight="1" x14ac:dyDescent="0.25">
      <c r="A384" s="125" t="s">
        <v>461</v>
      </c>
      <c r="B384" s="180"/>
      <c r="C384" s="413"/>
      <c r="D384" s="413"/>
      <c r="E384" s="413"/>
      <c r="F384" s="413"/>
      <c r="G384" s="63"/>
      <c r="H384" s="63"/>
      <c r="I384" s="63"/>
      <c r="J384" s="63"/>
      <c r="K384" s="413"/>
      <c r="L384" s="63"/>
      <c r="M384" s="98">
        <v>-0.58799999999999997</v>
      </c>
      <c r="N384" s="98">
        <v>-0.88100000000000001</v>
      </c>
      <c r="O384" s="63"/>
      <c r="P384" s="410">
        <v>-1.9970000000000001</v>
      </c>
      <c r="Q384" s="63"/>
      <c r="R384" s="63"/>
      <c r="S384" s="63"/>
      <c r="T384" s="63"/>
      <c r="U384" s="413"/>
      <c r="V384" s="63"/>
      <c r="W384" s="63"/>
      <c r="X384" s="63"/>
      <c r="Y384" s="63"/>
      <c r="Z384" s="413"/>
      <c r="AA384" s="63"/>
      <c r="AB384" s="63"/>
      <c r="AC384" s="63"/>
      <c r="AD384" s="63"/>
      <c r="AE384" s="413"/>
      <c r="AF384" s="63"/>
      <c r="AG384" s="63"/>
      <c r="AH384" s="63"/>
      <c r="AI384" s="99">
        <f t="shared" si="217"/>
        <v>0</v>
      </c>
      <c r="AJ384" s="413"/>
      <c r="AK384" s="63"/>
      <c r="AL384" s="63"/>
      <c r="AM384" s="63"/>
      <c r="AN384" s="63"/>
      <c r="AO384" s="413"/>
      <c r="AP384" s="63"/>
      <c r="AQ384" s="63"/>
      <c r="AR384" s="63"/>
      <c r="AS384" s="63"/>
      <c r="AT384" s="413"/>
      <c r="AU384" s="63"/>
      <c r="AV384" s="63"/>
      <c r="AW384" s="63"/>
      <c r="AX384" s="63"/>
      <c r="AY384" s="413"/>
      <c r="AZ384" s="63"/>
      <c r="BA384" s="63"/>
      <c r="BB384" s="63"/>
      <c r="BC384" s="63"/>
      <c r="BD384" s="413"/>
      <c r="BE384" s="63"/>
      <c r="BF384" s="63"/>
      <c r="BG384" s="63"/>
      <c r="BH384" s="63"/>
      <c r="BI384" s="413"/>
      <c r="BJ384" s="63"/>
      <c r="BK384" s="63"/>
      <c r="BL384" s="63"/>
      <c r="BM384" s="63"/>
      <c r="BN384" s="413"/>
      <c r="BO384" s="63"/>
      <c r="BP384" s="63"/>
      <c r="BQ384" s="63"/>
      <c r="BR384" s="63"/>
      <c r="BS384" s="425"/>
      <c r="BT384" s="63"/>
      <c r="BU384" s="63"/>
      <c r="BV384" s="63"/>
      <c r="BW384" s="63"/>
      <c r="BX384" s="413"/>
      <c r="BY384" s="63"/>
      <c r="BZ384" s="63"/>
      <c r="CA384" s="63"/>
      <c r="CB384" s="63"/>
      <c r="CC384" s="413"/>
      <c r="CD384" s="413"/>
      <c r="CE384" s="413"/>
      <c r="CF384" s="413"/>
      <c r="CG384" s="99"/>
    </row>
    <row r="385" spans="1:85" ht="14.45" hidden="1" customHeight="1" x14ac:dyDescent="0.25">
      <c r="A385" s="125" t="s">
        <v>423</v>
      </c>
      <c r="B385" s="180"/>
      <c r="C385" s="413"/>
      <c r="D385" s="413"/>
      <c r="E385" s="413"/>
      <c r="F385" s="413"/>
      <c r="G385" s="63"/>
      <c r="H385" s="63"/>
      <c r="I385" s="63"/>
      <c r="J385" s="63"/>
      <c r="K385" s="413"/>
      <c r="L385" s="63"/>
      <c r="M385" s="63"/>
      <c r="N385" s="63"/>
      <c r="O385" s="63"/>
      <c r="P385" s="413"/>
      <c r="Q385" s="63"/>
      <c r="R385" s="63"/>
      <c r="S385" s="63"/>
      <c r="T385" s="63"/>
      <c r="U385" s="413"/>
      <c r="V385" s="63"/>
      <c r="W385" s="63"/>
      <c r="X385" s="63"/>
      <c r="Y385" s="63"/>
      <c r="Z385" s="413"/>
      <c r="AA385" s="63"/>
      <c r="AB385" s="63"/>
      <c r="AC385" s="63"/>
      <c r="AD385" s="63"/>
      <c r="AE385" s="413"/>
      <c r="AF385" s="63"/>
      <c r="AG385" s="63"/>
      <c r="AH385" s="63"/>
      <c r="AI385" s="99">
        <f t="shared" si="217"/>
        <v>0</v>
      </c>
      <c r="AJ385" s="413"/>
      <c r="AK385" s="98">
        <v>1.8620000000000001</v>
      </c>
      <c r="AL385" s="98">
        <v>1.431</v>
      </c>
      <c r="AM385" s="98">
        <v>1.302</v>
      </c>
      <c r="AN385" s="98">
        <v>0.88400000000000001</v>
      </c>
      <c r="AO385" s="410">
        <v>5.4790000000000001</v>
      </c>
      <c r="AP385" s="63"/>
      <c r="AQ385" s="63"/>
      <c r="AR385" s="63"/>
      <c r="AS385" s="63"/>
      <c r="AT385" s="413"/>
      <c r="AU385" s="63"/>
      <c r="AV385" s="63"/>
      <c r="AW385" s="63"/>
      <c r="AX385" s="63"/>
      <c r="AY385" s="413"/>
      <c r="AZ385" s="63"/>
      <c r="BA385" s="63"/>
      <c r="BB385" s="63"/>
      <c r="BC385" s="63"/>
      <c r="BD385" s="413"/>
      <c r="BE385" s="63"/>
      <c r="BF385" s="63"/>
      <c r="BG385" s="63"/>
      <c r="BH385" s="63"/>
      <c r="BI385" s="413"/>
      <c r="BJ385" s="63"/>
      <c r="BK385" s="63"/>
      <c r="BL385" s="63"/>
      <c r="BM385" s="63"/>
      <c r="BN385" s="413"/>
      <c r="BO385" s="63"/>
      <c r="BP385" s="63"/>
      <c r="BQ385" s="63"/>
      <c r="BR385" s="63"/>
      <c r="BS385" s="425"/>
      <c r="BT385" s="63"/>
      <c r="BU385" s="63"/>
      <c r="BV385" s="63"/>
      <c r="BW385" s="63"/>
      <c r="BX385" s="413"/>
      <c r="BY385" s="63"/>
      <c r="BZ385" s="63"/>
      <c r="CA385" s="63"/>
      <c r="CB385" s="63"/>
      <c r="CC385" s="413"/>
      <c r="CD385" s="413"/>
      <c r="CE385" s="413"/>
      <c r="CF385" s="413"/>
      <c r="CG385" s="99"/>
    </row>
    <row r="386" spans="1:85" ht="14.45" hidden="1" customHeight="1" x14ac:dyDescent="0.25">
      <c r="A386" s="125" t="s">
        <v>462</v>
      </c>
      <c r="B386" s="180"/>
      <c r="C386" s="413"/>
      <c r="D386" s="413"/>
      <c r="E386" s="413"/>
      <c r="F386" s="413"/>
      <c r="G386" s="63"/>
      <c r="H386" s="63"/>
      <c r="I386" s="63"/>
      <c r="J386" s="63"/>
      <c r="K386" s="413"/>
      <c r="L386" s="63"/>
      <c r="M386" s="63"/>
      <c r="N386" s="63"/>
      <c r="O386" s="63"/>
      <c r="P386" s="413"/>
      <c r="Q386" s="63"/>
      <c r="R386" s="63"/>
      <c r="S386" s="63"/>
      <c r="T386" s="63"/>
      <c r="U386" s="413"/>
      <c r="V386" s="63"/>
      <c r="W386" s="63"/>
      <c r="X386" s="63"/>
      <c r="Y386" s="63"/>
      <c r="Z386" s="413"/>
      <c r="AA386" s="63"/>
      <c r="AB386" s="63"/>
      <c r="AC386" s="63"/>
      <c r="AD386" s="63"/>
      <c r="AE386" s="413"/>
      <c r="AF386" s="63"/>
      <c r="AG386" s="63"/>
      <c r="AH386" s="63"/>
      <c r="AI386" s="99">
        <f t="shared" si="217"/>
        <v>0</v>
      </c>
      <c r="AJ386" s="413"/>
      <c r="AK386" s="63"/>
      <c r="AL386" s="63"/>
      <c r="AM386" s="98">
        <v>2.6930000000000001</v>
      </c>
      <c r="AN386" s="98">
        <v>4.2670000000000003</v>
      </c>
      <c r="AO386" s="410">
        <v>7.9329999999999998</v>
      </c>
      <c r="AP386" s="98">
        <v>5.8000000000000003E-2</v>
      </c>
      <c r="AQ386" s="98">
        <v>0.48199999999999998</v>
      </c>
      <c r="AR386" s="98">
        <v>2.3479999999999999</v>
      </c>
      <c r="AS386" s="98">
        <v>0.40300000000000002</v>
      </c>
      <c r="AT386" s="410">
        <v>3.2909999999999999</v>
      </c>
      <c r="AU386" s="98">
        <v>0.28699999999999998</v>
      </c>
      <c r="AV386" s="98">
        <v>1.86</v>
      </c>
      <c r="AW386" s="98">
        <v>3.2989999999999999</v>
      </c>
      <c r="AX386" s="98">
        <v>0.92100000000000004</v>
      </c>
      <c r="AY386" s="410">
        <v>6.367</v>
      </c>
      <c r="AZ386" s="98">
        <v>3.3000000000000002E-2</v>
      </c>
      <c r="BA386" s="98">
        <v>8.7999999999999995E-2</v>
      </c>
      <c r="BB386" s="98">
        <v>0.28299999999999997</v>
      </c>
      <c r="BC386" s="98">
        <v>5.1999999999999998E-2</v>
      </c>
      <c r="BD386" s="410">
        <v>0.45600000000000002</v>
      </c>
      <c r="BE386" s="63"/>
      <c r="BF386" s="63"/>
      <c r="BG386" s="63"/>
      <c r="BH386" s="63"/>
      <c r="BI386" s="413"/>
      <c r="BJ386" s="63"/>
      <c r="BK386" s="63"/>
      <c r="BL386" s="63"/>
      <c r="BM386" s="63"/>
      <c r="BN386" s="413"/>
      <c r="BO386" s="63"/>
      <c r="BP386" s="63"/>
      <c r="BQ386" s="63"/>
      <c r="BR386" s="63"/>
      <c r="BS386" s="425"/>
      <c r="BT386" s="63"/>
      <c r="BU386" s="63"/>
      <c r="BV386" s="63"/>
      <c r="BW386" s="63"/>
      <c r="BX386" s="413"/>
      <c r="BY386" s="63"/>
      <c r="BZ386" s="63"/>
      <c r="CA386" s="63"/>
      <c r="CB386" s="63"/>
      <c r="CC386" s="413"/>
      <c r="CD386" s="413"/>
      <c r="CE386" s="413"/>
      <c r="CF386" s="413"/>
      <c r="CG386" s="99"/>
    </row>
    <row r="387" spans="1:85" ht="14.45" hidden="1" customHeight="1" x14ac:dyDescent="0.25">
      <c r="A387" s="125" t="s">
        <v>439</v>
      </c>
      <c r="B387" s="180"/>
      <c r="C387" s="413"/>
      <c r="D387" s="413"/>
      <c r="E387" s="413"/>
      <c r="F387" s="413"/>
      <c r="G387" s="63"/>
      <c r="H387" s="63"/>
      <c r="I387" s="63"/>
      <c r="J387" s="63"/>
      <c r="K387" s="413"/>
      <c r="L387" s="63"/>
      <c r="M387" s="63"/>
      <c r="N387" s="63"/>
      <c r="O387" s="63"/>
      <c r="P387" s="413"/>
      <c r="Q387" s="63"/>
      <c r="R387" s="63"/>
      <c r="S387" s="63"/>
      <c r="T387" s="63"/>
      <c r="U387" s="413"/>
      <c r="V387" s="63"/>
      <c r="W387" s="63"/>
      <c r="X387" s="63"/>
      <c r="Y387" s="63"/>
      <c r="Z387" s="413"/>
      <c r="AA387" s="63"/>
      <c r="AB387" s="63"/>
      <c r="AC387" s="63"/>
      <c r="AD387" s="63"/>
      <c r="AE387" s="413"/>
      <c r="AF387" s="63"/>
      <c r="AG387" s="63"/>
      <c r="AH387" s="63"/>
      <c r="AI387" s="63"/>
      <c r="AJ387" s="413"/>
      <c r="AK387" s="63"/>
      <c r="AL387" s="63"/>
      <c r="AM387" s="63"/>
      <c r="AN387" s="63"/>
      <c r="AO387" s="413"/>
      <c r="AP387" s="63"/>
      <c r="AQ387" s="63"/>
      <c r="AR387" s="63"/>
      <c r="AS387" s="63"/>
      <c r="AT387" s="413"/>
      <c r="AU387" s="63"/>
      <c r="AV387" s="63"/>
      <c r="AW387" s="63"/>
      <c r="AX387" s="63"/>
      <c r="AY387" s="413"/>
      <c r="AZ387" s="63"/>
      <c r="BA387" s="63"/>
      <c r="BB387" s="63"/>
      <c r="BC387" s="63"/>
      <c r="BD387" s="413"/>
      <c r="BE387" s="63"/>
      <c r="BF387" s="98">
        <v>29.948</v>
      </c>
      <c r="BG387" s="98">
        <v>58.225000000000001</v>
      </c>
      <c r="BH387" s="98">
        <v>-3.35</v>
      </c>
      <c r="BI387" s="410">
        <v>84.822999999999993</v>
      </c>
      <c r="BJ387" s="63"/>
      <c r="BK387" s="63"/>
      <c r="BL387" s="63"/>
      <c r="BM387" s="63"/>
      <c r="BN387" s="413"/>
      <c r="BO387" s="63"/>
      <c r="BP387" s="63"/>
      <c r="BQ387" s="63"/>
      <c r="BR387" s="63"/>
      <c r="BS387" s="425"/>
      <c r="BT387" s="63"/>
      <c r="BU387" s="63"/>
      <c r="BV387" s="63"/>
      <c r="BW387" s="63"/>
      <c r="BX387" s="413"/>
      <c r="BY387" s="63"/>
      <c r="BZ387" s="63"/>
      <c r="CA387" s="63"/>
      <c r="CB387" s="63"/>
      <c r="CC387" s="413"/>
      <c r="CD387" s="413"/>
      <c r="CE387" s="413"/>
      <c r="CF387" s="413"/>
      <c r="CG387" s="99"/>
    </row>
    <row r="388" spans="1:85" ht="14.45" hidden="1" customHeight="1" x14ac:dyDescent="0.25">
      <c r="A388" s="125" t="s">
        <v>463</v>
      </c>
      <c r="B388" s="180"/>
      <c r="C388" s="413"/>
      <c r="D388" s="413"/>
      <c r="E388" s="413"/>
      <c r="F388" s="413"/>
      <c r="G388" s="63"/>
      <c r="H388" s="63"/>
      <c r="I388" s="63"/>
      <c r="J388" s="63"/>
      <c r="K388" s="413"/>
      <c r="L388" s="63"/>
      <c r="M388" s="63"/>
      <c r="N388" s="63"/>
      <c r="O388" s="63"/>
      <c r="P388" s="413"/>
      <c r="Q388" s="63"/>
      <c r="R388" s="63"/>
      <c r="S388" s="98">
        <v>-1.08</v>
      </c>
      <c r="T388" s="63"/>
      <c r="U388" s="413"/>
      <c r="V388" s="63"/>
      <c r="W388" s="63"/>
      <c r="X388" s="63"/>
      <c r="Y388" s="63"/>
      <c r="Z388" s="413"/>
      <c r="AA388" s="63"/>
      <c r="AB388" s="63"/>
      <c r="AC388" s="63"/>
      <c r="AD388" s="63"/>
      <c r="AE388" s="413"/>
      <c r="AF388" s="63"/>
      <c r="AG388" s="63"/>
      <c r="AH388" s="63"/>
      <c r="AI388" s="99">
        <f>AJ388-SUM(AF388,AG388,AH388)</f>
        <v>0</v>
      </c>
      <c r="AJ388" s="413"/>
      <c r="AK388" s="63"/>
      <c r="AL388" s="63"/>
      <c r="AM388" s="63"/>
      <c r="AN388" s="63"/>
      <c r="AO388" s="413"/>
      <c r="AP388" s="63"/>
      <c r="AQ388" s="63"/>
      <c r="AR388" s="63"/>
      <c r="AS388" s="63"/>
      <c r="AT388" s="413"/>
      <c r="AU388" s="63"/>
      <c r="AV388" s="63"/>
      <c r="AW388" s="63"/>
      <c r="AX388" s="63"/>
      <c r="AY388" s="413"/>
      <c r="AZ388" s="63"/>
      <c r="BA388" s="63"/>
      <c r="BB388" s="63"/>
      <c r="BC388" s="63"/>
      <c r="BD388" s="413"/>
      <c r="BE388" s="63"/>
      <c r="BF388" s="63"/>
      <c r="BG388" s="63"/>
      <c r="BH388" s="63"/>
      <c r="BI388" s="413"/>
      <c r="BJ388" s="63"/>
      <c r="BK388" s="63"/>
      <c r="BL388" s="63"/>
      <c r="BM388" s="63"/>
      <c r="BN388" s="413"/>
      <c r="BO388" s="63"/>
      <c r="BP388" s="63"/>
      <c r="BQ388" s="63"/>
      <c r="BR388" s="63"/>
      <c r="BS388" s="425"/>
      <c r="BT388" s="63"/>
      <c r="BU388" s="63"/>
      <c r="BV388" s="63"/>
      <c r="BW388" s="63"/>
      <c r="BX388" s="413"/>
      <c r="BY388" s="63"/>
      <c r="BZ388" s="63"/>
      <c r="CA388" s="63"/>
      <c r="CB388" s="63"/>
      <c r="CC388" s="413"/>
      <c r="CD388" s="413"/>
      <c r="CE388" s="413"/>
      <c r="CF388" s="413"/>
      <c r="CG388" s="99"/>
    </row>
    <row r="389" spans="1:85" ht="14.45" hidden="1" customHeight="1" x14ac:dyDescent="0.25">
      <c r="A389" s="125" t="s">
        <v>464</v>
      </c>
      <c r="B389" s="180"/>
      <c r="C389" s="413"/>
      <c r="D389" s="413"/>
      <c r="E389" s="413"/>
      <c r="F389" s="413"/>
      <c r="G389" s="63"/>
      <c r="H389" s="63"/>
      <c r="I389" s="63"/>
      <c r="J389" s="63"/>
      <c r="K389" s="413"/>
      <c r="L389" s="63"/>
      <c r="M389" s="63"/>
      <c r="N389" s="63"/>
      <c r="O389" s="63"/>
      <c r="P389" s="413"/>
      <c r="Q389" s="63"/>
      <c r="R389" s="63"/>
      <c r="S389" s="63"/>
      <c r="T389" s="98">
        <v>-2.0110000000000001</v>
      </c>
      <c r="U389" s="410">
        <v>-2.0110000000000001</v>
      </c>
      <c r="V389" s="63"/>
      <c r="W389" s="63"/>
      <c r="X389" s="63"/>
      <c r="Y389" s="63"/>
      <c r="Z389" s="413"/>
      <c r="AA389" s="63"/>
      <c r="AB389" s="63"/>
      <c r="AC389" s="63"/>
      <c r="AD389" s="63"/>
      <c r="AE389" s="413"/>
      <c r="AF389" s="63"/>
      <c r="AG389" s="63"/>
      <c r="AH389" s="63"/>
      <c r="AI389" s="99">
        <f>AJ389-SUM(AF389,AG389,AH389)</f>
        <v>0</v>
      </c>
      <c r="AJ389" s="413"/>
      <c r="AK389" s="63"/>
      <c r="AL389" s="63"/>
      <c r="AM389" s="63"/>
      <c r="AN389" s="63"/>
      <c r="AO389" s="413"/>
      <c r="AP389" s="63"/>
      <c r="AQ389" s="63"/>
      <c r="AR389" s="63"/>
      <c r="AS389" s="63"/>
      <c r="AT389" s="413"/>
      <c r="AU389" s="63"/>
      <c r="AV389" s="63"/>
      <c r="AW389" s="63"/>
      <c r="AX389" s="63"/>
      <c r="AY389" s="413"/>
      <c r="AZ389" s="63"/>
      <c r="BA389" s="63"/>
      <c r="BB389" s="63"/>
      <c r="BC389" s="63"/>
      <c r="BD389" s="413"/>
      <c r="BE389" s="63"/>
      <c r="BF389" s="63"/>
      <c r="BG389" s="63"/>
      <c r="BH389" s="63"/>
      <c r="BI389" s="413"/>
      <c r="BJ389" s="63"/>
      <c r="BK389" s="63"/>
      <c r="BL389" s="63"/>
      <c r="BM389" s="63"/>
      <c r="BN389" s="413"/>
      <c r="BO389" s="63"/>
      <c r="BP389" s="63"/>
      <c r="BQ389" s="63"/>
      <c r="BR389" s="63"/>
      <c r="BS389" s="425"/>
      <c r="BT389" s="63"/>
      <c r="BU389" s="63"/>
      <c r="BV389" s="63"/>
      <c r="BW389" s="63"/>
      <c r="BX389" s="413"/>
      <c r="BY389" s="63"/>
      <c r="BZ389" s="63"/>
      <c r="CA389" s="63"/>
      <c r="CB389" s="63"/>
      <c r="CC389" s="413"/>
      <c r="CD389" s="413"/>
      <c r="CE389" s="413"/>
      <c r="CF389" s="413"/>
      <c r="CG389" s="99"/>
    </row>
    <row r="390" spans="1:85" ht="14.45" hidden="1" customHeight="1" x14ac:dyDescent="0.25">
      <c r="A390" s="125" t="s">
        <v>417</v>
      </c>
      <c r="B390" s="180"/>
      <c r="C390" s="413"/>
      <c r="D390" s="413"/>
      <c r="E390" s="413"/>
      <c r="F390" s="413"/>
      <c r="G390" s="63"/>
      <c r="H390" s="63"/>
      <c r="I390" s="63"/>
      <c r="J390" s="63"/>
      <c r="K390" s="413"/>
      <c r="L390" s="63"/>
      <c r="M390" s="63"/>
      <c r="N390" s="63"/>
      <c r="O390" s="63"/>
      <c r="P390" s="413"/>
      <c r="Q390" s="63"/>
      <c r="R390" s="63"/>
      <c r="S390" s="63"/>
      <c r="T390" s="63"/>
      <c r="U390" s="413"/>
      <c r="V390" s="63"/>
      <c r="W390" s="63"/>
      <c r="X390" s="63"/>
      <c r="Y390" s="63"/>
      <c r="Z390" s="413"/>
      <c r="AA390" s="63"/>
      <c r="AB390" s="63"/>
      <c r="AC390" s="63"/>
      <c r="AD390" s="63"/>
      <c r="AE390" s="413"/>
      <c r="AF390" s="63"/>
      <c r="AG390" s="63"/>
      <c r="AH390" s="63"/>
      <c r="AI390" s="63"/>
      <c r="AJ390" s="413"/>
      <c r="AK390" s="63"/>
      <c r="AL390" s="63"/>
      <c r="AM390" s="63"/>
      <c r="AN390" s="63"/>
      <c r="AO390" s="413"/>
      <c r="AP390" s="63"/>
      <c r="AQ390" s="63"/>
      <c r="AR390" s="63"/>
      <c r="AS390" s="98">
        <v>-5.516</v>
      </c>
      <c r="AT390" s="410">
        <v>-5.516</v>
      </c>
      <c r="AU390" s="63"/>
      <c r="AV390" s="63"/>
      <c r="AW390" s="63"/>
      <c r="AX390" s="63"/>
      <c r="AY390" s="413"/>
      <c r="AZ390" s="63"/>
      <c r="BA390" s="63"/>
      <c r="BB390" s="63"/>
      <c r="BC390" s="63"/>
      <c r="BD390" s="413"/>
      <c r="BE390" s="63"/>
      <c r="BF390" s="63"/>
      <c r="BG390" s="63"/>
      <c r="BH390" s="63"/>
      <c r="BI390" s="413"/>
      <c r="BJ390" s="63"/>
      <c r="BK390" s="63"/>
      <c r="BL390" s="63"/>
      <c r="BM390" s="63"/>
      <c r="BN390" s="413"/>
      <c r="BO390" s="63"/>
      <c r="BP390" s="63"/>
      <c r="BQ390" s="63"/>
      <c r="BR390" s="63"/>
      <c r="BS390" s="425"/>
      <c r="BT390" s="63"/>
      <c r="BU390" s="63"/>
      <c r="BV390" s="63"/>
      <c r="BW390" s="63"/>
      <c r="BX390" s="413"/>
      <c r="BY390" s="63"/>
      <c r="BZ390" s="63"/>
      <c r="CA390" s="63"/>
      <c r="CB390" s="63"/>
      <c r="CC390" s="413"/>
      <c r="CD390" s="413"/>
      <c r="CE390" s="413"/>
      <c r="CF390" s="413"/>
      <c r="CG390" s="99"/>
    </row>
    <row r="391" spans="1:85" ht="14.45" hidden="1" customHeight="1" x14ac:dyDescent="0.25">
      <c r="A391" s="125" t="s">
        <v>465</v>
      </c>
      <c r="B391" s="180"/>
      <c r="C391" s="410">
        <v>7.6999999999999999E-2</v>
      </c>
      <c r="D391" s="410">
        <v>-1.4670000000000001</v>
      </c>
      <c r="E391" s="410">
        <v>0.58199999999999996</v>
      </c>
      <c r="F391" s="410">
        <v>2.8759999999999999</v>
      </c>
      <c r="G391" s="63"/>
      <c r="H391" s="63"/>
      <c r="I391" s="98">
        <v>-0.28299999999999997</v>
      </c>
      <c r="J391" s="63"/>
      <c r="K391" s="413"/>
      <c r="L391" s="63"/>
      <c r="M391" s="63"/>
      <c r="N391" s="98">
        <v>-0.17299999999999999</v>
      </c>
      <c r="O391" s="63"/>
      <c r="P391" s="410">
        <v>-0.20899999999999999</v>
      </c>
      <c r="Q391" s="63"/>
      <c r="R391" s="63"/>
      <c r="S391" s="98">
        <v>-0.184</v>
      </c>
      <c r="T391" s="63"/>
      <c r="U391" s="410">
        <v>-1.075</v>
      </c>
      <c r="V391" s="98">
        <v>0.75800000000000001</v>
      </c>
      <c r="W391" s="63"/>
      <c r="X391" s="63"/>
      <c r="Y391" s="63"/>
      <c r="Z391" s="413"/>
      <c r="AA391" s="63"/>
      <c r="AB391" s="63"/>
      <c r="AC391" s="63"/>
      <c r="AD391" s="63"/>
      <c r="AE391" s="413"/>
      <c r="AF391" s="98">
        <v>-2.343</v>
      </c>
      <c r="AG391" s="98">
        <v>-3.4550000000000001</v>
      </c>
      <c r="AH391" s="98">
        <v>3.9180000000000001</v>
      </c>
      <c r="AI391" s="99">
        <f>AJ391-SUM(AF391,AG391,AH391)</f>
        <v>4.2679999999999998</v>
      </c>
      <c r="AJ391" s="410">
        <v>2.3879999999999999</v>
      </c>
      <c r="AK391" s="98">
        <v>-0.84499999999999997</v>
      </c>
      <c r="AL391" s="98">
        <v>-2.8149999999999999</v>
      </c>
      <c r="AM391" s="98">
        <v>1.482</v>
      </c>
      <c r="AN391" s="98">
        <v>2.1779999999999999</v>
      </c>
      <c r="AO391" s="413"/>
      <c r="AP391" s="98">
        <v>-0.17100000000000001</v>
      </c>
      <c r="AQ391" s="98">
        <v>-0.51100000000000001</v>
      </c>
      <c r="AR391" s="98">
        <v>-0.42099999999999999</v>
      </c>
      <c r="AS391" s="98">
        <v>1.103</v>
      </c>
      <c r="AT391" s="413"/>
      <c r="AU391" s="63"/>
      <c r="AV391" s="63"/>
      <c r="AW391" s="63"/>
      <c r="AX391" s="63"/>
      <c r="AY391" s="413"/>
      <c r="AZ391" s="63"/>
      <c r="BA391" s="63"/>
      <c r="BB391" s="63"/>
      <c r="BC391" s="63"/>
      <c r="BD391" s="413"/>
      <c r="BE391" s="63"/>
      <c r="BF391" s="63"/>
      <c r="BG391" s="63"/>
      <c r="BH391" s="63"/>
      <c r="BI391" s="413"/>
      <c r="BJ391" s="63"/>
      <c r="BK391" s="63"/>
      <c r="BL391" s="63"/>
      <c r="BM391" s="63"/>
      <c r="BN391" s="413"/>
      <c r="BO391" s="63"/>
      <c r="BP391" s="63"/>
      <c r="BQ391" s="63"/>
      <c r="BR391" s="63"/>
      <c r="BS391" s="425"/>
      <c r="BT391" s="63"/>
      <c r="BU391" s="63"/>
      <c r="BV391" s="63"/>
      <c r="BW391" s="63"/>
      <c r="BX391" s="413"/>
      <c r="BY391" s="63"/>
      <c r="BZ391" s="63"/>
      <c r="CA391" s="63"/>
      <c r="CB391" s="63"/>
      <c r="CC391" s="413"/>
      <c r="CD391" s="413"/>
      <c r="CE391" s="413"/>
      <c r="CF391" s="413"/>
      <c r="CG391" s="99"/>
    </row>
    <row r="392" spans="1:85" ht="14.45" hidden="1" customHeight="1" x14ac:dyDescent="0.25">
      <c r="A392" s="125" t="s">
        <v>466</v>
      </c>
      <c r="B392" s="180"/>
      <c r="C392" s="413"/>
      <c r="D392" s="410">
        <f>-0.542+0.478</f>
        <v>-6.4000000000000057E-2</v>
      </c>
      <c r="E392" s="413"/>
      <c r="F392" s="413"/>
      <c r="G392" s="63"/>
      <c r="H392" s="63"/>
      <c r="I392" s="63"/>
      <c r="J392" s="98">
        <v>0.32500000000000001</v>
      </c>
      <c r="K392" s="410">
        <v>-0.86099999999999999</v>
      </c>
      <c r="L392" s="98">
        <v>-0.33100000000000002</v>
      </c>
      <c r="M392" s="98">
        <v>-0.14699999999999999</v>
      </c>
      <c r="N392" s="63"/>
      <c r="O392" s="98">
        <v>0.04</v>
      </c>
      <c r="P392" s="413"/>
      <c r="Q392" s="98">
        <v>-0.32500000000000001</v>
      </c>
      <c r="R392" s="98">
        <v>0.84699999999999998</v>
      </c>
      <c r="S392" s="63"/>
      <c r="T392" s="98">
        <v>1.2549999999999999</v>
      </c>
      <c r="U392" s="413"/>
      <c r="V392" s="63"/>
      <c r="W392" s="63"/>
      <c r="X392" s="63"/>
      <c r="Y392" s="63"/>
      <c r="Z392" s="413"/>
      <c r="AA392" s="63"/>
      <c r="AB392" s="63"/>
      <c r="AC392" s="63"/>
      <c r="AD392" s="63"/>
      <c r="AE392" s="413"/>
      <c r="AF392" s="63"/>
      <c r="AG392" s="63"/>
      <c r="AH392" s="63"/>
      <c r="AI392" s="99">
        <f>AJ392-SUM(AF392,AG392,AH392)</f>
        <v>0</v>
      </c>
      <c r="AJ392" s="413"/>
      <c r="AK392" s="63"/>
      <c r="AL392" s="63"/>
      <c r="AM392" s="63"/>
      <c r="AN392" s="63"/>
      <c r="AO392" s="413"/>
      <c r="AP392" s="63"/>
      <c r="AQ392" s="63"/>
      <c r="AR392" s="63"/>
      <c r="AS392" s="63"/>
      <c r="AT392" s="413"/>
      <c r="AU392" s="63"/>
      <c r="AV392" s="63"/>
      <c r="AW392" s="63"/>
      <c r="AX392" s="63"/>
      <c r="AY392" s="413"/>
      <c r="AZ392" s="63"/>
      <c r="BA392" s="63"/>
      <c r="BB392" s="63"/>
      <c r="BC392" s="63"/>
      <c r="BD392" s="413"/>
      <c r="BE392" s="63"/>
      <c r="BF392" s="63"/>
      <c r="BG392" s="63"/>
      <c r="BH392" s="63"/>
      <c r="BI392" s="413"/>
      <c r="BJ392" s="63"/>
      <c r="BK392" s="63"/>
      <c r="BL392" s="63"/>
      <c r="BM392" s="63"/>
      <c r="BN392" s="413"/>
      <c r="BO392" s="63"/>
      <c r="BP392" s="63"/>
      <c r="BQ392" s="63"/>
      <c r="BR392" s="63"/>
      <c r="BS392" s="425"/>
      <c r="BT392" s="63"/>
      <c r="BU392" s="63"/>
      <c r="BV392" s="63"/>
      <c r="BW392" s="63"/>
      <c r="BX392" s="413"/>
      <c r="BY392" s="63"/>
      <c r="BZ392" s="63"/>
      <c r="CA392" s="63"/>
      <c r="CB392" s="63"/>
      <c r="CC392" s="413"/>
      <c r="CD392" s="413"/>
      <c r="CE392" s="413"/>
      <c r="CF392" s="413"/>
      <c r="CG392" s="99"/>
    </row>
    <row r="393" spans="1:85" ht="14.45" hidden="1" customHeight="1" x14ac:dyDescent="0.25">
      <c r="A393" s="110" t="s">
        <v>467</v>
      </c>
      <c r="B393" s="212"/>
      <c r="C393" s="416">
        <f t="shared" ref="C393:AH393" si="219">SUM(C359:C392)</f>
        <v>21.477000000000171</v>
      </c>
      <c r="D393" s="416">
        <f t="shared" si="219"/>
        <v>37.70499999999987</v>
      </c>
      <c r="E393" s="416">
        <f t="shared" si="219"/>
        <v>33.336000000000091</v>
      </c>
      <c r="F393" s="416">
        <f t="shared" si="219"/>
        <v>29.571999999999925</v>
      </c>
      <c r="G393" s="106">
        <f t="shared" si="219"/>
        <v>5.0849999999999724</v>
      </c>
      <c r="H393" s="106">
        <f t="shared" si="219"/>
        <v>11.961000000000004</v>
      </c>
      <c r="I393" s="106">
        <f t="shared" si="219"/>
        <v>13.722000000000017</v>
      </c>
      <c r="J393" s="106">
        <f t="shared" si="219"/>
        <v>4.1219999999998018</v>
      </c>
      <c r="K393" s="416">
        <f t="shared" si="219"/>
        <v>34.920999999999822</v>
      </c>
      <c r="L393" s="106">
        <f t="shared" si="219"/>
        <v>3.3439999999999857</v>
      </c>
      <c r="M393" s="106">
        <f t="shared" si="219"/>
        <v>14.735000000000039</v>
      </c>
      <c r="N393" s="106">
        <f t="shared" si="219"/>
        <v>12.106999999999998</v>
      </c>
      <c r="O393" s="106">
        <f t="shared" si="219"/>
        <v>5.3939999999996529</v>
      </c>
      <c r="P393" s="416">
        <f t="shared" si="219"/>
        <v>35.580999999999754</v>
      </c>
      <c r="Q393" s="106">
        <f t="shared" si="219"/>
        <v>5.1049999999999844</v>
      </c>
      <c r="R393" s="106">
        <f t="shared" si="219"/>
        <v>19.054000000000006</v>
      </c>
      <c r="S393" s="106">
        <f t="shared" si="219"/>
        <v>16.113000000000053</v>
      </c>
      <c r="T393" s="106">
        <f t="shared" si="219"/>
        <v>7.0110000000002124</v>
      </c>
      <c r="U393" s="416">
        <f t="shared" si="219"/>
        <v>47.28200000000011</v>
      </c>
      <c r="V393" s="106">
        <f t="shared" si="219"/>
        <v>6.2190000000000101</v>
      </c>
      <c r="W393" s="106">
        <f t="shared" si="219"/>
        <v>18.86099999999999</v>
      </c>
      <c r="X393" s="106">
        <f t="shared" si="219"/>
        <v>22.893000000000043</v>
      </c>
      <c r="Y393" s="106">
        <f t="shared" si="219"/>
        <v>6.6189999999996978</v>
      </c>
      <c r="Z393" s="416">
        <f t="shared" si="219"/>
        <v>53.865999999999936</v>
      </c>
      <c r="AA393" s="106">
        <f t="shared" si="219"/>
        <v>4.2329999999999464</v>
      </c>
      <c r="AB393" s="106">
        <f t="shared" si="219"/>
        <v>22.165999999999876</v>
      </c>
      <c r="AC393" s="106">
        <f t="shared" si="219"/>
        <v>15.446000000000053</v>
      </c>
      <c r="AD393" s="106">
        <f t="shared" si="219"/>
        <v>1.8719999999994954</v>
      </c>
      <c r="AE393" s="416">
        <f t="shared" si="219"/>
        <v>38.334999999999653</v>
      </c>
      <c r="AF393" s="106">
        <f t="shared" si="219"/>
        <v>-8.8349999999999014</v>
      </c>
      <c r="AG393" s="106">
        <f t="shared" si="219"/>
        <v>10.304999999999973</v>
      </c>
      <c r="AH393" s="106">
        <f t="shared" si="219"/>
        <v>27.835999999999885</v>
      </c>
      <c r="AI393" s="106">
        <f t="shared" ref="AI393:BN393" si="220">SUM(AI359:AI392)</f>
        <v>17.873999999999636</v>
      </c>
      <c r="AJ393" s="416">
        <f t="shared" si="220"/>
        <v>47.179999999999588</v>
      </c>
      <c r="AK393" s="106">
        <f t="shared" si="220"/>
        <v>3.3279999999999967</v>
      </c>
      <c r="AL393" s="106">
        <f t="shared" si="220"/>
        <v>42.292000000000115</v>
      </c>
      <c r="AM393" s="106">
        <f t="shared" si="220"/>
        <v>32.271000000000065</v>
      </c>
      <c r="AN393" s="106">
        <f t="shared" si="220"/>
        <v>14.082999999999732</v>
      </c>
      <c r="AO393" s="416">
        <f t="shared" si="220"/>
        <v>91.973999999999904</v>
      </c>
      <c r="AP393" s="106">
        <f t="shared" si="220"/>
        <v>17.989999999999966</v>
      </c>
      <c r="AQ393" s="106">
        <f t="shared" si="220"/>
        <v>48.923999999999943</v>
      </c>
      <c r="AR393" s="106">
        <f t="shared" si="220"/>
        <v>67.375999999999877</v>
      </c>
      <c r="AS393" s="106">
        <f t="shared" si="220"/>
        <v>57.296000000000049</v>
      </c>
      <c r="AT393" s="416">
        <f t="shared" si="220"/>
        <v>191.58600000000015</v>
      </c>
      <c r="AU393" s="106">
        <f t="shared" si="220"/>
        <v>61.262999999999984</v>
      </c>
      <c r="AV393" s="106">
        <f t="shared" si="220"/>
        <v>82.552000000000064</v>
      </c>
      <c r="AW393" s="106">
        <f t="shared" si="220"/>
        <v>94.548000000000016</v>
      </c>
      <c r="AX393" s="106">
        <f t="shared" si="220"/>
        <v>63.383999999999794</v>
      </c>
      <c r="AY393" s="416">
        <f t="shared" si="220"/>
        <v>301.74699999999979</v>
      </c>
      <c r="AZ393" s="106">
        <f t="shared" si="220"/>
        <v>78.983999999999909</v>
      </c>
      <c r="BA393" s="106">
        <f t="shared" si="220"/>
        <v>112.2139999999999</v>
      </c>
      <c r="BB393" s="106">
        <f t="shared" si="220"/>
        <v>138.75599999999991</v>
      </c>
      <c r="BC393" s="106">
        <f t="shared" si="220"/>
        <v>127.15300000000018</v>
      </c>
      <c r="BD393" s="416">
        <f t="shared" si="220"/>
        <v>457.10700000000026</v>
      </c>
      <c r="BE393" s="106">
        <f t="shared" si="220"/>
        <v>151.81100000000006</v>
      </c>
      <c r="BF393" s="106">
        <f t="shared" si="220"/>
        <v>172.47500000000002</v>
      </c>
      <c r="BG393" s="106">
        <f t="shared" si="220"/>
        <v>164.02000000000015</v>
      </c>
      <c r="BH393" s="106">
        <f t="shared" si="220"/>
        <v>125.52400000000009</v>
      </c>
      <c r="BI393" s="416">
        <f t="shared" si="220"/>
        <v>613.83000000000027</v>
      </c>
      <c r="BJ393" s="106">
        <f t="shared" si="220"/>
        <v>162.47199999999995</v>
      </c>
      <c r="BK393" s="106">
        <f t="shared" si="220"/>
        <v>192.76100000000005</v>
      </c>
      <c r="BL393" s="106">
        <f t="shared" si="220"/>
        <v>166.67700000000005</v>
      </c>
      <c r="BM393" s="106">
        <f t="shared" si="220"/>
        <v>156.66700000000068</v>
      </c>
      <c r="BN393" s="416">
        <f t="shared" si="220"/>
        <v>678.57700000000023</v>
      </c>
      <c r="BO393" s="106">
        <f t="shared" ref="BO393:BS393" si="221">SUM(BO359:BO392)</f>
        <v>136.26200000000009</v>
      </c>
      <c r="BP393" s="106">
        <f t="shared" si="221"/>
        <v>195.15100000000012</v>
      </c>
      <c r="BQ393" s="106">
        <f t="shared" si="221"/>
        <v>179.22400000000005</v>
      </c>
      <c r="BR393" s="106">
        <f t="shared" si="221"/>
        <v>157.8359999999997</v>
      </c>
      <c r="BS393" s="417">
        <f t="shared" si="221"/>
        <v>668.47300000000018</v>
      </c>
      <c r="BT393" s="159"/>
      <c r="BU393" s="159"/>
      <c r="BV393" s="159"/>
      <c r="BW393" s="159"/>
      <c r="BX393" s="418"/>
      <c r="BY393" s="159"/>
      <c r="BZ393" s="159"/>
      <c r="CA393" s="159"/>
      <c r="CB393" s="159"/>
      <c r="CC393" s="418"/>
      <c r="CD393" s="418"/>
      <c r="CE393" s="418"/>
      <c r="CF393" s="418"/>
      <c r="CG393" s="109"/>
    </row>
    <row r="394" spans="1:85" ht="14.45" hidden="1" customHeight="1" x14ac:dyDescent="0.25">
      <c r="A394" s="111"/>
      <c r="B394" s="211"/>
      <c r="C394" s="423"/>
      <c r="D394" s="423"/>
      <c r="E394" s="423"/>
      <c r="F394" s="423"/>
      <c r="G394" s="112"/>
      <c r="H394" s="112"/>
      <c r="I394" s="112"/>
      <c r="J394" s="112"/>
      <c r="K394" s="423"/>
      <c r="L394" s="112"/>
      <c r="M394" s="112"/>
      <c r="N394" s="112"/>
      <c r="O394" s="112"/>
      <c r="P394" s="423"/>
      <c r="Q394" s="112"/>
      <c r="R394" s="112"/>
      <c r="S394" s="112"/>
      <c r="T394" s="112"/>
      <c r="U394" s="423"/>
      <c r="V394" s="112"/>
      <c r="W394" s="112"/>
      <c r="X394" s="112"/>
      <c r="Y394" s="112"/>
      <c r="Z394" s="423"/>
      <c r="AA394" s="112"/>
      <c r="AB394" s="112"/>
      <c r="AC394" s="112"/>
      <c r="AD394" s="112"/>
      <c r="AE394" s="423"/>
      <c r="AF394" s="112"/>
      <c r="AG394" s="112"/>
      <c r="AH394" s="112"/>
      <c r="AI394" s="112"/>
      <c r="AJ394" s="423"/>
      <c r="AK394" s="112"/>
      <c r="AL394" s="112"/>
      <c r="AM394" s="112"/>
      <c r="AN394" s="112"/>
      <c r="AO394" s="423"/>
      <c r="AP394" s="112"/>
      <c r="AQ394" s="112"/>
      <c r="AR394" s="112"/>
      <c r="AS394" s="112"/>
      <c r="AT394" s="423"/>
      <c r="AU394" s="112"/>
      <c r="AV394" s="112"/>
      <c r="AW394" s="112"/>
      <c r="AX394" s="112"/>
      <c r="AY394" s="423"/>
      <c r="AZ394" s="112"/>
      <c r="BA394" s="112"/>
      <c r="BB394" s="112"/>
      <c r="BC394" s="112"/>
      <c r="BD394" s="423"/>
      <c r="BE394" s="112"/>
      <c r="BF394" s="112"/>
      <c r="BG394" s="112"/>
      <c r="BH394" s="112"/>
      <c r="BI394" s="423"/>
      <c r="BJ394" s="112"/>
      <c r="BK394" s="112"/>
      <c r="BL394" s="112"/>
      <c r="BM394" s="112"/>
      <c r="BN394" s="423"/>
      <c r="BO394" s="112"/>
      <c r="BP394" s="112"/>
      <c r="BQ394" s="112"/>
      <c r="BR394" s="112"/>
      <c r="BS394" s="424"/>
      <c r="BT394" s="112"/>
      <c r="BU394" s="112"/>
      <c r="BV394" s="112"/>
      <c r="BW394" s="112"/>
      <c r="BX394" s="423"/>
      <c r="BY394" s="112"/>
      <c r="BZ394" s="112"/>
      <c r="CA394" s="112"/>
      <c r="CB394" s="112"/>
      <c r="CC394" s="423"/>
      <c r="CD394" s="423"/>
      <c r="CE394" s="423"/>
      <c r="CF394" s="423"/>
      <c r="CG394" s="109"/>
    </row>
    <row r="395" spans="1:85" ht="14.45" hidden="1" customHeight="1" x14ac:dyDescent="0.25">
      <c r="A395" s="135" t="s">
        <v>468</v>
      </c>
      <c r="B395" s="211"/>
      <c r="C395" s="421">
        <f t="shared" ref="C395:AH395" si="222">C290</f>
        <v>38.136000000000166</v>
      </c>
      <c r="D395" s="421">
        <f t="shared" si="222"/>
        <v>36.056999999999867</v>
      </c>
      <c r="E395" s="421">
        <f t="shared" si="222"/>
        <v>28.608000000000089</v>
      </c>
      <c r="F395" s="421">
        <f t="shared" si="222"/>
        <v>27.216999999999921</v>
      </c>
      <c r="G395" s="109">
        <f t="shared" si="222"/>
        <v>4.8619999999999717</v>
      </c>
      <c r="H395" s="109">
        <f t="shared" si="222"/>
        <v>11.229000000000003</v>
      </c>
      <c r="I395" s="109">
        <f t="shared" si="222"/>
        <v>16.169000000000015</v>
      </c>
      <c r="J395" s="109">
        <f t="shared" si="222"/>
        <v>-4.585000000000198</v>
      </c>
      <c r="K395" s="421">
        <f t="shared" si="222"/>
        <v>27.67499999999982</v>
      </c>
      <c r="L395" s="109">
        <f t="shared" si="222"/>
        <v>2.4489999999999856</v>
      </c>
      <c r="M395" s="109">
        <f t="shared" si="222"/>
        <v>13.783000000000039</v>
      </c>
      <c r="N395" s="109">
        <f t="shared" si="222"/>
        <v>12.131999999999998</v>
      </c>
      <c r="O395" s="109">
        <f t="shared" si="222"/>
        <v>2.989999999999652</v>
      </c>
      <c r="P395" s="421">
        <f t="shared" si="222"/>
        <v>31.353999999999758</v>
      </c>
      <c r="Q395" s="109">
        <f t="shared" si="222"/>
        <v>2.2239999999999851</v>
      </c>
      <c r="R395" s="109">
        <f t="shared" si="222"/>
        <v>26.934000000000005</v>
      </c>
      <c r="S395" s="109">
        <f t="shared" si="222"/>
        <v>25.553000000000058</v>
      </c>
      <c r="T395" s="109">
        <f t="shared" si="222"/>
        <v>4.2910000000002118</v>
      </c>
      <c r="U395" s="421">
        <f t="shared" si="222"/>
        <v>59.002000000000123</v>
      </c>
      <c r="V395" s="109">
        <f t="shared" si="222"/>
        <v>-10.04099999999999</v>
      </c>
      <c r="W395" s="109">
        <f t="shared" si="222"/>
        <v>15.65199999999999</v>
      </c>
      <c r="X395" s="109">
        <f t="shared" si="222"/>
        <v>23.142000000000046</v>
      </c>
      <c r="Y395" s="109">
        <f t="shared" si="222"/>
        <v>21.392999999999702</v>
      </c>
      <c r="Z395" s="421">
        <f t="shared" si="222"/>
        <v>50.14599999999993</v>
      </c>
      <c r="AA395" s="109">
        <f t="shared" si="222"/>
        <v>-5.0510000000000543</v>
      </c>
      <c r="AB395" s="109">
        <f t="shared" si="222"/>
        <v>6.3479999999998764</v>
      </c>
      <c r="AC395" s="109">
        <f t="shared" si="222"/>
        <v>17.316000000000052</v>
      </c>
      <c r="AD395" s="109">
        <f t="shared" si="222"/>
        <v>77.921999999999485</v>
      </c>
      <c r="AE395" s="421">
        <f t="shared" si="222"/>
        <v>96.534999999999641</v>
      </c>
      <c r="AF395" s="109">
        <f t="shared" si="222"/>
        <v>-14.184999999999901</v>
      </c>
      <c r="AG395" s="109">
        <f t="shared" si="222"/>
        <v>-3.933000000000026</v>
      </c>
      <c r="AH395" s="109">
        <f t="shared" si="222"/>
        <v>25.163999999999884</v>
      </c>
      <c r="AI395" s="109">
        <f t="shared" ref="AI395:BS395" si="223">AI290</f>
        <v>-26.976000000000656</v>
      </c>
      <c r="AJ395" s="421">
        <f t="shared" si="223"/>
        <v>-19.930000000000412</v>
      </c>
      <c r="AK395" s="109">
        <f t="shared" si="223"/>
        <v>-6.831000000000004</v>
      </c>
      <c r="AL395" s="109">
        <f t="shared" si="223"/>
        <v>15.370000000000115</v>
      </c>
      <c r="AM395" s="109">
        <f t="shared" si="223"/>
        <v>13.006000000000061</v>
      </c>
      <c r="AN395" s="109">
        <f t="shared" si="223"/>
        <v>-10.170000000000268</v>
      </c>
      <c r="AO395" s="421">
        <f t="shared" si="223"/>
        <v>11.374999999999897</v>
      </c>
      <c r="AP395" s="109">
        <f t="shared" si="223"/>
        <v>14.661999999999967</v>
      </c>
      <c r="AQ395" s="109">
        <f t="shared" si="223"/>
        <v>39.568999999999946</v>
      </c>
      <c r="AR395" s="109">
        <f t="shared" si="223"/>
        <v>51.883999999999887</v>
      </c>
      <c r="AS395" s="109">
        <f t="shared" si="223"/>
        <v>66.378000000000043</v>
      </c>
      <c r="AT395" s="421">
        <f t="shared" si="223"/>
        <v>172.49300000000014</v>
      </c>
      <c r="AU395" s="109">
        <f t="shared" si="223"/>
        <v>53.362999999999985</v>
      </c>
      <c r="AV395" s="109">
        <f t="shared" si="223"/>
        <v>48.180000000000057</v>
      </c>
      <c r="AW395" s="109">
        <f t="shared" si="223"/>
        <v>68.930000000000007</v>
      </c>
      <c r="AX395" s="109">
        <f t="shared" si="223"/>
        <v>19.106999999999793</v>
      </c>
      <c r="AY395" s="421">
        <f t="shared" si="223"/>
        <v>189.57999999999981</v>
      </c>
      <c r="AZ395" s="109">
        <f t="shared" si="223"/>
        <v>93.389999999999901</v>
      </c>
      <c r="BA395" s="109">
        <f t="shared" si="223"/>
        <v>99.561999999999898</v>
      </c>
      <c r="BB395" s="109">
        <f t="shared" si="223"/>
        <v>118.76099999999994</v>
      </c>
      <c r="BC395" s="109">
        <f t="shared" si="223"/>
        <v>118.44500000000016</v>
      </c>
      <c r="BD395" s="421">
        <f t="shared" si="223"/>
        <v>430.15800000000024</v>
      </c>
      <c r="BE395" s="109">
        <f t="shared" si="223"/>
        <v>118.12700000000008</v>
      </c>
      <c r="BF395" s="109">
        <f t="shared" si="223"/>
        <v>122.31900000000002</v>
      </c>
      <c r="BG395" s="109">
        <f t="shared" si="223"/>
        <v>92.09300000000016</v>
      </c>
      <c r="BH395" s="109">
        <f t="shared" si="223"/>
        <v>75.836000000000084</v>
      </c>
      <c r="BI395" s="421">
        <f t="shared" si="223"/>
        <v>408.37500000000023</v>
      </c>
      <c r="BJ395" s="109">
        <f t="shared" si="223"/>
        <v>165.74099999999996</v>
      </c>
      <c r="BK395" s="109">
        <f t="shared" si="223"/>
        <v>172.81200000000007</v>
      </c>
      <c r="BL395" s="109">
        <f t="shared" si="223"/>
        <v>115.62400000000005</v>
      </c>
      <c r="BM395" s="109">
        <f t="shared" si="223"/>
        <v>178.94800000000069</v>
      </c>
      <c r="BN395" s="421">
        <f t="shared" si="223"/>
        <v>633.12500000000023</v>
      </c>
      <c r="BO395" s="109">
        <f t="shared" si="223"/>
        <v>103.61100000000008</v>
      </c>
      <c r="BP395" s="109">
        <f t="shared" si="223"/>
        <v>187.38700000000011</v>
      </c>
      <c r="BQ395" s="109">
        <f t="shared" si="223"/>
        <v>142.33400000000006</v>
      </c>
      <c r="BR395" s="109">
        <f t="shared" si="223"/>
        <v>137.24999999999972</v>
      </c>
      <c r="BS395" s="422">
        <f t="shared" si="223"/>
        <v>570.58200000000011</v>
      </c>
      <c r="BT395" s="112"/>
      <c r="BU395" s="112"/>
      <c r="BV395" s="112"/>
      <c r="BW395" s="112"/>
      <c r="BX395" s="423"/>
      <c r="BY395" s="112"/>
      <c r="BZ395" s="112"/>
      <c r="CA395" s="112"/>
      <c r="CB395" s="112"/>
      <c r="CC395" s="423"/>
      <c r="CD395" s="423"/>
      <c r="CE395" s="423"/>
      <c r="CF395" s="423"/>
      <c r="CG395" s="109"/>
    </row>
    <row r="396" spans="1:85" ht="14.45" hidden="1" customHeight="1" x14ac:dyDescent="0.25">
      <c r="A396" s="125" t="s">
        <v>469</v>
      </c>
      <c r="B396" s="180"/>
      <c r="C396" s="410">
        <v>2.0920000000000001</v>
      </c>
      <c r="D396" s="410">
        <v>2.0390000000000001</v>
      </c>
      <c r="E396" s="410">
        <v>2.0619999999999998</v>
      </c>
      <c r="F396" s="410">
        <v>2.0830000000000002</v>
      </c>
      <c r="G396" s="98">
        <v>0.52200000000000002</v>
      </c>
      <c r="H396" s="98">
        <v>0.52700000000000002</v>
      </c>
      <c r="I396" s="98">
        <v>0.52700000000000002</v>
      </c>
      <c r="J396" s="99">
        <f>K396-SUM(G396,H396,I396)</f>
        <v>0.52800000000000002</v>
      </c>
      <c r="K396" s="410">
        <v>2.1040000000000001</v>
      </c>
      <c r="L396" s="98">
        <v>0.52700000000000002</v>
      </c>
      <c r="M396" s="98">
        <v>0.53300000000000003</v>
      </c>
      <c r="N396" s="98">
        <v>0.53200000000000003</v>
      </c>
      <c r="O396" s="99">
        <f>P396-SUM(L396,M396,N396)</f>
        <v>0.53299999999999992</v>
      </c>
      <c r="P396" s="410">
        <v>2.125</v>
      </c>
      <c r="Q396" s="98">
        <v>0.53200000000000003</v>
      </c>
      <c r="R396" s="98">
        <v>0.53800000000000003</v>
      </c>
      <c r="S396" s="98">
        <v>0.53800000000000003</v>
      </c>
      <c r="T396" s="99">
        <f>U396-SUM(Q396,R396,S396)</f>
        <v>0.53799999999999981</v>
      </c>
      <c r="U396" s="410">
        <v>2.1459999999999999</v>
      </c>
      <c r="V396" s="98">
        <v>0.53800000000000003</v>
      </c>
      <c r="W396" s="98">
        <v>0.54300000000000004</v>
      </c>
      <c r="X396" s="98">
        <v>0.54300000000000004</v>
      </c>
      <c r="Y396" s="99">
        <f>Z396-SUM(V396,W396,X396)</f>
        <v>0.54199999999999982</v>
      </c>
      <c r="Z396" s="410">
        <v>2.1659999999999999</v>
      </c>
      <c r="AA396" s="98">
        <v>0.54300000000000004</v>
      </c>
      <c r="AB396" s="98">
        <v>0.54800000000000004</v>
      </c>
      <c r="AC396" s="98">
        <v>0.54800000000000004</v>
      </c>
      <c r="AD396" s="99">
        <f>AE396-SUM(AA396,AB396,AC396)</f>
        <v>0.5479999999999996</v>
      </c>
      <c r="AE396" s="410">
        <v>2.1869999999999998</v>
      </c>
      <c r="AF396" s="98">
        <v>0.54800000000000004</v>
      </c>
      <c r="AG396" s="98">
        <v>0.55300000000000005</v>
      </c>
      <c r="AH396" s="98">
        <v>0.55600000000000005</v>
      </c>
      <c r="AI396" s="99">
        <f>AJ396-SUM(AF396,AG396,AH396)</f>
        <v>0.55500000000000016</v>
      </c>
      <c r="AJ396" s="410">
        <v>2.2120000000000002</v>
      </c>
      <c r="AK396" s="98">
        <v>0.55400000000000005</v>
      </c>
      <c r="AL396" s="98">
        <v>0.55800000000000005</v>
      </c>
      <c r="AM396" s="98">
        <v>0.55800000000000005</v>
      </c>
      <c r="AN396" s="99">
        <f>AO396-SUM(AK396,AL396,AM396)</f>
        <v>0.55800000000000005</v>
      </c>
      <c r="AO396" s="410">
        <v>2.2280000000000002</v>
      </c>
      <c r="AP396" s="98">
        <v>0.55800000000000005</v>
      </c>
      <c r="AQ396" s="98">
        <v>0.55700000000000005</v>
      </c>
      <c r="AR396" s="98">
        <v>0.55900000000000005</v>
      </c>
      <c r="AS396" s="99">
        <f>AT396-SUM(AP396,AQ396,AR396)</f>
        <v>0.55899999999999972</v>
      </c>
      <c r="AT396" s="410">
        <v>2.2330000000000001</v>
      </c>
      <c r="AU396" s="98">
        <v>0.55800000000000005</v>
      </c>
      <c r="AV396" s="98">
        <v>0.55800000000000005</v>
      </c>
      <c r="AW396" s="98">
        <v>0.55800000000000005</v>
      </c>
      <c r="AX396" s="99">
        <f>AY396-SUM(AU396,AV396,AW396)</f>
        <v>0.55899999999999994</v>
      </c>
      <c r="AY396" s="410">
        <v>2.2330000000000001</v>
      </c>
      <c r="AZ396" s="98">
        <v>0.55800000000000005</v>
      </c>
      <c r="BA396" s="98">
        <v>0.251</v>
      </c>
      <c r="BB396" s="98">
        <v>0.251</v>
      </c>
      <c r="BC396" s="99">
        <f>BD396-SUM(AZ396,BA396,BB396)</f>
        <v>0.252</v>
      </c>
      <c r="BD396" s="410">
        <v>1.3120000000000001</v>
      </c>
      <c r="BE396" s="98">
        <v>3.5169999999999999</v>
      </c>
      <c r="BF396" s="98">
        <v>0.502</v>
      </c>
      <c r="BG396" s="98">
        <v>0.503</v>
      </c>
      <c r="BH396" s="99">
        <f>BI396-SUM(BE396,BF396,BG396)</f>
        <v>0.50199999999999978</v>
      </c>
      <c r="BI396" s="410">
        <v>5.024</v>
      </c>
      <c r="BJ396" s="98">
        <v>16.577999999999999</v>
      </c>
      <c r="BK396" s="98">
        <v>0.502</v>
      </c>
      <c r="BL396" s="98">
        <v>0.502</v>
      </c>
      <c r="BM396" s="99">
        <f>BN396-SUM(BJ396,BK396,BL396)</f>
        <v>2.512000000000004</v>
      </c>
      <c r="BN396" s="410">
        <v>20.094000000000001</v>
      </c>
      <c r="BO396" s="98">
        <v>2.512</v>
      </c>
      <c r="BP396" s="98">
        <v>2.512</v>
      </c>
      <c r="BQ396" s="98">
        <v>2.512</v>
      </c>
      <c r="BR396" s="99">
        <f>BS396-SUM(BO396,BP396,BQ396)</f>
        <v>2.5120000000000005</v>
      </c>
      <c r="BS396" s="419">
        <v>10.048</v>
      </c>
      <c r="BT396" s="63"/>
      <c r="BU396" s="63"/>
      <c r="BV396" s="63"/>
      <c r="BW396" s="63"/>
      <c r="BX396" s="413"/>
      <c r="BY396" s="63"/>
      <c r="BZ396" s="63"/>
      <c r="CA396" s="63"/>
      <c r="CB396" s="63"/>
      <c r="CC396" s="413"/>
      <c r="CD396" s="413"/>
      <c r="CE396" s="413"/>
      <c r="CF396" s="413"/>
      <c r="CG396" s="99"/>
    </row>
    <row r="397" spans="1:85" ht="14.45" hidden="1" customHeight="1" x14ac:dyDescent="0.25">
      <c r="A397" s="125" t="s">
        <v>470</v>
      </c>
      <c r="B397" s="180"/>
      <c r="C397" s="410">
        <v>6.6139999999999999</v>
      </c>
      <c r="D397" s="410">
        <v>5.9720000000000004</v>
      </c>
      <c r="E397" s="410">
        <v>4.3490000000000002</v>
      </c>
      <c r="F397" s="410">
        <v>4.0659999999999998</v>
      </c>
      <c r="G397" s="98">
        <v>0.57999999999999996</v>
      </c>
      <c r="H397" s="98">
        <v>2.0329999999999999</v>
      </c>
      <c r="I397" s="98">
        <v>3.1589999999999998</v>
      </c>
      <c r="J397" s="99">
        <f>K397-SUM(G397,H397,I397)</f>
        <v>-1.5760000000000005</v>
      </c>
      <c r="K397" s="410">
        <v>4.1959999999999997</v>
      </c>
      <c r="L397" s="98">
        <v>3.1E-2</v>
      </c>
      <c r="M397" s="98">
        <v>2.6339999999999999</v>
      </c>
      <c r="N397" s="98">
        <v>2.2549999999999999</v>
      </c>
      <c r="O397" s="99">
        <f>P397-SUM(L397,M397,N397)</f>
        <v>0.14700000000000024</v>
      </c>
      <c r="P397" s="410">
        <v>5.0670000000000002</v>
      </c>
      <c r="Q397" s="98">
        <v>-2.1000000000000001E-2</v>
      </c>
      <c r="R397" s="98">
        <v>5.6970000000000001</v>
      </c>
      <c r="S397" s="98">
        <v>5.3769999999999998</v>
      </c>
      <c r="T397" s="99">
        <f>U397-SUM(Q397,R397,S397)</f>
        <v>0.43900000000000006</v>
      </c>
      <c r="U397" s="410">
        <v>11.492000000000001</v>
      </c>
      <c r="V397" s="98">
        <v>-2.8679999999999999</v>
      </c>
      <c r="W397" s="98">
        <v>3.1070000000000002</v>
      </c>
      <c r="X397" s="98">
        <v>4.8540000000000001</v>
      </c>
      <c r="Y397" s="99">
        <f>Z397-SUM(V397,W397,X397)</f>
        <v>4.4179999999999993</v>
      </c>
      <c r="Z397" s="410">
        <v>9.5109999999999992</v>
      </c>
      <c r="AA397" s="98">
        <v>-1.7250000000000001</v>
      </c>
      <c r="AB397" s="98">
        <v>0.94299999999999995</v>
      </c>
      <c r="AC397" s="98">
        <v>3.52</v>
      </c>
      <c r="AD397" s="99">
        <f>AE397-SUM(AA397,AB397,AC397)</f>
        <v>17.715</v>
      </c>
      <c r="AE397" s="410">
        <v>20.452999999999999</v>
      </c>
      <c r="AF397" s="98">
        <v>-3.8889999999999998</v>
      </c>
      <c r="AG397" s="98">
        <v>-1.484</v>
      </c>
      <c r="AH397" s="98">
        <v>5.399</v>
      </c>
      <c r="AI397" s="99">
        <f>AJ397-SUM(AF397,AG397,AH397)</f>
        <v>-6.9440000000000008</v>
      </c>
      <c r="AJ397" s="410">
        <v>-6.9180000000000001</v>
      </c>
      <c r="AK397" s="102">
        <v>-2.1739999999999999</v>
      </c>
      <c r="AL397" s="98">
        <v>3.1019999999999999</v>
      </c>
      <c r="AM397" s="98">
        <v>2.5390000000000001</v>
      </c>
      <c r="AN397" s="99">
        <f>AO397-SUM(AK397,AL397,AM397)</f>
        <v>-2.99</v>
      </c>
      <c r="AO397" s="410">
        <v>0.47699999999999998</v>
      </c>
      <c r="AP397" s="102">
        <v>2.9329999999999998</v>
      </c>
      <c r="AQ397" s="98">
        <v>8.8650000000000002</v>
      </c>
      <c r="AR397" s="98">
        <v>11.797000000000001</v>
      </c>
      <c r="AS397" s="99">
        <f>AT397-SUM(AP397,AQ397,AR397)</f>
        <v>15.249000000000002</v>
      </c>
      <c r="AT397" s="410">
        <v>38.844000000000001</v>
      </c>
      <c r="AU397" s="102">
        <v>12.148999999999999</v>
      </c>
      <c r="AV397" s="98">
        <v>10.914999999999999</v>
      </c>
      <c r="AW397" s="98">
        <v>15.856</v>
      </c>
      <c r="AX397" s="99">
        <f>AY397-SUM(AU397,AV397,AW397)</f>
        <v>3.992999999999995</v>
      </c>
      <c r="AY397" s="410">
        <v>42.912999999999997</v>
      </c>
      <c r="AZ397" s="102">
        <v>19.582999999999998</v>
      </c>
      <c r="BA397" s="98">
        <v>10.423</v>
      </c>
      <c r="BB397" s="98">
        <v>12.481</v>
      </c>
      <c r="BC397" s="99">
        <f>BD397-SUM(AZ397,BA397,BB397)</f>
        <v>13.937999999999995</v>
      </c>
      <c r="BD397" s="410">
        <v>56.424999999999997</v>
      </c>
      <c r="BE397" s="102">
        <v>9.1470000000000002</v>
      </c>
      <c r="BF397" s="98">
        <v>12.611000000000001</v>
      </c>
      <c r="BG397" s="98">
        <v>9.3710000000000004</v>
      </c>
      <c r="BH397" s="99">
        <f>BI397-SUM(BE397,BF397,BG397)</f>
        <v>7.6289999999999978</v>
      </c>
      <c r="BI397" s="410">
        <v>38.758000000000003</v>
      </c>
      <c r="BJ397" s="102">
        <v>1.1870000000000001</v>
      </c>
      <c r="BK397" s="102">
        <v>18.155000000000001</v>
      </c>
      <c r="BL397" s="98">
        <v>12.760999999999999</v>
      </c>
      <c r="BM397" s="99">
        <f>BN397-SUM(BJ397,BK397,BL397)</f>
        <v>17.646000000000001</v>
      </c>
      <c r="BN397" s="410">
        <v>49.749000000000002</v>
      </c>
      <c r="BO397" s="102">
        <v>9.4320000000000004</v>
      </c>
      <c r="BP397" s="102">
        <v>19.12</v>
      </c>
      <c r="BQ397" s="102">
        <v>13.993</v>
      </c>
      <c r="BR397" s="99">
        <f>BS397-SUM(BO397,BP397,BQ397)</f>
        <v>15.537999999999997</v>
      </c>
      <c r="BS397" s="419">
        <v>58.082999999999998</v>
      </c>
      <c r="BT397" s="63"/>
      <c r="BU397" s="63"/>
      <c r="BV397" s="63"/>
      <c r="BW397" s="63"/>
      <c r="BX397" s="413"/>
      <c r="BY397" s="63"/>
      <c r="BZ397" s="63"/>
      <c r="CA397" s="63"/>
      <c r="CB397" s="63"/>
      <c r="CC397" s="413"/>
      <c r="CD397" s="413"/>
      <c r="CE397" s="413"/>
      <c r="CF397" s="413"/>
      <c r="CG397" s="99"/>
    </row>
    <row r="398" spans="1:85" ht="14.45" hidden="1" customHeight="1" x14ac:dyDescent="0.25">
      <c r="A398" s="110" t="s">
        <v>471</v>
      </c>
      <c r="B398" s="212"/>
      <c r="C398" s="416">
        <f t="shared" ref="C398:AH398" si="224">C395-C396-C397</f>
        <v>29.430000000000167</v>
      </c>
      <c r="D398" s="416">
        <f t="shared" si="224"/>
        <v>28.045999999999864</v>
      </c>
      <c r="E398" s="416">
        <f t="shared" si="224"/>
        <v>22.197000000000088</v>
      </c>
      <c r="F398" s="416">
        <f t="shared" si="224"/>
        <v>21.067999999999923</v>
      </c>
      <c r="G398" s="106">
        <f t="shared" si="224"/>
        <v>3.7599999999999714</v>
      </c>
      <c r="H398" s="106">
        <f t="shared" si="224"/>
        <v>8.669000000000004</v>
      </c>
      <c r="I398" s="106">
        <f t="shared" si="224"/>
        <v>12.483000000000015</v>
      </c>
      <c r="J398" s="106">
        <f t="shared" si="224"/>
        <v>-3.537000000000198</v>
      </c>
      <c r="K398" s="416">
        <f t="shared" si="224"/>
        <v>21.374999999999822</v>
      </c>
      <c r="L398" s="106">
        <f t="shared" si="224"/>
        <v>1.8909999999999856</v>
      </c>
      <c r="M398" s="106">
        <f t="shared" si="224"/>
        <v>10.616000000000039</v>
      </c>
      <c r="N398" s="106">
        <f t="shared" si="224"/>
        <v>9.3449999999999989</v>
      </c>
      <c r="O398" s="106">
        <f t="shared" si="224"/>
        <v>2.3099999999996519</v>
      </c>
      <c r="P398" s="416">
        <f t="shared" si="224"/>
        <v>24.161999999999757</v>
      </c>
      <c r="Q398" s="106">
        <f t="shared" si="224"/>
        <v>1.712999999999985</v>
      </c>
      <c r="R398" s="106">
        <f t="shared" si="224"/>
        <v>20.699000000000005</v>
      </c>
      <c r="S398" s="106">
        <f t="shared" si="224"/>
        <v>19.638000000000059</v>
      </c>
      <c r="T398" s="106">
        <f t="shared" si="224"/>
        <v>3.3140000000002119</v>
      </c>
      <c r="U398" s="416">
        <f t="shared" si="224"/>
        <v>45.364000000000118</v>
      </c>
      <c r="V398" s="106">
        <f t="shared" si="224"/>
        <v>-7.7109999999999896</v>
      </c>
      <c r="W398" s="106">
        <f t="shared" si="224"/>
        <v>12.001999999999992</v>
      </c>
      <c r="X398" s="106">
        <f t="shared" si="224"/>
        <v>17.745000000000047</v>
      </c>
      <c r="Y398" s="106">
        <f t="shared" si="224"/>
        <v>16.432999999999701</v>
      </c>
      <c r="Z398" s="416">
        <f t="shared" si="224"/>
        <v>38.468999999999937</v>
      </c>
      <c r="AA398" s="106">
        <f t="shared" si="224"/>
        <v>-3.8690000000000544</v>
      </c>
      <c r="AB398" s="106">
        <f t="shared" si="224"/>
        <v>4.8569999999998767</v>
      </c>
      <c r="AC398" s="106">
        <f t="shared" si="224"/>
        <v>13.248000000000051</v>
      </c>
      <c r="AD398" s="106">
        <f t="shared" si="224"/>
        <v>59.65899999999948</v>
      </c>
      <c r="AE398" s="416">
        <f t="shared" si="224"/>
        <v>73.894999999999641</v>
      </c>
      <c r="AF398" s="106">
        <f t="shared" si="224"/>
        <v>-10.843999999999902</v>
      </c>
      <c r="AG398" s="106">
        <f t="shared" si="224"/>
        <v>-3.0020000000000264</v>
      </c>
      <c r="AH398" s="106">
        <f t="shared" si="224"/>
        <v>19.208999999999882</v>
      </c>
      <c r="AI398" s="106">
        <f t="shared" ref="AI398:BN398" si="225">AI395-AI396-AI397</f>
        <v>-20.587000000000657</v>
      </c>
      <c r="AJ398" s="416">
        <f t="shared" si="225"/>
        <v>-15.224000000000412</v>
      </c>
      <c r="AK398" s="106">
        <f t="shared" si="225"/>
        <v>-5.2110000000000039</v>
      </c>
      <c r="AL398" s="106">
        <f t="shared" si="225"/>
        <v>11.710000000000115</v>
      </c>
      <c r="AM398" s="106">
        <f t="shared" si="225"/>
        <v>9.9090000000000611</v>
      </c>
      <c r="AN398" s="106">
        <f t="shared" si="225"/>
        <v>-7.7380000000002678</v>
      </c>
      <c r="AO398" s="416">
        <f t="shared" si="225"/>
        <v>8.6699999999998969</v>
      </c>
      <c r="AP398" s="106">
        <f t="shared" si="225"/>
        <v>11.170999999999967</v>
      </c>
      <c r="AQ398" s="106">
        <f t="shared" si="225"/>
        <v>30.146999999999942</v>
      </c>
      <c r="AR398" s="106">
        <f t="shared" si="225"/>
        <v>39.527999999999892</v>
      </c>
      <c r="AS398" s="106">
        <f t="shared" si="225"/>
        <v>50.570000000000043</v>
      </c>
      <c r="AT398" s="416">
        <f t="shared" si="225"/>
        <v>131.41600000000014</v>
      </c>
      <c r="AU398" s="106">
        <f t="shared" si="225"/>
        <v>40.655999999999985</v>
      </c>
      <c r="AV398" s="106">
        <f t="shared" si="225"/>
        <v>36.707000000000058</v>
      </c>
      <c r="AW398" s="106">
        <f t="shared" si="225"/>
        <v>52.515999999999998</v>
      </c>
      <c r="AX398" s="106">
        <f t="shared" si="225"/>
        <v>14.554999999999797</v>
      </c>
      <c r="AY398" s="416">
        <f t="shared" si="225"/>
        <v>144.4339999999998</v>
      </c>
      <c r="AZ398" s="106">
        <f t="shared" si="225"/>
        <v>73.248999999999896</v>
      </c>
      <c r="BA398" s="106">
        <f t="shared" si="225"/>
        <v>88.887999999999892</v>
      </c>
      <c r="BB398" s="106">
        <f t="shared" si="225"/>
        <v>106.02899999999994</v>
      </c>
      <c r="BC398" s="106">
        <f t="shared" si="225"/>
        <v>104.25500000000017</v>
      </c>
      <c r="BD398" s="416">
        <f t="shared" si="225"/>
        <v>372.42100000000022</v>
      </c>
      <c r="BE398" s="106">
        <f t="shared" si="225"/>
        <v>105.46300000000008</v>
      </c>
      <c r="BF398" s="106">
        <f t="shared" si="225"/>
        <v>109.20600000000002</v>
      </c>
      <c r="BG398" s="106">
        <f t="shared" si="225"/>
        <v>82.219000000000165</v>
      </c>
      <c r="BH398" s="106">
        <f t="shared" si="225"/>
        <v>67.705000000000098</v>
      </c>
      <c r="BI398" s="416">
        <f t="shared" si="225"/>
        <v>364.59300000000025</v>
      </c>
      <c r="BJ398" s="106">
        <f t="shared" si="225"/>
        <v>147.97599999999994</v>
      </c>
      <c r="BK398" s="109">
        <f t="shared" si="225"/>
        <v>154.15500000000006</v>
      </c>
      <c r="BL398" s="106">
        <f t="shared" si="225"/>
        <v>102.36100000000006</v>
      </c>
      <c r="BM398" s="106">
        <f t="shared" si="225"/>
        <v>158.7900000000007</v>
      </c>
      <c r="BN398" s="416">
        <f t="shared" si="225"/>
        <v>563.28200000000015</v>
      </c>
      <c r="BO398" s="106">
        <f t="shared" ref="BO398:BS398" si="226">BO395-BO396-BO397</f>
        <v>91.667000000000073</v>
      </c>
      <c r="BP398" s="109">
        <f t="shared" si="226"/>
        <v>165.75500000000011</v>
      </c>
      <c r="BQ398" s="109">
        <f t="shared" si="226"/>
        <v>125.82900000000006</v>
      </c>
      <c r="BR398" s="106">
        <f t="shared" si="226"/>
        <v>119.19999999999972</v>
      </c>
      <c r="BS398" s="417">
        <f t="shared" si="226"/>
        <v>502.45100000000014</v>
      </c>
      <c r="BT398" s="159"/>
      <c r="BU398" s="159"/>
      <c r="BV398" s="159"/>
      <c r="BW398" s="159"/>
      <c r="BX398" s="418"/>
      <c r="BY398" s="159"/>
      <c r="BZ398" s="159"/>
      <c r="CA398" s="159"/>
      <c r="CB398" s="159"/>
      <c r="CC398" s="418"/>
      <c r="CD398" s="418"/>
      <c r="CE398" s="418"/>
      <c r="CF398" s="418"/>
      <c r="CG398" s="109"/>
    </row>
    <row r="399" spans="1:85" ht="14.45" customHeight="1" x14ac:dyDescent="0.25">
      <c r="A399" s="111"/>
      <c r="B399" s="211"/>
      <c r="C399" s="423"/>
      <c r="D399" s="423"/>
      <c r="E399" s="423"/>
      <c r="F399" s="423"/>
      <c r="G399" s="112"/>
      <c r="H399" s="112"/>
      <c r="I399" s="112"/>
      <c r="J399" s="112"/>
      <c r="K399" s="423"/>
      <c r="L399" s="112"/>
      <c r="M399" s="112"/>
      <c r="N399" s="112"/>
      <c r="O399" s="112"/>
      <c r="P399" s="423"/>
      <c r="Q399" s="112"/>
      <c r="R399" s="112"/>
      <c r="S399" s="112"/>
      <c r="T399" s="112"/>
      <c r="U399" s="423"/>
      <c r="V399" s="112"/>
      <c r="W399" s="112"/>
      <c r="X399" s="112"/>
      <c r="Y399" s="112"/>
      <c r="Z399" s="423"/>
      <c r="AA399" s="112"/>
      <c r="AB399" s="112"/>
      <c r="AC399" s="112"/>
      <c r="AD399" s="112"/>
      <c r="AE399" s="423"/>
      <c r="AF399" s="112"/>
      <c r="AG399" s="112"/>
      <c r="AH399" s="112"/>
      <c r="AI399" s="112"/>
      <c r="AJ399" s="423"/>
      <c r="AK399" s="112"/>
      <c r="AL399" s="112"/>
      <c r="AM399" s="112"/>
      <c r="AN399" s="112"/>
      <c r="AO399" s="423"/>
      <c r="AP399" s="112"/>
      <c r="AQ399" s="112"/>
      <c r="AR399" s="112"/>
      <c r="AS399" s="112"/>
      <c r="AT399" s="423"/>
      <c r="AU399" s="112"/>
      <c r="AV399" s="112"/>
      <c r="AW399" s="112"/>
      <c r="AX399" s="112"/>
      <c r="AY399" s="423"/>
      <c r="AZ399" s="112"/>
      <c r="BA399" s="112"/>
      <c r="BB399" s="112"/>
      <c r="BC399" s="112"/>
      <c r="BD399" s="423"/>
      <c r="BE399" s="112"/>
      <c r="BF399" s="112"/>
      <c r="BG399" s="112"/>
      <c r="BH399" s="112"/>
      <c r="BI399" s="423"/>
      <c r="BJ399" s="112"/>
      <c r="BK399" s="112"/>
      <c r="BL399" s="112"/>
      <c r="BM399" s="112"/>
      <c r="BN399" s="423"/>
      <c r="BO399" s="112"/>
      <c r="BP399" s="112"/>
      <c r="BQ399" s="112"/>
      <c r="BR399" s="112"/>
      <c r="BS399" s="424"/>
      <c r="BT399" s="112"/>
      <c r="BU399" s="112"/>
      <c r="BV399" s="112"/>
      <c r="BW399" s="112"/>
      <c r="BX399" s="423"/>
      <c r="BY399" s="112"/>
      <c r="BZ399" s="112"/>
      <c r="CA399" s="112"/>
      <c r="CB399" s="112"/>
      <c r="CC399" s="423"/>
      <c r="CD399" s="423"/>
      <c r="CE399" s="423"/>
      <c r="CF399" s="423"/>
      <c r="CG399" s="109"/>
    </row>
    <row r="400" spans="1:85" ht="14.45" customHeight="1" x14ac:dyDescent="0.25">
      <c r="A400" s="95" t="s">
        <v>472</v>
      </c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409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109"/>
    </row>
    <row r="401" spans="1:85" ht="14.45" customHeight="1" x14ac:dyDescent="0.25">
      <c r="A401" s="135" t="s">
        <v>473</v>
      </c>
      <c r="B401" s="211"/>
      <c r="C401" s="421">
        <f t="shared" ref="C401:AH401" si="227">C274</f>
        <v>1442.9860000000001</v>
      </c>
      <c r="D401" s="421">
        <f t="shared" si="227"/>
        <v>1514.5989999999999</v>
      </c>
      <c r="E401" s="421">
        <f t="shared" si="227"/>
        <v>1561.239</v>
      </c>
      <c r="F401" s="421">
        <f t="shared" si="227"/>
        <v>1614.433</v>
      </c>
      <c r="G401" s="109">
        <f t="shared" si="227"/>
        <v>383.55099999999999</v>
      </c>
      <c r="H401" s="109">
        <f t="shared" si="227"/>
        <v>428.97899999999998</v>
      </c>
      <c r="I401" s="109">
        <f t="shared" si="227"/>
        <v>434.464</v>
      </c>
      <c r="J401" s="109">
        <f t="shared" si="227"/>
        <v>394.33699999999993</v>
      </c>
      <c r="K401" s="421">
        <f t="shared" si="227"/>
        <v>1641.3309999999999</v>
      </c>
      <c r="L401" s="109">
        <f t="shared" si="227"/>
        <v>388.58199999999999</v>
      </c>
      <c r="M401" s="109">
        <f t="shared" si="227"/>
        <v>459.47300000000001</v>
      </c>
      <c r="N401" s="109">
        <f t="shared" si="227"/>
        <v>457.67599999999999</v>
      </c>
      <c r="O401" s="109">
        <f t="shared" si="227"/>
        <v>440.63799999999986</v>
      </c>
      <c r="P401" s="421">
        <f t="shared" si="227"/>
        <v>1746.3689999999999</v>
      </c>
      <c r="Q401" s="109">
        <f t="shared" si="227"/>
        <v>453.25299999999999</v>
      </c>
      <c r="R401" s="109">
        <f t="shared" si="227"/>
        <v>614.68299999999999</v>
      </c>
      <c r="S401" s="109">
        <f t="shared" si="227"/>
        <v>618.80600000000004</v>
      </c>
      <c r="T401" s="109">
        <f t="shared" si="227"/>
        <v>619.71600000000012</v>
      </c>
      <c r="U401" s="421">
        <f t="shared" si="227"/>
        <v>2306.4580000000001</v>
      </c>
      <c r="V401" s="109">
        <f t="shared" si="227"/>
        <v>625.45600000000002</v>
      </c>
      <c r="W401" s="109">
        <f t="shared" si="227"/>
        <v>840.38400000000001</v>
      </c>
      <c r="X401" s="109">
        <f t="shared" si="227"/>
        <v>849.02800000000002</v>
      </c>
      <c r="Y401" s="109">
        <f t="shared" si="227"/>
        <v>841.55999999999972</v>
      </c>
      <c r="Z401" s="421">
        <f t="shared" si="227"/>
        <v>3156.4279999999999</v>
      </c>
      <c r="AA401" s="109">
        <f t="shared" si="227"/>
        <v>865.702</v>
      </c>
      <c r="AB401" s="109">
        <f t="shared" si="227"/>
        <v>1169.2909999999999</v>
      </c>
      <c r="AC401" s="109">
        <f t="shared" si="227"/>
        <v>1162.5260000000001</v>
      </c>
      <c r="AD401" s="109">
        <f t="shared" si="227"/>
        <v>1126.1489999999994</v>
      </c>
      <c r="AE401" s="421">
        <f t="shared" si="227"/>
        <v>4323.6679999999997</v>
      </c>
      <c r="AF401" s="109">
        <f t="shared" si="227"/>
        <v>1064.7570000000001</v>
      </c>
      <c r="AG401" s="109">
        <f t="shared" si="227"/>
        <v>1220.0029999999999</v>
      </c>
      <c r="AH401" s="109">
        <f t="shared" si="227"/>
        <v>1204.0329999999999</v>
      </c>
      <c r="AI401" s="109">
        <f t="shared" ref="AI401:BS401" si="228">AI274</f>
        <v>1136.5709999999995</v>
      </c>
      <c r="AJ401" s="421">
        <f t="shared" si="228"/>
        <v>4625.3639999999996</v>
      </c>
      <c r="AK401" s="109">
        <f t="shared" si="228"/>
        <v>1102.912</v>
      </c>
      <c r="AL401" s="109">
        <f t="shared" si="228"/>
        <v>1273.6590000000001</v>
      </c>
      <c r="AM401" s="109">
        <f t="shared" si="228"/>
        <v>1271.029</v>
      </c>
      <c r="AN401" s="109">
        <f t="shared" si="228"/>
        <v>1178.9490000000001</v>
      </c>
      <c r="AO401" s="421">
        <f t="shared" si="228"/>
        <v>4826.549</v>
      </c>
      <c r="AP401" s="109">
        <f t="shared" si="228"/>
        <v>1173.021</v>
      </c>
      <c r="AQ401" s="109">
        <f t="shared" si="228"/>
        <v>1227.2149999999999</v>
      </c>
      <c r="AR401" s="109">
        <f t="shared" si="228"/>
        <v>1328.4839999999999</v>
      </c>
      <c r="AS401" s="109">
        <f t="shared" si="228"/>
        <v>1278.6370000000002</v>
      </c>
      <c r="AT401" s="421">
        <f t="shared" si="228"/>
        <v>5007.357</v>
      </c>
      <c r="AU401" s="109">
        <f t="shared" si="228"/>
        <v>1269.857</v>
      </c>
      <c r="AV401" s="109">
        <f t="shared" si="228"/>
        <v>1433.086</v>
      </c>
      <c r="AW401" s="109">
        <f t="shared" si="228"/>
        <v>1457.432</v>
      </c>
      <c r="AX401" s="109">
        <f t="shared" si="228"/>
        <v>1402.3389999999999</v>
      </c>
      <c r="AY401" s="421">
        <f t="shared" si="228"/>
        <v>5562.7139999999999</v>
      </c>
      <c r="AZ401" s="109">
        <f t="shared" si="228"/>
        <v>1404.3579999999999</v>
      </c>
      <c r="BA401" s="109">
        <f t="shared" si="228"/>
        <v>1595.2149999999999</v>
      </c>
      <c r="BB401" s="109">
        <f t="shared" si="228"/>
        <v>1628.5889999999999</v>
      </c>
      <c r="BC401" s="109">
        <f t="shared" si="228"/>
        <v>1572.7950000000001</v>
      </c>
      <c r="BD401" s="421">
        <f t="shared" si="228"/>
        <v>6200.9570000000003</v>
      </c>
      <c r="BE401" s="109">
        <f t="shared" si="228"/>
        <v>1571.6420000000001</v>
      </c>
      <c r="BF401" s="109">
        <f t="shared" si="228"/>
        <v>1738.8320000000001</v>
      </c>
      <c r="BG401" s="109">
        <f t="shared" si="228"/>
        <v>1712.4280000000001</v>
      </c>
      <c r="BH401" s="109">
        <f t="shared" si="228"/>
        <v>1630.9560000000001</v>
      </c>
      <c r="BI401" s="421">
        <f t="shared" si="228"/>
        <v>6653.8580000000002</v>
      </c>
      <c r="BJ401" s="109">
        <f t="shared" si="228"/>
        <v>1591.626</v>
      </c>
      <c r="BK401" s="109">
        <f t="shared" si="228"/>
        <v>1795.943</v>
      </c>
      <c r="BL401" s="109">
        <f t="shared" si="228"/>
        <v>1765.652</v>
      </c>
      <c r="BM401" s="109">
        <f t="shared" si="228"/>
        <v>1746.4950000000008</v>
      </c>
      <c r="BN401" s="421">
        <f t="shared" si="228"/>
        <v>6899.7160000000003</v>
      </c>
      <c r="BO401" s="109">
        <f t="shared" si="228"/>
        <v>1579.9770000000001</v>
      </c>
      <c r="BP401" s="109">
        <f t="shared" si="228"/>
        <v>1855.519</v>
      </c>
      <c r="BQ401" s="109">
        <f t="shared" si="228"/>
        <v>1888.317</v>
      </c>
      <c r="BR401" s="109">
        <f t="shared" si="228"/>
        <v>1904.2420000000002</v>
      </c>
      <c r="BS401" s="422">
        <f t="shared" si="228"/>
        <v>7228.0550000000003</v>
      </c>
      <c r="BT401" s="112">
        <f>BT25</f>
        <v>1594.6038194999996</v>
      </c>
      <c r="BU401" s="112">
        <f>BU25</f>
        <v>1895.4806534999998</v>
      </c>
      <c r="BV401" s="112">
        <f>BV25</f>
        <v>1965.9280784999996</v>
      </c>
      <c r="BW401" s="112">
        <f>BW25</f>
        <v>1932.9040710000008</v>
      </c>
      <c r="BX401" s="423">
        <f>SUM(BT401,BU401,BV401,BW401)</f>
        <v>7388.9166224999999</v>
      </c>
      <c r="BY401" s="112">
        <f>BY25</f>
        <v>1609.8528690374997</v>
      </c>
      <c r="BZ401" s="112">
        <f>BZ25</f>
        <v>1913.8911516374997</v>
      </c>
      <c r="CA401" s="112">
        <f>CA25</f>
        <v>1985.4253212524995</v>
      </c>
      <c r="CB401" s="112">
        <f>CB25</f>
        <v>1951.094081955001</v>
      </c>
      <c r="CC401" s="423">
        <f>SUM(BY401,BZ401,CA401,CB401)</f>
        <v>7460.2634238824994</v>
      </c>
      <c r="CD401" s="423">
        <f>CD25</f>
        <v>7545.2112690042359</v>
      </c>
      <c r="CE401" s="423">
        <f>CE25</f>
        <v>7631.5367839116298</v>
      </c>
      <c r="CF401" s="423">
        <f>CF25</f>
        <v>7719.2659155648071</v>
      </c>
      <c r="CG401" s="109"/>
    </row>
    <row r="402" spans="1:85" ht="14.45" customHeight="1" x14ac:dyDescent="0.25">
      <c r="A402" s="220" t="str">
        <f>CONCATENATE("Consensus Estimates - ",IFERROR(LEFT(A401,FIND("(",A401)-1),A401))</f>
        <v>Consensus Estimates - Net Revenue</v>
      </c>
      <c r="B402" s="221"/>
      <c r="C402" s="516"/>
      <c r="D402" s="516"/>
      <c r="E402" s="516"/>
      <c r="F402" s="516"/>
      <c r="G402" s="222"/>
      <c r="H402" s="222"/>
      <c r="I402" s="222"/>
      <c r="J402" s="222"/>
      <c r="K402" s="516"/>
      <c r="L402" s="222"/>
      <c r="M402" s="222"/>
      <c r="N402" s="222"/>
      <c r="O402" s="222"/>
      <c r="P402" s="516"/>
      <c r="Q402" s="222"/>
      <c r="R402" s="222"/>
      <c r="S402" s="222"/>
      <c r="T402" s="222"/>
      <c r="U402" s="516"/>
      <c r="V402" s="222"/>
      <c r="W402" s="222"/>
      <c r="X402" s="222"/>
      <c r="Y402" s="222"/>
      <c r="Z402" s="516"/>
      <c r="AA402" s="222"/>
      <c r="AB402" s="222"/>
      <c r="AC402" s="222"/>
      <c r="AD402" s="222"/>
      <c r="AE402" s="516"/>
      <c r="AF402" s="222"/>
      <c r="AG402" s="222"/>
      <c r="AH402" s="222"/>
      <c r="AI402" s="222"/>
      <c r="AJ402" s="516"/>
      <c r="AK402" s="222"/>
      <c r="AL402" s="222"/>
      <c r="AM402" s="222"/>
      <c r="AN402" s="222"/>
      <c r="AO402" s="516"/>
      <c r="AP402" s="222"/>
      <c r="AQ402" s="222"/>
      <c r="AR402" s="222"/>
      <c r="AS402" s="222"/>
      <c r="AT402" s="516"/>
      <c r="AU402" s="222"/>
      <c r="AV402" s="222"/>
      <c r="AW402" s="222"/>
      <c r="AX402" s="222"/>
      <c r="AY402" s="516"/>
      <c r="AZ402" s="222"/>
      <c r="BA402" s="222"/>
      <c r="BB402" s="222"/>
      <c r="BC402" s="222"/>
      <c r="BD402" s="516"/>
      <c r="BE402" s="222"/>
      <c r="BF402" s="222"/>
      <c r="BG402" s="222"/>
      <c r="BH402" s="222"/>
      <c r="BI402" s="516"/>
      <c r="BJ402" s="222"/>
      <c r="BK402" s="222"/>
      <c r="BL402" s="222"/>
      <c r="BM402" s="222"/>
      <c r="BN402" s="516"/>
      <c r="BO402" s="222"/>
      <c r="BP402" s="222"/>
      <c r="BQ402" s="222"/>
      <c r="BR402" s="222"/>
      <c r="BS402" s="517"/>
      <c r="BT402" s="518" t="str">
        <f ca="1">IFERROR(VLOOKUP($A402,tb_ConsensusEstimate,MATCH(BT$5,OFFSET(tb_ConsensusEstimate,0,0,1,COLUMNS(tb_ConsensusEstimate)),0),FALSE),"-")</f>
        <v>-</v>
      </c>
      <c r="BU402" s="518" t="str">
        <f ca="1">IFERROR(VLOOKUP($A402,tb_ConsensusEstimate,MATCH(BU$5,OFFSET(tb_ConsensusEstimate,0,0,1,COLUMNS(tb_ConsensusEstimate)),0),FALSE),"-")</f>
        <v>-</v>
      </c>
      <c r="BV402" s="518" t="str">
        <f ca="1">IFERROR(VLOOKUP($A402,tb_ConsensusEstimate,MATCH(BV$5,OFFSET(tb_ConsensusEstimate,0,0,1,COLUMNS(tb_ConsensusEstimate)),0),FALSE),"-")</f>
        <v>-</v>
      </c>
      <c r="BW402" s="518" t="str">
        <f ca="1">IFERROR(VLOOKUP($A402,tb_ConsensusEstimate,MATCH(BW$5,OFFSET(tb_ConsensusEstimate,0,0,1,COLUMNS(tb_ConsensusEstimate)),0),FALSE),"-")</f>
        <v>-</v>
      </c>
      <c r="BX402" s="519" t="str">
        <f ca="1">IFERROR(VLOOKUP($A402,tb_ConsensusEstimate,MATCH(BX$5,OFFSET(tb_ConsensusEstimate,0,0,1,COLUMNS(tb_ConsensusEstimate)),0),FALSE),"-")</f>
        <v>-</v>
      </c>
      <c r="BY402" s="518" t="str">
        <f ca="1">IFERROR(VLOOKUP($A402,tb_ConsensusEstimate,MATCH(BY$5,OFFSET(tb_ConsensusEstimate,0,0,1,COLUMNS(tb_ConsensusEstimate)),0),FALSE),"-")</f>
        <v>-</v>
      </c>
      <c r="BZ402" s="518" t="str">
        <f ca="1">IFERROR(VLOOKUP($A402,tb_ConsensusEstimate,MATCH(BZ$5,OFFSET(tb_ConsensusEstimate,0,0,1,COLUMNS(tb_ConsensusEstimate)),0),FALSE),"-")</f>
        <v>-</v>
      </c>
      <c r="CA402" s="518" t="str">
        <f ca="1">IFERROR(VLOOKUP($A402,tb_ConsensusEstimate,MATCH(CA$5,OFFSET(tb_ConsensusEstimate,0,0,1,COLUMNS(tb_ConsensusEstimate)),0),FALSE),"-")</f>
        <v>-</v>
      </c>
      <c r="CB402" s="518" t="str">
        <f ca="1">IFERROR(VLOOKUP($A402,tb_ConsensusEstimate,MATCH(CB$5,OFFSET(tb_ConsensusEstimate,0,0,1,COLUMNS(tb_ConsensusEstimate)),0),FALSE),"-")</f>
        <v>-</v>
      </c>
      <c r="CC402" s="519" t="str">
        <f ca="1">IFERROR(VLOOKUP($A402,tb_ConsensusEstimate,MATCH(CC$5,OFFSET(tb_ConsensusEstimate,0,0,1,COLUMNS(tb_ConsensusEstimate)),0),FALSE),"-")</f>
        <v>-</v>
      </c>
      <c r="CD402" s="519" t="str">
        <f ca="1">IFERROR(VLOOKUP($A402,tb_ConsensusEstimate,MATCH(CD5,OFFSET(tb_ConsensusEstimate,0,0,1,COLUMNS(tb_ConsensusEstimate)),0),FALSE),"-")</f>
        <v>-</v>
      </c>
      <c r="CE402" s="519" t="str">
        <f ca="1">IFERROR(VLOOKUP($A402,tb_ConsensusEstimate,MATCH(CE5,OFFSET(tb_ConsensusEstimate,0,0,1,COLUMNS(tb_ConsensusEstimate)),0),FALSE),"-")</f>
        <v>-</v>
      </c>
      <c r="CF402" s="519" t="str">
        <f ca="1">IFERROR(VLOOKUP($A402,tb_ConsensusEstimate,MATCH(CF5,OFFSET(tb_ConsensusEstimate,0,0,1,COLUMNS(tb_ConsensusEstimate)),0),FALSE),"-")</f>
        <v>-</v>
      </c>
      <c r="CG402" s="222"/>
    </row>
    <row r="403" spans="1:85" ht="14.45" customHeight="1" x14ac:dyDescent="0.25">
      <c r="A403" s="111"/>
      <c r="B403" s="211"/>
      <c r="C403" s="423"/>
      <c r="D403" s="423"/>
      <c r="E403" s="423"/>
      <c r="F403" s="423"/>
      <c r="G403" s="112"/>
      <c r="H403" s="112"/>
      <c r="I403" s="112"/>
      <c r="J403" s="112"/>
      <c r="K403" s="423"/>
      <c r="L403" s="112"/>
      <c r="M403" s="112"/>
      <c r="N403" s="112"/>
      <c r="O403" s="112"/>
      <c r="P403" s="423"/>
      <c r="Q403" s="112"/>
      <c r="R403" s="112"/>
      <c r="S403" s="112"/>
      <c r="T403" s="112"/>
      <c r="U403" s="423"/>
      <c r="V403" s="112"/>
      <c r="W403" s="112"/>
      <c r="X403" s="112"/>
      <c r="Y403" s="112"/>
      <c r="Z403" s="423"/>
      <c r="AA403" s="112"/>
      <c r="AB403" s="112"/>
      <c r="AC403" s="112"/>
      <c r="AD403" s="112"/>
      <c r="AE403" s="423"/>
      <c r="AF403" s="112"/>
      <c r="AG403" s="112"/>
      <c r="AH403" s="112"/>
      <c r="AI403" s="112"/>
      <c r="AJ403" s="423"/>
      <c r="AK403" s="112"/>
      <c r="AL403" s="112"/>
      <c r="AM403" s="112"/>
      <c r="AN403" s="112"/>
      <c r="AO403" s="423"/>
      <c r="AP403" s="112"/>
      <c r="AQ403" s="112"/>
      <c r="AR403" s="112"/>
      <c r="AS403" s="112"/>
      <c r="AT403" s="423"/>
      <c r="AU403" s="112"/>
      <c r="AV403" s="112"/>
      <c r="AW403" s="112"/>
      <c r="AX403" s="112"/>
      <c r="AY403" s="423"/>
      <c r="AZ403" s="112"/>
      <c r="BA403" s="112"/>
      <c r="BB403" s="112"/>
      <c r="BC403" s="112"/>
      <c r="BD403" s="423"/>
      <c r="BE403" s="112"/>
      <c r="BF403" s="112"/>
      <c r="BG403" s="112"/>
      <c r="BH403" s="112"/>
      <c r="BI403" s="423"/>
      <c r="BJ403" s="112"/>
      <c r="BK403" s="112"/>
      <c r="BL403" s="112"/>
      <c r="BM403" s="112"/>
      <c r="BN403" s="423"/>
      <c r="BO403" s="112"/>
      <c r="BP403" s="112"/>
      <c r="BQ403" s="112"/>
      <c r="BR403" s="112"/>
      <c r="BS403" s="424"/>
      <c r="BT403" s="112"/>
      <c r="BU403" s="112"/>
      <c r="BV403" s="112"/>
      <c r="BW403" s="112"/>
      <c r="BX403" s="423"/>
      <c r="BY403" s="112"/>
      <c r="BZ403" s="112"/>
      <c r="CA403" s="112"/>
      <c r="CB403" s="112"/>
      <c r="CC403" s="423"/>
      <c r="CD403" s="423"/>
      <c r="CE403" s="423"/>
      <c r="CF403" s="423"/>
      <c r="CG403" s="109"/>
    </row>
    <row r="404" spans="1:85" ht="14.45" customHeight="1" x14ac:dyDescent="0.25">
      <c r="A404" s="130" t="s">
        <v>62</v>
      </c>
      <c r="B404" s="190"/>
      <c r="C404" s="520">
        <f t="shared" ref="C404:AH404" si="229">C275</f>
        <v>822.99199999999996</v>
      </c>
      <c r="D404" s="520">
        <f t="shared" si="229"/>
        <v>873.78300000000002</v>
      </c>
      <c r="E404" s="520">
        <f t="shared" si="229"/>
        <v>931.99599999999998</v>
      </c>
      <c r="F404" s="520">
        <f t="shared" si="229"/>
        <v>960.12400000000002</v>
      </c>
      <c r="G404" s="103">
        <f t="shared" si="229"/>
        <v>229.852</v>
      </c>
      <c r="H404" s="103">
        <f t="shared" si="229"/>
        <v>258.66399999999999</v>
      </c>
      <c r="I404" s="103">
        <f t="shared" si="229"/>
        <v>258.35199999999998</v>
      </c>
      <c r="J404" s="103">
        <f t="shared" si="229"/>
        <v>235.82300000000009</v>
      </c>
      <c r="K404" s="520">
        <f t="shared" si="229"/>
        <v>982.69100000000003</v>
      </c>
      <c r="L404" s="103">
        <f t="shared" si="229"/>
        <v>232.249</v>
      </c>
      <c r="M404" s="103">
        <f t="shared" si="229"/>
        <v>273.95299999999997</v>
      </c>
      <c r="N404" s="103">
        <f t="shared" si="229"/>
        <v>272.73399999999998</v>
      </c>
      <c r="O404" s="103">
        <f t="shared" si="229"/>
        <v>262.19400000000013</v>
      </c>
      <c r="P404" s="520">
        <f t="shared" si="229"/>
        <v>1041.1300000000001</v>
      </c>
      <c r="Q404" s="103">
        <f t="shared" si="229"/>
        <v>268.88</v>
      </c>
      <c r="R404" s="103">
        <f t="shared" si="229"/>
        <v>377.36599999999999</v>
      </c>
      <c r="S404" s="103">
        <f t="shared" si="229"/>
        <v>380.27</v>
      </c>
      <c r="T404" s="103">
        <f t="shared" si="229"/>
        <v>378.90999999999985</v>
      </c>
      <c r="U404" s="520">
        <f t="shared" si="229"/>
        <v>1405.4259999999999</v>
      </c>
      <c r="V404" s="103">
        <f t="shared" si="229"/>
        <v>381.55799999999999</v>
      </c>
      <c r="W404" s="103">
        <f t="shared" si="229"/>
        <v>520.67700000000002</v>
      </c>
      <c r="X404" s="103">
        <f t="shared" si="229"/>
        <v>521.83799999999997</v>
      </c>
      <c r="Y404" s="103">
        <f t="shared" si="229"/>
        <v>516.63300000000004</v>
      </c>
      <c r="Z404" s="520">
        <f t="shared" si="229"/>
        <v>1940.7059999999999</v>
      </c>
      <c r="AA404" s="103">
        <f t="shared" si="229"/>
        <v>533.68100000000004</v>
      </c>
      <c r="AB404" s="103">
        <f t="shared" si="229"/>
        <v>754.11300000000006</v>
      </c>
      <c r="AC404" s="103">
        <f t="shared" si="229"/>
        <v>752.202</v>
      </c>
      <c r="AD404" s="103">
        <f t="shared" si="229"/>
        <v>742.72499999999991</v>
      </c>
      <c r="AE404" s="520">
        <f t="shared" si="229"/>
        <v>2782.721</v>
      </c>
      <c r="AF404" s="103">
        <f t="shared" si="229"/>
        <v>707.11599999999999</v>
      </c>
      <c r="AG404" s="103">
        <f t="shared" si="229"/>
        <v>815.29499999999996</v>
      </c>
      <c r="AH404" s="103">
        <f t="shared" si="229"/>
        <v>791.31700000000001</v>
      </c>
      <c r="AI404" s="103">
        <f t="shared" ref="AI404:BS404" si="230">AI275</f>
        <v>755.92399999999998</v>
      </c>
      <c r="AJ404" s="520">
        <f t="shared" si="230"/>
        <v>3069.652</v>
      </c>
      <c r="AK404" s="103">
        <f t="shared" si="230"/>
        <v>713.60400000000004</v>
      </c>
      <c r="AL404" s="103">
        <f t="shared" si="230"/>
        <v>837.88</v>
      </c>
      <c r="AM404" s="103">
        <f t="shared" si="230"/>
        <v>838.80499999999995</v>
      </c>
      <c r="AN404" s="103">
        <f t="shared" si="230"/>
        <v>765.75800000000027</v>
      </c>
      <c r="AO404" s="520">
        <f t="shared" si="230"/>
        <v>3156.047</v>
      </c>
      <c r="AP404" s="103">
        <f t="shared" si="230"/>
        <v>767.726</v>
      </c>
      <c r="AQ404" s="103">
        <f t="shared" si="230"/>
        <v>797.91399999999999</v>
      </c>
      <c r="AR404" s="103">
        <f t="shared" si="230"/>
        <v>856.04600000000005</v>
      </c>
      <c r="AS404" s="103">
        <f t="shared" si="230"/>
        <v>816.76200000000017</v>
      </c>
      <c r="AT404" s="520">
        <f t="shared" si="230"/>
        <v>3238.4479999999999</v>
      </c>
      <c r="AU404" s="103">
        <f t="shared" si="230"/>
        <v>821.154</v>
      </c>
      <c r="AV404" s="103">
        <f t="shared" si="230"/>
        <v>938.14599999999996</v>
      </c>
      <c r="AW404" s="103">
        <f t="shared" si="230"/>
        <v>939.72</v>
      </c>
      <c r="AX404" s="103">
        <f t="shared" si="230"/>
        <v>909.50700000000006</v>
      </c>
      <c r="AY404" s="520">
        <f t="shared" si="230"/>
        <v>3608.527</v>
      </c>
      <c r="AZ404" s="103">
        <f t="shared" si="230"/>
        <v>896.78200000000004</v>
      </c>
      <c r="BA404" s="103">
        <f t="shared" si="230"/>
        <v>1044.556</v>
      </c>
      <c r="BB404" s="103">
        <f t="shared" si="230"/>
        <v>1007.482</v>
      </c>
      <c r="BC404" s="103">
        <f t="shared" si="230"/>
        <v>974.18299999999999</v>
      </c>
      <c r="BD404" s="520">
        <f t="shared" si="230"/>
        <v>3923.0030000000002</v>
      </c>
      <c r="BE404" s="103">
        <f t="shared" si="230"/>
        <v>947.53599999999994</v>
      </c>
      <c r="BF404" s="103">
        <f t="shared" si="230"/>
        <v>1067.2550000000001</v>
      </c>
      <c r="BG404" s="103">
        <f t="shared" si="230"/>
        <v>1050.8779999999999</v>
      </c>
      <c r="BH404" s="103">
        <f t="shared" si="230"/>
        <v>989.47800000000007</v>
      </c>
      <c r="BI404" s="520">
        <f t="shared" si="230"/>
        <v>4055.1469999999999</v>
      </c>
      <c r="BJ404" s="103">
        <f t="shared" si="230"/>
        <v>951.06700000000001</v>
      </c>
      <c r="BK404" s="103">
        <f t="shared" si="230"/>
        <v>1079.2329999999999</v>
      </c>
      <c r="BL404" s="103">
        <f t="shared" si="230"/>
        <v>1067.616</v>
      </c>
      <c r="BM404" s="103">
        <f t="shared" si="230"/>
        <v>1048.6210000000001</v>
      </c>
      <c r="BN404" s="520">
        <f t="shared" si="230"/>
        <v>4146.5370000000003</v>
      </c>
      <c r="BO404" s="103">
        <f t="shared" si="230"/>
        <v>952.87300000000005</v>
      </c>
      <c r="BP404" s="103">
        <f t="shared" si="230"/>
        <v>1113.0229999999999</v>
      </c>
      <c r="BQ404" s="103">
        <f t="shared" si="230"/>
        <v>1139.8009999999999</v>
      </c>
      <c r="BR404" s="103">
        <f t="shared" si="230"/>
        <v>1149.9960000000005</v>
      </c>
      <c r="BS404" s="521">
        <f t="shared" si="230"/>
        <v>4355.6930000000002</v>
      </c>
      <c r="BT404" s="158">
        <f>BT401-BT405</f>
        <v>988.65436808999982</v>
      </c>
      <c r="BU404" s="158">
        <f>BU401-BU405</f>
        <v>1175.1980051699998</v>
      </c>
      <c r="BV404" s="158">
        <f>BV401-BV405</f>
        <v>1218.8754086699996</v>
      </c>
      <c r="BW404" s="158">
        <f>BW401-BW405</f>
        <v>1198.4005240200004</v>
      </c>
      <c r="BX404" s="415">
        <f>SUM(BT404,BU404,BV404,BW404)</f>
        <v>4581.1283059500001</v>
      </c>
      <c r="BY404" s="158">
        <f>BY401-BY405</f>
        <v>998.10877880324983</v>
      </c>
      <c r="BZ404" s="158">
        <f>BZ401-BZ405</f>
        <v>1186.6125140152499</v>
      </c>
      <c r="CA404" s="158">
        <f>CA401-CA405</f>
        <v>1230.9636991765497</v>
      </c>
      <c r="CB404" s="158">
        <f>CB401-CB405</f>
        <v>1209.6783308121007</v>
      </c>
      <c r="CC404" s="415">
        <f>SUM(BY404,BZ404,CA404,CB404)</f>
        <v>4625.3633228071503</v>
      </c>
      <c r="CD404" s="415">
        <f>CD401-CD405</f>
        <v>4678.0309867826263</v>
      </c>
      <c r="CE404" s="415">
        <f>CE401-CE405</f>
        <v>4731.5528060252109</v>
      </c>
      <c r="CF404" s="415">
        <f>CF401-CF405</f>
        <v>4785.9448676501797</v>
      </c>
      <c r="CG404" s="99"/>
    </row>
    <row r="405" spans="1:85" ht="14.45" customHeight="1" x14ac:dyDescent="0.25">
      <c r="A405" s="110" t="s">
        <v>63</v>
      </c>
      <c r="B405" s="212"/>
      <c r="C405" s="416">
        <f t="shared" ref="C405:AH405" si="231">C401-C404</f>
        <v>619.99400000000014</v>
      </c>
      <c r="D405" s="416">
        <f t="shared" si="231"/>
        <v>640.81599999999992</v>
      </c>
      <c r="E405" s="416">
        <f t="shared" si="231"/>
        <v>629.24300000000005</v>
      </c>
      <c r="F405" s="416">
        <f t="shared" si="231"/>
        <v>654.30899999999997</v>
      </c>
      <c r="G405" s="106">
        <f t="shared" si="231"/>
        <v>153.69899999999998</v>
      </c>
      <c r="H405" s="106">
        <f t="shared" si="231"/>
        <v>170.315</v>
      </c>
      <c r="I405" s="106">
        <f t="shared" si="231"/>
        <v>176.11200000000002</v>
      </c>
      <c r="J405" s="106">
        <f t="shared" si="231"/>
        <v>158.51399999999984</v>
      </c>
      <c r="K405" s="416">
        <f t="shared" si="231"/>
        <v>658.63999999999987</v>
      </c>
      <c r="L405" s="106">
        <f t="shared" si="231"/>
        <v>156.333</v>
      </c>
      <c r="M405" s="106">
        <f t="shared" si="231"/>
        <v>185.52000000000004</v>
      </c>
      <c r="N405" s="106">
        <f t="shared" si="231"/>
        <v>184.94200000000001</v>
      </c>
      <c r="O405" s="106">
        <f t="shared" si="231"/>
        <v>178.44399999999973</v>
      </c>
      <c r="P405" s="416">
        <f t="shared" si="231"/>
        <v>705.23899999999981</v>
      </c>
      <c r="Q405" s="106">
        <f t="shared" si="231"/>
        <v>184.37299999999999</v>
      </c>
      <c r="R405" s="106">
        <f t="shared" si="231"/>
        <v>237.31700000000001</v>
      </c>
      <c r="S405" s="106">
        <f t="shared" si="231"/>
        <v>238.53600000000006</v>
      </c>
      <c r="T405" s="106">
        <f t="shared" si="231"/>
        <v>240.80600000000027</v>
      </c>
      <c r="U405" s="416">
        <f t="shared" si="231"/>
        <v>901.03200000000015</v>
      </c>
      <c r="V405" s="106">
        <f t="shared" si="231"/>
        <v>243.89800000000002</v>
      </c>
      <c r="W405" s="106">
        <f t="shared" si="231"/>
        <v>319.70699999999999</v>
      </c>
      <c r="X405" s="106">
        <f t="shared" si="231"/>
        <v>327.19000000000005</v>
      </c>
      <c r="Y405" s="106">
        <f t="shared" si="231"/>
        <v>324.92699999999968</v>
      </c>
      <c r="Z405" s="416">
        <f t="shared" si="231"/>
        <v>1215.722</v>
      </c>
      <c r="AA405" s="106">
        <f t="shared" si="231"/>
        <v>332.02099999999996</v>
      </c>
      <c r="AB405" s="106">
        <f t="shared" si="231"/>
        <v>415.17799999999988</v>
      </c>
      <c r="AC405" s="106">
        <f t="shared" si="231"/>
        <v>410.32400000000007</v>
      </c>
      <c r="AD405" s="106">
        <f t="shared" si="231"/>
        <v>383.42399999999952</v>
      </c>
      <c r="AE405" s="416">
        <f t="shared" si="231"/>
        <v>1540.9469999999997</v>
      </c>
      <c r="AF405" s="106">
        <f t="shared" si="231"/>
        <v>357.64100000000008</v>
      </c>
      <c r="AG405" s="106">
        <f t="shared" si="231"/>
        <v>404.70799999999997</v>
      </c>
      <c r="AH405" s="106">
        <f t="shared" si="231"/>
        <v>412.71599999999989</v>
      </c>
      <c r="AI405" s="106">
        <f t="shared" ref="AI405:BN405" si="232">AI401-AI404</f>
        <v>380.64699999999948</v>
      </c>
      <c r="AJ405" s="416">
        <f t="shared" si="232"/>
        <v>1555.7119999999995</v>
      </c>
      <c r="AK405" s="106">
        <f t="shared" si="232"/>
        <v>389.30799999999999</v>
      </c>
      <c r="AL405" s="106">
        <f t="shared" si="232"/>
        <v>435.77900000000011</v>
      </c>
      <c r="AM405" s="106">
        <f t="shared" si="232"/>
        <v>432.22400000000005</v>
      </c>
      <c r="AN405" s="106">
        <f t="shared" si="232"/>
        <v>413.1909999999998</v>
      </c>
      <c r="AO405" s="416">
        <f t="shared" si="232"/>
        <v>1670.502</v>
      </c>
      <c r="AP405" s="106">
        <f t="shared" si="232"/>
        <v>405.29499999999996</v>
      </c>
      <c r="AQ405" s="106">
        <f t="shared" si="232"/>
        <v>429.30099999999993</v>
      </c>
      <c r="AR405" s="106">
        <f t="shared" si="232"/>
        <v>472.43799999999987</v>
      </c>
      <c r="AS405" s="106">
        <f t="shared" si="232"/>
        <v>461.875</v>
      </c>
      <c r="AT405" s="416">
        <f t="shared" si="232"/>
        <v>1768.9090000000001</v>
      </c>
      <c r="AU405" s="106">
        <f t="shared" si="232"/>
        <v>448.70299999999997</v>
      </c>
      <c r="AV405" s="106">
        <f t="shared" si="232"/>
        <v>494.94000000000005</v>
      </c>
      <c r="AW405" s="106">
        <f t="shared" si="232"/>
        <v>517.71199999999999</v>
      </c>
      <c r="AX405" s="106">
        <f t="shared" si="232"/>
        <v>492.83199999999988</v>
      </c>
      <c r="AY405" s="416">
        <f t="shared" si="232"/>
        <v>1954.1869999999999</v>
      </c>
      <c r="AZ405" s="106">
        <f t="shared" si="232"/>
        <v>507.57599999999991</v>
      </c>
      <c r="BA405" s="106">
        <f t="shared" si="232"/>
        <v>550.65899999999988</v>
      </c>
      <c r="BB405" s="106">
        <f t="shared" si="232"/>
        <v>621.10699999999997</v>
      </c>
      <c r="BC405" s="106">
        <f t="shared" si="232"/>
        <v>598.61200000000008</v>
      </c>
      <c r="BD405" s="416">
        <f t="shared" si="232"/>
        <v>2277.9540000000002</v>
      </c>
      <c r="BE405" s="106">
        <f t="shared" si="232"/>
        <v>624.10600000000011</v>
      </c>
      <c r="BF405" s="106">
        <f t="shared" si="232"/>
        <v>671.577</v>
      </c>
      <c r="BG405" s="106">
        <f t="shared" si="232"/>
        <v>661.55000000000018</v>
      </c>
      <c r="BH405" s="106">
        <f t="shared" si="232"/>
        <v>641.47800000000007</v>
      </c>
      <c r="BI405" s="416">
        <f t="shared" si="232"/>
        <v>2598.7110000000002</v>
      </c>
      <c r="BJ405" s="106">
        <f t="shared" si="232"/>
        <v>640.55899999999997</v>
      </c>
      <c r="BK405" s="106">
        <f t="shared" si="232"/>
        <v>716.71</v>
      </c>
      <c r="BL405" s="106">
        <f t="shared" si="232"/>
        <v>698.03600000000006</v>
      </c>
      <c r="BM405" s="106">
        <f t="shared" si="232"/>
        <v>697.87400000000071</v>
      </c>
      <c r="BN405" s="416">
        <f t="shared" si="232"/>
        <v>2753.1790000000001</v>
      </c>
      <c r="BO405" s="106">
        <f t="shared" ref="BO405:BS405" si="233">BO401-BO404</f>
        <v>627.10400000000004</v>
      </c>
      <c r="BP405" s="106">
        <f t="shared" si="233"/>
        <v>742.49600000000009</v>
      </c>
      <c r="BQ405" s="106">
        <f t="shared" si="233"/>
        <v>748.51600000000008</v>
      </c>
      <c r="BR405" s="106">
        <f t="shared" si="233"/>
        <v>754.24599999999964</v>
      </c>
      <c r="BS405" s="417">
        <f t="shared" si="233"/>
        <v>2872.3620000000001</v>
      </c>
      <c r="BT405" s="159">
        <f>BT258*BT401</f>
        <v>605.94945140999982</v>
      </c>
      <c r="BU405" s="159">
        <f>BU258*BU401</f>
        <v>720.28264832999992</v>
      </c>
      <c r="BV405" s="159">
        <f>BV258*BV401</f>
        <v>747.0526698299999</v>
      </c>
      <c r="BW405" s="159">
        <f>BW258*BW401</f>
        <v>734.50354698000035</v>
      </c>
      <c r="BX405" s="418">
        <f>BX401-BX404</f>
        <v>2807.7883165499998</v>
      </c>
      <c r="BY405" s="159">
        <f>BY258*BY401</f>
        <v>611.74409023424982</v>
      </c>
      <c r="BZ405" s="159">
        <f>BZ258*BZ401</f>
        <v>727.2786376222499</v>
      </c>
      <c r="CA405" s="159">
        <f>CA258*CA401</f>
        <v>754.46162207594989</v>
      </c>
      <c r="CB405" s="159">
        <f>CB258*CB401</f>
        <v>741.41575114290038</v>
      </c>
      <c r="CC405" s="418">
        <f>CC401-CC404</f>
        <v>2834.9001010753491</v>
      </c>
      <c r="CD405" s="418">
        <f>CD258*CD401</f>
        <v>2867.1802822216096</v>
      </c>
      <c r="CE405" s="418">
        <f>CE258*CE401</f>
        <v>2899.9839778864193</v>
      </c>
      <c r="CF405" s="418">
        <f>CF258*CF401</f>
        <v>2933.3210479146269</v>
      </c>
      <c r="CG405" s="109"/>
    </row>
    <row r="406" spans="1:85" ht="14.45" customHeight="1" x14ac:dyDescent="0.25">
      <c r="A406" s="111"/>
      <c r="B406" s="211"/>
      <c r="C406" s="423"/>
      <c r="D406" s="423"/>
      <c r="E406" s="423"/>
      <c r="F406" s="423"/>
      <c r="G406" s="112"/>
      <c r="H406" s="112"/>
      <c r="I406" s="112"/>
      <c r="J406" s="112"/>
      <c r="K406" s="423"/>
      <c r="L406" s="112"/>
      <c r="M406" s="112"/>
      <c r="N406" s="112"/>
      <c r="O406" s="112"/>
      <c r="P406" s="423"/>
      <c r="Q406" s="112"/>
      <c r="R406" s="112"/>
      <c r="S406" s="112"/>
      <c r="T406" s="112"/>
      <c r="U406" s="423"/>
      <c r="V406" s="112"/>
      <c r="W406" s="112"/>
      <c r="X406" s="112"/>
      <c r="Y406" s="112"/>
      <c r="Z406" s="423"/>
      <c r="AA406" s="112"/>
      <c r="AB406" s="112"/>
      <c r="AC406" s="112"/>
      <c r="AD406" s="112"/>
      <c r="AE406" s="423"/>
      <c r="AF406" s="112"/>
      <c r="AG406" s="112"/>
      <c r="AH406" s="112"/>
      <c r="AI406" s="112"/>
      <c r="AJ406" s="423"/>
      <c r="AK406" s="112"/>
      <c r="AL406" s="112"/>
      <c r="AM406" s="112"/>
      <c r="AN406" s="112"/>
      <c r="AO406" s="423"/>
      <c r="AP406" s="112"/>
      <c r="AQ406" s="112"/>
      <c r="AR406" s="112"/>
      <c r="AS406" s="112"/>
      <c r="AT406" s="423"/>
      <c r="AU406" s="112"/>
      <c r="AV406" s="112"/>
      <c r="AW406" s="112"/>
      <c r="AX406" s="112"/>
      <c r="AY406" s="423"/>
      <c r="AZ406" s="112"/>
      <c r="BA406" s="112"/>
      <c r="BB406" s="112"/>
      <c r="BC406" s="112"/>
      <c r="BD406" s="423"/>
      <c r="BE406" s="112"/>
      <c r="BF406" s="112"/>
      <c r="BG406" s="112"/>
      <c r="BH406" s="112"/>
      <c r="BI406" s="423"/>
      <c r="BJ406" s="112"/>
      <c r="BK406" s="112"/>
      <c r="BL406" s="112"/>
      <c r="BM406" s="112"/>
      <c r="BN406" s="423"/>
      <c r="BO406" s="112"/>
      <c r="BP406" s="112"/>
      <c r="BQ406" s="112"/>
      <c r="BR406" s="112"/>
      <c r="BS406" s="424"/>
      <c r="BT406" s="112"/>
      <c r="BU406" s="112"/>
      <c r="BV406" s="112"/>
      <c r="BW406" s="112"/>
      <c r="BX406" s="423"/>
      <c r="BY406" s="112"/>
      <c r="BZ406" s="112"/>
      <c r="CA406" s="112"/>
      <c r="CB406" s="112"/>
      <c r="CC406" s="423"/>
      <c r="CD406" s="423"/>
      <c r="CE406" s="423"/>
      <c r="CF406" s="423"/>
      <c r="CG406" s="109"/>
    </row>
    <row r="407" spans="1:85" ht="14.45" customHeight="1" x14ac:dyDescent="0.25">
      <c r="A407" s="130" t="s">
        <v>64</v>
      </c>
      <c r="B407" s="190"/>
      <c r="C407" s="520">
        <f t="shared" ref="C407:AH407" si="234">C277</f>
        <v>525.49099999999999</v>
      </c>
      <c r="D407" s="520">
        <f t="shared" si="234"/>
        <v>544.49800000000005</v>
      </c>
      <c r="E407" s="520">
        <f t="shared" si="234"/>
        <v>541.71299999999997</v>
      </c>
      <c r="F407" s="520">
        <f t="shared" si="234"/>
        <v>565.62300000000005</v>
      </c>
      <c r="G407" s="103">
        <f t="shared" si="234"/>
        <v>138.21100000000001</v>
      </c>
      <c r="H407" s="103">
        <f t="shared" si="234"/>
        <v>143.416</v>
      </c>
      <c r="I407" s="103">
        <f t="shared" si="234"/>
        <v>145.91200000000001</v>
      </c>
      <c r="J407" s="103">
        <f t="shared" si="234"/>
        <v>157.45400000000004</v>
      </c>
      <c r="K407" s="520">
        <f t="shared" si="234"/>
        <v>584.99300000000005</v>
      </c>
      <c r="L407" s="103">
        <f t="shared" si="234"/>
        <v>144.21700000000001</v>
      </c>
      <c r="M407" s="103">
        <f t="shared" si="234"/>
        <v>154.256</v>
      </c>
      <c r="N407" s="103">
        <f t="shared" si="234"/>
        <v>156.49600000000001</v>
      </c>
      <c r="O407" s="103">
        <f t="shared" si="234"/>
        <v>164.30300000000008</v>
      </c>
      <c r="P407" s="520">
        <f t="shared" si="234"/>
        <v>619.27200000000005</v>
      </c>
      <c r="Q407" s="103">
        <f t="shared" si="234"/>
        <v>167.471</v>
      </c>
      <c r="R407" s="103">
        <f t="shared" si="234"/>
        <v>199.001</v>
      </c>
      <c r="S407" s="103">
        <f t="shared" si="234"/>
        <v>210.851</v>
      </c>
      <c r="T407" s="103">
        <f t="shared" si="234"/>
        <v>225.56500000000005</v>
      </c>
      <c r="U407" s="520">
        <f t="shared" si="234"/>
        <v>802.88800000000003</v>
      </c>
      <c r="V407" s="103">
        <f t="shared" si="234"/>
        <v>231.49700000000001</v>
      </c>
      <c r="W407" s="103">
        <f t="shared" si="234"/>
        <v>264.971</v>
      </c>
      <c r="X407" s="103">
        <f t="shared" si="234"/>
        <v>287.38900000000001</v>
      </c>
      <c r="Y407" s="103">
        <f t="shared" si="234"/>
        <v>304.00599999999997</v>
      </c>
      <c r="Z407" s="520">
        <f t="shared" si="234"/>
        <v>1087.8630000000001</v>
      </c>
      <c r="AA407" s="103">
        <f t="shared" si="234"/>
        <v>318.41300000000001</v>
      </c>
      <c r="AB407" s="103">
        <f t="shared" si="234"/>
        <v>367.86500000000001</v>
      </c>
      <c r="AC407" s="103">
        <f t="shared" si="234"/>
        <v>374.19400000000002</v>
      </c>
      <c r="AD407" s="103">
        <f t="shared" si="234"/>
        <v>384.29600000000005</v>
      </c>
      <c r="AE407" s="520">
        <f t="shared" si="234"/>
        <v>1444.768</v>
      </c>
      <c r="AF407" s="103">
        <f t="shared" si="234"/>
        <v>376.63799999999998</v>
      </c>
      <c r="AG407" s="103">
        <f t="shared" si="234"/>
        <v>385.029</v>
      </c>
      <c r="AH407" s="103">
        <f t="shared" si="234"/>
        <v>368.31200000000001</v>
      </c>
      <c r="AI407" s="103">
        <f t="shared" ref="AI407:BS407" si="235">AI277</f>
        <v>367.83100000000013</v>
      </c>
      <c r="AJ407" s="520">
        <f t="shared" si="235"/>
        <v>1497.81</v>
      </c>
      <c r="AK407" s="103">
        <f t="shared" si="235"/>
        <v>369.154</v>
      </c>
      <c r="AL407" s="103">
        <f t="shared" si="235"/>
        <v>368.565</v>
      </c>
      <c r="AM407" s="103">
        <f t="shared" si="235"/>
        <v>378.37799999999999</v>
      </c>
      <c r="AN407" s="103">
        <f t="shared" si="235"/>
        <v>373.65100000000007</v>
      </c>
      <c r="AO407" s="520">
        <f t="shared" si="235"/>
        <v>1489.748</v>
      </c>
      <c r="AP407" s="103">
        <f t="shared" si="235"/>
        <v>372.47399999999999</v>
      </c>
      <c r="AQ407" s="103">
        <f t="shared" si="235"/>
        <v>346.18299999999999</v>
      </c>
      <c r="AR407" s="103">
        <f t="shared" si="235"/>
        <v>368.59399999999999</v>
      </c>
      <c r="AS407" s="103">
        <f t="shared" si="235"/>
        <v>368.28</v>
      </c>
      <c r="AT407" s="520">
        <f t="shared" si="235"/>
        <v>1455.5309999999999</v>
      </c>
      <c r="AU407" s="103">
        <f t="shared" si="235"/>
        <v>354.51900000000001</v>
      </c>
      <c r="AV407" s="103">
        <f t="shared" si="235"/>
        <v>374.07900000000001</v>
      </c>
      <c r="AW407" s="103">
        <f t="shared" si="235"/>
        <v>380.68099999999998</v>
      </c>
      <c r="AX407" s="103">
        <f t="shared" si="235"/>
        <v>405.73700000000008</v>
      </c>
      <c r="AY407" s="520">
        <f t="shared" si="235"/>
        <v>1515.0160000000001</v>
      </c>
      <c r="AZ407" s="103">
        <f t="shared" si="235"/>
        <v>376.59100000000001</v>
      </c>
      <c r="BA407" s="103">
        <f t="shared" si="235"/>
        <v>403.36599999999999</v>
      </c>
      <c r="BB407" s="103">
        <f t="shared" si="235"/>
        <v>431.17700000000002</v>
      </c>
      <c r="BC407" s="103">
        <f t="shared" si="235"/>
        <v>425.77299999999991</v>
      </c>
      <c r="BD407" s="520">
        <f t="shared" si="235"/>
        <v>1636.9069999999999</v>
      </c>
      <c r="BE407" s="103">
        <f t="shared" si="235"/>
        <v>418.05200000000002</v>
      </c>
      <c r="BF407" s="103">
        <f t="shared" si="235"/>
        <v>437.90699999999998</v>
      </c>
      <c r="BG407" s="103">
        <f t="shared" si="235"/>
        <v>445.29</v>
      </c>
      <c r="BH407" s="103">
        <f t="shared" si="235"/>
        <v>463.01099999999997</v>
      </c>
      <c r="BI407" s="520">
        <f t="shared" si="235"/>
        <v>1764.26</v>
      </c>
      <c r="BJ407" s="103">
        <f t="shared" si="235"/>
        <v>425.15300000000002</v>
      </c>
      <c r="BK407" s="103">
        <f t="shared" si="235"/>
        <v>457.57</v>
      </c>
      <c r="BL407" s="103">
        <f t="shared" si="235"/>
        <v>470.98099999999999</v>
      </c>
      <c r="BM407" s="103">
        <f t="shared" si="235"/>
        <v>479.125</v>
      </c>
      <c r="BN407" s="520">
        <f t="shared" si="235"/>
        <v>1832.829</v>
      </c>
      <c r="BO407" s="103">
        <f t="shared" si="235"/>
        <v>437.28399999999999</v>
      </c>
      <c r="BP407" s="103">
        <f t="shared" si="235"/>
        <v>470.41199999999998</v>
      </c>
      <c r="BQ407" s="103">
        <f t="shared" si="235"/>
        <v>501.88200000000001</v>
      </c>
      <c r="BR407" s="103">
        <f t="shared" si="235"/>
        <v>512.12799999999993</v>
      </c>
      <c r="BS407" s="521">
        <f t="shared" si="235"/>
        <v>1921.7059999999999</v>
      </c>
      <c r="BT407" s="158">
        <f>BT$401*BT261</f>
        <v>414.59699306999994</v>
      </c>
      <c r="BU407" s="158">
        <f>BU$401*BU261</f>
        <v>492.82496990999994</v>
      </c>
      <c r="BV407" s="158">
        <f>BV$401*BV261</f>
        <v>511.14130040999993</v>
      </c>
      <c r="BW407" s="158">
        <f>BW$401*BW261</f>
        <v>502.55505846000023</v>
      </c>
      <c r="BX407" s="415">
        <f>SUM(BT407,BU407,BV407,BW407)</f>
        <v>1921.11832185</v>
      </c>
      <c r="BY407" s="158">
        <f>BY$401*BY261</f>
        <v>418.56174594974993</v>
      </c>
      <c r="BZ407" s="158">
        <f>BZ$401*BZ261</f>
        <v>497.61169942574992</v>
      </c>
      <c r="CA407" s="158">
        <f>CA$401*CA261</f>
        <v>516.21058352564989</v>
      </c>
      <c r="CB407" s="158">
        <f>CB$401*CB261</f>
        <v>507.28446130830025</v>
      </c>
      <c r="CC407" s="415">
        <f>SUM(BY407,BZ407,CA407,CB407)</f>
        <v>1939.6684902094498</v>
      </c>
      <c r="CD407" s="415">
        <f>CD401*CD261</f>
        <v>1961.7549299411014</v>
      </c>
      <c r="CE407" s="415">
        <f>CE401*CE261</f>
        <v>1984.1995638170238</v>
      </c>
      <c r="CF407" s="415">
        <f>CF401*CF261</f>
        <v>2007.00913804685</v>
      </c>
      <c r="CG407" s="99"/>
    </row>
    <row r="408" spans="1:85" ht="14.45" customHeight="1" x14ac:dyDescent="0.25">
      <c r="A408" s="110" t="s">
        <v>66</v>
      </c>
      <c r="B408" s="212"/>
      <c r="C408" s="416">
        <f t="shared" ref="C408:AH408" si="236">C405-SUM(C407:C407)</f>
        <v>94.503000000000156</v>
      </c>
      <c r="D408" s="416">
        <f t="shared" si="236"/>
        <v>96.31799999999987</v>
      </c>
      <c r="E408" s="416">
        <f t="shared" si="236"/>
        <v>87.530000000000086</v>
      </c>
      <c r="F408" s="416">
        <f t="shared" si="236"/>
        <v>88.685999999999922</v>
      </c>
      <c r="G408" s="106">
        <f t="shared" si="236"/>
        <v>15.487999999999971</v>
      </c>
      <c r="H408" s="106">
        <f t="shared" si="236"/>
        <v>26.899000000000001</v>
      </c>
      <c r="I408" s="106">
        <f t="shared" si="236"/>
        <v>30.200000000000017</v>
      </c>
      <c r="J408" s="106">
        <f t="shared" si="236"/>
        <v>1.0599999999998033</v>
      </c>
      <c r="K408" s="416">
        <f t="shared" si="236"/>
        <v>73.646999999999821</v>
      </c>
      <c r="L408" s="106">
        <f t="shared" si="236"/>
        <v>12.115999999999985</v>
      </c>
      <c r="M408" s="106">
        <f t="shared" si="236"/>
        <v>31.264000000000038</v>
      </c>
      <c r="N408" s="106">
        <f t="shared" si="236"/>
        <v>28.445999999999998</v>
      </c>
      <c r="O408" s="106">
        <f t="shared" si="236"/>
        <v>14.14099999999965</v>
      </c>
      <c r="P408" s="416">
        <f t="shared" si="236"/>
        <v>85.966999999999757</v>
      </c>
      <c r="Q408" s="106">
        <f t="shared" si="236"/>
        <v>16.901999999999987</v>
      </c>
      <c r="R408" s="106">
        <f t="shared" si="236"/>
        <v>38.316000000000003</v>
      </c>
      <c r="S408" s="106">
        <f t="shared" si="236"/>
        <v>27.685000000000059</v>
      </c>
      <c r="T408" s="106">
        <f t="shared" si="236"/>
        <v>15.241000000000213</v>
      </c>
      <c r="U408" s="416">
        <f t="shared" si="236"/>
        <v>98.144000000000119</v>
      </c>
      <c r="V408" s="106">
        <f t="shared" si="236"/>
        <v>12.40100000000001</v>
      </c>
      <c r="W408" s="106">
        <f t="shared" si="236"/>
        <v>54.73599999999999</v>
      </c>
      <c r="X408" s="106">
        <f t="shared" si="236"/>
        <v>39.801000000000045</v>
      </c>
      <c r="Y408" s="106">
        <f t="shared" si="236"/>
        <v>20.920999999999708</v>
      </c>
      <c r="Z408" s="416">
        <f t="shared" si="236"/>
        <v>127.85899999999992</v>
      </c>
      <c r="AA408" s="106">
        <f t="shared" si="236"/>
        <v>13.607999999999947</v>
      </c>
      <c r="AB408" s="106">
        <f t="shared" si="236"/>
        <v>47.312999999999874</v>
      </c>
      <c r="AC408" s="106">
        <f t="shared" si="236"/>
        <v>36.130000000000052</v>
      </c>
      <c r="AD408" s="106">
        <f t="shared" si="236"/>
        <v>-0.87200000000052569</v>
      </c>
      <c r="AE408" s="416">
        <f t="shared" si="236"/>
        <v>96.178999999999633</v>
      </c>
      <c r="AF408" s="106">
        <f t="shared" si="236"/>
        <v>-18.9969999999999</v>
      </c>
      <c r="AG408" s="106">
        <f t="shared" si="236"/>
        <v>19.678999999999974</v>
      </c>
      <c r="AH408" s="106">
        <f t="shared" si="236"/>
        <v>44.403999999999883</v>
      </c>
      <c r="AI408" s="106">
        <f t="shared" ref="AI408:BN408" si="237">AI405-SUM(AI407:AI407)</f>
        <v>12.815999999999349</v>
      </c>
      <c r="AJ408" s="416">
        <f t="shared" si="237"/>
        <v>57.901999999999589</v>
      </c>
      <c r="AK408" s="106">
        <f t="shared" si="237"/>
        <v>20.153999999999996</v>
      </c>
      <c r="AL408" s="106">
        <f t="shared" si="237"/>
        <v>67.214000000000112</v>
      </c>
      <c r="AM408" s="106">
        <f t="shared" si="237"/>
        <v>53.84600000000006</v>
      </c>
      <c r="AN408" s="106">
        <f t="shared" si="237"/>
        <v>39.539999999999736</v>
      </c>
      <c r="AO408" s="416">
        <f t="shared" si="237"/>
        <v>180.75399999999991</v>
      </c>
      <c r="AP408" s="106">
        <f t="shared" si="237"/>
        <v>32.82099999999997</v>
      </c>
      <c r="AQ408" s="106">
        <f t="shared" si="237"/>
        <v>83.117999999999938</v>
      </c>
      <c r="AR408" s="106">
        <f t="shared" si="237"/>
        <v>103.84399999999988</v>
      </c>
      <c r="AS408" s="106">
        <f t="shared" si="237"/>
        <v>93.595000000000027</v>
      </c>
      <c r="AT408" s="416">
        <f t="shared" si="237"/>
        <v>313.37800000000016</v>
      </c>
      <c r="AU408" s="106">
        <f t="shared" si="237"/>
        <v>94.183999999999969</v>
      </c>
      <c r="AV408" s="106">
        <f t="shared" si="237"/>
        <v>120.86100000000005</v>
      </c>
      <c r="AW408" s="106">
        <f t="shared" si="237"/>
        <v>137.03100000000001</v>
      </c>
      <c r="AX408" s="106">
        <f t="shared" si="237"/>
        <v>87.0949999999998</v>
      </c>
      <c r="AY408" s="416">
        <f t="shared" si="237"/>
        <v>439.17099999999982</v>
      </c>
      <c r="AZ408" s="106">
        <f t="shared" si="237"/>
        <v>130.9849999999999</v>
      </c>
      <c r="BA408" s="106">
        <f t="shared" si="237"/>
        <v>147.29299999999989</v>
      </c>
      <c r="BB408" s="106">
        <f t="shared" si="237"/>
        <v>189.92999999999995</v>
      </c>
      <c r="BC408" s="106">
        <f t="shared" si="237"/>
        <v>172.83900000000017</v>
      </c>
      <c r="BD408" s="416">
        <f t="shared" si="237"/>
        <v>641.04700000000025</v>
      </c>
      <c r="BE408" s="106">
        <f t="shared" si="237"/>
        <v>206.05400000000009</v>
      </c>
      <c r="BF408" s="106">
        <f t="shared" si="237"/>
        <v>233.67000000000002</v>
      </c>
      <c r="BG408" s="106">
        <f t="shared" si="237"/>
        <v>216.26000000000016</v>
      </c>
      <c r="BH408" s="106">
        <f t="shared" si="237"/>
        <v>178.4670000000001</v>
      </c>
      <c r="BI408" s="416">
        <f t="shared" si="237"/>
        <v>834.45100000000025</v>
      </c>
      <c r="BJ408" s="106">
        <f t="shared" si="237"/>
        <v>215.40599999999995</v>
      </c>
      <c r="BK408" s="106">
        <f t="shared" si="237"/>
        <v>259.14000000000004</v>
      </c>
      <c r="BL408" s="106">
        <f t="shared" si="237"/>
        <v>227.05500000000006</v>
      </c>
      <c r="BM408" s="106">
        <f t="shared" si="237"/>
        <v>218.74900000000071</v>
      </c>
      <c r="BN408" s="416">
        <f t="shared" si="237"/>
        <v>920.35000000000014</v>
      </c>
      <c r="BO408" s="106">
        <f t="shared" ref="BO408:CF408" si="238">BO405-SUM(BO407:BO407)</f>
        <v>189.82000000000005</v>
      </c>
      <c r="BP408" s="106">
        <f t="shared" si="238"/>
        <v>272.08400000000012</v>
      </c>
      <c r="BQ408" s="106">
        <f t="shared" si="238"/>
        <v>246.63400000000007</v>
      </c>
      <c r="BR408" s="106">
        <f t="shared" si="238"/>
        <v>242.11799999999971</v>
      </c>
      <c r="BS408" s="417">
        <f t="shared" si="238"/>
        <v>950.65600000000018</v>
      </c>
      <c r="BT408" s="159">
        <f t="shared" si="238"/>
        <v>191.35245833999988</v>
      </c>
      <c r="BU408" s="159">
        <f t="shared" si="238"/>
        <v>227.45767841999998</v>
      </c>
      <c r="BV408" s="159">
        <f t="shared" si="238"/>
        <v>235.91136941999997</v>
      </c>
      <c r="BW408" s="159">
        <f t="shared" si="238"/>
        <v>231.94848852000013</v>
      </c>
      <c r="BX408" s="418">
        <f t="shared" si="238"/>
        <v>886.66999469999973</v>
      </c>
      <c r="BY408" s="159">
        <f t="shared" si="238"/>
        <v>193.18234428449989</v>
      </c>
      <c r="BZ408" s="159">
        <f t="shared" si="238"/>
        <v>229.66693819649998</v>
      </c>
      <c r="CA408" s="159">
        <f t="shared" si="238"/>
        <v>238.2510385503</v>
      </c>
      <c r="CB408" s="159">
        <f t="shared" si="238"/>
        <v>234.13128983460012</v>
      </c>
      <c r="CC408" s="418">
        <f t="shared" si="238"/>
        <v>895.23161086589926</v>
      </c>
      <c r="CD408" s="418">
        <f t="shared" si="238"/>
        <v>905.42535228050815</v>
      </c>
      <c r="CE408" s="418">
        <f t="shared" si="238"/>
        <v>915.78441406939555</v>
      </c>
      <c r="CF408" s="418">
        <f t="shared" si="238"/>
        <v>926.31190986777688</v>
      </c>
      <c r="CG408" s="109"/>
    </row>
    <row r="409" spans="1:85" ht="14.45" customHeight="1" x14ac:dyDescent="0.25">
      <c r="A409" s="135" t="str">
        <f>CONCATENATE("Adjusted ",A408,IF(AND(ROUND(SUM(C408:CG408)-SUM(C409:CG409),6)=0)," (No Adjustments)",""))</f>
        <v>Adjusted EBIT</v>
      </c>
      <c r="B409" s="211"/>
      <c r="C409" s="421">
        <f t="shared" ref="C409:Q409" si="239">C408</f>
        <v>94.503000000000156</v>
      </c>
      <c r="D409" s="421">
        <f t="shared" si="239"/>
        <v>96.31799999999987</v>
      </c>
      <c r="E409" s="421">
        <f t="shared" si="239"/>
        <v>87.530000000000086</v>
      </c>
      <c r="F409" s="421">
        <f t="shared" si="239"/>
        <v>88.685999999999922</v>
      </c>
      <c r="G409" s="109">
        <f t="shared" si="239"/>
        <v>15.487999999999971</v>
      </c>
      <c r="H409" s="109">
        <f t="shared" si="239"/>
        <v>26.899000000000001</v>
      </c>
      <c r="I409" s="109">
        <f t="shared" si="239"/>
        <v>30.200000000000017</v>
      </c>
      <c r="J409" s="109">
        <f t="shared" si="239"/>
        <v>1.0599999999998033</v>
      </c>
      <c r="K409" s="421">
        <f t="shared" si="239"/>
        <v>73.646999999999821</v>
      </c>
      <c r="L409" s="109">
        <f t="shared" si="239"/>
        <v>12.115999999999985</v>
      </c>
      <c r="M409" s="109">
        <f t="shared" si="239"/>
        <v>31.264000000000038</v>
      </c>
      <c r="N409" s="109">
        <f t="shared" si="239"/>
        <v>28.445999999999998</v>
      </c>
      <c r="O409" s="109">
        <f t="shared" si="239"/>
        <v>14.14099999999965</v>
      </c>
      <c r="P409" s="421">
        <f t="shared" si="239"/>
        <v>85.966999999999757</v>
      </c>
      <c r="Q409" s="109">
        <f t="shared" si="239"/>
        <v>16.901999999999987</v>
      </c>
      <c r="R409" s="109">
        <f t="shared" ref="R409:AW409" si="240">R331</f>
        <v>38.250000000000007</v>
      </c>
      <c r="S409" s="109">
        <f t="shared" si="240"/>
        <v>35.742000000000061</v>
      </c>
      <c r="T409" s="109">
        <f t="shared" si="240"/>
        <v>20.610000000000209</v>
      </c>
      <c r="U409" s="421">
        <f t="shared" si="240"/>
        <v>110.95600000000013</v>
      </c>
      <c r="V409" s="109">
        <f t="shared" si="240"/>
        <v>18.365000000000009</v>
      </c>
      <c r="W409" s="109">
        <f t="shared" si="240"/>
        <v>44.36399999999999</v>
      </c>
      <c r="X409" s="109">
        <f t="shared" si="240"/>
        <v>45.06700000000005</v>
      </c>
      <c r="Y409" s="109">
        <f t="shared" si="240"/>
        <v>10.174999999999711</v>
      </c>
      <c r="Z409" s="421">
        <f t="shared" si="240"/>
        <v>117.97099999999993</v>
      </c>
      <c r="AA409" s="109">
        <f t="shared" si="240"/>
        <v>16.482999999999947</v>
      </c>
      <c r="AB409" s="109">
        <f t="shared" si="240"/>
        <v>47.513999999999868</v>
      </c>
      <c r="AC409" s="109">
        <f t="shared" si="240"/>
        <v>38.30800000000005</v>
      </c>
      <c r="AD409" s="109">
        <f t="shared" si="240"/>
        <v>18.454999999999472</v>
      </c>
      <c r="AE409" s="421">
        <f t="shared" si="240"/>
        <v>120.75999999999964</v>
      </c>
      <c r="AF409" s="109">
        <f t="shared" si="240"/>
        <v>-3.579999999999901</v>
      </c>
      <c r="AG409" s="109">
        <f t="shared" si="240"/>
        <v>34.062999999999981</v>
      </c>
      <c r="AH409" s="109">
        <f t="shared" si="240"/>
        <v>55.289999999999885</v>
      </c>
      <c r="AI409" s="109">
        <f t="shared" si="240"/>
        <v>38.744999999999351</v>
      </c>
      <c r="AJ409" s="421">
        <f t="shared" si="240"/>
        <v>124.51799999999957</v>
      </c>
      <c r="AK409" s="109">
        <f t="shared" si="240"/>
        <v>20.739999999999995</v>
      </c>
      <c r="AL409" s="109">
        <f t="shared" si="240"/>
        <v>77.536000000000115</v>
      </c>
      <c r="AM409" s="109">
        <f t="shared" si="240"/>
        <v>58.746000000000066</v>
      </c>
      <c r="AN409" s="109">
        <f t="shared" si="240"/>
        <v>38.390999999999735</v>
      </c>
      <c r="AO409" s="421">
        <f t="shared" si="240"/>
        <v>195.4129999999999</v>
      </c>
      <c r="AP409" s="109">
        <f t="shared" si="240"/>
        <v>36.76299999999997</v>
      </c>
      <c r="AQ409" s="109">
        <f t="shared" si="240"/>
        <v>81.687999999999946</v>
      </c>
      <c r="AR409" s="109">
        <f t="shared" si="240"/>
        <v>105.19699999999987</v>
      </c>
      <c r="AS409" s="109">
        <f t="shared" si="240"/>
        <v>83.977000000000032</v>
      </c>
      <c r="AT409" s="421">
        <f t="shared" si="240"/>
        <v>307.62500000000017</v>
      </c>
      <c r="AU409" s="109">
        <f t="shared" si="240"/>
        <v>93.717999999999975</v>
      </c>
      <c r="AV409" s="109">
        <f t="shared" si="240"/>
        <v>120.70800000000006</v>
      </c>
      <c r="AW409" s="109">
        <f t="shared" si="240"/>
        <v>137.20600000000002</v>
      </c>
      <c r="AX409" s="109">
        <f t="shared" ref="AX409:BS409" si="241">AX331</f>
        <v>90.786999999999793</v>
      </c>
      <c r="AY409" s="421">
        <f t="shared" si="241"/>
        <v>442.41899999999981</v>
      </c>
      <c r="AZ409" s="109">
        <f t="shared" si="241"/>
        <v>117.3099999999999</v>
      </c>
      <c r="BA409" s="109">
        <f t="shared" si="241"/>
        <v>160.07499999999987</v>
      </c>
      <c r="BB409" s="109">
        <f t="shared" si="241"/>
        <v>193.91599999999994</v>
      </c>
      <c r="BC409" s="109">
        <f t="shared" si="241"/>
        <v>173.25800000000015</v>
      </c>
      <c r="BD409" s="421">
        <f t="shared" si="241"/>
        <v>644.5590000000002</v>
      </c>
      <c r="BE409" s="109">
        <f t="shared" si="241"/>
        <v>209.1390000000001</v>
      </c>
      <c r="BF409" s="109">
        <f t="shared" si="241"/>
        <v>234.99100000000001</v>
      </c>
      <c r="BG409" s="109">
        <f t="shared" si="241"/>
        <v>215.58200000000016</v>
      </c>
      <c r="BH409" s="109">
        <f t="shared" si="241"/>
        <v>175.8000000000001</v>
      </c>
      <c r="BI409" s="421">
        <f t="shared" si="241"/>
        <v>835.51200000000028</v>
      </c>
      <c r="BJ409" s="109">
        <f t="shared" si="241"/>
        <v>216.60499999999996</v>
      </c>
      <c r="BK409" s="109">
        <f t="shared" si="241"/>
        <v>257.81100000000004</v>
      </c>
      <c r="BL409" s="109">
        <f t="shared" si="241"/>
        <v>226.26000000000008</v>
      </c>
      <c r="BM409" s="109">
        <f t="shared" si="241"/>
        <v>220.94900000000069</v>
      </c>
      <c r="BN409" s="421">
        <f t="shared" si="241"/>
        <v>921.62500000000011</v>
      </c>
      <c r="BO409" s="109">
        <f t="shared" si="241"/>
        <v>190.45400000000004</v>
      </c>
      <c r="BP409" s="109">
        <f t="shared" si="241"/>
        <v>270.0750000000001</v>
      </c>
      <c r="BQ409" s="109">
        <f t="shared" si="241"/>
        <v>246.34000000000006</v>
      </c>
      <c r="BR409" s="109">
        <f t="shared" si="241"/>
        <v>242.05899999999971</v>
      </c>
      <c r="BS409" s="422">
        <f t="shared" si="241"/>
        <v>948.92800000000022</v>
      </c>
      <c r="BT409" s="112">
        <f>BT408</f>
        <v>191.35245833999988</v>
      </c>
      <c r="BU409" s="112">
        <f>BU408</f>
        <v>227.45767841999998</v>
      </c>
      <c r="BV409" s="112">
        <f>BV408</f>
        <v>235.91136941999997</v>
      </c>
      <c r="BW409" s="112">
        <f>BW408</f>
        <v>231.94848852000013</v>
      </c>
      <c r="BX409" s="423">
        <f>SUM(BT409,BU409,BV409,BW409)</f>
        <v>886.66999469999996</v>
      </c>
      <c r="BY409" s="112">
        <f>BY408</f>
        <v>193.18234428449989</v>
      </c>
      <c r="BZ409" s="112">
        <f>BZ408</f>
        <v>229.66693819649998</v>
      </c>
      <c r="CA409" s="112">
        <f>CA408</f>
        <v>238.2510385503</v>
      </c>
      <c r="CB409" s="112">
        <f>CB408</f>
        <v>234.13128983460012</v>
      </c>
      <c r="CC409" s="423">
        <f>SUM(BY409,BZ409,CA409,CB409)</f>
        <v>895.23161086590005</v>
      </c>
      <c r="CD409" s="423">
        <f>CD408</f>
        <v>905.42535228050815</v>
      </c>
      <c r="CE409" s="423">
        <f>CE408</f>
        <v>915.78441406939555</v>
      </c>
      <c r="CF409" s="423">
        <f>CF408</f>
        <v>926.31190986777688</v>
      </c>
      <c r="CG409" s="109"/>
    </row>
    <row r="410" spans="1:85" ht="14.45" customHeight="1" x14ac:dyDescent="0.25">
      <c r="A410" s="223" t="s">
        <v>476</v>
      </c>
      <c r="B410" s="221"/>
      <c r="C410" s="516"/>
      <c r="D410" s="516"/>
      <c r="E410" s="516"/>
      <c r="F410" s="516"/>
      <c r="G410" s="222"/>
      <c r="H410" s="222"/>
      <c r="I410" s="222"/>
      <c r="J410" s="222"/>
      <c r="K410" s="516"/>
      <c r="L410" s="222"/>
      <c r="M410" s="222"/>
      <c r="N410" s="222"/>
      <c r="O410" s="222"/>
      <c r="P410" s="516"/>
      <c r="Q410" s="222"/>
      <c r="R410" s="222"/>
      <c r="S410" s="222"/>
      <c r="T410" s="222"/>
      <c r="U410" s="516"/>
      <c r="V410" s="222"/>
      <c r="W410" s="222"/>
      <c r="X410" s="222"/>
      <c r="Y410" s="222"/>
      <c r="Z410" s="516"/>
      <c r="AA410" s="222"/>
      <c r="AB410" s="222"/>
      <c r="AC410" s="222"/>
      <c r="AD410" s="222"/>
      <c r="AE410" s="516"/>
      <c r="AF410" s="222"/>
      <c r="AG410" s="222"/>
      <c r="AH410" s="222"/>
      <c r="AI410" s="222"/>
      <c r="AJ410" s="516"/>
      <c r="AK410" s="222"/>
      <c r="AL410" s="222"/>
      <c r="AM410" s="222"/>
      <c r="AN410" s="222"/>
      <c r="AO410" s="516"/>
      <c r="AP410" s="222"/>
      <c r="AQ410" s="222"/>
      <c r="AR410" s="222"/>
      <c r="AS410" s="222"/>
      <c r="AT410" s="516"/>
      <c r="AU410" s="222"/>
      <c r="AV410" s="222"/>
      <c r="AW410" s="222"/>
      <c r="AX410" s="222"/>
      <c r="AY410" s="516"/>
      <c r="AZ410" s="222"/>
      <c r="BA410" s="222"/>
      <c r="BB410" s="222"/>
      <c r="BC410" s="222"/>
      <c r="BD410" s="516"/>
      <c r="BE410" s="222"/>
      <c r="BF410" s="222"/>
      <c r="BG410" s="222"/>
      <c r="BH410" s="222"/>
      <c r="BI410" s="516"/>
      <c r="BJ410" s="222"/>
      <c r="BK410" s="222"/>
      <c r="BL410" s="222"/>
      <c r="BM410" s="222"/>
      <c r="BN410" s="516"/>
      <c r="BO410" s="222"/>
      <c r="BP410" s="222"/>
      <c r="BQ410" s="222"/>
      <c r="BR410" s="222"/>
      <c r="BS410" s="517"/>
      <c r="BT410" s="518" t="str">
        <f ca="1">IFERROR(VLOOKUP($A410,tb_ConsensusEstimate,MATCH(BT$5,OFFSET(tb_ConsensusEstimate,0,0,1,COLUMNS(tb_ConsensusEstimate)),0),FALSE),"-")</f>
        <v>-</v>
      </c>
      <c r="BU410" s="518" t="str">
        <f ca="1">IFERROR(VLOOKUP($A410,tb_ConsensusEstimate,MATCH(BU$5,OFFSET(tb_ConsensusEstimate,0,0,1,COLUMNS(tb_ConsensusEstimate)),0),FALSE),"-")</f>
        <v>-</v>
      </c>
      <c r="BV410" s="518" t="str">
        <f ca="1">IFERROR(VLOOKUP($A410,tb_ConsensusEstimate,MATCH(BV$5,OFFSET(tb_ConsensusEstimate,0,0,1,COLUMNS(tb_ConsensusEstimate)),0),FALSE),"-")</f>
        <v>-</v>
      </c>
      <c r="BW410" s="518" t="str">
        <f ca="1">IFERROR(VLOOKUP($A410,tb_ConsensusEstimate,MATCH(BW$5,OFFSET(tb_ConsensusEstimate,0,0,1,COLUMNS(tb_ConsensusEstimate)),0),FALSE),"-")</f>
        <v>-</v>
      </c>
      <c r="BX410" s="519" t="str">
        <f ca="1">IFERROR(VLOOKUP($A410,tb_ConsensusEstimate,MATCH(BX$5,OFFSET(tb_ConsensusEstimate,0,0,1,COLUMNS(tb_ConsensusEstimate)),0),FALSE),"-")</f>
        <v>-</v>
      </c>
      <c r="BY410" s="518" t="str">
        <f ca="1">IFERROR(VLOOKUP($A410,tb_ConsensusEstimate,MATCH(BY$5,OFFSET(tb_ConsensusEstimate,0,0,1,COLUMNS(tb_ConsensusEstimate)),0),FALSE),"-")</f>
        <v>-</v>
      </c>
      <c r="BZ410" s="518" t="str">
        <f ca="1">IFERROR(VLOOKUP($A410,tb_ConsensusEstimate,MATCH(BZ$5,OFFSET(tb_ConsensusEstimate,0,0,1,COLUMNS(tb_ConsensusEstimate)),0),FALSE),"-")</f>
        <v>-</v>
      </c>
      <c r="CA410" s="518" t="str">
        <f ca="1">IFERROR(VLOOKUP($A410,tb_ConsensusEstimate,MATCH(CA$5,OFFSET(tb_ConsensusEstimate,0,0,1,COLUMNS(tb_ConsensusEstimate)),0),FALSE),"-")</f>
        <v>-</v>
      </c>
      <c r="CB410" s="518" t="str">
        <f ca="1">IFERROR(VLOOKUP($A410,tb_ConsensusEstimate,MATCH(CB$5,OFFSET(tb_ConsensusEstimate,0,0,1,COLUMNS(tb_ConsensusEstimate)),0),FALSE),"-")</f>
        <v>-</v>
      </c>
      <c r="CC410" s="519" t="str">
        <f ca="1">IFERROR(VLOOKUP($A410,tb_ConsensusEstimate,MATCH(CC$5,OFFSET(tb_ConsensusEstimate,0,0,1,COLUMNS(tb_ConsensusEstimate)),0),FALSE),"-")</f>
        <v>-</v>
      </c>
      <c r="CD410" s="519" t="str">
        <f ca="1">IFERROR(VLOOKUP($A410,tb_ConsensusEstimate,MATCH(CD$5,OFFSET(tb_ConsensusEstimate,0,0,1,COLUMNS(tb_ConsensusEstimate)),0),FALSE),"-")</f>
        <v>-</v>
      </c>
      <c r="CE410" s="519" t="str">
        <f ca="1">IFERROR(VLOOKUP($A410,tb_ConsensusEstimate,MATCH(CE$5,OFFSET(tb_ConsensusEstimate,0,0,1,COLUMNS(tb_ConsensusEstimate)),0),FALSE),"-")</f>
        <v>-</v>
      </c>
      <c r="CF410" s="519" t="str">
        <f ca="1">IFERROR(VLOOKUP($A410,tb_ConsensusEstimate,MATCH(CF$5,OFFSET(tb_ConsensusEstimate,0,0,1,COLUMNS(tb_ConsensusEstimate)),0),FALSE),"-")</f>
        <v>-</v>
      </c>
      <c r="CG410" s="109"/>
    </row>
    <row r="411" spans="1:85" ht="14.45" customHeight="1" x14ac:dyDescent="0.25">
      <c r="A411" s="189"/>
      <c r="B411" s="180"/>
      <c r="C411" s="413"/>
      <c r="D411" s="413"/>
      <c r="E411" s="413"/>
      <c r="F411" s="413"/>
      <c r="G411" s="63"/>
      <c r="H411" s="63"/>
      <c r="I411" s="63"/>
      <c r="J411" s="63"/>
      <c r="K411" s="413"/>
      <c r="L411" s="63"/>
      <c r="M411" s="63"/>
      <c r="N411" s="63"/>
      <c r="O411" s="63"/>
      <c r="P411" s="413"/>
      <c r="Q411" s="63"/>
      <c r="R411" s="63"/>
      <c r="S411" s="63"/>
      <c r="T411" s="63"/>
      <c r="U411" s="413"/>
      <c r="V411" s="63"/>
      <c r="W411" s="63"/>
      <c r="X411" s="63"/>
      <c r="Y411" s="63"/>
      <c r="Z411" s="413"/>
      <c r="AA411" s="63"/>
      <c r="AB411" s="63"/>
      <c r="AC411" s="63"/>
      <c r="AD411" s="63"/>
      <c r="AE411" s="413"/>
      <c r="AF411" s="63"/>
      <c r="AG411" s="63"/>
      <c r="AH411" s="63"/>
      <c r="AI411" s="63"/>
      <c r="AJ411" s="413"/>
      <c r="AK411" s="63"/>
      <c r="AL411" s="63"/>
      <c r="AM411" s="63"/>
      <c r="AN411" s="63"/>
      <c r="AO411" s="413"/>
      <c r="AP411" s="63"/>
      <c r="AQ411" s="63"/>
      <c r="AR411" s="63"/>
      <c r="AS411" s="63"/>
      <c r="AT411" s="413"/>
      <c r="AU411" s="63"/>
      <c r="AV411" s="63"/>
      <c r="AW411" s="63"/>
      <c r="AX411" s="63"/>
      <c r="AY411" s="413"/>
      <c r="AZ411" s="63"/>
      <c r="BA411" s="63"/>
      <c r="BB411" s="63"/>
      <c r="BC411" s="63"/>
      <c r="BD411" s="413"/>
      <c r="BE411" s="63"/>
      <c r="BF411" s="63"/>
      <c r="BG411" s="63"/>
      <c r="BH411" s="63"/>
      <c r="BI411" s="413"/>
      <c r="BJ411" s="63"/>
      <c r="BK411" s="63"/>
      <c r="BL411" s="63"/>
      <c r="BM411" s="63"/>
      <c r="BN411" s="413"/>
      <c r="BO411" s="63"/>
      <c r="BP411" s="63"/>
      <c r="BQ411" s="63"/>
      <c r="BR411" s="63"/>
      <c r="BS411" s="425"/>
      <c r="BT411" s="63"/>
      <c r="BU411" s="63"/>
      <c r="BV411" s="63"/>
      <c r="BW411" s="63"/>
      <c r="BX411" s="413"/>
      <c r="BY411" s="63"/>
      <c r="BZ411" s="63"/>
      <c r="CA411" s="63"/>
      <c r="CB411" s="63"/>
      <c r="CC411" s="413"/>
      <c r="CD411" s="413"/>
      <c r="CE411" s="413"/>
      <c r="CF411" s="413"/>
      <c r="CG411" s="99"/>
    </row>
    <row r="412" spans="1:85" ht="14.45" customHeight="1" x14ac:dyDescent="0.25">
      <c r="A412" s="189" t="s">
        <v>477</v>
      </c>
      <c r="B412" s="180"/>
      <c r="C412" s="413">
        <f t="shared" ref="C412:AH412" si="242">C636</f>
        <v>60.454999999999998</v>
      </c>
      <c r="D412" s="413">
        <f t="shared" si="242"/>
        <v>58.671999999999997</v>
      </c>
      <c r="E412" s="413">
        <f t="shared" si="242"/>
        <v>61.686</v>
      </c>
      <c r="F412" s="413">
        <f t="shared" si="242"/>
        <v>61.167999999999999</v>
      </c>
      <c r="G412" s="63">
        <f t="shared" si="242"/>
        <v>14.555999999999999</v>
      </c>
      <c r="H412" s="63">
        <f t="shared" si="242"/>
        <v>14.333</v>
      </c>
      <c r="I412" s="63">
        <f t="shared" si="242"/>
        <v>14.766000000000002</v>
      </c>
      <c r="J412" s="63">
        <f t="shared" si="242"/>
        <v>14.683</v>
      </c>
      <c r="K412" s="413">
        <f t="shared" si="242"/>
        <v>58.338000000000001</v>
      </c>
      <c r="L412" s="63">
        <f t="shared" si="242"/>
        <v>14.486000000000001</v>
      </c>
      <c r="M412" s="63">
        <f t="shared" si="242"/>
        <v>14.759</v>
      </c>
      <c r="N412" s="63">
        <f t="shared" si="242"/>
        <v>15.112999999999996</v>
      </c>
      <c r="O412" s="63">
        <f t="shared" si="242"/>
        <v>16.039000000000001</v>
      </c>
      <c r="P412" s="413">
        <f t="shared" si="242"/>
        <v>60.396999999999998</v>
      </c>
      <c r="Q412" s="63">
        <f t="shared" si="242"/>
        <v>17.065000000000001</v>
      </c>
      <c r="R412" s="63">
        <f t="shared" si="242"/>
        <v>18.928999999999998</v>
      </c>
      <c r="S412" s="63">
        <f t="shared" si="242"/>
        <v>20.305</v>
      </c>
      <c r="T412" s="63">
        <f t="shared" si="242"/>
        <v>21.797000000000004</v>
      </c>
      <c r="U412" s="413">
        <f t="shared" si="242"/>
        <v>78.096000000000004</v>
      </c>
      <c r="V412" s="63">
        <f t="shared" si="242"/>
        <v>23.363</v>
      </c>
      <c r="W412" s="63">
        <f t="shared" si="242"/>
        <v>26.539000000000001</v>
      </c>
      <c r="X412" s="63">
        <f t="shared" si="242"/>
        <v>29.997</v>
      </c>
      <c r="Y412" s="63">
        <f t="shared" si="242"/>
        <v>31.713999999999999</v>
      </c>
      <c r="Z412" s="413">
        <f t="shared" si="242"/>
        <v>111.613</v>
      </c>
      <c r="AA412" s="63">
        <f t="shared" si="242"/>
        <v>32.987000000000002</v>
      </c>
      <c r="AB412" s="63">
        <f t="shared" si="242"/>
        <v>37.342999999999996</v>
      </c>
      <c r="AC412" s="63">
        <f t="shared" si="242"/>
        <v>38.367000000000004</v>
      </c>
      <c r="AD412" s="63">
        <f t="shared" si="242"/>
        <v>41.724999999999994</v>
      </c>
      <c r="AE412" s="413">
        <f t="shared" si="242"/>
        <v>150.422</v>
      </c>
      <c r="AF412" s="63">
        <f t="shared" si="242"/>
        <v>41.572000000000003</v>
      </c>
      <c r="AG412" s="63">
        <f t="shared" si="242"/>
        <v>41.085999999999999</v>
      </c>
      <c r="AH412" s="63">
        <f t="shared" si="242"/>
        <v>40.884</v>
      </c>
      <c r="AI412" s="63">
        <f t="shared" ref="AI412:BS412" si="243">AI636</f>
        <v>40.960000000000008</v>
      </c>
      <c r="AJ412" s="413">
        <f t="shared" si="243"/>
        <v>164.50200000000001</v>
      </c>
      <c r="AK412" s="63">
        <f t="shared" si="243"/>
        <v>39.978999999999999</v>
      </c>
      <c r="AL412" s="63">
        <f t="shared" si="243"/>
        <v>39.337000000000003</v>
      </c>
      <c r="AM412" s="63">
        <f t="shared" si="243"/>
        <v>39.828999999999994</v>
      </c>
      <c r="AN412" s="63">
        <f t="shared" si="243"/>
        <v>37.741</v>
      </c>
      <c r="AO412" s="413">
        <f t="shared" si="243"/>
        <v>156.886</v>
      </c>
      <c r="AP412" s="63">
        <f t="shared" si="243"/>
        <v>37.798999999999999</v>
      </c>
      <c r="AQ412" s="63">
        <f t="shared" si="243"/>
        <v>37.079000000000001</v>
      </c>
      <c r="AR412" s="63">
        <f t="shared" si="243"/>
        <v>42.325000000000003</v>
      </c>
      <c r="AS412" s="63">
        <f t="shared" si="243"/>
        <v>38.733000000000004</v>
      </c>
      <c r="AT412" s="413">
        <f t="shared" si="243"/>
        <v>155.93600000000001</v>
      </c>
      <c r="AU412" s="63">
        <f t="shared" si="243"/>
        <v>37.716000000000001</v>
      </c>
      <c r="AV412" s="63">
        <f t="shared" si="243"/>
        <v>38.547999999999995</v>
      </c>
      <c r="AW412" s="63">
        <f t="shared" si="243"/>
        <v>41.646000000000001</v>
      </c>
      <c r="AX412" s="63">
        <f t="shared" si="243"/>
        <v>39.409999999999997</v>
      </c>
      <c r="AY412" s="413">
        <f t="shared" si="243"/>
        <v>157.32</v>
      </c>
      <c r="AZ412" s="63">
        <f t="shared" si="243"/>
        <v>37.360999999999997</v>
      </c>
      <c r="BA412" s="63">
        <f t="shared" si="243"/>
        <v>36.676000000000009</v>
      </c>
      <c r="BB412" s="63">
        <f t="shared" si="243"/>
        <v>36.623999999999995</v>
      </c>
      <c r="BC412" s="63">
        <f t="shared" si="243"/>
        <v>37.300999999999988</v>
      </c>
      <c r="BD412" s="413">
        <f t="shared" si="243"/>
        <v>147.96199999999999</v>
      </c>
      <c r="BE412" s="63">
        <f t="shared" si="243"/>
        <v>37.600999999999999</v>
      </c>
      <c r="BF412" s="63">
        <f t="shared" si="243"/>
        <v>37.814000000000007</v>
      </c>
      <c r="BG412" s="63">
        <f t="shared" si="243"/>
        <v>38.248999999999995</v>
      </c>
      <c r="BH412" s="63">
        <f t="shared" si="243"/>
        <v>39.808000000000007</v>
      </c>
      <c r="BI412" s="413">
        <f t="shared" si="243"/>
        <v>153.47200000000001</v>
      </c>
      <c r="BJ412" s="63">
        <f t="shared" si="243"/>
        <v>40.887999999999998</v>
      </c>
      <c r="BK412" s="63">
        <f t="shared" si="243"/>
        <v>41.795999999999999</v>
      </c>
      <c r="BL412" s="63">
        <f t="shared" si="243"/>
        <v>42.909000000000006</v>
      </c>
      <c r="BM412" s="63">
        <f t="shared" si="243"/>
        <v>44.749999999999986</v>
      </c>
      <c r="BN412" s="413">
        <f t="shared" si="243"/>
        <v>170.34299999999999</v>
      </c>
      <c r="BO412" s="63">
        <f t="shared" si="243"/>
        <v>47.511000000000003</v>
      </c>
      <c r="BP412" s="63">
        <f t="shared" si="243"/>
        <v>48.901999999999994</v>
      </c>
      <c r="BQ412" s="63">
        <f t="shared" si="243"/>
        <v>49.224000000000004</v>
      </c>
      <c r="BR412" s="63">
        <f t="shared" si="243"/>
        <v>49.443999999999988</v>
      </c>
      <c r="BS412" s="425">
        <f t="shared" si="243"/>
        <v>195.08099999999999</v>
      </c>
      <c r="BT412" s="63">
        <f>-BT732</f>
        <v>50.006525684931503</v>
      </c>
      <c r="BU412" s="63">
        <f>-BU732</f>
        <v>50.785431905024389</v>
      </c>
      <c r="BV412" s="63">
        <f>-BV732</f>
        <v>51.540063992915755</v>
      </c>
      <c r="BW412" s="63">
        <f>-BW732</f>
        <v>52.845586991224593</v>
      </c>
      <c r="BX412" s="413">
        <f>SUM(BT412,BU412,BV412,BW412)</f>
        <v>205.17760857409624</v>
      </c>
      <c r="BY412" s="63">
        <f>-BY732</f>
        <v>52.961607061560699</v>
      </c>
      <c r="BZ412" s="63">
        <f>-BZ732</f>
        <v>53.64841999217645</v>
      </c>
      <c r="CA412" s="63">
        <f>-CA732</f>
        <v>54.313828821187379</v>
      </c>
      <c r="CB412" s="63">
        <f>-CB732</f>
        <v>55.562440161195234</v>
      </c>
      <c r="CC412" s="413">
        <f>SUM(BY412,BZ412,CA412,CB412)</f>
        <v>216.48629603611977</v>
      </c>
      <c r="CD412" s="413">
        <f>-CD732</f>
        <v>227.91129463609894</v>
      </c>
      <c r="CE412" s="413">
        <f>-CE732</f>
        <v>237.12631032596676</v>
      </c>
      <c r="CF412" s="413">
        <f>-CF732</f>
        <v>245.16338123605451</v>
      </c>
      <c r="CG412" s="99"/>
    </row>
    <row r="413" spans="1:85" ht="14.45" customHeight="1" x14ac:dyDescent="0.25">
      <c r="A413" s="189" t="s">
        <v>478</v>
      </c>
      <c r="B413" s="180"/>
      <c r="C413" s="413">
        <f t="shared" ref="C413:AH413" si="244">C637</f>
        <v>0.56000000000000005</v>
      </c>
      <c r="D413" s="413">
        <f t="shared" si="244"/>
        <v>0.48899999999999999</v>
      </c>
      <c r="E413" s="413">
        <f t="shared" si="244"/>
        <v>0.432</v>
      </c>
      <c r="F413" s="413">
        <f t="shared" si="244"/>
        <v>0.41599999999999998</v>
      </c>
      <c r="G413" s="63">
        <f t="shared" si="244"/>
        <v>8.4000000000000005E-2</v>
      </c>
      <c r="H413" s="63">
        <f t="shared" si="244"/>
        <v>8.2000000000000003E-2</v>
      </c>
      <c r="I413" s="63">
        <f t="shared" si="244"/>
        <v>8.3999999999999991E-2</v>
      </c>
      <c r="J413" s="63">
        <f t="shared" si="244"/>
        <v>8.3000000000000018E-2</v>
      </c>
      <c r="K413" s="413">
        <f t="shared" si="244"/>
        <v>0.33300000000000002</v>
      </c>
      <c r="L413" s="63">
        <f t="shared" si="244"/>
        <v>8.3000000000000004E-2</v>
      </c>
      <c r="M413" s="63">
        <f t="shared" si="244"/>
        <v>0.115</v>
      </c>
      <c r="N413" s="63">
        <f t="shared" si="244"/>
        <v>0.17899999999999999</v>
      </c>
      <c r="O413" s="63">
        <f t="shared" si="244"/>
        <v>0.35599999999999998</v>
      </c>
      <c r="P413" s="413">
        <f t="shared" si="244"/>
        <v>0.73299999999999998</v>
      </c>
      <c r="Q413" s="63">
        <f t="shared" si="244"/>
        <v>0.59199999999999997</v>
      </c>
      <c r="R413" s="63">
        <f t="shared" si="244"/>
        <v>0.78799999999999992</v>
      </c>
      <c r="S413" s="63">
        <f t="shared" si="244"/>
        <v>0.73</v>
      </c>
      <c r="T413" s="63">
        <f t="shared" si="244"/>
        <v>0.69</v>
      </c>
      <c r="U413" s="413">
        <f t="shared" si="244"/>
        <v>2.8</v>
      </c>
      <c r="V413" s="63">
        <f t="shared" si="244"/>
        <v>1.026</v>
      </c>
      <c r="W413" s="63">
        <f t="shared" si="244"/>
        <v>1.401</v>
      </c>
      <c r="X413" s="63">
        <f t="shared" si="244"/>
        <v>1.06</v>
      </c>
      <c r="Y413" s="63">
        <f t="shared" si="244"/>
        <v>1.5229999999999997</v>
      </c>
      <c r="Z413" s="413">
        <f t="shared" si="244"/>
        <v>5.01</v>
      </c>
      <c r="AA413" s="63">
        <f t="shared" si="244"/>
        <v>1.994</v>
      </c>
      <c r="AB413" s="63">
        <f t="shared" si="244"/>
        <v>4.7229999999999999</v>
      </c>
      <c r="AC413" s="63">
        <f t="shared" si="244"/>
        <v>4.8790000000000004</v>
      </c>
      <c r="AD413" s="63">
        <f t="shared" si="244"/>
        <v>6.8230000000000004</v>
      </c>
      <c r="AE413" s="413">
        <f t="shared" si="244"/>
        <v>18.419</v>
      </c>
      <c r="AF413" s="63">
        <f t="shared" si="244"/>
        <v>5.6479999999999997</v>
      </c>
      <c r="AG413" s="63">
        <f t="shared" si="244"/>
        <v>5.6010000000000009</v>
      </c>
      <c r="AH413" s="63">
        <f t="shared" si="244"/>
        <v>5.7050000000000001</v>
      </c>
      <c r="AI413" s="63">
        <f t="shared" ref="AI413:BS413" si="245">AI637</f>
        <v>5.8000000000000007</v>
      </c>
      <c r="AJ413" s="413">
        <f t="shared" si="245"/>
        <v>22.754000000000001</v>
      </c>
      <c r="AK413" s="63">
        <f t="shared" si="245"/>
        <v>5.7930000000000001</v>
      </c>
      <c r="AL413" s="63">
        <f t="shared" si="245"/>
        <v>5.7190000000000003</v>
      </c>
      <c r="AM413" s="63">
        <f t="shared" si="245"/>
        <v>5.7590000000000003</v>
      </c>
      <c r="AN413" s="63">
        <f t="shared" si="245"/>
        <v>5.7590000000000003</v>
      </c>
      <c r="AO413" s="413">
        <f t="shared" si="245"/>
        <v>23.03</v>
      </c>
      <c r="AP413" s="63">
        <f t="shared" si="245"/>
        <v>5.76</v>
      </c>
      <c r="AQ413" s="63">
        <f t="shared" si="245"/>
        <v>5.7580000000000009</v>
      </c>
      <c r="AR413" s="63">
        <f t="shared" si="245"/>
        <v>5.7680000000000007</v>
      </c>
      <c r="AS413" s="63">
        <f t="shared" si="245"/>
        <v>5.7949999999999982</v>
      </c>
      <c r="AT413" s="413">
        <f t="shared" si="245"/>
        <v>23.081</v>
      </c>
      <c r="AU413" s="63">
        <f t="shared" si="245"/>
        <v>5.81</v>
      </c>
      <c r="AV413" s="63">
        <f t="shared" si="245"/>
        <v>5.8090000000000002</v>
      </c>
      <c r="AW413" s="63">
        <f t="shared" si="245"/>
        <v>5.8120000000000012</v>
      </c>
      <c r="AX413" s="63">
        <f t="shared" si="245"/>
        <v>5.8140000000000001</v>
      </c>
      <c r="AY413" s="413">
        <f t="shared" si="245"/>
        <v>23.245000000000001</v>
      </c>
      <c r="AZ413" s="63">
        <f t="shared" si="245"/>
        <v>5.9080000000000004</v>
      </c>
      <c r="BA413" s="63">
        <f t="shared" si="245"/>
        <v>5.9069999999999991</v>
      </c>
      <c r="BB413" s="63">
        <f t="shared" si="245"/>
        <v>5.9070000000000018</v>
      </c>
      <c r="BC413" s="63">
        <f t="shared" si="245"/>
        <v>5.9059999999999988</v>
      </c>
      <c r="BD413" s="413">
        <f t="shared" si="245"/>
        <v>23.628</v>
      </c>
      <c r="BE413" s="63">
        <f t="shared" si="245"/>
        <v>5.9080000000000004</v>
      </c>
      <c r="BF413" s="63">
        <f t="shared" si="245"/>
        <v>5.8619999999999992</v>
      </c>
      <c r="BG413" s="63">
        <f t="shared" si="245"/>
        <v>5.8620000000000019</v>
      </c>
      <c r="BH413" s="63">
        <f t="shared" si="245"/>
        <v>5.8619999999999983</v>
      </c>
      <c r="BI413" s="413">
        <f t="shared" si="245"/>
        <v>23.494</v>
      </c>
      <c r="BJ413" s="63">
        <f t="shared" si="245"/>
        <v>5.8630000000000004</v>
      </c>
      <c r="BK413" s="63">
        <f t="shared" si="245"/>
        <v>5.8619999999999992</v>
      </c>
      <c r="BL413" s="63">
        <f t="shared" si="245"/>
        <v>5.8609999999999989</v>
      </c>
      <c r="BM413" s="63">
        <f t="shared" si="245"/>
        <v>5.8620000000000019</v>
      </c>
      <c r="BN413" s="413">
        <f t="shared" si="245"/>
        <v>23.448</v>
      </c>
      <c r="BO413" s="63">
        <f t="shared" si="245"/>
        <v>5.8620000000000001</v>
      </c>
      <c r="BP413" s="63">
        <f t="shared" si="245"/>
        <v>5.8629999999999995</v>
      </c>
      <c r="BQ413" s="63">
        <f t="shared" si="245"/>
        <v>5.8620000000000001</v>
      </c>
      <c r="BR413" s="63">
        <f t="shared" si="245"/>
        <v>5.8620000000000019</v>
      </c>
      <c r="BS413" s="425">
        <f t="shared" si="245"/>
        <v>23.449000000000002</v>
      </c>
      <c r="BT413" s="63">
        <f>-BT738</f>
        <v>5.3865208657534245</v>
      </c>
      <c r="BU413" s="63">
        <f>-BU738</f>
        <v>5.348918522833042</v>
      </c>
      <c r="BV413" s="63">
        <f>-BV738</f>
        <v>5.3115786751722789</v>
      </c>
      <c r="BW413" s="63">
        <f>-BW738</f>
        <v>5.3324610231993352</v>
      </c>
      <c r="BX413" s="413">
        <f>SUM(BT413,BU413,BV413,BW413)</f>
        <v>21.379479086958082</v>
      </c>
      <c r="BY413" s="63">
        <f>-BY738</f>
        <v>5.2372745295518648</v>
      </c>
      <c r="BZ413" s="63">
        <f>-BZ738</f>
        <v>5.2007140487263905</v>
      </c>
      <c r="CA413" s="63">
        <f>-CA738</f>
        <v>5.1644087901067879</v>
      </c>
      <c r="CB413" s="63">
        <f>-CB738</f>
        <v>5.1847125431535233</v>
      </c>
      <c r="CC413" s="413">
        <f>SUM(BY413,BZ413,CA413,CB413)</f>
        <v>20.787109911538565</v>
      </c>
      <c r="CD413" s="413">
        <f>-CD738</f>
        <v>20.424611508042094</v>
      </c>
      <c r="CE413" s="413">
        <f>-CE738</f>
        <v>19.852722385816914</v>
      </c>
      <c r="CF413" s="413">
        <f>-CF738</f>
        <v>19.296846159014041</v>
      </c>
      <c r="CG413" s="99"/>
    </row>
    <row r="414" spans="1:85" ht="14.45" customHeight="1" x14ac:dyDescent="0.25">
      <c r="A414" s="130" t="s">
        <v>479</v>
      </c>
      <c r="B414" s="190"/>
      <c r="C414" s="520">
        <f t="shared" ref="C414:AH414" si="246">C649</f>
        <v>2.161</v>
      </c>
      <c r="D414" s="520">
        <f t="shared" si="246"/>
        <v>2.2229999999999999</v>
      </c>
      <c r="E414" s="520">
        <f t="shared" si="246"/>
        <v>2.3420000000000001</v>
      </c>
      <c r="F414" s="520">
        <f t="shared" si="246"/>
        <v>2.6230000000000002</v>
      </c>
      <c r="G414" s="103">
        <f t="shared" si="246"/>
        <v>0.60299999999999998</v>
      </c>
      <c r="H414" s="103">
        <f t="shared" si="246"/>
        <v>0.62000000000000011</v>
      </c>
      <c r="I414" s="103">
        <f t="shared" si="246"/>
        <v>0.67799999999999994</v>
      </c>
      <c r="J414" s="103">
        <f t="shared" si="246"/>
        <v>1.018</v>
      </c>
      <c r="K414" s="520">
        <f t="shared" si="246"/>
        <v>2.919</v>
      </c>
      <c r="L414" s="103">
        <f t="shared" si="246"/>
        <v>0.85299999999999998</v>
      </c>
      <c r="M414" s="103">
        <f t="shared" si="246"/>
        <v>0.63800000000000012</v>
      </c>
      <c r="N414" s="103">
        <f t="shared" si="246"/>
        <v>0.78099999999999969</v>
      </c>
      <c r="O414" s="103">
        <f t="shared" si="246"/>
        <v>1.27</v>
      </c>
      <c r="P414" s="520">
        <f t="shared" si="246"/>
        <v>3.5419999999999998</v>
      </c>
      <c r="Q414" s="103">
        <f t="shared" si="246"/>
        <v>1.1160000000000001</v>
      </c>
      <c r="R414" s="103">
        <f t="shared" si="246"/>
        <v>1.8639999999999999</v>
      </c>
      <c r="S414" s="103">
        <f t="shared" si="246"/>
        <v>2.6940000000000004</v>
      </c>
      <c r="T414" s="103">
        <f t="shared" si="246"/>
        <v>1.6259999999999994</v>
      </c>
      <c r="U414" s="520">
        <f t="shared" si="246"/>
        <v>7.3</v>
      </c>
      <c r="V414" s="103">
        <f t="shared" si="246"/>
        <v>1.627</v>
      </c>
      <c r="W414" s="103">
        <f t="shared" si="246"/>
        <v>1.2689999999999999</v>
      </c>
      <c r="X414" s="103">
        <f t="shared" si="246"/>
        <v>1.5490000000000004</v>
      </c>
      <c r="Y414" s="103">
        <f t="shared" si="246"/>
        <v>2.7089999999999996</v>
      </c>
      <c r="Z414" s="520">
        <f t="shared" si="246"/>
        <v>7.1539999999999999</v>
      </c>
      <c r="AA414" s="103">
        <f t="shared" si="246"/>
        <v>2.06</v>
      </c>
      <c r="AB414" s="103">
        <f t="shared" si="246"/>
        <v>2.5169999999999999</v>
      </c>
      <c r="AC414" s="103">
        <f t="shared" si="246"/>
        <v>1.8959999999999999</v>
      </c>
      <c r="AD414" s="103">
        <f t="shared" si="246"/>
        <v>1.4489999999999998</v>
      </c>
      <c r="AE414" s="520">
        <f t="shared" si="246"/>
        <v>7.9219999999999997</v>
      </c>
      <c r="AF414" s="103">
        <f t="shared" si="246"/>
        <v>0.752</v>
      </c>
      <c r="AG414" s="103">
        <f t="shared" si="246"/>
        <v>0.97599999999999998</v>
      </c>
      <c r="AH414" s="103">
        <f t="shared" si="246"/>
        <v>2.766</v>
      </c>
      <c r="AI414" s="103">
        <f t="shared" ref="AI414:BS414" si="247">AI649</f>
        <v>1.1120000000000001</v>
      </c>
      <c r="AJ414" s="520">
        <f t="shared" si="247"/>
        <v>5.6059999999999999</v>
      </c>
      <c r="AK414" s="103">
        <f t="shared" si="247"/>
        <v>2.0449999999999999</v>
      </c>
      <c r="AL414" s="103">
        <f t="shared" si="247"/>
        <v>0</v>
      </c>
      <c r="AM414" s="103">
        <f t="shared" si="247"/>
        <v>0</v>
      </c>
      <c r="AN414" s="103">
        <f t="shared" si="247"/>
        <v>0</v>
      </c>
      <c r="AO414" s="520">
        <f t="shared" si="247"/>
        <v>2.0449999999999999</v>
      </c>
      <c r="AP414" s="103">
        <f t="shared" si="247"/>
        <v>0</v>
      </c>
      <c r="AQ414" s="103">
        <f t="shared" si="247"/>
        <v>0</v>
      </c>
      <c r="AR414" s="103">
        <f t="shared" si="247"/>
        <v>0</v>
      </c>
      <c r="AS414" s="103">
        <f t="shared" si="247"/>
        <v>0</v>
      </c>
      <c r="AT414" s="520">
        <f t="shared" si="247"/>
        <v>0</v>
      </c>
      <c r="AU414" s="103">
        <f t="shared" si="247"/>
        <v>0</v>
      </c>
      <c r="AV414" s="103">
        <f t="shared" si="247"/>
        <v>0</v>
      </c>
      <c r="AW414" s="103">
        <f t="shared" si="247"/>
        <v>0</v>
      </c>
      <c r="AX414" s="103">
        <f t="shared" si="247"/>
        <v>0</v>
      </c>
      <c r="AY414" s="520">
        <f t="shared" si="247"/>
        <v>0</v>
      </c>
      <c r="AZ414" s="103">
        <f t="shared" si="247"/>
        <v>0</v>
      </c>
      <c r="BA414" s="103">
        <f t="shared" si="247"/>
        <v>0</v>
      </c>
      <c r="BB414" s="103">
        <f t="shared" si="247"/>
        <v>0</v>
      </c>
      <c r="BC414" s="103">
        <f t="shared" si="247"/>
        <v>0</v>
      </c>
      <c r="BD414" s="520">
        <f t="shared" si="247"/>
        <v>0</v>
      </c>
      <c r="BE414" s="103">
        <f t="shared" si="247"/>
        <v>0</v>
      </c>
      <c r="BF414" s="103">
        <f t="shared" si="247"/>
        <v>0</v>
      </c>
      <c r="BG414" s="103">
        <f t="shared" si="247"/>
        <v>0</v>
      </c>
      <c r="BH414" s="103">
        <f t="shared" si="247"/>
        <v>0</v>
      </c>
      <c r="BI414" s="520">
        <f t="shared" si="247"/>
        <v>0</v>
      </c>
      <c r="BJ414" s="103">
        <f t="shared" si="247"/>
        <v>0</v>
      </c>
      <c r="BK414" s="103">
        <f t="shared" si="247"/>
        <v>0</v>
      </c>
      <c r="BL414" s="103">
        <f t="shared" si="247"/>
        <v>0</v>
      </c>
      <c r="BM414" s="103">
        <f t="shared" si="247"/>
        <v>0</v>
      </c>
      <c r="BN414" s="520">
        <f t="shared" si="247"/>
        <v>0</v>
      </c>
      <c r="BO414" s="103">
        <f t="shared" si="247"/>
        <v>0</v>
      </c>
      <c r="BP414" s="103">
        <f t="shared" si="247"/>
        <v>0</v>
      </c>
      <c r="BQ414" s="103">
        <f t="shared" si="247"/>
        <v>0</v>
      </c>
      <c r="BR414" s="103">
        <f t="shared" si="247"/>
        <v>0</v>
      </c>
      <c r="BS414" s="521">
        <f t="shared" si="247"/>
        <v>0</v>
      </c>
      <c r="BT414" s="102">
        <v>0</v>
      </c>
      <c r="BU414" s="102">
        <v>0</v>
      </c>
      <c r="BV414" s="102">
        <v>0</v>
      </c>
      <c r="BW414" s="102">
        <v>0</v>
      </c>
      <c r="BX414" s="415">
        <f>SUM(BT414,BU414,BV414,BW414)</f>
        <v>0</v>
      </c>
      <c r="BY414" s="102">
        <v>0</v>
      </c>
      <c r="BZ414" s="102">
        <v>0</v>
      </c>
      <c r="CA414" s="102">
        <v>0</v>
      </c>
      <c r="CB414" s="102">
        <v>0</v>
      </c>
      <c r="CC414" s="415">
        <f>SUM(BY414,BZ414,CA414,CB414)</f>
        <v>0</v>
      </c>
      <c r="CD414" s="414">
        <v>0</v>
      </c>
      <c r="CE414" s="414">
        <v>0</v>
      </c>
      <c r="CF414" s="414">
        <v>0</v>
      </c>
      <c r="CG414" s="99"/>
    </row>
    <row r="415" spans="1:85" ht="14.45" customHeight="1" x14ac:dyDescent="0.25">
      <c r="A415" s="110" t="s">
        <v>22</v>
      </c>
      <c r="B415" s="212"/>
      <c r="C415" s="416">
        <f t="shared" ref="C415:AH415" si="248">C408+SUM(C412:C414)</f>
        <v>157.67900000000014</v>
      </c>
      <c r="D415" s="416">
        <f t="shared" si="248"/>
        <v>157.70199999999986</v>
      </c>
      <c r="E415" s="416">
        <f t="shared" si="248"/>
        <v>151.99000000000009</v>
      </c>
      <c r="F415" s="416">
        <f t="shared" si="248"/>
        <v>152.89299999999992</v>
      </c>
      <c r="G415" s="106">
        <f t="shared" si="248"/>
        <v>30.73099999999997</v>
      </c>
      <c r="H415" s="106">
        <f t="shared" si="248"/>
        <v>41.933999999999997</v>
      </c>
      <c r="I415" s="106">
        <f t="shared" si="248"/>
        <v>45.728000000000023</v>
      </c>
      <c r="J415" s="106">
        <f t="shared" si="248"/>
        <v>16.843999999999802</v>
      </c>
      <c r="K415" s="416">
        <f t="shared" si="248"/>
        <v>135.23699999999982</v>
      </c>
      <c r="L415" s="106">
        <f t="shared" si="248"/>
        <v>27.537999999999986</v>
      </c>
      <c r="M415" s="106">
        <f t="shared" si="248"/>
        <v>46.776000000000039</v>
      </c>
      <c r="N415" s="106">
        <f t="shared" si="248"/>
        <v>44.518999999999991</v>
      </c>
      <c r="O415" s="106">
        <f t="shared" si="248"/>
        <v>31.805999999999653</v>
      </c>
      <c r="P415" s="416">
        <f t="shared" si="248"/>
        <v>150.63899999999975</v>
      </c>
      <c r="Q415" s="106">
        <f t="shared" si="248"/>
        <v>35.674999999999983</v>
      </c>
      <c r="R415" s="106">
        <f t="shared" si="248"/>
        <v>59.897000000000006</v>
      </c>
      <c r="S415" s="106">
        <f t="shared" si="248"/>
        <v>51.414000000000058</v>
      </c>
      <c r="T415" s="106">
        <f t="shared" si="248"/>
        <v>39.354000000000219</v>
      </c>
      <c r="U415" s="416">
        <f t="shared" si="248"/>
        <v>186.34000000000012</v>
      </c>
      <c r="V415" s="106">
        <f t="shared" si="248"/>
        <v>38.417000000000009</v>
      </c>
      <c r="W415" s="106">
        <f t="shared" si="248"/>
        <v>83.944999999999993</v>
      </c>
      <c r="X415" s="106">
        <f t="shared" si="248"/>
        <v>72.407000000000039</v>
      </c>
      <c r="Y415" s="106">
        <f t="shared" si="248"/>
        <v>56.866999999999706</v>
      </c>
      <c r="Z415" s="416">
        <f t="shared" si="248"/>
        <v>251.63599999999991</v>
      </c>
      <c r="AA415" s="106">
        <f t="shared" si="248"/>
        <v>50.648999999999951</v>
      </c>
      <c r="AB415" s="106">
        <f t="shared" si="248"/>
        <v>91.895999999999873</v>
      </c>
      <c r="AC415" s="106">
        <f t="shared" si="248"/>
        <v>81.272000000000048</v>
      </c>
      <c r="AD415" s="106">
        <f t="shared" si="248"/>
        <v>49.124999999999467</v>
      </c>
      <c r="AE415" s="416">
        <f t="shared" si="248"/>
        <v>272.94199999999967</v>
      </c>
      <c r="AF415" s="106">
        <f t="shared" si="248"/>
        <v>28.975000000000101</v>
      </c>
      <c r="AG415" s="106">
        <f t="shared" si="248"/>
        <v>67.34199999999997</v>
      </c>
      <c r="AH415" s="106">
        <f t="shared" si="248"/>
        <v>93.758999999999872</v>
      </c>
      <c r="AI415" s="106">
        <f t="shared" ref="AI415:BN415" si="249">AI408+SUM(AI412:AI414)</f>
        <v>60.687999999999356</v>
      </c>
      <c r="AJ415" s="416">
        <f t="shared" si="249"/>
        <v>250.76399999999958</v>
      </c>
      <c r="AK415" s="106">
        <f t="shared" si="249"/>
        <v>67.971000000000004</v>
      </c>
      <c r="AL415" s="106">
        <f t="shared" si="249"/>
        <v>112.27000000000012</v>
      </c>
      <c r="AM415" s="106">
        <f t="shared" si="249"/>
        <v>99.434000000000054</v>
      </c>
      <c r="AN415" s="106">
        <f t="shared" si="249"/>
        <v>83.039999999999736</v>
      </c>
      <c r="AO415" s="416">
        <f t="shared" si="249"/>
        <v>362.71499999999992</v>
      </c>
      <c r="AP415" s="106">
        <f t="shared" si="249"/>
        <v>76.379999999999967</v>
      </c>
      <c r="AQ415" s="106">
        <f t="shared" si="249"/>
        <v>125.95499999999994</v>
      </c>
      <c r="AR415" s="106">
        <f t="shared" si="249"/>
        <v>151.9369999999999</v>
      </c>
      <c r="AS415" s="106">
        <f t="shared" si="249"/>
        <v>138.12300000000005</v>
      </c>
      <c r="AT415" s="416">
        <f t="shared" si="249"/>
        <v>492.39500000000015</v>
      </c>
      <c r="AU415" s="106">
        <f t="shared" si="249"/>
        <v>137.70999999999998</v>
      </c>
      <c r="AV415" s="106">
        <f t="shared" si="249"/>
        <v>165.21800000000005</v>
      </c>
      <c r="AW415" s="106">
        <f t="shared" si="249"/>
        <v>184.489</v>
      </c>
      <c r="AX415" s="106">
        <f t="shared" si="249"/>
        <v>132.31899999999979</v>
      </c>
      <c r="AY415" s="416">
        <f t="shared" si="249"/>
        <v>619.73599999999988</v>
      </c>
      <c r="AZ415" s="106">
        <f t="shared" si="249"/>
        <v>174.25399999999991</v>
      </c>
      <c r="BA415" s="106">
        <f t="shared" si="249"/>
        <v>189.87599999999989</v>
      </c>
      <c r="BB415" s="106">
        <f t="shared" si="249"/>
        <v>232.46099999999996</v>
      </c>
      <c r="BC415" s="106">
        <f t="shared" si="249"/>
        <v>216.04600000000016</v>
      </c>
      <c r="BD415" s="416">
        <f t="shared" si="249"/>
        <v>812.63700000000017</v>
      </c>
      <c r="BE415" s="106">
        <f t="shared" si="249"/>
        <v>249.5630000000001</v>
      </c>
      <c r="BF415" s="106">
        <f t="shared" si="249"/>
        <v>277.346</v>
      </c>
      <c r="BG415" s="106">
        <f t="shared" si="249"/>
        <v>260.37100000000015</v>
      </c>
      <c r="BH415" s="106">
        <f t="shared" si="249"/>
        <v>224.13700000000011</v>
      </c>
      <c r="BI415" s="416">
        <f t="shared" si="249"/>
        <v>1011.4170000000003</v>
      </c>
      <c r="BJ415" s="106">
        <f t="shared" si="249"/>
        <v>262.15699999999993</v>
      </c>
      <c r="BK415" s="106">
        <f t="shared" si="249"/>
        <v>306.79800000000006</v>
      </c>
      <c r="BL415" s="106">
        <f t="shared" si="249"/>
        <v>275.82500000000005</v>
      </c>
      <c r="BM415" s="106">
        <f t="shared" si="249"/>
        <v>269.36100000000067</v>
      </c>
      <c r="BN415" s="416">
        <f t="shared" si="249"/>
        <v>1114.1410000000001</v>
      </c>
      <c r="BO415" s="106">
        <f t="shared" ref="BO415:CF415" si="250">BO408+SUM(BO412:BO414)</f>
        <v>243.19300000000004</v>
      </c>
      <c r="BP415" s="106">
        <f t="shared" si="250"/>
        <v>326.8490000000001</v>
      </c>
      <c r="BQ415" s="106">
        <f t="shared" si="250"/>
        <v>301.72000000000008</v>
      </c>
      <c r="BR415" s="106">
        <f t="shared" si="250"/>
        <v>297.42399999999969</v>
      </c>
      <c r="BS415" s="417">
        <f t="shared" si="250"/>
        <v>1169.1860000000001</v>
      </c>
      <c r="BT415" s="159">
        <f t="shared" si="250"/>
        <v>246.7455048906848</v>
      </c>
      <c r="BU415" s="159">
        <f t="shared" si="250"/>
        <v>283.59202884785742</v>
      </c>
      <c r="BV415" s="159">
        <f t="shared" si="250"/>
        <v>292.76301208808798</v>
      </c>
      <c r="BW415" s="159">
        <f t="shared" si="250"/>
        <v>290.12653653442408</v>
      </c>
      <c r="BX415" s="418">
        <f t="shared" si="250"/>
        <v>1113.227082361054</v>
      </c>
      <c r="BY415" s="159">
        <f t="shared" si="250"/>
        <v>251.38122587561247</v>
      </c>
      <c r="BZ415" s="159">
        <f t="shared" si="250"/>
        <v>288.5160722374028</v>
      </c>
      <c r="CA415" s="159">
        <f t="shared" si="250"/>
        <v>297.72927616159416</v>
      </c>
      <c r="CB415" s="159">
        <f t="shared" si="250"/>
        <v>294.87844253894889</v>
      </c>
      <c r="CC415" s="418">
        <f t="shared" si="250"/>
        <v>1132.5050168135576</v>
      </c>
      <c r="CD415" s="418">
        <f t="shared" si="250"/>
        <v>1153.7612584246492</v>
      </c>
      <c r="CE415" s="418">
        <f t="shared" si="250"/>
        <v>1172.7634467811793</v>
      </c>
      <c r="CF415" s="418">
        <f t="shared" si="250"/>
        <v>1190.7721372628455</v>
      </c>
      <c r="CG415" s="109"/>
    </row>
    <row r="416" spans="1:85" ht="14.45" customHeight="1" x14ac:dyDescent="0.25">
      <c r="A416" s="135" t="str">
        <f>CONCATENATE("Adjusted ",A415,IF(AND(ROUND(SUM(C415:CG415)-SUM(C416:CG416),6)=0)," (No Adjustments)",""))</f>
        <v>Adjusted EBITDA (No Adjustments)</v>
      </c>
      <c r="B416" s="211"/>
      <c r="C416" s="421">
        <f t="shared" ref="C416:AH416" si="251">C415</f>
        <v>157.67900000000014</v>
      </c>
      <c r="D416" s="421">
        <f t="shared" si="251"/>
        <v>157.70199999999986</v>
      </c>
      <c r="E416" s="421">
        <f t="shared" si="251"/>
        <v>151.99000000000009</v>
      </c>
      <c r="F416" s="421">
        <f t="shared" si="251"/>
        <v>152.89299999999992</v>
      </c>
      <c r="G416" s="109">
        <f t="shared" si="251"/>
        <v>30.73099999999997</v>
      </c>
      <c r="H416" s="109">
        <f t="shared" si="251"/>
        <v>41.933999999999997</v>
      </c>
      <c r="I416" s="109">
        <f t="shared" si="251"/>
        <v>45.728000000000023</v>
      </c>
      <c r="J416" s="109">
        <f t="shared" si="251"/>
        <v>16.843999999999802</v>
      </c>
      <c r="K416" s="421">
        <f t="shared" si="251"/>
        <v>135.23699999999982</v>
      </c>
      <c r="L416" s="109">
        <f t="shared" si="251"/>
        <v>27.537999999999986</v>
      </c>
      <c r="M416" s="109">
        <f t="shared" si="251"/>
        <v>46.776000000000039</v>
      </c>
      <c r="N416" s="109">
        <f t="shared" si="251"/>
        <v>44.518999999999991</v>
      </c>
      <c r="O416" s="109">
        <f t="shared" si="251"/>
        <v>31.805999999999653</v>
      </c>
      <c r="P416" s="421">
        <f t="shared" si="251"/>
        <v>150.63899999999975</v>
      </c>
      <c r="Q416" s="109">
        <f t="shared" si="251"/>
        <v>35.674999999999983</v>
      </c>
      <c r="R416" s="109">
        <f t="shared" si="251"/>
        <v>59.897000000000006</v>
      </c>
      <c r="S416" s="109">
        <f t="shared" si="251"/>
        <v>51.414000000000058</v>
      </c>
      <c r="T416" s="109">
        <f t="shared" si="251"/>
        <v>39.354000000000219</v>
      </c>
      <c r="U416" s="421">
        <f t="shared" si="251"/>
        <v>186.34000000000012</v>
      </c>
      <c r="V416" s="109">
        <f t="shared" si="251"/>
        <v>38.417000000000009</v>
      </c>
      <c r="W416" s="109">
        <f t="shared" si="251"/>
        <v>83.944999999999993</v>
      </c>
      <c r="X416" s="109">
        <f t="shared" si="251"/>
        <v>72.407000000000039</v>
      </c>
      <c r="Y416" s="109">
        <f t="shared" si="251"/>
        <v>56.866999999999706</v>
      </c>
      <c r="Z416" s="421">
        <f t="shared" si="251"/>
        <v>251.63599999999991</v>
      </c>
      <c r="AA416" s="109">
        <f t="shared" si="251"/>
        <v>50.648999999999951</v>
      </c>
      <c r="AB416" s="109">
        <f t="shared" si="251"/>
        <v>91.895999999999873</v>
      </c>
      <c r="AC416" s="109">
        <f t="shared" si="251"/>
        <v>81.272000000000048</v>
      </c>
      <c r="AD416" s="109">
        <f t="shared" si="251"/>
        <v>49.124999999999467</v>
      </c>
      <c r="AE416" s="421">
        <f t="shared" si="251"/>
        <v>272.94199999999967</v>
      </c>
      <c r="AF416" s="109">
        <f t="shared" si="251"/>
        <v>28.975000000000101</v>
      </c>
      <c r="AG416" s="109">
        <f t="shared" si="251"/>
        <v>67.34199999999997</v>
      </c>
      <c r="AH416" s="109">
        <f t="shared" si="251"/>
        <v>93.758999999999872</v>
      </c>
      <c r="AI416" s="109">
        <f t="shared" ref="AI416:BN416" si="252">AI415</f>
        <v>60.687999999999356</v>
      </c>
      <c r="AJ416" s="421">
        <f t="shared" si="252"/>
        <v>250.76399999999958</v>
      </c>
      <c r="AK416" s="109">
        <f t="shared" si="252"/>
        <v>67.971000000000004</v>
      </c>
      <c r="AL416" s="109">
        <f t="shared" si="252"/>
        <v>112.27000000000012</v>
      </c>
      <c r="AM416" s="109">
        <f t="shared" si="252"/>
        <v>99.434000000000054</v>
      </c>
      <c r="AN416" s="109">
        <f t="shared" si="252"/>
        <v>83.039999999999736</v>
      </c>
      <c r="AO416" s="421">
        <f t="shared" si="252"/>
        <v>362.71499999999992</v>
      </c>
      <c r="AP416" s="109">
        <f t="shared" si="252"/>
        <v>76.379999999999967</v>
      </c>
      <c r="AQ416" s="109">
        <f t="shared" si="252"/>
        <v>125.95499999999994</v>
      </c>
      <c r="AR416" s="109">
        <f t="shared" si="252"/>
        <v>151.9369999999999</v>
      </c>
      <c r="AS416" s="109">
        <f t="shared" si="252"/>
        <v>138.12300000000005</v>
      </c>
      <c r="AT416" s="421">
        <f t="shared" si="252"/>
        <v>492.39500000000015</v>
      </c>
      <c r="AU416" s="109">
        <f t="shared" si="252"/>
        <v>137.70999999999998</v>
      </c>
      <c r="AV416" s="109">
        <f t="shared" si="252"/>
        <v>165.21800000000005</v>
      </c>
      <c r="AW416" s="109">
        <f t="shared" si="252"/>
        <v>184.489</v>
      </c>
      <c r="AX416" s="109">
        <f t="shared" si="252"/>
        <v>132.31899999999979</v>
      </c>
      <c r="AY416" s="421">
        <f t="shared" si="252"/>
        <v>619.73599999999988</v>
      </c>
      <c r="AZ416" s="109">
        <f t="shared" si="252"/>
        <v>174.25399999999991</v>
      </c>
      <c r="BA416" s="109">
        <f t="shared" si="252"/>
        <v>189.87599999999989</v>
      </c>
      <c r="BB416" s="109">
        <f t="shared" si="252"/>
        <v>232.46099999999996</v>
      </c>
      <c r="BC416" s="109">
        <f t="shared" si="252"/>
        <v>216.04600000000016</v>
      </c>
      <c r="BD416" s="421">
        <f t="shared" si="252"/>
        <v>812.63700000000017</v>
      </c>
      <c r="BE416" s="109">
        <f t="shared" si="252"/>
        <v>249.5630000000001</v>
      </c>
      <c r="BF416" s="109">
        <f t="shared" si="252"/>
        <v>277.346</v>
      </c>
      <c r="BG416" s="109">
        <f t="shared" si="252"/>
        <v>260.37100000000015</v>
      </c>
      <c r="BH416" s="109">
        <f t="shared" si="252"/>
        <v>224.13700000000011</v>
      </c>
      <c r="BI416" s="421">
        <f t="shared" si="252"/>
        <v>1011.4170000000003</v>
      </c>
      <c r="BJ416" s="109">
        <f t="shared" si="252"/>
        <v>262.15699999999993</v>
      </c>
      <c r="BK416" s="109">
        <f t="shared" si="252"/>
        <v>306.79800000000006</v>
      </c>
      <c r="BL416" s="109">
        <f t="shared" si="252"/>
        <v>275.82500000000005</v>
      </c>
      <c r="BM416" s="109">
        <f t="shared" si="252"/>
        <v>269.36100000000067</v>
      </c>
      <c r="BN416" s="421">
        <f t="shared" si="252"/>
        <v>1114.1410000000001</v>
      </c>
      <c r="BO416" s="109">
        <f t="shared" ref="BO416:BW416" si="253">BO415</f>
        <v>243.19300000000004</v>
      </c>
      <c r="BP416" s="109">
        <f t="shared" si="253"/>
        <v>326.8490000000001</v>
      </c>
      <c r="BQ416" s="109">
        <f t="shared" si="253"/>
        <v>301.72000000000008</v>
      </c>
      <c r="BR416" s="109">
        <f t="shared" si="253"/>
        <v>297.42399999999969</v>
      </c>
      <c r="BS416" s="422">
        <f t="shared" si="253"/>
        <v>1169.1860000000001</v>
      </c>
      <c r="BT416" s="112">
        <f t="shared" si="253"/>
        <v>246.7455048906848</v>
      </c>
      <c r="BU416" s="112">
        <f t="shared" si="253"/>
        <v>283.59202884785742</v>
      </c>
      <c r="BV416" s="112">
        <f t="shared" si="253"/>
        <v>292.76301208808798</v>
      </c>
      <c r="BW416" s="112">
        <f t="shared" si="253"/>
        <v>290.12653653442408</v>
      </c>
      <c r="BX416" s="423">
        <f>SUM(BT416,BU416,BV416,BW416)</f>
        <v>1113.2270823610543</v>
      </c>
      <c r="BY416" s="112">
        <f>BY415</f>
        <v>251.38122587561247</v>
      </c>
      <c r="BZ416" s="112">
        <f>BZ415</f>
        <v>288.5160722374028</v>
      </c>
      <c r="CA416" s="112">
        <f>CA415</f>
        <v>297.72927616159416</v>
      </c>
      <c r="CB416" s="112">
        <f>CB415</f>
        <v>294.87844253894889</v>
      </c>
      <c r="CC416" s="423">
        <f>SUM(BY416,BZ416,CA416,CB416)</f>
        <v>1132.5050168135583</v>
      </c>
      <c r="CD416" s="423">
        <f>CD415</f>
        <v>1153.7612584246492</v>
      </c>
      <c r="CE416" s="423">
        <f>CE415</f>
        <v>1172.7634467811793</v>
      </c>
      <c r="CF416" s="423">
        <f>CF415</f>
        <v>1190.7721372628455</v>
      </c>
      <c r="CG416" s="109"/>
    </row>
    <row r="417" spans="1:85" ht="14.45" customHeight="1" x14ac:dyDescent="0.25">
      <c r="A417" s="220" t="str">
        <f>CONCATENATE("Consensus Estimates - ",IFERROR(LEFT(A416,FIND("(",A416)-1),A416))</f>
        <v xml:space="preserve">Consensus Estimates - Adjusted EBITDA </v>
      </c>
      <c r="B417" s="221"/>
      <c r="C417" s="516"/>
      <c r="D417" s="516"/>
      <c r="E417" s="516"/>
      <c r="F417" s="516"/>
      <c r="G417" s="222"/>
      <c r="H417" s="222"/>
      <c r="I417" s="222"/>
      <c r="J417" s="222"/>
      <c r="K417" s="516"/>
      <c r="L417" s="222"/>
      <c r="M417" s="222"/>
      <c r="N417" s="222"/>
      <c r="O417" s="222"/>
      <c r="P417" s="516"/>
      <c r="Q417" s="222"/>
      <c r="R417" s="222"/>
      <c r="S417" s="222"/>
      <c r="T417" s="222"/>
      <c r="U417" s="516"/>
      <c r="V417" s="222"/>
      <c r="W417" s="222"/>
      <c r="X417" s="222"/>
      <c r="Y417" s="222"/>
      <c r="Z417" s="516"/>
      <c r="AA417" s="222"/>
      <c r="AB417" s="222"/>
      <c r="AC417" s="222"/>
      <c r="AD417" s="222"/>
      <c r="AE417" s="516"/>
      <c r="AF417" s="222"/>
      <c r="AG417" s="222"/>
      <c r="AH417" s="222"/>
      <c r="AI417" s="222"/>
      <c r="AJ417" s="516"/>
      <c r="AK417" s="222"/>
      <c r="AL417" s="222"/>
      <c r="AM417" s="222"/>
      <c r="AN417" s="222"/>
      <c r="AO417" s="516"/>
      <c r="AP417" s="222"/>
      <c r="AQ417" s="222"/>
      <c r="AR417" s="222"/>
      <c r="AS417" s="222"/>
      <c r="AT417" s="516"/>
      <c r="AU417" s="222"/>
      <c r="AV417" s="222"/>
      <c r="AW417" s="222"/>
      <c r="AX417" s="222"/>
      <c r="AY417" s="516"/>
      <c r="AZ417" s="222"/>
      <c r="BA417" s="222"/>
      <c r="BB417" s="222"/>
      <c r="BC417" s="222"/>
      <c r="BD417" s="516"/>
      <c r="BE417" s="222"/>
      <c r="BF417" s="222"/>
      <c r="BG417" s="222"/>
      <c r="BH417" s="222"/>
      <c r="BI417" s="516"/>
      <c r="BJ417" s="222"/>
      <c r="BK417" s="222"/>
      <c r="BL417" s="222"/>
      <c r="BM417" s="222"/>
      <c r="BN417" s="516"/>
      <c r="BO417" s="222"/>
      <c r="BP417" s="222"/>
      <c r="BQ417" s="222"/>
      <c r="BR417" s="222"/>
      <c r="BS417" s="517"/>
      <c r="BT417" s="518" t="str">
        <f ca="1">IFERROR(VLOOKUP($A417,tb_ConsensusEstimate,MATCH(BT$5,OFFSET(tb_ConsensusEstimate,0,0,1,COLUMNS(tb_ConsensusEstimate)),0),FALSE),"-")</f>
        <v>-</v>
      </c>
      <c r="BU417" s="518" t="str">
        <f ca="1">IFERROR(VLOOKUP($A417,tb_ConsensusEstimate,MATCH(BU$5,OFFSET(tb_ConsensusEstimate,0,0,1,COLUMNS(tb_ConsensusEstimate)),0),FALSE),"-")</f>
        <v>-</v>
      </c>
      <c r="BV417" s="518" t="str">
        <f ca="1">IFERROR(VLOOKUP($A417,tb_ConsensusEstimate,MATCH(BV$5,OFFSET(tb_ConsensusEstimate,0,0,1,COLUMNS(tb_ConsensusEstimate)),0),FALSE),"-")</f>
        <v>-</v>
      </c>
      <c r="BW417" s="518" t="str">
        <f ca="1">IFERROR(VLOOKUP($A417,tb_ConsensusEstimate,MATCH(BW$5,OFFSET(tb_ConsensusEstimate,0,0,1,COLUMNS(tb_ConsensusEstimate)),0),FALSE),"-")</f>
        <v>-</v>
      </c>
      <c r="BX417" s="519" t="str">
        <f ca="1">IFERROR(VLOOKUP($A417,tb_ConsensusEstimate,MATCH(BX$5,OFFSET(tb_ConsensusEstimate,0,0,1,COLUMNS(tb_ConsensusEstimate)),0),FALSE),"-")</f>
        <v>-</v>
      </c>
      <c r="BY417" s="518" t="str">
        <f ca="1">IFERROR(VLOOKUP($A417,tb_ConsensusEstimate,MATCH(BY$5,OFFSET(tb_ConsensusEstimate,0,0,1,COLUMNS(tb_ConsensusEstimate)),0),FALSE),"-")</f>
        <v>-</v>
      </c>
      <c r="BZ417" s="518" t="str">
        <f ca="1">IFERROR(VLOOKUP($A417,tb_ConsensusEstimate,MATCH(BZ$5,OFFSET(tb_ConsensusEstimate,0,0,1,COLUMNS(tb_ConsensusEstimate)),0),FALSE),"-")</f>
        <v>-</v>
      </c>
      <c r="CA417" s="518" t="str">
        <f ca="1">IFERROR(VLOOKUP($A417,tb_ConsensusEstimate,MATCH(CA$5,OFFSET(tb_ConsensusEstimate,0,0,1,COLUMNS(tb_ConsensusEstimate)),0),FALSE),"-")</f>
        <v>-</v>
      </c>
      <c r="CB417" s="518" t="str">
        <f ca="1">IFERROR(VLOOKUP($A417,tb_ConsensusEstimate,MATCH(CB$5,OFFSET(tb_ConsensusEstimate,0,0,1,COLUMNS(tb_ConsensusEstimate)),0),FALSE),"-")</f>
        <v>-</v>
      </c>
      <c r="CC417" s="519" t="str">
        <f ca="1">IFERROR(VLOOKUP($A417,tb_ConsensusEstimate,MATCH(CC$5,OFFSET(tb_ConsensusEstimate,0,0,1,COLUMNS(tb_ConsensusEstimate)),0),FALSE),"-")</f>
        <v>-</v>
      </c>
      <c r="CD417" s="519" t="str">
        <f ca="1">IFERROR(VLOOKUP($A417,tb_ConsensusEstimate,MATCH(CD5,OFFSET(tb_ConsensusEstimate,0,0,1,COLUMNS(tb_ConsensusEstimate)),0),FALSE),"-")</f>
        <v>-</v>
      </c>
      <c r="CE417" s="519" t="str">
        <f ca="1">IFERROR(VLOOKUP($A417,tb_ConsensusEstimate,MATCH(CE5,OFFSET(tb_ConsensusEstimate,0,0,1,COLUMNS(tb_ConsensusEstimate)),0),FALSE),"-")</f>
        <v>-</v>
      </c>
      <c r="CF417" s="519" t="str">
        <f ca="1">IFERROR(VLOOKUP($A417,tb_ConsensusEstimate,MATCH(CF5,OFFSET(tb_ConsensusEstimate,0,0,1,COLUMNS(tb_ConsensusEstimate)),0),FALSE),"-")</f>
        <v>-</v>
      </c>
      <c r="CG417" s="222"/>
    </row>
    <row r="418" spans="1:85" ht="14.45" customHeight="1" x14ac:dyDescent="0.25">
      <c r="A418" s="220"/>
      <c r="B418" s="221"/>
      <c r="C418" s="516"/>
      <c r="D418" s="516"/>
      <c r="E418" s="516"/>
      <c r="F418" s="516"/>
      <c r="G418" s="222"/>
      <c r="H418" s="222"/>
      <c r="I418" s="222"/>
      <c r="J418" s="222"/>
      <c r="K418" s="516"/>
      <c r="L418" s="222"/>
      <c r="M418" s="222"/>
      <c r="N418" s="222"/>
      <c r="O418" s="222"/>
      <c r="P418" s="516"/>
      <c r="Q418" s="222"/>
      <c r="R418" s="222"/>
      <c r="S418" s="222"/>
      <c r="T418" s="222"/>
      <c r="U418" s="516"/>
      <c r="V418" s="222"/>
      <c r="W418" s="222"/>
      <c r="X418" s="222"/>
      <c r="Y418" s="222"/>
      <c r="Z418" s="516"/>
      <c r="AA418" s="222"/>
      <c r="AB418" s="222"/>
      <c r="AC418" s="222"/>
      <c r="AD418" s="222"/>
      <c r="AE418" s="516"/>
      <c r="AF418" s="222"/>
      <c r="AG418" s="222"/>
      <c r="AH418" s="222"/>
      <c r="AI418" s="222"/>
      <c r="AJ418" s="516"/>
      <c r="AK418" s="222"/>
      <c r="AL418" s="222"/>
      <c r="AM418" s="222"/>
      <c r="AN418" s="222"/>
      <c r="AO418" s="516"/>
      <c r="AP418" s="222"/>
      <c r="AQ418" s="222"/>
      <c r="AR418" s="222"/>
      <c r="AS418" s="222"/>
      <c r="AT418" s="516"/>
      <c r="AU418" s="222"/>
      <c r="AV418" s="222"/>
      <c r="AW418" s="222"/>
      <c r="AX418" s="222"/>
      <c r="AY418" s="516"/>
      <c r="AZ418" s="222"/>
      <c r="BA418" s="222"/>
      <c r="BB418" s="222"/>
      <c r="BC418" s="222"/>
      <c r="BD418" s="516"/>
      <c r="BE418" s="222"/>
      <c r="BF418" s="222"/>
      <c r="BG418" s="222"/>
      <c r="BH418" s="222"/>
      <c r="BI418" s="516"/>
      <c r="BJ418" s="222"/>
      <c r="BK418" s="222"/>
      <c r="BL418" s="222"/>
      <c r="BM418" s="222"/>
      <c r="BN418" s="516"/>
      <c r="BO418" s="222"/>
      <c r="BP418" s="222"/>
      <c r="BQ418" s="222"/>
      <c r="BR418" s="222"/>
      <c r="BS418" s="517"/>
      <c r="BT418" s="222"/>
      <c r="BU418" s="222"/>
      <c r="BV418" s="222"/>
      <c r="BW418" s="222"/>
      <c r="BX418" s="522"/>
      <c r="BY418" s="222"/>
      <c r="BZ418" s="222"/>
      <c r="CA418" s="222"/>
      <c r="CB418" s="222"/>
      <c r="CC418" s="522"/>
      <c r="CD418" s="522"/>
      <c r="CE418" s="522"/>
      <c r="CF418" s="522"/>
      <c r="CG418" s="523"/>
    </row>
    <row r="419" spans="1:85" ht="14.45" customHeight="1" x14ac:dyDescent="0.25">
      <c r="A419" s="189" t="s">
        <v>397</v>
      </c>
      <c r="B419" s="180"/>
      <c r="C419" s="413">
        <f t="shared" ref="C419:AH419" si="254">-C280</f>
        <v>37.378999999999998</v>
      </c>
      <c r="D419" s="413">
        <f t="shared" si="254"/>
        <v>35.127000000000002</v>
      </c>
      <c r="E419" s="413">
        <f t="shared" si="254"/>
        <v>35.978999999999999</v>
      </c>
      <c r="F419" s="413">
        <f t="shared" si="254"/>
        <v>35.338000000000001</v>
      </c>
      <c r="G419" s="63">
        <f t="shared" si="254"/>
        <v>7.3789999999999996</v>
      </c>
      <c r="H419" s="63">
        <f t="shared" si="254"/>
        <v>7.4089999999999998</v>
      </c>
      <c r="I419" s="63">
        <f t="shared" si="254"/>
        <v>7.3609999999999998</v>
      </c>
      <c r="J419" s="63">
        <f t="shared" si="254"/>
        <v>7.2540000000000022</v>
      </c>
      <c r="K419" s="413">
        <f t="shared" si="254"/>
        <v>29.402999999999999</v>
      </c>
      <c r="L419" s="63">
        <f t="shared" si="254"/>
        <v>7.2229999999999999</v>
      </c>
      <c r="M419" s="63">
        <f t="shared" si="254"/>
        <v>7.343</v>
      </c>
      <c r="N419" s="63">
        <f t="shared" si="254"/>
        <v>7.3330000000000002</v>
      </c>
      <c r="O419" s="63">
        <f t="shared" si="254"/>
        <v>7.3729999999999993</v>
      </c>
      <c r="P419" s="413">
        <f t="shared" si="254"/>
        <v>29.271999999999998</v>
      </c>
      <c r="Q419" s="63">
        <f t="shared" si="254"/>
        <v>7.3470000000000004</v>
      </c>
      <c r="R419" s="63">
        <f t="shared" si="254"/>
        <v>6.718</v>
      </c>
      <c r="S419" s="63">
        <f t="shared" si="254"/>
        <v>6.6859999999999999</v>
      </c>
      <c r="T419" s="63">
        <f t="shared" si="254"/>
        <v>8.1639999999999979</v>
      </c>
      <c r="U419" s="413">
        <f t="shared" si="254"/>
        <v>28.914999999999999</v>
      </c>
      <c r="V419" s="63">
        <f t="shared" si="254"/>
        <v>9.3610000000000007</v>
      </c>
      <c r="W419" s="63">
        <f t="shared" si="254"/>
        <v>9.8079999999999998</v>
      </c>
      <c r="X419" s="63">
        <f t="shared" si="254"/>
        <v>8.452</v>
      </c>
      <c r="Y419" s="63">
        <f t="shared" si="254"/>
        <v>8.7040000000000024</v>
      </c>
      <c r="Z419" s="413">
        <f t="shared" si="254"/>
        <v>36.325000000000003</v>
      </c>
      <c r="AA419" s="63">
        <f t="shared" si="254"/>
        <v>9.4700000000000006</v>
      </c>
      <c r="AB419" s="63">
        <f t="shared" si="254"/>
        <v>10.44</v>
      </c>
      <c r="AC419" s="63">
        <f t="shared" si="254"/>
        <v>10.696999999999999</v>
      </c>
      <c r="AD419" s="63">
        <f t="shared" si="254"/>
        <v>11.262</v>
      </c>
      <c r="AE419" s="413">
        <f t="shared" si="254"/>
        <v>41.869</v>
      </c>
      <c r="AF419" s="63">
        <f t="shared" si="254"/>
        <v>12.045999999999999</v>
      </c>
      <c r="AG419" s="63">
        <f t="shared" si="254"/>
        <v>12.744</v>
      </c>
      <c r="AH419" s="63">
        <f t="shared" si="254"/>
        <v>12.827</v>
      </c>
      <c r="AI419" s="63">
        <f t="shared" ref="AI419:BS419" si="255">-AI280</f>
        <v>12.889000000000003</v>
      </c>
      <c r="AJ419" s="413">
        <f t="shared" si="255"/>
        <v>50.506</v>
      </c>
      <c r="AK419" s="63">
        <f t="shared" si="255"/>
        <v>12.885999999999999</v>
      </c>
      <c r="AL419" s="63">
        <f t="shared" si="255"/>
        <v>11.994999999999999</v>
      </c>
      <c r="AM419" s="63">
        <f t="shared" si="255"/>
        <v>10.965</v>
      </c>
      <c r="AN419" s="63">
        <f t="shared" si="255"/>
        <v>10.143999999999998</v>
      </c>
      <c r="AO419" s="413">
        <f t="shared" si="255"/>
        <v>45.99</v>
      </c>
      <c r="AP419" s="63">
        <f t="shared" si="255"/>
        <v>9.5609999999999999</v>
      </c>
      <c r="AQ419" s="63">
        <f t="shared" si="255"/>
        <v>9.1839999999999993</v>
      </c>
      <c r="AR419" s="63">
        <f t="shared" si="255"/>
        <v>9.0329999999999995</v>
      </c>
      <c r="AS419" s="63">
        <f t="shared" si="255"/>
        <v>8.9570000000000007</v>
      </c>
      <c r="AT419" s="413">
        <f t="shared" si="255"/>
        <v>36.734999999999999</v>
      </c>
      <c r="AU419" s="63">
        <f t="shared" si="255"/>
        <v>8.7460000000000004</v>
      </c>
      <c r="AV419" s="63">
        <f t="shared" si="255"/>
        <v>8.3650000000000002</v>
      </c>
      <c r="AW419" s="63">
        <f t="shared" si="255"/>
        <v>8.0969999999999995</v>
      </c>
      <c r="AX419" s="63">
        <f t="shared" si="255"/>
        <v>8.2409999999999997</v>
      </c>
      <c r="AY419" s="413">
        <f t="shared" si="255"/>
        <v>33.448999999999998</v>
      </c>
      <c r="AZ419" s="63">
        <f t="shared" si="255"/>
        <v>7.6989999999999998</v>
      </c>
      <c r="BA419" s="63">
        <f t="shared" si="255"/>
        <v>7.1459999999999999</v>
      </c>
      <c r="BB419" s="63">
        <f t="shared" si="255"/>
        <v>6.0830000000000002</v>
      </c>
      <c r="BC419" s="63">
        <f t="shared" si="255"/>
        <v>3.8640000000000043</v>
      </c>
      <c r="BD419" s="413">
        <f t="shared" si="255"/>
        <v>24.792000000000002</v>
      </c>
      <c r="BE419" s="63">
        <f t="shared" si="255"/>
        <v>2.9289999999999998</v>
      </c>
      <c r="BF419" s="63">
        <f t="shared" si="255"/>
        <v>1.353</v>
      </c>
      <c r="BG419" s="63">
        <f t="shared" si="255"/>
        <v>-1.516</v>
      </c>
      <c r="BH419" s="63">
        <f t="shared" si="255"/>
        <v>-3.6840000000000002</v>
      </c>
      <c r="BI419" s="413">
        <f t="shared" si="255"/>
        <v>-0.91800000000000004</v>
      </c>
      <c r="BJ419" s="63">
        <f t="shared" si="255"/>
        <v>-2.7160000000000002</v>
      </c>
      <c r="BK419" s="63">
        <f t="shared" si="255"/>
        <v>-1.62</v>
      </c>
      <c r="BL419" s="63">
        <f t="shared" si="255"/>
        <v>2.1869999999999998</v>
      </c>
      <c r="BM419" s="63">
        <f t="shared" si="255"/>
        <v>3.9970000000000008</v>
      </c>
      <c r="BN419" s="413">
        <f t="shared" si="255"/>
        <v>1.8480000000000001</v>
      </c>
      <c r="BO419" s="63">
        <f t="shared" si="255"/>
        <v>6.8739999999999997</v>
      </c>
      <c r="BP419" s="63">
        <f t="shared" si="255"/>
        <v>5.9480000000000004</v>
      </c>
      <c r="BQ419" s="63">
        <f t="shared" si="255"/>
        <v>4.6870000000000003</v>
      </c>
      <c r="BR419" s="63">
        <f t="shared" si="255"/>
        <v>25.168999999999997</v>
      </c>
      <c r="BS419" s="425">
        <f t="shared" si="255"/>
        <v>42.677999999999997</v>
      </c>
      <c r="BT419" s="63">
        <f>BT516</f>
        <v>23.320124972602745</v>
      </c>
      <c r="BU419" s="63" t="str">
        <f>BU516</f>
        <v>n/a</v>
      </c>
      <c r="BV419" s="63" t="str">
        <f>BV516</f>
        <v>n/a</v>
      </c>
      <c r="BW419" s="63" t="str">
        <f>BW516</f>
        <v>n/a</v>
      </c>
      <c r="BX419" s="413">
        <f>SUM(BT419,BU419,BV419,BW419)</f>
        <v>23.320124972602745</v>
      </c>
      <c r="BY419" s="63" t="str">
        <f>BY516</f>
        <v>n/a</v>
      </c>
      <c r="BZ419" s="63" t="str">
        <f>BZ516</f>
        <v>n/a</v>
      </c>
      <c r="CA419" s="63" t="str">
        <f>CA516</f>
        <v>n/a</v>
      </c>
      <c r="CB419" s="63" t="str">
        <f>CB516</f>
        <v>n/a</v>
      </c>
      <c r="CC419" s="413">
        <f>SUM(BY419,BZ419,CA419,CB419)</f>
        <v>0</v>
      </c>
      <c r="CD419" s="413" t="str">
        <f>CD516</f>
        <v>n/a</v>
      </c>
      <c r="CE419" s="413" t="str">
        <f>CE516</f>
        <v>n/a</v>
      </c>
      <c r="CF419" s="413" t="str">
        <f>CF516</f>
        <v>n/a</v>
      </c>
      <c r="CG419" s="99"/>
    </row>
    <row r="420" spans="1:85" ht="14.45" customHeight="1" x14ac:dyDescent="0.25">
      <c r="A420" s="125" t="s">
        <v>482</v>
      </c>
      <c r="B420" s="180"/>
      <c r="C420" s="467">
        <f t="shared" ref="C420:AH420" si="256">-C281</f>
        <v>0</v>
      </c>
      <c r="D420" s="467">
        <f t="shared" si="256"/>
        <v>0</v>
      </c>
      <c r="E420" s="467">
        <f t="shared" si="256"/>
        <v>0</v>
      </c>
      <c r="F420" s="467">
        <f t="shared" si="256"/>
        <v>0</v>
      </c>
      <c r="G420" s="99">
        <f t="shared" si="256"/>
        <v>0</v>
      </c>
      <c r="H420" s="99">
        <f t="shared" si="256"/>
        <v>0</v>
      </c>
      <c r="I420" s="99">
        <f t="shared" si="256"/>
        <v>0</v>
      </c>
      <c r="J420" s="99">
        <f t="shared" si="256"/>
        <v>0</v>
      </c>
      <c r="K420" s="467">
        <f t="shared" si="256"/>
        <v>0</v>
      </c>
      <c r="L420" s="99">
        <f t="shared" si="256"/>
        <v>0</v>
      </c>
      <c r="M420" s="99">
        <f t="shared" si="256"/>
        <v>0</v>
      </c>
      <c r="N420" s="99">
        <f t="shared" si="256"/>
        <v>0</v>
      </c>
      <c r="O420" s="99">
        <f t="shared" si="256"/>
        <v>1.077</v>
      </c>
      <c r="P420" s="467">
        <f t="shared" si="256"/>
        <v>1.077</v>
      </c>
      <c r="Q420" s="99">
        <f t="shared" si="256"/>
        <v>5.0890000000000004</v>
      </c>
      <c r="R420" s="99">
        <f t="shared" si="256"/>
        <v>-6.0780000000000003</v>
      </c>
      <c r="S420" s="99">
        <f t="shared" si="256"/>
        <v>3.992</v>
      </c>
      <c r="T420" s="99">
        <f t="shared" si="256"/>
        <v>0.57299999999999951</v>
      </c>
      <c r="U420" s="467">
        <f t="shared" si="256"/>
        <v>3.5760000000000001</v>
      </c>
      <c r="V420" s="99">
        <f t="shared" si="256"/>
        <v>17.151</v>
      </c>
      <c r="W420" s="99">
        <f t="shared" si="256"/>
        <v>16.274000000000001</v>
      </c>
      <c r="X420" s="99">
        <f t="shared" si="256"/>
        <v>-7.3250000000000002</v>
      </c>
      <c r="Y420" s="99">
        <f t="shared" si="256"/>
        <v>-27.970000000000002</v>
      </c>
      <c r="Z420" s="467">
        <f t="shared" si="256"/>
        <v>-1.87</v>
      </c>
      <c r="AA420" s="99">
        <f t="shared" si="256"/>
        <v>12.246</v>
      </c>
      <c r="AB420" s="99">
        <f t="shared" si="256"/>
        <v>25.548999999999999</v>
      </c>
      <c r="AC420" s="99">
        <f t="shared" si="256"/>
        <v>-5.226</v>
      </c>
      <c r="AD420" s="99">
        <f t="shared" si="256"/>
        <v>-28.372000000000003</v>
      </c>
      <c r="AE420" s="467">
        <f t="shared" si="256"/>
        <v>4.1970000000000001</v>
      </c>
      <c r="AF420" s="99">
        <f t="shared" si="256"/>
        <v>-4.51</v>
      </c>
      <c r="AG420" s="99">
        <f t="shared" si="256"/>
        <v>9.8179999999999996</v>
      </c>
      <c r="AH420" s="99">
        <f t="shared" si="256"/>
        <v>-1.696</v>
      </c>
      <c r="AI420" s="99">
        <f t="shared" ref="AI420:BS420" si="257">-AI281</f>
        <v>27.241</v>
      </c>
      <c r="AJ420" s="467">
        <f t="shared" si="257"/>
        <v>30.853000000000002</v>
      </c>
      <c r="AK420" s="99">
        <f t="shared" si="257"/>
        <v>15.851000000000001</v>
      </c>
      <c r="AL420" s="99">
        <f t="shared" si="257"/>
        <v>31.181000000000001</v>
      </c>
      <c r="AM420" s="99">
        <f t="shared" si="257"/>
        <v>20.710999999999999</v>
      </c>
      <c r="AN420" s="99">
        <f t="shared" si="257"/>
        <v>32.796000000000006</v>
      </c>
      <c r="AO420" s="467">
        <f t="shared" si="257"/>
        <v>100.539</v>
      </c>
      <c r="AP420" s="99">
        <f t="shared" si="257"/>
        <v>2.298</v>
      </c>
      <c r="AQ420" s="99">
        <f t="shared" si="257"/>
        <v>16.134</v>
      </c>
      <c r="AR420" s="99">
        <f t="shared" si="257"/>
        <v>21.393999999999998</v>
      </c>
      <c r="AS420" s="99">
        <f t="shared" si="257"/>
        <v>-4.222999999999999</v>
      </c>
      <c r="AT420" s="467">
        <f t="shared" si="257"/>
        <v>35.603000000000002</v>
      </c>
      <c r="AU420" s="99">
        <f t="shared" si="257"/>
        <v>12.055</v>
      </c>
      <c r="AV420" s="99">
        <f t="shared" si="257"/>
        <v>47.040999999999997</v>
      </c>
      <c r="AW420" s="99">
        <f t="shared" si="257"/>
        <v>34.981999999999999</v>
      </c>
      <c r="AX420" s="99">
        <f t="shared" si="257"/>
        <v>56.495000000000005</v>
      </c>
      <c r="AY420" s="467">
        <f t="shared" si="257"/>
        <v>150.57300000000001</v>
      </c>
      <c r="AZ420" s="99">
        <f t="shared" si="257"/>
        <v>-3.2789999999999999</v>
      </c>
      <c r="BA420" s="99">
        <f t="shared" si="257"/>
        <v>6.1989999999999998</v>
      </c>
      <c r="BB420" s="99">
        <f t="shared" si="257"/>
        <v>24.745999999999999</v>
      </c>
      <c r="BC420" s="99">
        <f t="shared" si="257"/>
        <v>13.502000000000002</v>
      </c>
      <c r="BD420" s="467">
        <f t="shared" si="257"/>
        <v>41.167999999999999</v>
      </c>
      <c r="BE420" s="99">
        <f t="shared" si="257"/>
        <v>43.923000000000002</v>
      </c>
      <c r="BF420" s="99">
        <f t="shared" si="257"/>
        <v>27.788</v>
      </c>
      <c r="BG420" s="99">
        <f t="shared" si="257"/>
        <v>19.472999999999999</v>
      </c>
      <c r="BH420" s="99">
        <f t="shared" si="257"/>
        <v>73.908000000000015</v>
      </c>
      <c r="BI420" s="467">
        <f t="shared" si="257"/>
        <v>165.09200000000001</v>
      </c>
      <c r="BJ420" s="99">
        <f t="shared" si="257"/>
        <v>-4.7130000000000001</v>
      </c>
      <c r="BK420" s="99">
        <f t="shared" si="257"/>
        <v>28.535</v>
      </c>
      <c r="BL420" s="99">
        <f t="shared" si="257"/>
        <v>69.304999999999993</v>
      </c>
      <c r="BM420" s="99">
        <f t="shared" si="257"/>
        <v>-31.278999999999996</v>
      </c>
      <c r="BN420" s="467">
        <f t="shared" si="257"/>
        <v>61.847999999999999</v>
      </c>
      <c r="BO420" s="99">
        <f t="shared" si="257"/>
        <v>43.472999999999999</v>
      </c>
      <c r="BP420" s="99">
        <f t="shared" si="257"/>
        <v>13.144</v>
      </c>
      <c r="BQ420" s="99">
        <f t="shared" si="257"/>
        <v>49.716999999999999</v>
      </c>
      <c r="BR420" s="99">
        <f t="shared" si="257"/>
        <v>28.725999999999999</v>
      </c>
      <c r="BS420" s="468">
        <f t="shared" si="257"/>
        <v>135.06</v>
      </c>
      <c r="BT420" s="98">
        <v>0</v>
      </c>
      <c r="BU420" s="98">
        <v>0</v>
      </c>
      <c r="BV420" s="98">
        <v>0</v>
      </c>
      <c r="BW420" s="98">
        <v>0</v>
      </c>
      <c r="BX420" s="413">
        <f>SUM(BT420,BU420,BV420,BW420)</f>
        <v>0</v>
      </c>
      <c r="BY420" s="98">
        <v>0</v>
      </c>
      <c r="BZ420" s="98">
        <v>0</v>
      </c>
      <c r="CA420" s="98">
        <v>0</v>
      </c>
      <c r="CB420" s="98">
        <v>0</v>
      </c>
      <c r="CC420" s="413">
        <f>SUM(BY420,BZ420,CA420,CB420)</f>
        <v>0</v>
      </c>
      <c r="CD420" s="410">
        <v>0</v>
      </c>
      <c r="CE420" s="410">
        <v>0</v>
      </c>
      <c r="CF420" s="410">
        <v>0</v>
      </c>
      <c r="CG420" s="99"/>
    </row>
    <row r="421" spans="1:85" ht="14.45" customHeight="1" x14ac:dyDescent="0.25">
      <c r="A421" s="130" t="s">
        <v>483</v>
      </c>
      <c r="B421" s="190"/>
      <c r="C421" s="520">
        <f t="shared" ref="C421:AH421" si="258">-SUM(C282:C285)</f>
        <v>0</v>
      </c>
      <c r="D421" s="520">
        <f t="shared" si="258"/>
        <v>0</v>
      </c>
      <c r="E421" s="520">
        <f t="shared" si="258"/>
        <v>0</v>
      </c>
      <c r="F421" s="520">
        <f t="shared" si="258"/>
        <v>0</v>
      </c>
      <c r="G421" s="103">
        <f t="shared" si="258"/>
        <v>0</v>
      </c>
      <c r="H421" s="103">
        <f t="shared" si="258"/>
        <v>0</v>
      </c>
      <c r="I421" s="103">
        <f t="shared" si="258"/>
        <v>0</v>
      </c>
      <c r="J421" s="103">
        <f t="shared" si="258"/>
        <v>0</v>
      </c>
      <c r="K421" s="520">
        <f t="shared" si="258"/>
        <v>0</v>
      </c>
      <c r="L421" s="103">
        <f t="shared" si="258"/>
        <v>0</v>
      </c>
      <c r="M421" s="103">
        <f t="shared" si="258"/>
        <v>0</v>
      </c>
      <c r="N421" s="103">
        <f t="shared" si="258"/>
        <v>0</v>
      </c>
      <c r="O421" s="103">
        <f t="shared" si="258"/>
        <v>0</v>
      </c>
      <c r="P421" s="520">
        <f t="shared" si="258"/>
        <v>0</v>
      </c>
      <c r="Q421" s="103">
        <f t="shared" si="258"/>
        <v>0</v>
      </c>
      <c r="R421" s="103">
        <f t="shared" si="258"/>
        <v>-8.8070000000000004</v>
      </c>
      <c r="S421" s="103">
        <f t="shared" si="258"/>
        <v>-22.651</v>
      </c>
      <c r="T421" s="103">
        <f t="shared" si="258"/>
        <v>-2.0110000000000001</v>
      </c>
      <c r="U421" s="520">
        <f t="shared" si="258"/>
        <v>-33.469000000000001</v>
      </c>
      <c r="V421" s="103">
        <f t="shared" si="258"/>
        <v>0</v>
      </c>
      <c r="W421" s="103">
        <f t="shared" si="258"/>
        <v>0.69199999999999995</v>
      </c>
      <c r="X421" s="103">
        <f t="shared" si="258"/>
        <v>0</v>
      </c>
      <c r="Y421" s="103">
        <f t="shared" si="258"/>
        <v>0</v>
      </c>
      <c r="Z421" s="520">
        <f t="shared" si="258"/>
        <v>0.69199999999999995</v>
      </c>
      <c r="AA421" s="103">
        <f t="shared" si="258"/>
        <v>0</v>
      </c>
      <c r="AB421" s="103">
        <f t="shared" si="258"/>
        <v>0</v>
      </c>
      <c r="AC421" s="103">
        <f t="shared" si="258"/>
        <v>0</v>
      </c>
      <c r="AD421" s="103">
        <f t="shared" si="258"/>
        <v>-12.893000000000001</v>
      </c>
      <c r="AE421" s="520">
        <f t="shared" si="258"/>
        <v>-12.893000000000001</v>
      </c>
      <c r="AF421" s="103">
        <f t="shared" si="258"/>
        <v>0</v>
      </c>
      <c r="AG421" s="103">
        <f t="shared" si="258"/>
        <v>0</v>
      </c>
      <c r="AH421" s="103">
        <f t="shared" si="258"/>
        <v>-10.17</v>
      </c>
      <c r="AI421" s="103">
        <f t="shared" ref="AI421:BS421" si="259">-SUM(AI282:AI285)</f>
        <v>0</v>
      </c>
      <c r="AJ421" s="520">
        <f t="shared" si="259"/>
        <v>-10.17</v>
      </c>
      <c r="AK421" s="103">
        <f t="shared" si="259"/>
        <v>0</v>
      </c>
      <c r="AL421" s="103">
        <f t="shared" si="259"/>
        <v>0</v>
      </c>
      <c r="AM421" s="103">
        <f t="shared" si="259"/>
        <v>0</v>
      </c>
      <c r="AN421" s="103">
        <f t="shared" si="259"/>
        <v>0</v>
      </c>
      <c r="AO421" s="520">
        <f t="shared" si="259"/>
        <v>0</v>
      </c>
      <c r="AP421" s="103">
        <f t="shared" si="259"/>
        <v>0</v>
      </c>
      <c r="AQ421" s="103">
        <f t="shared" si="259"/>
        <v>0</v>
      </c>
      <c r="AR421" s="103">
        <f t="shared" si="259"/>
        <v>0</v>
      </c>
      <c r="AS421" s="103">
        <f t="shared" si="259"/>
        <v>0</v>
      </c>
      <c r="AT421" s="520">
        <f t="shared" si="259"/>
        <v>0</v>
      </c>
      <c r="AU421" s="103">
        <f t="shared" si="259"/>
        <v>0</v>
      </c>
      <c r="AV421" s="103">
        <f t="shared" si="259"/>
        <v>0</v>
      </c>
      <c r="AW421" s="103">
        <f t="shared" si="259"/>
        <v>0</v>
      </c>
      <c r="AX421" s="103">
        <f t="shared" si="259"/>
        <v>0</v>
      </c>
      <c r="AY421" s="520">
        <f t="shared" si="259"/>
        <v>0</v>
      </c>
      <c r="AZ421" s="103">
        <f t="shared" si="259"/>
        <v>0</v>
      </c>
      <c r="BA421" s="103">
        <f t="shared" si="259"/>
        <v>0</v>
      </c>
      <c r="BB421" s="103">
        <f t="shared" si="259"/>
        <v>0</v>
      </c>
      <c r="BC421" s="103">
        <f t="shared" si="259"/>
        <v>0</v>
      </c>
      <c r="BD421" s="520">
        <f t="shared" si="259"/>
        <v>0</v>
      </c>
      <c r="BE421" s="103">
        <f t="shared" si="259"/>
        <v>0</v>
      </c>
      <c r="BF421" s="103">
        <f t="shared" si="259"/>
        <v>39.777000000000001</v>
      </c>
      <c r="BG421" s="103">
        <f t="shared" si="259"/>
        <v>77.319000000000003</v>
      </c>
      <c r="BH421" s="103">
        <f t="shared" si="259"/>
        <v>-4.2999999999999972</v>
      </c>
      <c r="BI421" s="520">
        <f t="shared" si="259"/>
        <v>112.79600000000001</v>
      </c>
      <c r="BJ421" s="103">
        <f t="shared" si="259"/>
        <v>0</v>
      </c>
      <c r="BK421" s="103">
        <f t="shared" si="259"/>
        <v>0</v>
      </c>
      <c r="BL421" s="103">
        <f t="shared" si="259"/>
        <v>0</v>
      </c>
      <c r="BM421" s="103">
        <f t="shared" si="259"/>
        <v>0</v>
      </c>
      <c r="BN421" s="520">
        <f t="shared" si="259"/>
        <v>0</v>
      </c>
      <c r="BO421" s="103">
        <f t="shared" si="259"/>
        <v>0</v>
      </c>
      <c r="BP421" s="103">
        <f t="shared" si="259"/>
        <v>0</v>
      </c>
      <c r="BQ421" s="103">
        <f t="shared" si="259"/>
        <v>0</v>
      </c>
      <c r="BR421" s="103">
        <f t="shared" si="259"/>
        <v>0</v>
      </c>
      <c r="BS421" s="521">
        <f t="shared" si="259"/>
        <v>0</v>
      </c>
      <c r="BT421" s="158"/>
      <c r="BU421" s="158"/>
      <c r="BV421" s="158"/>
      <c r="BW421" s="158"/>
      <c r="BX421" s="415">
        <f>SUM(BT421,BU421,BV421,BW421)</f>
        <v>0</v>
      </c>
      <c r="BY421" s="158"/>
      <c r="BZ421" s="158"/>
      <c r="CA421" s="158"/>
      <c r="CB421" s="158"/>
      <c r="CC421" s="415">
        <f>SUM(BY421,BZ421,CA421,CB421)</f>
        <v>0</v>
      </c>
      <c r="CD421" s="415"/>
      <c r="CE421" s="415"/>
      <c r="CF421" s="415"/>
      <c r="CG421" s="99"/>
    </row>
    <row r="422" spans="1:85" ht="14.45" customHeight="1" x14ac:dyDescent="0.25">
      <c r="A422" s="110" t="s">
        <v>68</v>
      </c>
      <c r="B422" s="212"/>
      <c r="C422" s="416">
        <f t="shared" ref="C422:AH422" si="260">C408-SUM(C419:C421)</f>
        <v>57.124000000000159</v>
      </c>
      <c r="D422" s="416">
        <f t="shared" si="260"/>
        <v>61.190999999999867</v>
      </c>
      <c r="E422" s="416">
        <f t="shared" si="260"/>
        <v>51.551000000000087</v>
      </c>
      <c r="F422" s="416">
        <f t="shared" si="260"/>
        <v>53.347999999999921</v>
      </c>
      <c r="G422" s="106">
        <f t="shared" si="260"/>
        <v>8.1089999999999716</v>
      </c>
      <c r="H422" s="106">
        <f t="shared" si="260"/>
        <v>19.490000000000002</v>
      </c>
      <c r="I422" s="106">
        <f t="shared" si="260"/>
        <v>22.839000000000016</v>
      </c>
      <c r="J422" s="106">
        <f t="shared" si="260"/>
        <v>-6.1940000000001989</v>
      </c>
      <c r="K422" s="416">
        <f t="shared" si="260"/>
        <v>44.243999999999822</v>
      </c>
      <c r="L422" s="106">
        <f t="shared" si="260"/>
        <v>4.8929999999999856</v>
      </c>
      <c r="M422" s="106">
        <f t="shared" si="260"/>
        <v>23.921000000000038</v>
      </c>
      <c r="N422" s="106">
        <f t="shared" si="260"/>
        <v>21.113</v>
      </c>
      <c r="O422" s="106">
        <f t="shared" si="260"/>
        <v>5.6909999999996508</v>
      </c>
      <c r="P422" s="416">
        <f t="shared" si="260"/>
        <v>55.617999999999761</v>
      </c>
      <c r="Q422" s="106">
        <f t="shared" si="260"/>
        <v>4.4659999999999869</v>
      </c>
      <c r="R422" s="106">
        <f t="shared" si="260"/>
        <v>46.483000000000004</v>
      </c>
      <c r="S422" s="106">
        <f t="shared" si="260"/>
        <v>39.658000000000058</v>
      </c>
      <c r="T422" s="106">
        <f t="shared" si="260"/>
        <v>8.5150000000002137</v>
      </c>
      <c r="U422" s="416">
        <f t="shared" si="260"/>
        <v>99.122000000000128</v>
      </c>
      <c r="V422" s="106">
        <f t="shared" si="260"/>
        <v>-14.11099999999999</v>
      </c>
      <c r="W422" s="106">
        <f t="shared" si="260"/>
        <v>27.961999999999989</v>
      </c>
      <c r="X422" s="106">
        <f t="shared" si="260"/>
        <v>38.674000000000042</v>
      </c>
      <c r="Y422" s="106">
        <f t="shared" si="260"/>
        <v>40.186999999999706</v>
      </c>
      <c r="Z422" s="416">
        <f t="shared" si="260"/>
        <v>92.711999999999918</v>
      </c>
      <c r="AA422" s="106">
        <f t="shared" si="260"/>
        <v>-8.1080000000000538</v>
      </c>
      <c r="AB422" s="106">
        <f t="shared" si="260"/>
        <v>11.323999999999877</v>
      </c>
      <c r="AC422" s="106">
        <f t="shared" si="260"/>
        <v>30.659000000000052</v>
      </c>
      <c r="AD422" s="106">
        <f t="shared" si="260"/>
        <v>29.130999999999478</v>
      </c>
      <c r="AE422" s="416">
        <f t="shared" si="260"/>
        <v>63.005999999999631</v>
      </c>
      <c r="AF422" s="106">
        <f t="shared" si="260"/>
        <v>-26.532999999999902</v>
      </c>
      <c r="AG422" s="106">
        <f t="shared" si="260"/>
        <v>-2.883000000000024</v>
      </c>
      <c r="AH422" s="106">
        <f t="shared" si="260"/>
        <v>43.442999999999884</v>
      </c>
      <c r="AI422" s="106">
        <f t="shared" ref="AI422:BN422" si="261">AI408-SUM(AI419:AI421)</f>
        <v>-27.314000000000654</v>
      </c>
      <c r="AJ422" s="416">
        <f t="shared" si="261"/>
        <v>-13.287000000000418</v>
      </c>
      <c r="AK422" s="106">
        <f t="shared" si="261"/>
        <v>-8.5830000000000055</v>
      </c>
      <c r="AL422" s="106">
        <f t="shared" si="261"/>
        <v>24.03800000000011</v>
      </c>
      <c r="AM422" s="106">
        <f t="shared" si="261"/>
        <v>22.170000000000062</v>
      </c>
      <c r="AN422" s="106">
        <f t="shared" si="261"/>
        <v>-3.4000000000002686</v>
      </c>
      <c r="AO422" s="416">
        <f t="shared" si="261"/>
        <v>34.224999999999909</v>
      </c>
      <c r="AP422" s="106">
        <f t="shared" si="261"/>
        <v>20.961999999999968</v>
      </c>
      <c r="AQ422" s="106">
        <f t="shared" si="261"/>
        <v>57.79999999999994</v>
      </c>
      <c r="AR422" s="106">
        <f t="shared" si="261"/>
        <v>73.416999999999888</v>
      </c>
      <c r="AS422" s="106">
        <f t="shared" si="261"/>
        <v>88.861000000000018</v>
      </c>
      <c r="AT422" s="416">
        <f t="shared" si="261"/>
        <v>241.04000000000016</v>
      </c>
      <c r="AU422" s="106">
        <f t="shared" si="261"/>
        <v>73.382999999999967</v>
      </c>
      <c r="AV422" s="106">
        <f t="shared" si="261"/>
        <v>65.455000000000041</v>
      </c>
      <c r="AW422" s="106">
        <f t="shared" si="261"/>
        <v>93.951999999999998</v>
      </c>
      <c r="AX422" s="106">
        <f t="shared" si="261"/>
        <v>22.358999999999796</v>
      </c>
      <c r="AY422" s="416">
        <f t="shared" si="261"/>
        <v>255.14899999999983</v>
      </c>
      <c r="AZ422" s="106">
        <f t="shared" si="261"/>
        <v>126.5649999999999</v>
      </c>
      <c r="BA422" s="106">
        <f t="shared" si="261"/>
        <v>133.94799999999989</v>
      </c>
      <c r="BB422" s="106">
        <f t="shared" si="261"/>
        <v>159.10099999999994</v>
      </c>
      <c r="BC422" s="106">
        <f t="shared" si="261"/>
        <v>155.47300000000016</v>
      </c>
      <c r="BD422" s="416">
        <f t="shared" si="261"/>
        <v>575.08700000000022</v>
      </c>
      <c r="BE422" s="106">
        <f t="shared" si="261"/>
        <v>159.20200000000008</v>
      </c>
      <c r="BF422" s="106">
        <f t="shared" si="261"/>
        <v>164.75200000000001</v>
      </c>
      <c r="BG422" s="106">
        <f t="shared" si="261"/>
        <v>120.98400000000015</v>
      </c>
      <c r="BH422" s="106">
        <f t="shared" si="261"/>
        <v>112.54300000000008</v>
      </c>
      <c r="BI422" s="416">
        <f t="shared" si="261"/>
        <v>557.48100000000022</v>
      </c>
      <c r="BJ422" s="106">
        <f t="shared" si="261"/>
        <v>222.83499999999995</v>
      </c>
      <c r="BK422" s="106">
        <f t="shared" si="261"/>
        <v>232.22500000000005</v>
      </c>
      <c r="BL422" s="106">
        <f t="shared" si="261"/>
        <v>155.56300000000007</v>
      </c>
      <c r="BM422" s="106">
        <f t="shared" si="261"/>
        <v>246.03100000000069</v>
      </c>
      <c r="BN422" s="416">
        <f t="shared" si="261"/>
        <v>856.65400000000011</v>
      </c>
      <c r="BO422" s="106">
        <f t="shared" ref="BO422:CF422" si="262">BO408-SUM(BO419:BO421)</f>
        <v>139.47300000000004</v>
      </c>
      <c r="BP422" s="106">
        <f t="shared" si="262"/>
        <v>252.99200000000013</v>
      </c>
      <c r="BQ422" s="106">
        <f t="shared" si="262"/>
        <v>192.23000000000008</v>
      </c>
      <c r="BR422" s="106">
        <f t="shared" si="262"/>
        <v>188.22299999999973</v>
      </c>
      <c r="BS422" s="417">
        <f t="shared" si="262"/>
        <v>772.91800000000012</v>
      </c>
      <c r="BT422" s="159">
        <f t="shared" si="262"/>
        <v>168.03233336739714</v>
      </c>
      <c r="BU422" s="159">
        <f t="shared" si="262"/>
        <v>227.45767841999998</v>
      </c>
      <c r="BV422" s="159">
        <f t="shared" si="262"/>
        <v>235.91136941999997</v>
      </c>
      <c r="BW422" s="159">
        <f t="shared" si="262"/>
        <v>231.94848852000013</v>
      </c>
      <c r="BX422" s="418">
        <f t="shared" si="262"/>
        <v>863.34986972739694</v>
      </c>
      <c r="BY422" s="159">
        <f t="shared" si="262"/>
        <v>193.18234428449989</v>
      </c>
      <c r="BZ422" s="159">
        <f t="shared" si="262"/>
        <v>229.66693819649998</v>
      </c>
      <c r="CA422" s="159">
        <f t="shared" si="262"/>
        <v>238.2510385503</v>
      </c>
      <c r="CB422" s="159">
        <f t="shared" si="262"/>
        <v>234.13128983460012</v>
      </c>
      <c r="CC422" s="418">
        <f t="shared" si="262"/>
        <v>895.23161086589926</v>
      </c>
      <c r="CD422" s="418">
        <f t="shared" si="262"/>
        <v>905.42535228050815</v>
      </c>
      <c r="CE422" s="418">
        <f t="shared" si="262"/>
        <v>915.78441406939555</v>
      </c>
      <c r="CF422" s="418">
        <f t="shared" si="262"/>
        <v>926.31190986777688</v>
      </c>
      <c r="CG422" s="109"/>
    </row>
    <row r="423" spans="1:85" ht="14.45" customHeight="1" x14ac:dyDescent="0.25">
      <c r="A423" s="220"/>
      <c r="B423" s="221"/>
      <c r="C423" s="516"/>
      <c r="D423" s="516"/>
      <c r="E423" s="516"/>
      <c r="F423" s="516"/>
      <c r="G423" s="222"/>
      <c r="H423" s="222"/>
      <c r="I423" s="222"/>
      <c r="J423" s="222"/>
      <c r="K423" s="516"/>
      <c r="L423" s="222"/>
      <c r="M423" s="222"/>
      <c r="N423" s="222"/>
      <c r="O423" s="222"/>
      <c r="P423" s="516"/>
      <c r="Q423" s="222"/>
      <c r="R423" s="222"/>
      <c r="S423" s="222"/>
      <c r="T423" s="222"/>
      <c r="U423" s="516"/>
      <c r="V423" s="222"/>
      <c r="W423" s="222"/>
      <c r="X423" s="222"/>
      <c r="Y423" s="222"/>
      <c r="Z423" s="516"/>
      <c r="AA423" s="222"/>
      <c r="AB423" s="222"/>
      <c r="AC423" s="222"/>
      <c r="AD423" s="222"/>
      <c r="AE423" s="516"/>
      <c r="AF423" s="222"/>
      <c r="AG423" s="222"/>
      <c r="AH423" s="222"/>
      <c r="AI423" s="222"/>
      <c r="AJ423" s="516"/>
      <c r="AK423" s="222"/>
      <c r="AL423" s="222"/>
      <c r="AM423" s="222"/>
      <c r="AN423" s="222"/>
      <c r="AO423" s="516"/>
      <c r="AP423" s="222"/>
      <c r="AQ423" s="222"/>
      <c r="AR423" s="222"/>
      <c r="AS423" s="222"/>
      <c r="AT423" s="516"/>
      <c r="AU423" s="222"/>
      <c r="AV423" s="222"/>
      <c r="AW423" s="222"/>
      <c r="AX423" s="222"/>
      <c r="AY423" s="516"/>
      <c r="AZ423" s="222"/>
      <c r="BA423" s="222"/>
      <c r="BB423" s="222"/>
      <c r="BC423" s="222"/>
      <c r="BD423" s="516"/>
      <c r="BE423" s="222"/>
      <c r="BF423" s="222"/>
      <c r="BG423" s="222"/>
      <c r="BH423" s="222"/>
      <c r="BI423" s="516"/>
      <c r="BJ423" s="222"/>
      <c r="BK423" s="222"/>
      <c r="BL423" s="222"/>
      <c r="BM423" s="222"/>
      <c r="BN423" s="516"/>
      <c r="BO423" s="222"/>
      <c r="BP423" s="222"/>
      <c r="BQ423" s="222"/>
      <c r="BR423" s="222"/>
      <c r="BS423" s="517"/>
      <c r="BT423" s="222"/>
      <c r="BU423" s="222"/>
      <c r="BV423" s="222"/>
      <c r="BW423" s="222"/>
      <c r="BX423" s="516"/>
      <c r="BY423" s="222"/>
      <c r="BZ423" s="222"/>
      <c r="CA423" s="222"/>
      <c r="CB423" s="222"/>
      <c r="CC423" s="516"/>
      <c r="CD423" s="516"/>
      <c r="CE423" s="516"/>
      <c r="CF423" s="516"/>
      <c r="CG423" s="523"/>
    </row>
    <row r="424" spans="1:85" ht="14.45" customHeight="1" x14ac:dyDescent="0.25">
      <c r="A424" s="125" t="s">
        <v>484</v>
      </c>
      <c r="B424" s="180"/>
      <c r="C424" s="467">
        <f t="shared" ref="C424:AH424" si="263">C287-C425</f>
        <v>8.9480000000000004</v>
      </c>
      <c r="D424" s="467">
        <f t="shared" si="263"/>
        <v>26.555</v>
      </c>
      <c r="E424" s="467">
        <f t="shared" si="263"/>
        <v>11.639999999999999</v>
      </c>
      <c r="F424" s="467">
        <f t="shared" si="263"/>
        <v>14.750999999999999</v>
      </c>
      <c r="G424" s="99">
        <f t="shared" si="263"/>
        <v>2.294</v>
      </c>
      <c r="H424" s="99">
        <f t="shared" si="263"/>
        <v>6.9240000000000004</v>
      </c>
      <c r="I424" s="99">
        <f t="shared" si="263"/>
        <v>6.7080000000000002</v>
      </c>
      <c r="J424" s="99">
        <f t="shared" si="263"/>
        <v>6.2329999999999997</v>
      </c>
      <c r="K424" s="467">
        <f t="shared" si="263"/>
        <v>22.158999999999999</v>
      </c>
      <c r="L424" s="99">
        <f t="shared" si="263"/>
        <v>1.57</v>
      </c>
      <c r="M424" s="99">
        <f t="shared" si="263"/>
        <v>8.3060000000000009</v>
      </c>
      <c r="N424" s="99">
        <f t="shared" si="263"/>
        <v>7.258</v>
      </c>
      <c r="O424" s="99">
        <f t="shared" si="263"/>
        <v>-1.8180000000000005</v>
      </c>
      <c r="P424" s="467">
        <f t="shared" si="263"/>
        <v>15.316000000000003</v>
      </c>
      <c r="Q424" s="99">
        <f t="shared" si="263"/>
        <v>1.4709999999999999</v>
      </c>
      <c r="R424" s="99">
        <f t="shared" si="263"/>
        <v>19.058</v>
      </c>
      <c r="S424" s="99">
        <f t="shared" si="263"/>
        <v>14.134</v>
      </c>
      <c r="T424" s="99">
        <f t="shared" si="263"/>
        <v>-10.992999999999995</v>
      </c>
      <c r="U424" s="467">
        <f t="shared" si="263"/>
        <v>23.67</v>
      </c>
      <c r="V424" s="99">
        <f t="shared" si="263"/>
        <v>0</v>
      </c>
      <c r="W424" s="99">
        <f t="shared" si="263"/>
        <v>7.0359999999999996</v>
      </c>
      <c r="X424" s="99">
        <f t="shared" si="263"/>
        <v>6.1360000000000001</v>
      </c>
      <c r="Y424" s="99">
        <f t="shared" si="263"/>
        <v>-20.064999999999998</v>
      </c>
      <c r="Z424" s="467">
        <f t="shared" si="263"/>
        <v>-6.8930000000000007</v>
      </c>
      <c r="AA424" s="99">
        <f t="shared" si="263"/>
        <v>11.803999999999998</v>
      </c>
      <c r="AB424" s="99">
        <f t="shared" si="263"/>
        <v>13.166</v>
      </c>
      <c r="AC424" s="99">
        <f t="shared" si="263"/>
        <v>11.571</v>
      </c>
      <c r="AD424" s="99">
        <f t="shared" si="263"/>
        <v>-18.271000000000001</v>
      </c>
      <c r="AE424" s="467">
        <f t="shared" si="263"/>
        <v>18.269999999999996</v>
      </c>
      <c r="AF424" s="99">
        <f t="shared" si="263"/>
        <v>2.423</v>
      </c>
      <c r="AG424" s="99">
        <f t="shared" si="263"/>
        <v>0.75700000000000123</v>
      </c>
      <c r="AH424" s="99">
        <f t="shared" si="263"/>
        <v>-9.6960000000000015</v>
      </c>
      <c r="AI424" s="99">
        <f t="shared" ref="AI424:BN424" si="264">AI287-AI425</f>
        <v>-0.98099999999999787</v>
      </c>
      <c r="AJ424" s="467">
        <f t="shared" si="264"/>
        <v>-7.4969999999999999</v>
      </c>
      <c r="AK424" s="99">
        <f t="shared" si="264"/>
        <v>0.43999999999999995</v>
      </c>
      <c r="AL424" s="99">
        <f t="shared" si="264"/>
        <v>-0.27999999999999936</v>
      </c>
      <c r="AM424" s="99">
        <f t="shared" si="264"/>
        <v>5.3870000000000005</v>
      </c>
      <c r="AN424" s="99">
        <f t="shared" si="264"/>
        <v>6.1309999999999985</v>
      </c>
      <c r="AO424" s="467">
        <f t="shared" si="264"/>
        <v>11.677999999999999</v>
      </c>
      <c r="AP424" s="99">
        <f t="shared" si="264"/>
        <v>-0.54900000000000038</v>
      </c>
      <c r="AQ424" s="99">
        <f t="shared" si="264"/>
        <v>-0.57300000000000217</v>
      </c>
      <c r="AR424" s="99">
        <f t="shared" si="264"/>
        <v>34.731000000000002</v>
      </c>
      <c r="AS424" s="99">
        <f t="shared" si="264"/>
        <v>16.596999999999994</v>
      </c>
      <c r="AT424" s="467">
        <f t="shared" si="264"/>
        <v>50.205999999999996</v>
      </c>
      <c r="AU424" s="99">
        <f t="shared" si="264"/>
        <v>3.9999999999999147E-2</v>
      </c>
      <c r="AV424" s="99">
        <f t="shared" si="264"/>
        <v>34.962000000000003</v>
      </c>
      <c r="AW424" s="99">
        <f t="shared" si="264"/>
        <v>16.407999999999998</v>
      </c>
      <c r="AX424" s="99">
        <f t="shared" si="264"/>
        <v>23.342000000000002</v>
      </c>
      <c r="AY424" s="467">
        <f t="shared" si="264"/>
        <v>74.75200000000001</v>
      </c>
      <c r="AZ424" s="99">
        <f t="shared" si="264"/>
        <v>4.49999999999946E-2</v>
      </c>
      <c r="BA424" s="99">
        <f t="shared" si="264"/>
        <v>56.327000000000005</v>
      </c>
      <c r="BB424" s="99">
        <f t="shared" si="264"/>
        <v>40.78</v>
      </c>
      <c r="BC424" s="99">
        <f t="shared" si="264"/>
        <v>38.79999999999999</v>
      </c>
      <c r="BD424" s="467">
        <f t="shared" si="264"/>
        <v>135.952</v>
      </c>
      <c r="BE424" s="99">
        <f t="shared" si="264"/>
        <v>0.33200000000000074</v>
      </c>
      <c r="BF424" s="99">
        <f t="shared" si="264"/>
        <v>91.024000000000001</v>
      </c>
      <c r="BG424" s="99">
        <f t="shared" si="264"/>
        <v>55.923999999999999</v>
      </c>
      <c r="BH424" s="99">
        <f t="shared" si="264"/>
        <v>50.846999999999994</v>
      </c>
      <c r="BI424" s="467">
        <f t="shared" si="264"/>
        <v>198.12700000000001</v>
      </c>
      <c r="BJ424" s="99">
        <f t="shared" si="264"/>
        <v>0.47800000000000153</v>
      </c>
      <c r="BK424" s="99">
        <f t="shared" si="264"/>
        <v>113.76499999999999</v>
      </c>
      <c r="BL424" s="99">
        <f t="shared" si="264"/>
        <v>60.233000000000004</v>
      </c>
      <c r="BM424" s="99">
        <f t="shared" si="264"/>
        <v>46.524000000000001</v>
      </c>
      <c r="BN424" s="467">
        <f t="shared" si="264"/>
        <v>221</v>
      </c>
      <c r="BO424" s="99">
        <f t="shared" ref="BO424:BS424" si="265">BO287-BO425</f>
        <v>0.58400000000000318</v>
      </c>
      <c r="BP424" s="99">
        <f t="shared" si="265"/>
        <v>116.86799999999999</v>
      </c>
      <c r="BQ424" s="99">
        <f t="shared" si="265"/>
        <v>33.388000000000005</v>
      </c>
      <c r="BR424" s="99">
        <f t="shared" si="265"/>
        <v>37.792000000000016</v>
      </c>
      <c r="BS424" s="468">
        <f t="shared" si="265"/>
        <v>188.63200000000001</v>
      </c>
      <c r="BT424" s="63">
        <f t="shared" ref="BT424:BW425" si="266">BT438*BT$422</f>
        <v>33.606466673479432</v>
      </c>
      <c r="BU424" s="63">
        <f t="shared" si="266"/>
        <v>45.491535683999999</v>
      </c>
      <c r="BV424" s="63">
        <f t="shared" si="266"/>
        <v>47.182273883999997</v>
      </c>
      <c r="BW424" s="63">
        <f t="shared" si="266"/>
        <v>46.389697704000028</v>
      </c>
      <c r="BX424" s="413">
        <f>SUM(BT424,BU424,BV424,BW424)</f>
        <v>172.66997394547946</v>
      </c>
      <c r="BY424" s="63">
        <f t="shared" ref="BY424:CB425" si="267">BY438*BY$422</f>
        <v>38.636468856899981</v>
      </c>
      <c r="BZ424" s="63">
        <f t="shared" si="267"/>
        <v>45.933387639300001</v>
      </c>
      <c r="CA424" s="63">
        <f t="shared" si="267"/>
        <v>47.650207710060002</v>
      </c>
      <c r="CB424" s="63">
        <f t="shared" si="267"/>
        <v>46.826257966920025</v>
      </c>
      <c r="CC424" s="413">
        <f>SUM(BY424,BZ424,CA424,CB424)</f>
        <v>179.04632217317999</v>
      </c>
      <c r="CD424" s="413">
        <f>CD438*CD422</f>
        <v>181.0850704561017</v>
      </c>
      <c r="CE424" s="413">
        <f>CE438*CE422</f>
        <v>183.15688281387921</v>
      </c>
      <c r="CF424" s="413">
        <f>CF438*CF422</f>
        <v>185.26238197355545</v>
      </c>
      <c r="CG424" s="99"/>
    </row>
    <row r="425" spans="1:85" ht="14.45" customHeight="1" x14ac:dyDescent="0.25">
      <c r="A425" s="130" t="s">
        <v>485</v>
      </c>
      <c r="B425" s="190"/>
      <c r="C425" s="520">
        <f t="shared" ref="C425:AH425" si="268">C640</f>
        <v>7.633</v>
      </c>
      <c r="D425" s="520">
        <f t="shared" si="268"/>
        <v>-4.9059999999999997</v>
      </c>
      <c r="E425" s="520">
        <f t="shared" si="268"/>
        <v>7.8879999999999999</v>
      </c>
      <c r="F425" s="520">
        <f t="shared" si="268"/>
        <v>7.1379999999999999</v>
      </c>
      <c r="G425" s="103">
        <f t="shared" si="268"/>
        <v>0.14599999999999999</v>
      </c>
      <c r="H425" s="103">
        <f t="shared" si="268"/>
        <v>0.42999999999999994</v>
      </c>
      <c r="I425" s="103">
        <f t="shared" si="268"/>
        <v>-1.952</v>
      </c>
      <c r="J425" s="103">
        <f t="shared" si="268"/>
        <v>-8.641</v>
      </c>
      <c r="K425" s="520">
        <f t="shared" si="268"/>
        <v>-10.016999999999999</v>
      </c>
      <c r="L425" s="103">
        <f t="shared" si="268"/>
        <v>0.222</v>
      </c>
      <c r="M425" s="103">
        <f t="shared" si="268"/>
        <v>0.28300000000000003</v>
      </c>
      <c r="N425" s="103">
        <f t="shared" si="268"/>
        <v>0.15000000000000002</v>
      </c>
      <c r="O425" s="103">
        <f t="shared" si="268"/>
        <v>3.5649999999999995</v>
      </c>
      <c r="P425" s="520">
        <f t="shared" si="268"/>
        <v>4.22</v>
      </c>
      <c r="Q425" s="103">
        <f t="shared" si="268"/>
        <v>4.2000000000000003E-2</v>
      </c>
      <c r="R425" s="103">
        <f t="shared" si="268"/>
        <v>-1.496</v>
      </c>
      <c r="S425" s="103">
        <f t="shared" si="268"/>
        <v>-2.0350000000000001</v>
      </c>
      <c r="T425" s="103">
        <f t="shared" si="268"/>
        <v>13.896999999999998</v>
      </c>
      <c r="U425" s="520">
        <f t="shared" si="268"/>
        <v>10.407999999999999</v>
      </c>
      <c r="V425" s="103">
        <f t="shared" si="268"/>
        <v>-5.0780000000000003</v>
      </c>
      <c r="W425" s="103">
        <f t="shared" si="268"/>
        <v>3.6020000000000003</v>
      </c>
      <c r="X425" s="103">
        <f t="shared" si="268"/>
        <v>6.9850000000000003</v>
      </c>
      <c r="Y425" s="103">
        <f t="shared" si="268"/>
        <v>37.433</v>
      </c>
      <c r="Z425" s="520">
        <f t="shared" si="268"/>
        <v>42.942</v>
      </c>
      <c r="AA425" s="103">
        <f t="shared" si="268"/>
        <v>-15.494999999999999</v>
      </c>
      <c r="AB425" s="103">
        <f t="shared" si="268"/>
        <v>-9.423</v>
      </c>
      <c r="AC425" s="103">
        <f t="shared" si="268"/>
        <v>0.1769999999999996</v>
      </c>
      <c r="AD425" s="103">
        <f t="shared" si="268"/>
        <v>-33.369999999999997</v>
      </c>
      <c r="AE425" s="520">
        <f t="shared" si="268"/>
        <v>-58.110999999999997</v>
      </c>
      <c r="AF425" s="103">
        <f t="shared" si="268"/>
        <v>-15.394</v>
      </c>
      <c r="AG425" s="103">
        <f t="shared" si="268"/>
        <v>-0.89200000000000124</v>
      </c>
      <c r="AH425" s="103">
        <f t="shared" si="268"/>
        <v>26.189</v>
      </c>
      <c r="AI425" s="103">
        <f t="shared" ref="AI425:BS425" si="269">AI640</f>
        <v>-0.53700000000000081</v>
      </c>
      <c r="AJ425" s="520">
        <f t="shared" si="269"/>
        <v>9.3659999999999997</v>
      </c>
      <c r="AK425" s="103">
        <f t="shared" si="269"/>
        <v>-3.4449999999999998</v>
      </c>
      <c r="AL425" s="103">
        <f t="shared" si="269"/>
        <v>7.4619999999999997</v>
      </c>
      <c r="AM425" s="103">
        <f t="shared" si="269"/>
        <v>1.2369999999999992</v>
      </c>
      <c r="AN425" s="103">
        <f t="shared" si="269"/>
        <v>-1.2669999999999995</v>
      </c>
      <c r="AO425" s="520">
        <f t="shared" si="269"/>
        <v>3.9870000000000001</v>
      </c>
      <c r="AP425" s="103">
        <f t="shared" si="269"/>
        <v>5.91</v>
      </c>
      <c r="AQ425" s="103">
        <f t="shared" si="269"/>
        <v>15.760000000000002</v>
      </c>
      <c r="AR425" s="103">
        <f t="shared" si="269"/>
        <v>-16.368000000000002</v>
      </c>
      <c r="AS425" s="103">
        <f t="shared" si="269"/>
        <v>3.4350000000000005</v>
      </c>
      <c r="AT425" s="520">
        <f t="shared" si="269"/>
        <v>8.7370000000000001</v>
      </c>
      <c r="AU425" s="103">
        <f t="shared" si="269"/>
        <v>19.98</v>
      </c>
      <c r="AV425" s="103">
        <f t="shared" si="269"/>
        <v>-17.687000000000001</v>
      </c>
      <c r="AW425" s="103">
        <f t="shared" si="269"/>
        <v>8.6140000000000008</v>
      </c>
      <c r="AX425" s="103">
        <f t="shared" si="269"/>
        <v>-20.09</v>
      </c>
      <c r="AY425" s="520">
        <f t="shared" si="269"/>
        <v>-9.1829999999999998</v>
      </c>
      <c r="AZ425" s="103">
        <f t="shared" si="269"/>
        <v>33.130000000000003</v>
      </c>
      <c r="BA425" s="103">
        <f t="shared" si="269"/>
        <v>-21.941000000000003</v>
      </c>
      <c r="BB425" s="103">
        <f t="shared" si="269"/>
        <v>-0.4399999999999995</v>
      </c>
      <c r="BC425" s="103">
        <f t="shared" si="269"/>
        <v>-1.7720000000000002</v>
      </c>
      <c r="BD425" s="520">
        <f t="shared" si="269"/>
        <v>8.9770000000000003</v>
      </c>
      <c r="BE425" s="103">
        <f t="shared" si="269"/>
        <v>40.743000000000002</v>
      </c>
      <c r="BF425" s="103">
        <f t="shared" si="269"/>
        <v>-48.591000000000001</v>
      </c>
      <c r="BG425" s="103">
        <f t="shared" si="269"/>
        <v>-27.033000000000001</v>
      </c>
      <c r="BH425" s="103">
        <f t="shared" si="269"/>
        <v>-14.14</v>
      </c>
      <c r="BI425" s="520">
        <f t="shared" si="269"/>
        <v>-49.021000000000001</v>
      </c>
      <c r="BJ425" s="103">
        <f t="shared" si="269"/>
        <v>56.616</v>
      </c>
      <c r="BK425" s="103">
        <f t="shared" si="269"/>
        <v>-54.351999999999997</v>
      </c>
      <c r="BL425" s="103">
        <f t="shared" si="269"/>
        <v>-20.294</v>
      </c>
      <c r="BM425" s="103">
        <f t="shared" si="269"/>
        <v>20.559000000000001</v>
      </c>
      <c r="BN425" s="520">
        <f t="shared" si="269"/>
        <v>2.5289999999999999</v>
      </c>
      <c r="BO425" s="103">
        <f t="shared" si="269"/>
        <v>35.277999999999999</v>
      </c>
      <c r="BP425" s="103">
        <f t="shared" si="269"/>
        <v>-51.262999999999998</v>
      </c>
      <c r="BQ425" s="103">
        <f t="shared" si="269"/>
        <v>16.507999999999999</v>
      </c>
      <c r="BR425" s="103">
        <f t="shared" si="269"/>
        <v>13.181000000000001</v>
      </c>
      <c r="BS425" s="521">
        <f t="shared" si="269"/>
        <v>13.704000000000001</v>
      </c>
      <c r="BT425" s="158">
        <f t="shared" si="266"/>
        <v>8.4016166683698579</v>
      </c>
      <c r="BU425" s="158">
        <f t="shared" si="266"/>
        <v>11.372883921</v>
      </c>
      <c r="BV425" s="158">
        <f t="shared" si="266"/>
        <v>11.795568470999999</v>
      </c>
      <c r="BW425" s="158">
        <f t="shared" si="266"/>
        <v>11.597424426000007</v>
      </c>
      <c r="BX425" s="415">
        <f>SUM(BT425,BU425,BV425,BW425)</f>
        <v>43.167493486369864</v>
      </c>
      <c r="BY425" s="158">
        <f t="shared" si="267"/>
        <v>9.6591172142249953</v>
      </c>
      <c r="BZ425" s="158">
        <f t="shared" si="267"/>
        <v>11.483346909825</v>
      </c>
      <c r="CA425" s="158">
        <f t="shared" si="267"/>
        <v>11.912551927515</v>
      </c>
      <c r="CB425" s="158">
        <f t="shared" si="267"/>
        <v>11.706564491730006</v>
      </c>
      <c r="CC425" s="415">
        <f>SUM(BY425,BZ425,CA425,CB425)</f>
        <v>44.761580543294997</v>
      </c>
      <c r="CD425" s="415">
        <f>CD439*CD422</f>
        <v>45.271267614025362</v>
      </c>
      <c r="CE425" s="415">
        <f>CE439*CE422</f>
        <v>45.789220703469731</v>
      </c>
      <c r="CF425" s="415">
        <f>CF439*CF422</f>
        <v>46.315595493388798</v>
      </c>
      <c r="CG425" s="99"/>
    </row>
    <row r="426" spans="1:85" ht="14.45" customHeight="1" x14ac:dyDescent="0.25">
      <c r="A426" s="110" t="s">
        <v>486</v>
      </c>
      <c r="B426" s="212"/>
      <c r="C426" s="416">
        <f t="shared" ref="C426:AH426" si="270">C422-SUM(C424:C425)</f>
        <v>40.543000000000163</v>
      </c>
      <c r="D426" s="416">
        <f t="shared" si="270"/>
        <v>39.541999999999867</v>
      </c>
      <c r="E426" s="416">
        <f t="shared" si="270"/>
        <v>32.023000000000089</v>
      </c>
      <c r="F426" s="416">
        <f t="shared" si="270"/>
        <v>31.458999999999921</v>
      </c>
      <c r="G426" s="106">
        <f t="shared" si="270"/>
        <v>5.6689999999999721</v>
      </c>
      <c r="H426" s="106">
        <f t="shared" si="270"/>
        <v>12.136000000000003</v>
      </c>
      <c r="I426" s="106">
        <f t="shared" si="270"/>
        <v>18.083000000000016</v>
      </c>
      <c r="J426" s="106">
        <f t="shared" si="270"/>
        <v>-3.7860000000001985</v>
      </c>
      <c r="K426" s="416">
        <f t="shared" si="270"/>
        <v>32.101999999999819</v>
      </c>
      <c r="L426" s="106">
        <f t="shared" si="270"/>
        <v>3.1009999999999858</v>
      </c>
      <c r="M426" s="106">
        <f t="shared" si="270"/>
        <v>15.332000000000038</v>
      </c>
      <c r="N426" s="106">
        <f t="shared" si="270"/>
        <v>13.704999999999998</v>
      </c>
      <c r="O426" s="106">
        <f t="shared" si="270"/>
        <v>3.9439999999996518</v>
      </c>
      <c r="P426" s="416">
        <f t="shared" si="270"/>
        <v>36.081999999999759</v>
      </c>
      <c r="Q426" s="106">
        <f t="shared" si="270"/>
        <v>2.952999999999987</v>
      </c>
      <c r="R426" s="106">
        <f t="shared" si="270"/>
        <v>28.921000000000003</v>
      </c>
      <c r="S426" s="106">
        <f t="shared" si="270"/>
        <v>27.559000000000058</v>
      </c>
      <c r="T426" s="106">
        <f t="shared" si="270"/>
        <v>5.6110000000002103</v>
      </c>
      <c r="U426" s="416">
        <f t="shared" si="270"/>
        <v>65.044000000000125</v>
      </c>
      <c r="V426" s="106">
        <f t="shared" si="270"/>
        <v>-9.0329999999999906</v>
      </c>
      <c r="W426" s="106">
        <f t="shared" si="270"/>
        <v>17.323999999999991</v>
      </c>
      <c r="X426" s="106">
        <f t="shared" si="270"/>
        <v>25.55300000000004</v>
      </c>
      <c r="Y426" s="106">
        <f t="shared" si="270"/>
        <v>22.818999999999704</v>
      </c>
      <c r="Z426" s="416">
        <f t="shared" si="270"/>
        <v>56.662999999999919</v>
      </c>
      <c r="AA426" s="106">
        <f t="shared" si="270"/>
        <v>-4.4170000000000531</v>
      </c>
      <c r="AB426" s="106">
        <f t="shared" si="270"/>
        <v>7.5809999999998769</v>
      </c>
      <c r="AC426" s="106">
        <f t="shared" si="270"/>
        <v>18.911000000000051</v>
      </c>
      <c r="AD426" s="106">
        <f t="shared" si="270"/>
        <v>80.77199999999948</v>
      </c>
      <c r="AE426" s="416">
        <f t="shared" si="270"/>
        <v>102.84699999999964</v>
      </c>
      <c r="AF426" s="106">
        <f t="shared" si="270"/>
        <v>-13.561999999999902</v>
      </c>
      <c r="AG426" s="106">
        <f t="shared" si="270"/>
        <v>-2.7480000000000242</v>
      </c>
      <c r="AH426" s="106">
        <f t="shared" si="270"/>
        <v>26.949999999999886</v>
      </c>
      <c r="AI426" s="106">
        <f t="shared" ref="AI426:BN426" si="271">AI422-SUM(AI424:AI425)</f>
        <v>-25.796000000000657</v>
      </c>
      <c r="AJ426" s="416">
        <f t="shared" si="271"/>
        <v>-15.156000000000418</v>
      </c>
      <c r="AK426" s="106">
        <f t="shared" si="271"/>
        <v>-5.5780000000000056</v>
      </c>
      <c r="AL426" s="106">
        <f t="shared" si="271"/>
        <v>16.856000000000108</v>
      </c>
      <c r="AM426" s="106">
        <f t="shared" si="271"/>
        <v>15.546000000000063</v>
      </c>
      <c r="AN426" s="106">
        <f t="shared" si="271"/>
        <v>-8.2640000000002676</v>
      </c>
      <c r="AO426" s="416">
        <f t="shared" si="271"/>
        <v>18.55999999999991</v>
      </c>
      <c r="AP426" s="106">
        <f t="shared" si="271"/>
        <v>15.600999999999967</v>
      </c>
      <c r="AQ426" s="106">
        <f t="shared" si="271"/>
        <v>42.612999999999943</v>
      </c>
      <c r="AR426" s="106">
        <f t="shared" si="271"/>
        <v>55.053999999999888</v>
      </c>
      <c r="AS426" s="106">
        <f t="shared" si="271"/>
        <v>68.829000000000022</v>
      </c>
      <c r="AT426" s="416">
        <f t="shared" si="271"/>
        <v>182.09700000000015</v>
      </c>
      <c r="AU426" s="106">
        <f t="shared" si="271"/>
        <v>53.362999999999971</v>
      </c>
      <c r="AV426" s="106">
        <f t="shared" si="271"/>
        <v>48.180000000000035</v>
      </c>
      <c r="AW426" s="106">
        <f t="shared" si="271"/>
        <v>68.930000000000007</v>
      </c>
      <c r="AX426" s="106">
        <f t="shared" si="271"/>
        <v>19.106999999999793</v>
      </c>
      <c r="AY426" s="416">
        <f t="shared" si="271"/>
        <v>189.57999999999981</v>
      </c>
      <c r="AZ426" s="106">
        <f t="shared" si="271"/>
        <v>93.389999999999901</v>
      </c>
      <c r="BA426" s="106">
        <f t="shared" si="271"/>
        <v>99.561999999999898</v>
      </c>
      <c r="BB426" s="106">
        <f t="shared" si="271"/>
        <v>118.76099999999994</v>
      </c>
      <c r="BC426" s="106">
        <f t="shared" si="271"/>
        <v>118.44500000000016</v>
      </c>
      <c r="BD426" s="416">
        <f t="shared" si="271"/>
        <v>430.15800000000024</v>
      </c>
      <c r="BE426" s="106">
        <f t="shared" si="271"/>
        <v>118.12700000000008</v>
      </c>
      <c r="BF426" s="106">
        <f t="shared" si="271"/>
        <v>122.31900000000002</v>
      </c>
      <c r="BG426" s="106">
        <f t="shared" si="271"/>
        <v>92.09300000000016</v>
      </c>
      <c r="BH426" s="106">
        <f t="shared" si="271"/>
        <v>75.836000000000084</v>
      </c>
      <c r="BI426" s="416">
        <f t="shared" si="271"/>
        <v>408.37500000000023</v>
      </c>
      <c r="BJ426" s="106">
        <f t="shared" si="271"/>
        <v>165.74099999999996</v>
      </c>
      <c r="BK426" s="106">
        <f t="shared" si="271"/>
        <v>172.81200000000007</v>
      </c>
      <c r="BL426" s="106">
        <f t="shared" si="271"/>
        <v>115.62400000000007</v>
      </c>
      <c r="BM426" s="106">
        <f t="shared" si="271"/>
        <v>178.94800000000069</v>
      </c>
      <c r="BN426" s="416">
        <f t="shared" si="271"/>
        <v>633.12500000000011</v>
      </c>
      <c r="BO426" s="106">
        <f t="shared" ref="BO426:CF426" si="272">BO422-SUM(BO424:BO425)</f>
        <v>103.61100000000005</v>
      </c>
      <c r="BP426" s="106">
        <f t="shared" si="272"/>
        <v>187.38700000000014</v>
      </c>
      <c r="BQ426" s="106">
        <f t="shared" si="272"/>
        <v>142.33400000000006</v>
      </c>
      <c r="BR426" s="106">
        <f t="shared" si="272"/>
        <v>137.24999999999972</v>
      </c>
      <c r="BS426" s="417">
        <f t="shared" si="272"/>
        <v>570.58200000000011</v>
      </c>
      <c r="BT426" s="159">
        <f t="shared" si="272"/>
        <v>126.02425002554786</v>
      </c>
      <c r="BU426" s="159">
        <f t="shared" si="272"/>
        <v>170.59325881499998</v>
      </c>
      <c r="BV426" s="159">
        <f t="shared" si="272"/>
        <v>176.93352706499996</v>
      </c>
      <c r="BW426" s="159">
        <f t="shared" si="272"/>
        <v>173.96136639000008</v>
      </c>
      <c r="BX426" s="418">
        <f t="shared" si="272"/>
        <v>647.51240229554764</v>
      </c>
      <c r="BY426" s="159">
        <f t="shared" si="272"/>
        <v>144.88675821337492</v>
      </c>
      <c r="BZ426" s="159">
        <f t="shared" si="272"/>
        <v>172.25020364737497</v>
      </c>
      <c r="CA426" s="159">
        <f t="shared" si="272"/>
        <v>178.688278912725</v>
      </c>
      <c r="CB426" s="159">
        <f t="shared" si="272"/>
        <v>175.59846737595009</v>
      </c>
      <c r="CC426" s="418">
        <f t="shared" si="272"/>
        <v>671.42370814942433</v>
      </c>
      <c r="CD426" s="418">
        <f t="shared" si="272"/>
        <v>679.06901421038106</v>
      </c>
      <c r="CE426" s="418">
        <f t="shared" si="272"/>
        <v>686.83831055204655</v>
      </c>
      <c r="CF426" s="418">
        <f t="shared" si="272"/>
        <v>694.7339324008326</v>
      </c>
      <c r="CG426" s="109"/>
    </row>
    <row r="427" spans="1:85" ht="14.45" customHeight="1" x14ac:dyDescent="0.25">
      <c r="A427" s="125" t="s">
        <v>487</v>
      </c>
      <c r="B427" s="180"/>
      <c r="C427" s="413"/>
      <c r="D427" s="413"/>
      <c r="E427" s="413"/>
      <c r="F427" s="413"/>
      <c r="G427" s="63"/>
      <c r="H427" s="63"/>
      <c r="I427" s="63"/>
      <c r="J427" s="63"/>
      <c r="K427" s="413"/>
      <c r="L427" s="63"/>
      <c r="M427" s="63"/>
      <c r="N427" s="63"/>
      <c r="O427" s="63"/>
      <c r="P427" s="413"/>
      <c r="Q427" s="63"/>
      <c r="R427" s="63"/>
      <c r="S427" s="63"/>
      <c r="T427" s="63"/>
      <c r="U427" s="413"/>
      <c r="V427" s="63"/>
      <c r="W427" s="63"/>
      <c r="X427" s="63"/>
      <c r="Y427" s="63"/>
      <c r="Z427" s="413"/>
      <c r="AA427" s="63"/>
      <c r="AB427" s="63"/>
      <c r="AC427" s="63"/>
      <c r="AD427" s="63"/>
      <c r="AE427" s="413"/>
      <c r="AF427" s="63"/>
      <c r="AG427" s="63"/>
      <c r="AH427" s="63"/>
      <c r="AI427" s="63"/>
      <c r="AJ427" s="413"/>
      <c r="AK427" s="63"/>
      <c r="AL427" s="63"/>
      <c r="AM427" s="63"/>
      <c r="AN427" s="63"/>
      <c r="AO427" s="413"/>
      <c r="AP427" s="63"/>
      <c r="AQ427" s="63"/>
      <c r="AR427" s="63"/>
      <c r="AS427" s="63"/>
      <c r="AT427" s="413"/>
      <c r="AU427" s="63"/>
      <c r="AV427" s="63"/>
      <c r="AW427" s="63"/>
      <c r="AX427" s="63"/>
      <c r="AY427" s="413"/>
      <c r="AZ427" s="63"/>
      <c r="BA427" s="63"/>
      <c r="BB427" s="63"/>
      <c r="BC427" s="63"/>
      <c r="BD427" s="413"/>
      <c r="BE427" s="63"/>
      <c r="BF427" s="63"/>
      <c r="BG427" s="63"/>
      <c r="BH427" s="63"/>
      <c r="BI427" s="413"/>
      <c r="BJ427" s="63"/>
      <c r="BK427" s="63"/>
      <c r="BL427" s="63"/>
      <c r="BM427" s="63"/>
      <c r="BN427" s="413"/>
      <c r="BO427" s="63"/>
      <c r="BP427" s="63"/>
      <c r="BQ427" s="63"/>
      <c r="BR427" s="63"/>
      <c r="BS427" s="425"/>
      <c r="BT427" s="63"/>
      <c r="BU427" s="63"/>
      <c r="BV427" s="63"/>
      <c r="BW427" s="63"/>
      <c r="BX427" s="413">
        <f>SUM(BT427,BU427,BV427,BW427)</f>
        <v>0</v>
      </c>
      <c r="BY427" s="63"/>
      <c r="BZ427" s="63"/>
      <c r="CA427" s="63"/>
      <c r="CB427" s="63"/>
      <c r="CC427" s="413">
        <f>SUM(BY427,BZ427,CA427,CB427)</f>
        <v>0</v>
      </c>
      <c r="CD427" s="413"/>
      <c r="CE427" s="413"/>
      <c r="CF427" s="413"/>
      <c r="CG427" s="99"/>
    </row>
    <row r="428" spans="1:85" ht="14.45" customHeight="1" x14ac:dyDescent="0.25">
      <c r="A428" s="125" t="s">
        <v>488</v>
      </c>
      <c r="B428" s="180"/>
      <c r="C428" s="467">
        <f t="shared" ref="C428:AH428" si="273">C289</f>
        <v>2.407</v>
      </c>
      <c r="D428" s="467">
        <f t="shared" si="273"/>
        <v>3.4849999999999999</v>
      </c>
      <c r="E428" s="467">
        <f t="shared" si="273"/>
        <v>3.415</v>
      </c>
      <c r="F428" s="467">
        <f t="shared" si="273"/>
        <v>4.242</v>
      </c>
      <c r="G428" s="99">
        <f t="shared" si="273"/>
        <v>0.80700000000000005</v>
      </c>
      <c r="H428" s="99">
        <f t="shared" si="273"/>
        <v>0.90700000000000003</v>
      </c>
      <c r="I428" s="99">
        <f t="shared" si="273"/>
        <v>1.9139999999999999</v>
      </c>
      <c r="J428" s="99">
        <f t="shared" si="273"/>
        <v>0.79899999999999971</v>
      </c>
      <c r="K428" s="467">
        <f t="shared" si="273"/>
        <v>4.4269999999999996</v>
      </c>
      <c r="L428" s="99">
        <f t="shared" si="273"/>
        <v>0.65200000000000002</v>
      </c>
      <c r="M428" s="99">
        <f t="shared" si="273"/>
        <v>1.5489999999999999</v>
      </c>
      <c r="N428" s="99">
        <f t="shared" si="273"/>
        <v>1.573</v>
      </c>
      <c r="O428" s="99">
        <f t="shared" si="273"/>
        <v>0.95399999999999974</v>
      </c>
      <c r="P428" s="467">
        <f t="shared" si="273"/>
        <v>4.7279999999999998</v>
      </c>
      <c r="Q428" s="99">
        <f t="shared" si="273"/>
        <v>0.72899999999999998</v>
      </c>
      <c r="R428" s="99">
        <f t="shared" si="273"/>
        <v>1.9870000000000001</v>
      </c>
      <c r="S428" s="99">
        <f t="shared" si="273"/>
        <v>2.0059999999999998</v>
      </c>
      <c r="T428" s="99">
        <f t="shared" si="273"/>
        <v>1.3199999999999998</v>
      </c>
      <c r="U428" s="467">
        <f t="shared" si="273"/>
        <v>6.0419999999999998</v>
      </c>
      <c r="V428" s="99">
        <f t="shared" si="273"/>
        <v>1.008</v>
      </c>
      <c r="W428" s="99">
        <f t="shared" si="273"/>
        <v>1.6719999999999999</v>
      </c>
      <c r="X428" s="99">
        <f t="shared" si="273"/>
        <v>2.411</v>
      </c>
      <c r="Y428" s="99">
        <f t="shared" si="273"/>
        <v>1.4260000000000006</v>
      </c>
      <c r="Z428" s="467">
        <f t="shared" si="273"/>
        <v>6.5170000000000003</v>
      </c>
      <c r="AA428" s="99">
        <f t="shared" si="273"/>
        <v>0.63400000000000001</v>
      </c>
      <c r="AB428" s="99">
        <f t="shared" si="273"/>
        <v>1.2330000000000001</v>
      </c>
      <c r="AC428" s="99">
        <f t="shared" si="273"/>
        <v>1.595</v>
      </c>
      <c r="AD428" s="99">
        <f t="shared" si="273"/>
        <v>2.8500000000000005</v>
      </c>
      <c r="AE428" s="467">
        <f t="shared" si="273"/>
        <v>6.3120000000000003</v>
      </c>
      <c r="AF428" s="99">
        <f t="shared" si="273"/>
        <v>0.623</v>
      </c>
      <c r="AG428" s="99">
        <f t="shared" si="273"/>
        <v>1.1850000000000001</v>
      </c>
      <c r="AH428" s="99">
        <f t="shared" si="273"/>
        <v>1.786</v>
      </c>
      <c r="AI428" s="99">
        <f t="shared" ref="AI428:BS428" si="274">AI289</f>
        <v>1.1799999999999997</v>
      </c>
      <c r="AJ428" s="467">
        <f t="shared" si="274"/>
        <v>4.774</v>
      </c>
      <c r="AK428" s="99">
        <f t="shared" si="274"/>
        <v>1.2529999999999999</v>
      </c>
      <c r="AL428" s="99">
        <f t="shared" si="274"/>
        <v>1.486</v>
      </c>
      <c r="AM428" s="99">
        <f t="shared" si="274"/>
        <v>2.54</v>
      </c>
      <c r="AN428" s="99">
        <f t="shared" si="274"/>
        <v>1.9059999999999997</v>
      </c>
      <c r="AO428" s="467">
        <f t="shared" si="274"/>
        <v>7.1849999999999996</v>
      </c>
      <c r="AP428" s="99">
        <f t="shared" si="274"/>
        <v>0.93900000000000006</v>
      </c>
      <c r="AQ428" s="99">
        <f t="shared" si="274"/>
        <v>3.044</v>
      </c>
      <c r="AR428" s="99">
        <f t="shared" si="274"/>
        <v>3.17</v>
      </c>
      <c r="AS428" s="99">
        <f t="shared" si="274"/>
        <v>2.4510000000000005</v>
      </c>
      <c r="AT428" s="467">
        <f t="shared" si="274"/>
        <v>9.604000000000001</v>
      </c>
      <c r="AU428" s="99">
        <f t="shared" si="274"/>
        <v>0</v>
      </c>
      <c r="AV428" s="99">
        <f t="shared" si="274"/>
        <v>0</v>
      </c>
      <c r="AW428" s="99">
        <f t="shared" si="274"/>
        <v>0</v>
      </c>
      <c r="AX428" s="99">
        <f t="shared" si="274"/>
        <v>0</v>
      </c>
      <c r="AY428" s="467">
        <f t="shared" si="274"/>
        <v>0</v>
      </c>
      <c r="AZ428" s="99">
        <f t="shared" si="274"/>
        <v>0</v>
      </c>
      <c r="BA428" s="99">
        <f t="shared" si="274"/>
        <v>0</v>
      </c>
      <c r="BB428" s="99">
        <f t="shared" si="274"/>
        <v>0</v>
      </c>
      <c r="BC428" s="99">
        <f t="shared" si="274"/>
        <v>0</v>
      </c>
      <c r="BD428" s="467">
        <f t="shared" si="274"/>
        <v>0</v>
      </c>
      <c r="BE428" s="99">
        <f t="shared" si="274"/>
        <v>0</v>
      </c>
      <c r="BF428" s="99">
        <f t="shared" si="274"/>
        <v>0</v>
      </c>
      <c r="BG428" s="99">
        <f t="shared" si="274"/>
        <v>0</v>
      </c>
      <c r="BH428" s="99">
        <f t="shared" si="274"/>
        <v>0</v>
      </c>
      <c r="BI428" s="467">
        <f t="shared" si="274"/>
        <v>0</v>
      </c>
      <c r="BJ428" s="99">
        <f t="shared" si="274"/>
        <v>0</v>
      </c>
      <c r="BK428" s="99">
        <f t="shared" si="274"/>
        <v>0</v>
      </c>
      <c r="BL428" s="99">
        <f t="shared" si="274"/>
        <v>0</v>
      </c>
      <c r="BM428" s="99">
        <f t="shared" si="274"/>
        <v>0</v>
      </c>
      <c r="BN428" s="467">
        <f t="shared" si="274"/>
        <v>0</v>
      </c>
      <c r="BO428" s="99">
        <f t="shared" si="274"/>
        <v>0</v>
      </c>
      <c r="BP428" s="99">
        <f t="shared" si="274"/>
        <v>0</v>
      </c>
      <c r="BQ428" s="99">
        <f t="shared" si="274"/>
        <v>0</v>
      </c>
      <c r="BR428" s="99">
        <f t="shared" si="274"/>
        <v>0</v>
      </c>
      <c r="BS428" s="468">
        <f t="shared" si="274"/>
        <v>0</v>
      </c>
      <c r="BT428" s="98">
        <v>0</v>
      </c>
      <c r="BU428" s="98">
        <v>0</v>
      </c>
      <c r="BV428" s="98">
        <v>0</v>
      </c>
      <c r="BW428" s="98">
        <v>0</v>
      </c>
      <c r="BX428" s="413">
        <f>SUM(BT428,BU428,BV428,BW428)</f>
        <v>0</v>
      </c>
      <c r="BY428" s="98">
        <v>0</v>
      </c>
      <c r="BZ428" s="98">
        <v>0</v>
      </c>
      <c r="CA428" s="98">
        <v>0</v>
      </c>
      <c r="CB428" s="98">
        <v>0</v>
      </c>
      <c r="CC428" s="413">
        <f>SUM(BY428,BZ428,CA428,CB428)</f>
        <v>0</v>
      </c>
      <c r="CD428" s="410">
        <v>0</v>
      </c>
      <c r="CE428" s="410">
        <v>0</v>
      </c>
      <c r="CF428" s="410">
        <v>0</v>
      </c>
      <c r="CG428" s="99"/>
    </row>
    <row r="429" spans="1:85" ht="14.45" customHeight="1" x14ac:dyDescent="0.25">
      <c r="A429" s="194" t="s">
        <v>489</v>
      </c>
      <c r="B429" s="190"/>
      <c r="C429" s="415">
        <f t="shared" ref="C429:AH429" si="275">C396+C397</f>
        <v>8.7059999999999995</v>
      </c>
      <c r="D429" s="415">
        <f t="shared" si="275"/>
        <v>8.011000000000001</v>
      </c>
      <c r="E429" s="415">
        <f t="shared" si="275"/>
        <v>6.4109999999999996</v>
      </c>
      <c r="F429" s="415">
        <f t="shared" si="275"/>
        <v>6.149</v>
      </c>
      <c r="G429" s="158">
        <f t="shared" si="275"/>
        <v>1.1019999999999999</v>
      </c>
      <c r="H429" s="158">
        <f t="shared" si="275"/>
        <v>2.56</v>
      </c>
      <c r="I429" s="158">
        <f t="shared" si="275"/>
        <v>3.6859999999999999</v>
      </c>
      <c r="J429" s="158">
        <f t="shared" si="275"/>
        <v>-1.0480000000000005</v>
      </c>
      <c r="K429" s="415">
        <f t="shared" si="275"/>
        <v>6.3</v>
      </c>
      <c r="L429" s="158">
        <f t="shared" si="275"/>
        <v>0.55800000000000005</v>
      </c>
      <c r="M429" s="158">
        <f t="shared" si="275"/>
        <v>3.1669999999999998</v>
      </c>
      <c r="N429" s="158">
        <f t="shared" si="275"/>
        <v>2.7869999999999999</v>
      </c>
      <c r="O429" s="158">
        <f t="shared" si="275"/>
        <v>0.68000000000000016</v>
      </c>
      <c r="P429" s="415">
        <f t="shared" si="275"/>
        <v>7.1920000000000002</v>
      </c>
      <c r="Q429" s="158">
        <f t="shared" si="275"/>
        <v>0.51100000000000001</v>
      </c>
      <c r="R429" s="158">
        <f t="shared" si="275"/>
        <v>6.2350000000000003</v>
      </c>
      <c r="S429" s="158">
        <f t="shared" si="275"/>
        <v>5.915</v>
      </c>
      <c r="T429" s="158">
        <f t="shared" si="275"/>
        <v>0.97699999999999987</v>
      </c>
      <c r="U429" s="415">
        <f t="shared" si="275"/>
        <v>13.638000000000002</v>
      </c>
      <c r="V429" s="158">
        <f t="shared" si="275"/>
        <v>-2.33</v>
      </c>
      <c r="W429" s="158">
        <f t="shared" si="275"/>
        <v>3.6500000000000004</v>
      </c>
      <c r="X429" s="158">
        <f t="shared" si="275"/>
        <v>5.3970000000000002</v>
      </c>
      <c r="Y429" s="158">
        <f t="shared" si="275"/>
        <v>4.9599999999999991</v>
      </c>
      <c r="Z429" s="415">
        <f t="shared" si="275"/>
        <v>11.677</v>
      </c>
      <c r="AA429" s="158">
        <f t="shared" si="275"/>
        <v>-1.1819999999999999</v>
      </c>
      <c r="AB429" s="158">
        <f t="shared" si="275"/>
        <v>1.4910000000000001</v>
      </c>
      <c r="AC429" s="158">
        <f t="shared" si="275"/>
        <v>4.0679999999999996</v>
      </c>
      <c r="AD429" s="158">
        <f t="shared" si="275"/>
        <v>18.262999999999998</v>
      </c>
      <c r="AE429" s="415">
        <f t="shared" si="275"/>
        <v>22.64</v>
      </c>
      <c r="AF429" s="158">
        <f t="shared" si="275"/>
        <v>-3.3409999999999997</v>
      </c>
      <c r="AG429" s="158">
        <f t="shared" si="275"/>
        <v>-0.93099999999999994</v>
      </c>
      <c r="AH429" s="158">
        <f t="shared" si="275"/>
        <v>5.9550000000000001</v>
      </c>
      <c r="AI429" s="158">
        <f t="shared" ref="AI429:BS429" si="276">AI396+AI397</f>
        <v>-6.3890000000000011</v>
      </c>
      <c r="AJ429" s="415">
        <f t="shared" si="276"/>
        <v>-4.7059999999999995</v>
      </c>
      <c r="AK429" s="158">
        <f t="shared" si="276"/>
        <v>-1.6199999999999999</v>
      </c>
      <c r="AL429" s="158">
        <f t="shared" si="276"/>
        <v>3.66</v>
      </c>
      <c r="AM429" s="158">
        <f t="shared" si="276"/>
        <v>3.0970000000000004</v>
      </c>
      <c r="AN429" s="158">
        <f t="shared" si="276"/>
        <v>-2.4320000000000004</v>
      </c>
      <c r="AO429" s="415">
        <f t="shared" si="276"/>
        <v>2.7050000000000001</v>
      </c>
      <c r="AP429" s="158">
        <f t="shared" si="276"/>
        <v>3.4909999999999997</v>
      </c>
      <c r="AQ429" s="158">
        <f t="shared" si="276"/>
        <v>9.4220000000000006</v>
      </c>
      <c r="AR429" s="158">
        <f t="shared" si="276"/>
        <v>12.356</v>
      </c>
      <c r="AS429" s="158">
        <f t="shared" si="276"/>
        <v>15.808000000000002</v>
      </c>
      <c r="AT429" s="415">
        <f t="shared" si="276"/>
        <v>41.076999999999998</v>
      </c>
      <c r="AU429" s="158">
        <f t="shared" si="276"/>
        <v>12.706999999999999</v>
      </c>
      <c r="AV429" s="158">
        <f t="shared" si="276"/>
        <v>11.472999999999999</v>
      </c>
      <c r="AW429" s="158">
        <f t="shared" si="276"/>
        <v>16.414000000000001</v>
      </c>
      <c r="AX429" s="158">
        <f t="shared" si="276"/>
        <v>4.5519999999999952</v>
      </c>
      <c r="AY429" s="415">
        <f t="shared" si="276"/>
        <v>45.145999999999994</v>
      </c>
      <c r="AZ429" s="158">
        <f t="shared" si="276"/>
        <v>20.140999999999998</v>
      </c>
      <c r="BA429" s="158">
        <f t="shared" si="276"/>
        <v>10.673999999999999</v>
      </c>
      <c r="BB429" s="158">
        <f t="shared" si="276"/>
        <v>12.731999999999999</v>
      </c>
      <c r="BC429" s="158">
        <f t="shared" si="276"/>
        <v>14.189999999999996</v>
      </c>
      <c r="BD429" s="415">
        <f t="shared" si="276"/>
        <v>57.736999999999995</v>
      </c>
      <c r="BE429" s="158">
        <f t="shared" si="276"/>
        <v>12.664</v>
      </c>
      <c r="BF429" s="158">
        <f t="shared" si="276"/>
        <v>13.113000000000001</v>
      </c>
      <c r="BG429" s="158">
        <f t="shared" si="276"/>
        <v>9.8740000000000006</v>
      </c>
      <c r="BH429" s="158">
        <f t="shared" si="276"/>
        <v>8.1309999999999967</v>
      </c>
      <c r="BI429" s="415">
        <f t="shared" si="276"/>
        <v>43.782000000000004</v>
      </c>
      <c r="BJ429" s="158">
        <f t="shared" si="276"/>
        <v>17.765000000000001</v>
      </c>
      <c r="BK429" s="158">
        <f t="shared" si="276"/>
        <v>18.657</v>
      </c>
      <c r="BL429" s="158">
        <f t="shared" si="276"/>
        <v>13.263</v>
      </c>
      <c r="BM429" s="158">
        <f t="shared" si="276"/>
        <v>20.158000000000005</v>
      </c>
      <c r="BN429" s="415">
        <f t="shared" si="276"/>
        <v>69.843000000000004</v>
      </c>
      <c r="BO429" s="158">
        <f t="shared" si="276"/>
        <v>11.944000000000001</v>
      </c>
      <c r="BP429" s="158">
        <f t="shared" si="276"/>
        <v>21.632000000000001</v>
      </c>
      <c r="BQ429" s="158">
        <f t="shared" si="276"/>
        <v>16.504999999999999</v>
      </c>
      <c r="BR429" s="158">
        <f t="shared" si="276"/>
        <v>18.049999999999997</v>
      </c>
      <c r="BS429" s="470">
        <f t="shared" si="276"/>
        <v>68.131</v>
      </c>
      <c r="BT429" s="158" t="e">
        <f>BT426*BT437</f>
        <v>#NAME?</v>
      </c>
      <c r="BU429" s="158" t="e">
        <f>BU426*BU437</f>
        <v>#NAME?</v>
      </c>
      <c r="BV429" s="158" t="e">
        <f>BV426*BV437</f>
        <v>#NAME?</v>
      </c>
      <c r="BW429" s="158" t="e">
        <f>BW426*BW437</f>
        <v>#NAME?</v>
      </c>
      <c r="BX429" s="415" t="e">
        <f>SUM(BT429,BU429,BV429,BW429)</f>
        <v>#NAME?</v>
      </c>
      <c r="BY429" s="158" t="e">
        <f>BY426*BY437</f>
        <v>#NAME?</v>
      </c>
      <c r="BZ429" s="158" t="e">
        <f>BZ426*BZ437</f>
        <v>#NAME?</v>
      </c>
      <c r="CA429" s="158" t="e">
        <f>CA426*CA437</f>
        <v>#NAME?</v>
      </c>
      <c r="CB429" s="158" t="e">
        <f>CB426*CB437</f>
        <v>#NAME?</v>
      </c>
      <c r="CC429" s="415" t="e">
        <f>SUM(BY429,BZ429,CA429,CB429)</f>
        <v>#NAME?</v>
      </c>
      <c r="CD429" s="415" t="e">
        <f>CD426*CD437</f>
        <v>#NAME?</v>
      </c>
      <c r="CE429" s="415" t="e">
        <f>CE426*CE437</f>
        <v>#NAME?</v>
      </c>
      <c r="CF429" s="415" t="e">
        <f>CF426*CF437</f>
        <v>#NAME?</v>
      </c>
      <c r="CG429" s="99"/>
    </row>
    <row r="430" spans="1:85" ht="14.45" customHeight="1" x14ac:dyDescent="0.25">
      <c r="A430" s="110" t="s">
        <v>490</v>
      </c>
      <c r="B430" s="212"/>
      <c r="C430" s="416">
        <f t="shared" ref="C430:AH430" si="277">C426-SUM(C427:C429)</f>
        <v>29.430000000000163</v>
      </c>
      <c r="D430" s="416">
        <f t="shared" si="277"/>
        <v>28.045999999999864</v>
      </c>
      <c r="E430" s="416">
        <f t="shared" si="277"/>
        <v>22.197000000000088</v>
      </c>
      <c r="F430" s="416">
        <f t="shared" si="277"/>
        <v>21.06799999999992</v>
      </c>
      <c r="G430" s="106">
        <f t="shared" si="277"/>
        <v>3.7599999999999723</v>
      </c>
      <c r="H430" s="106">
        <f t="shared" si="277"/>
        <v>8.6690000000000023</v>
      </c>
      <c r="I430" s="106">
        <f t="shared" si="277"/>
        <v>12.483000000000017</v>
      </c>
      <c r="J430" s="106">
        <f t="shared" si="277"/>
        <v>-3.537000000000198</v>
      </c>
      <c r="K430" s="416">
        <f t="shared" si="277"/>
        <v>21.374999999999819</v>
      </c>
      <c r="L430" s="106">
        <f t="shared" si="277"/>
        <v>1.8909999999999858</v>
      </c>
      <c r="M430" s="106">
        <f t="shared" si="277"/>
        <v>10.616000000000039</v>
      </c>
      <c r="N430" s="106">
        <f t="shared" si="277"/>
        <v>9.3449999999999989</v>
      </c>
      <c r="O430" s="106">
        <f t="shared" si="277"/>
        <v>2.3099999999996519</v>
      </c>
      <c r="P430" s="416">
        <f t="shared" si="277"/>
        <v>24.161999999999757</v>
      </c>
      <c r="Q430" s="106">
        <f t="shared" si="277"/>
        <v>1.712999999999987</v>
      </c>
      <c r="R430" s="106">
        <f t="shared" si="277"/>
        <v>20.699000000000002</v>
      </c>
      <c r="S430" s="106">
        <f t="shared" si="277"/>
        <v>19.638000000000059</v>
      </c>
      <c r="T430" s="106">
        <f t="shared" si="277"/>
        <v>3.3140000000002106</v>
      </c>
      <c r="U430" s="416">
        <f t="shared" si="277"/>
        <v>45.364000000000125</v>
      </c>
      <c r="V430" s="106">
        <f t="shared" si="277"/>
        <v>-7.7109999999999905</v>
      </c>
      <c r="W430" s="106">
        <f t="shared" si="277"/>
        <v>12.001999999999992</v>
      </c>
      <c r="X430" s="106">
        <f t="shared" si="277"/>
        <v>17.74500000000004</v>
      </c>
      <c r="Y430" s="106">
        <f t="shared" si="277"/>
        <v>16.432999999999705</v>
      </c>
      <c r="Z430" s="416">
        <f t="shared" si="277"/>
        <v>38.468999999999923</v>
      </c>
      <c r="AA430" s="106">
        <f t="shared" si="277"/>
        <v>-3.8690000000000531</v>
      </c>
      <c r="AB430" s="106">
        <f t="shared" si="277"/>
        <v>4.8569999999998767</v>
      </c>
      <c r="AC430" s="106">
        <f t="shared" si="277"/>
        <v>13.248000000000051</v>
      </c>
      <c r="AD430" s="106">
        <f t="shared" si="277"/>
        <v>59.65899999999948</v>
      </c>
      <c r="AE430" s="416">
        <f t="shared" si="277"/>
        <v>73.894999999999641</v>
      </c>
      <c r="AF430" s="106">
        <f t="shared" si="277"/>
        <v>-10.843999999999902</v>
      </c>
      <c r="AG430" s="106">
        <f t="shared" si="277"/>
        <v>-3.0020000000000242</v>
      </c>
      <c r="AH430" s="106">
        <f t="shared" si="277"/>
        <v>19.208999999999886</v>
      </c>
      <c r="AI430" s="106">
        <f t="shared" ref="AI430:BN430" si="278">AI426-SUM(AI427:AI429)</f>
        <v>-20.587000000000657</v>
      </c>
      <c r="AJ430" s="416">
        <f t="shared" si="278"/>
        <v>-15.224000000000419</v>
      </c>
      <c r="AK430" s="106">
        <f t="shared" si="278"/>
        <v>-5.2110000000000056</v>
      </c>
      <c r="AL430" s="106">
        <f t="shared" si="278"/>
        <v>11.710000000000107</v>
      </c>
      <c r="AM430" s="106">
        <f t="shared" si="278"/>
        <v>9.9090000000000629</v>
      </c>
      <c r="AN430" s="106">
        <f t="shared" si="278"/>
        <v>-7.7380000000002669</v>
      </c>
      <c r="AO430" s="416">
        <f t="shared" si="278"/>
        <v>8.6699999999999093</v>
      </c>
      <c r="AP430" s="106">
        <f t="shared" si="278"/>
        <v>11.170999999999967</v>
      </c>
      <c r="AQ430" s="106">
        <f t="shared" si="278"/>
        <v>30.146999999999942</v>
      </c>
      <c r="AR430" s="106">
        <f t="shared" si="278"/>
        <v>39.527999999999892</v>
      </c>
      <c r="AS430" s="106">
        <f t="shared" si="278"/>
        <v>50.570000000000022</v>
      </c>
      <c r="AT430" s="416">
        <f t="shared" si="278"/>
        <v>131.41600000000017</v>
      </c>
      <c r="AU430" s="106">
        <f t="shared" si="278"/>
        <v>40.65599999999997</v>
      </c>
      <c r="AV430" s="106">
        <f t="shared" si="278"/>
        <v>36.707000000000036</v>
      </c>
      <c r="AW430" s="106">
        <f t="shared" si="278"/>
        <v>52.516000000000005</v>
      </c>
      <c r="AX430" s="106">
        <f t="shared" si="278"/>
        <v>14.554999999999797</v>
      </c>
      <c r="AY430" s="416">
        <f t="shared" si="278"/>
        <v>144.43399999999983</v>
      </c>
      <c r="AZ430" s="106">
        <f t="shared" si="278"/>
        <v>73.24899999999991</v>
      </c>
      <c r="BA430" s="106">
        <f t="shared" si="278"/>
        <v>88.887999999999892</v>
      </c>
      <c r="BB430" s="106">
        <f t="shared" si="278"/>
        <v>106.02899999999994</v>
      </c>
      <c r="BC430" s="106">
        <f t="shared" si="278"/>
        <v>104.25500000000017</v>
      </c>
      <c r="BD430" s="416">
        <f t="shared" si="278"/>
        <v>372.42100000000028</v>
      </c>
      <c r="BE430" s="106">
        <f t="shared" si="278"/>
        <v>105.46300000000008</v>
      </c>
      <c r="BF430" s="106">
        <f t="shared" si="278"/>
        <v>109.20600000000002</v>
      </c>
      <c r="BG430" s="106">
        <f t="shared" si="278"/>
        <v>82.219000000000165</v>
      </c>
      <c r="BH430" s="106">
        <f t="shared" si="278"/>
        <v>67.705000000000084</v>
      </c>
      <c r="BI430" s="416">
        <f t="shared" si="278"/>
        <v>364.59300000000025</v>
      </c>
      <c r="BJ430" s="106">
        <f t="shared" si="278"/>
        <v>147.97599999999994</v>
      </c>
      <c r="BK430" s="106">
        <f t="shared" si="278"/>
        <v>154.15500000000006</v>
      </c>
      <c r="BL430" s="106">
        <f t="shared" si="278"/>
        <v>102.36100000000006</v>
      </c>
      <c r="BM430" s="106">
        <f t="shared" si="278"/>
        <v>158.79000000000067</v>
      </c>
      <c r="BN430" s="416">
        <f t="shared" si="278"/>
        <v>563.28200000000015</v>
      </c>
      <c r="BO430" s="106">
        <f t="shared" ref="BO430:CF430" si="279">BO426-SUM(BO427:BO429)</f>
        <v>91.667000000000044</v>
      </c>
      <c r="BP430" s="106">
        <f t="shared" si="279"/>
        <v>165.75500000000014</v>
      </c>
      <c r="BQ430" s="106">
        <f t="shared" si="279"/>
        <v>125.82900000000006</v>
      </c>
      <c r="BR430" s="106">
        <f t="shared" si="279"/>
        <v>119.19999999999972</v>
      </c>
      <c r="BS430" s="417">
        <f t="shared" si="279"/>
        <v>502.45100000000014</v>
      </c>
      <c r="BT430" s="159" t="e">
        <f t="shared" si="279"/>
        <v>#NAME?</v>
      </c>
      <c r="BU430" s="159" t="e">
        <f t="shared" si="279"/>
        <v>#NAME?</v>
      </c>
      <c r="BV430" s="159" t="e">
        <f t="shared" si="279"/>
        <v>#NAME?</v>
      </c>
      <c r="BW430" s="159" t="e">
        <f t="shared" si="279"/>
        <v>#NAME?</v>
      </c>
      <c r="BX430" s="418" t="e">
        <f t="shared" si="279"/>
        <v>#NAME?</v>
      </c>
      <c r="BY430" s="159" t="e">
        <f t="shared" si="279"/>
        <v>#NAME?</v>
      </c>
      <c r="BZ430" s="159" t="e">
        <f t="shared" si="279"/>
        <v>#NAME?</v>
      </c>
      <c r="CA430" s="159" t="e">
        <f t="shared" si="279"/>
        <v>#NAME?</v>
      </c>
      <c r="CB430" s="159" t="e">
        <f t="shared" si="279"/>
        <v>#NAME?</v>
      </c>
      <c r="CC430" s="418" t="e">
        <f t="shared" si="279"/>
        <v>#NAME?</v>
      </c>
      <c r="CD430" s="418" t="e">
        <f t="shared" si="279"/>
        <v>#NAME?</v>
      </c>
      <c r="CE430" s="418" t="e">
        <f t="shared" si="279"/>
        <v>#NAME?</v>
      </c>
      <c r="CF430" s="418" t="e">
        <f t="shared" si="279"/>
        <v>#NAME?</v>
      </c>
      <c r="CG430" s="109"/>
    </row>
    <row r="431" spans="1:85" ht="14.45" customHeight="1" x14ac:dyDescent="0.25">
      <c r="A431" s="224" t="s">
        <v>491</v>
      </c>
      <c r="B431" s="225"/>
      <c r="C431" s="524">
        <f t="shared" ref="C431:AH431" si="280">-C429</f>
        <v>-8.7059999999999995</v>
      </c>
      <c r="D431" s="524">
        <f t="shared" si="280"/>
        <v>-8.011000000000001</v>
      </c>
      <c r="E431" s="524">
        <f t="shared" si="280"/>
        <v>-6.4109999999999996</v>
      </c>
      <c r="F431" s="524">
        <f t="shared" si="280"/>
        <v>-6.149</v>
      </c>
      <c r="G431" s="226">
        <f t="shared" si="280"/>
        <v>-1.1019999999999999</v>
      </c>
      <c r="H431" s="226">
        <f t="shared" si="280"/>
        <v>-2.56</v>
      </c>
      <c r="I431" s="226">
        <f t="shared" si="280"/>
        <v>-3.6859999999999999</v>
      </c>
      <c r="J431" s="226">
        <f t="shared" si="280"/>
        <v>1.0480000000000005</v>
      </c>
      <c r="K431" s="524">
        <f t="shared" si="280"/>
        <v>-6.3</v>
      </c>
      <c r="L431" s="226">
        <f t="shared" si="280"/>
        <v>-0.55800000000000005</v>
      </c>
      <c r="M431" s="226">
        <f t="shared" si="280"/>
        <v>-3.1669999999999998</v>
      </c>
      <c r="N431" s="226">
        <f t="shared" si="280"/>
        <v>-2.7869999999999999</v>
      </c>
      <c r="O431" s="226">
        <f t="shared" si="280"/>
        <v>-0.68000000000000016</v>
      </c>
      <c r="P431" s="524">
        <f t="shared" si="280"/>
        <v>-7.1920000000000002</v>
      </c>
      <c r="Q431" s="226">
        <f t="shared" si="280"/>
        <v>-0.51100000000000001</v>
      </c>
      <c r="R431" s="226">
        <f t="shared" si="280"/>
        <v>-6.2350000000000003</v>
      </c>
      <c r="S431" s="226">
        <f t="shared" si="280"/>
        <v>-5.915</v>
      </c>
      <c r="T431" s="226">
        <f t="shared" si="280"/>
        <v>-0.97699999999999987</v>
      </c>
      <c r="U431" s="524">
        <f t="shared" si="280"/>
        <v>-13.638000000000002</v>
      </c>
      <c r="V431" s="226">
        <f t="shared" si="280"/>
        <v>2.33</v>
      </c>
      <c r="W431" s="226">
        <f t="shared" si="280"/>
        <v>-3.6500000000000004</v>
      </c>
      <c r="X431" s="226">
        <f t="shared" si="280"/>
        <v>-5.3970000000000002</v>
      </c>
      <c r="Y431" s="226">
        <f t="shared" si="280"/>
        <v>-4.9599999999999991</v>
      </c>
      <c r="Z431" s="524">
        <f t="shared" si="280"/>
        <v>-11.677</v>
      </c>
      <c r="AA431" s="226">
        <f t="shared" si="280"/>
        <v>1.1819999999999999</v>
      </c>
      <c r="AB431" s="226">
        <f t="shared" si="280"/>
        <v>-1.4910000000000001</v>
      </c>
      <c r="AC431" s="226">
        <f t="shared" si="280"/>
        <v>-4.0679999999999996</v>
      </c>
      <c r="AD431" s="226">
        <f t="shared" si="280"/>
        <v>-18.262999999999998</v>
      </c>
      <c r="AE431" s="524">
        <f t="shared" si="280"/>
        <v>-22.64</v>
      </c>
      <c r="AF431" s="226">
        <f t="shared" si="280"/>
        <v>3.3409999999999997</v>
      </c>
      <c r="AG431" s="226">
        <f t="shared" si="280"/>
        <v>0.93099999999999994</v>
      </c>
      <c r="AH431" s="226">
        <f t="shared" si="280"/>
        <v>-5.9550000000000001</v>
      </c>
      <c r="AI431" s="226">
        <f t="shared" ref="AI431:BN431" si="281">-AI429</f>
        <v>6.3890000000000011</v>
      </c>
      <c r="AJ431" s="524">
        <f t="shared" si="281"/>
        <v>4.7059999999999995</v>
      </c>
      <c r="AK431" s="226">
        <f t="shared" si="281"/>
        <v>1.6199999999999999</v>
      </c>
      <c r="AL431" s="226">
        <f t="shared" si="281"/>
        <v>-3.66</v>
      </c>
      <c r="AM431" s="226">
        <f t="shared" si="281"/>
        <v>-3.0970000000000004</v>
      </c>
      <c r="AN431" s="226">
        <f t="shared" si="281"/>
        <v>2.4320000000000004</v>
      </c>
      <c r="AO431" s="524">
        <f t="shared" si="281"/>
        <v>-2.7050000000000001</v>
      </c>
      <c r="AP431" s="226">
        <f t="shared" si="281"/>
        <v>-3.4909999999999997</v>
      </c>
      <c r="AQ431" s="226">
        <f t="shared" si="281"/>
        <v>-9.4220000000000006</v>
      </c>
      <c r="AR431" s="226">
        <f t="shared" si="281"/>
        <v>-12.356</v>
      </c>
      <c r="AS431" s="226">
        <f t="shared" si="281"/>
        <v>-15.808000000000002</v>
      </c>
      <c r="AT431" s="524">
        <f t="shared" si="281"/>
        <v>-41.076999999999998</v>
      </c>
      <c r="AU431" s="226">
        <f t="shared" si="281"/>
        <v>-12.706999999999999</v>
      </c>
      <c r="AV431" s="226">
        <f t="shared" si="281"/>
        <v>-11.472999999999999</v>
      </c>
      <c r="AW431" s="226">
        <f t="shared" si="281"/>
        <v>-16.414000000000001</v>
      </c>
      <c r="AX431" s="226">
        <f t="shared" si="281"/>
        <v>-4.5519999999999952</v>
      </c>
      <c r="AY431" s="524">
        <f t="shared" si="281"/>
        <v>-45.145999999999994</v>
      </c>
      <c r="AZ431" s="226">
        <f t="shared" si="281"/>
        <v>-20.140999999999998</v>
      </c>
      <c r="BA431" s="226">
        <f t="shared" si="281"/>
        <v>-10.673999999999999</v>
      </c>
      <c r="BB431" s="226">
        <f t="shared" si="281"/>
        <v>-12.731999999999999</v>
      </c>
      <c r="BC431" s="226">
        <f t="shared" si="281"/>
        <v>-14.189999999999996</v>
      </c>
      <c r="BD431" s="524">
        <f t="shared" si="281"/>
        <v>-57.736999999999995</v>
      </c>
      <c r="BE431" s="226">
        <f t="shared" si="281"/>
        <v>-12.664</v>
      </c>
      <c r="BF431" s="226">
        <f t="shared" si="281"/>
        <v>-13.113000000000001</v>
      </c>
      <c r="BG431" s="226">
        <f t="shared" si="281"/>
        <v>-9.8740000000000006</v>
      </c>
      <c r="BH431" s="226">
        <f t="shared" si="281"/>
        <v>-8.1309999999999967</v>
      </c>
      <c r="BI431" s="524">
        <f t="shared" si="281"/>
        <v>-43.782000000000004</v>
      </c>
      <c r="BJ431" s="226">
        <f t="shared" si="281"/>
        <v>-17.765000000000001</v>
      </c>
      <c r="BK431" s="226">
        <f t="shared" si="281"/>
        <v>-18.657</v>
      </c>
      <c r="BL431" s="226">
        <f t="shared" si="281"/>
        <v>-13.263</v>
      </c>
      <c r="BM431" s="226">
        <f t="shared" si="281"/>
        <v>-20.158000000000005</v>
      </c>
      <c r="BN431" s="524">
        <f t="shared" si="281"/>
        <v>-69.843000000000004</v>
      </c>
      <c r="BO431" s="226">
        <f t="shared" ref="BO431:BW431" si="282">-BO429</f>
        <v>-11.944000000000001</v>
      </c>
      <c r="BP431" s="226">
        <f t="shared" si="282"/>
        <v>-21.632000000000001</v>
      </c>
      <c r="BQ431" s="226">
        <f t="shared" si="282"/>
        <v>-16.504999999999999</v>
      </c>
      <c r="BR431" s="226">
        <f t="shared" si="282"/>
        <v>-18.049999999999997</v>
      </c>
      <c r="BS431" s="525">
        <f t="shared" si="282"/>
        <v>-68.131</v>
      </c>
      <c r="BT431" s="187" t="e">
        <f t="shared" si="282"/>
        <v>#NAME?</v>
      </c>
      <c r="BU431" s="187" t="e">
        <f t="shared" si="282"/>
        <v>#NAME?</v>
      </c>
      <c r="BV431" s="187" t="e">
        <f t="shared" si="282"/>
        <v>#NAME?</v>
      </c>
      <c r="BW431" s="187" t="e">
        <f t="shared" si="282"/>
        <v>#NAME?</v>
      </c>
      <c r="BX431" s="495" t="e">
        <f>SUM(BT431,BU431,BV431,BW431)</f>
        <v>#NAME?</v>
      </c>
      <c r="BY431" s="187" t="e">
        <f>-BY429</f>
        <v>#NAME?</v>
      </c>
      <c r="BZ431" s="187" t="e">
        <f>-BZ429</f>
        <v>#NAME?</v>
      </c>
      <c r="CA431" s="187" t="e">
        <f>-CA429</f>
        <v>#NAME?</v>
      </c>
      <c r="CB431" s="187" t="e">
        <f>-CB429</f>
        <v>#NAME?</v>
      </c>
      <c r="CC431" s="495" t="e">
        <f>SUM(BY431,BZ431,CA431,CB431)</f>
        <v>#NAME?</v>
      </c>
      <c r="CD431" s="495" t="e">
        <f>-CD429</f>
        <v>#NAME?</v>
      </c>
      <c r="CE431" s="495" t="e">
        <f>-CE429</f>
        <v>#NAME?</v>
      </c>
      <c r="CF431" s="495" t="e">
        <f>-CF429</f>
        <v>#NAME?</v>
      </c>
      <c r="CG431" s="99"/>
    </row>
    <row r="432" spans="1:85" ht="14.45" customHeight="1" x14ac:dyDescent="0.25">
      <c r="A432" s="110" t="s">
        <v>492</v>
      </c>
      <c r="B432" s="212"/>
      <c r="C432" s="416">
        <f t="shared" ref="C432:AH432" si="283">C430-C431</f>
        <v>38.136000000000166</v>
      </c>
      <c r="D432" s="416">
        <f t="shared" si="283"/>
        <v>36.056999999999867</v>
      </c>
      <c r="E432" s="416">
        <f t="shared" si="283"/>
        <v>28.608000000000089</v>
      </c>
      <c r="F432" s="416">
        <f t="shared" si="283"/>
        <v>27.216999999999921</v>
      </c>
      <c r="G432" s="106">
        <f t="shared" si="283"/>
        <v>4.8619999999999717</v>
      </c>
      <c r="H432" s="106">
        <f t="shared" si="283"/>
        <v>11.229000000000003</v>
      </c>
      <c r="I432" s="106">
        <f t="shared" si="283"/>
        <v>16.169000000000018</v>
      </c>
      <c r="J432" s="106">
        <f t="shared" si="283"/>
        <v>-4.585000000000198</v>
      </c>
      <c r="K432" s="416">
        <f t="shared" si="283"/>
        <v>27.67499999999982</v>
      </c>
      <c r="L432" s="106">
        <f t="shared" si="283"/>
        <v>2.4489999999999856</v>
      </c>
      <c r="M432" s="106">
        <f t="shared" si="283"/>
        <v>13.783000000000039</v>
      </c>
      <c r="N432" s="106">
        <f t="shared" si="283"/>
        <v>12.131999999999998</v>
      </c>
      <c r="O432" s="106">
        <f t="shared" si="283"/>
        <v>2.989999999999652</v>
      </c>
      <c r="P432" s="416">
        <f t="shared" si="283"/>
        <v>31.353999999999758</v>
      </c>
      <c r="Q432" s="106">
        <f t="shared" si="283"/>
        <v>2.2239999999999869</v>
      </c>
      <c r="R432" s="106">
        <f t="shared" si="283"/>
        <v>26.934000000000001</v>
      </c>
      <c r="S432" s="106">
        <f t="shared" si="283"/>
        <v>25.553000000000058</v>
      </c>
      <c r="T432" s="106">
        <f t="shared" si="283"/>
        <v>4.29100000000021</v>
      </c>
      <c r="U432" s="416">
        <f t="shared" si="283"/>
        <v>59.002000000000123</v>
      </c>
      <c r="V432" s="106">
        <f t="shared" si="283"/>
        <v>-10.04099999999999</v>
      </c>
      <c r="W432" s="106">
        <f t="shared" si="283"/>
        <v>15.651999999999992</v>
      </c>
      <c r="X432" s="106">
        <f t="shared" si="283"/>
        <v>23.142000000000039</v>
      </c>
      <c r="Y432" s="106">
        <f t="shared" si="283"/>
        <v>21.392999999999702</v>
      </c>
      <c r="Z432" s="416">
        <f t="shared" si="283"/>
        <v>50.145999999999923</v>
      </c>
      <c r="AA432" s="106">
        <f t="shared" si="283"/>
        <v>-5.0510000000000534</v>
      </c>
      <c r="AB432" s="106">
        <f t="shared" si="283"/>
        <v>6.3479999999998764</v>
      </c>
      <c r="AC432" s="106">
        <f t="shared" si="283"/>
        <v>17.316000000000052</v>
      </c>
      <c r="AD432" s="106">
        <f t="shared" si="283"/>
        <v>77.921999999999485</v>
      </c>
      <c r="AE432" s="416">
        <f t="shared" si="283"/>
        <v>96.534999999999641</v>
      </c>
      <c r="AF432" s="106">
        <f t="shared" si="283"/>
        <v>-14.184999999999901</v>
      </c>
      <c r="AG432" s="106">
        <f t="shared" si="283"/>
        <v>-3.9330000000000243</v>
      </c>
      <c r="AH432" s="106">
        <f t="shared" si="283"/>
        <v>25.163999999999888</v>
      </c>
      <c r="AI432" s="106">
        <f t="shared" ref="AI432:BN432" si="284">AI430-AI431</f>
        <v>-26.97600000000066</v>
      </c>
      <c r="AJ432" s="416">
        <f t="shared" si="284"/>
        <v>-19.930000000000419</v>
      </c>
      <c r="AK432" s="106">
        <f t="shared" si="284"/>
        <v>-6.8310000000000057</v>
      </c>
      <c r="AL432" s="106">
        <f t="shared" si="284"/>
        <v>15.370000000000108</v>
      </c>
      <c r="AM432" s="106">
        <f t="shared" si="284"/>
        <v>13.006000000000064</v>
      </c>
      <c r="AN432" s="106">
        <f t="shared" si="284"/>
        <v>-10.170000000000268</v>
      </c>
      <c r="AO432" s="416">
        <f t="shared" si="284"/>
        <v>11.374999999999909</v>
      </c>
      <c r="AP432" s="106">
        <f t="shared" si="284"/>
        <v>14.661999999999967</v>
      </c>
      <c r="AQ432" s="106">
        <f t="shared" si="284"/>
        <v>39.568999999999946</v>
      </c>
      <c r="AR432" s="106">
        <f t="shared" si="284"/>
        <v>51.883999999999894</v>
      </c>
      <c r="AS432" s="106">
        <f t="shared" si="284"/>
        <v>66.378000000000029</v>
      </c>
      <c r="AT432" s="416">
        <f t="shared" si="284"/>
        <v>172.49300000000017</v>
      </c>
      <c r="AU432" s="106">
        <f t="shared" si="284"/>
        <v>53.362999999999971</v>
      </c>
      <c r="AV432" s="106">
        <f t="shared" si="284"/>
        <v>48.180000000000035</v>
      </c>
      <c r="AW432" s="106">
        <f t="shared" si="284"/>
        <v>68.930000000000007</v>
      </c>
      <c r="AX432" s="106">
        <f t="shared" si="284"/>
        <v>19.106999999999793</v>
      </c>
      <c r="AY432" s="416">
        <f t="shared" si="284"/>
        <v>189.57999999999981</v>
      </c>
      <c r="AZ432" s="106">
        <f t="shared" si="284"/>
        <v>93.389999999999901</v>
      </c>
      <c r="BA432" s="106">
        <f t="shared" si="284"/>
        <v>99.561999999999898</v>
      </c>
      <c r="BB432" s="106">
        <f t="shared" si="284"/>
        <v>118.76099999999994</v>
      </c>
      <c r="BC432" s="106">
        <f t="shared" si="284"/>
        <v>118.44500000000016</v>
      </c>
      <c r="BD432" s="416">
        <f t="shared" si="284"/>
        <v>430.15800000000024</v>
      </c>
      <c r="BE432" s="106">
        <f t="shared" si="284"/>
        <v>118.12700000000008</v>
      </c>
      <c r="BF432" s="106">
        <f t="shared" si="284"/>
        <v>122.31900000000002</v>
      </c>
      <c r="BG432" s="106">
        <f t="shared" si="284"/>
        <v>92.09300000000016</v>
      </c>
      <c r="BH432" s="106">
        <f t="shared" si="284"/>
        <v>75.836000000000084</v>
      </c>
      <c r="BI432" s="416">
        <f t="shared" si="284"/>
        <v>408.37500000000023</v>
      </c>
      <c r="BJ432" s="106">
        <f t="shared" si="284"/>
        <v>165.74099999999993</v>
      </c>
      <c r="BK432" s="106">
        <f t="shared" si="284"/>
        <v>172.81200000000007</v>
      </c>
      <c r="BL432" s="106">
        <f t="shared" si="284"/>
        <v>115.62400000000007</v>
      </c>
      <c r="BM432" s="106">
        <f t="shared" si="284"/>
        <v>178.94800000000069</v>
      </c>
      <c r="BN432" s="416">
        <f t="shared" si="284"/>
        <v>633.12500000000011</v>
      </c>
      <c r="BO432" s="106">
        <f t="shared" ref="BO432:CF432" si="285">BO430-BO431</f>
        <v>103.61100000000005</v>
      </c>
      <c r="BP432" s="106">
        <f t="shared" si="285"/>
        <v>187.38700000000014</v>
      </c>
      <c r="BQ432" s="106">
        <f t="shared" si="285"/>
        <v>142.33400000000006</v>
      </c>
      <c r="BR432" s="106">
        <f t="shared" si="285"/>
        <v>137.24999999999972</v>
      </c>
      <c r="BS432" s="417">
        <f t="shared" si="285"/>
        <v>570.58200000000011</v>
      </c>
      <c r="BT432" s="159" t="e">
        <f t="shared" si="285"/>
        <v>#NAME?</v>
      </c>
      <c r="BU432" s="159" t="e">
        <f t="shared" si="285"/>
        <v>#NAME?</v>
      </c>
      <c r="BV432" s="159" t="e">
        <f t="shared" si="285"/>
        <v>#NAME?</v>
      </c>
      <c r="BW432" s="159" t="e">
        <f t="shared" si="285"/>
        <v>#NAME?</v>
      </c>
      <c r="BX432" s="418" t="e">
        <f t="shared" si="285"/>
        <v>#NAME?</v>
      </c>
      <c r="BY432" s="159" t="e">
        <f t="shared" si="285"/>
        <v>#NAME?</v>
      </c>
      <c r="BZ432" s="159" t="e">
        <f t="shared" si="285"/>
        <v>#NAME?</v>
      </c>
      <c r="CA432" s="159" t="e">
        <f t="shared" si="285"/>
        <v>#NAME?</v>
      </c>
      <c r="CB432" s="159" t="e">
        <f t="shared" si="285"/>
        <v>#NAME?</v>
      </c>
      <c r="CC432" s="418" t="e">
        <f t="shared" si="285"/>
        <v>#NAME?</v>
      </c>
      <c r="CD432" s="418" t="e">
        <f t="shared" si="285"/>
        <v>#NAME?</v>
      </c>
      <c r="CE432" s="418" t="e">
        <f t="shared" si="285"/>
        <v>#NAME?</v>
      </c>
      <c r="CF432" s="418" t="e">
        <f t="shared" si="285"/>
        <v>#NAME?</v>
      </c>
      <c r="CG432" s="109"/>
    </row>
    <row r="433" spans="1:85" ht="14.45" customHeight="1" x14ac:dyDescent="0.25">
      <c r="A433" s="227" t="s">
        <v>493</v>
      </c>
      <c r="B433" s="228"/>
      <c r="C433" s="526">
        <f t="shared" ref="C433:AH433" si="286">-SUM(C360:C392)</f>
        <v>16.658999999999999</v>
      </c>
      <c r="D433" s="526">
        <f t="shared" si="286"/>
        <v>-1.6479999999999997</v>
      </c>
      <c r="E433" s="526">
        <f t="shared" si="286"/>
        <v>-4.7279999999999998</v>
      </c>
      <c r="F433" s="526">
        <f t="shared" si="286"/>
        <v>-2.355</v>
      </c>
      <c r="G433" s="229">
        <f t="shared" si="286"/>
        <v>-0.22299999999999998</v>
      </c>
      <c r="H433" s="229">
        <f t="shared" si="286"/>
        <v>-0.73199999999999998</v>
      </c>
      <c r="I433" s="229">
        <f t="shared" si="286"/>
        <v>2.4470000000000001</v>
      </c>
      <c r="J433" s="229">
        <f t="shared" si="286"/>
        <v>-8.706999999999999</v>
      </c>
      <c r="K433" s="526">
        <f t="shared" si="286"/>
        <v>-7.2459999999999996</v>
      </c>
      <c r="L433" s="229">
        <f t="shared" si="286"/>
        <v>-0.89500000000000002</v>
      </c>
      <c r="M433" s="229">
        <f t="shared" si="286"/>
        <v>-0.95200000000000018</v>
      </c>
      <c r="N433" s="229">
        <f t="shared" si="286"/>
        <v>2.4999999999999856E-2</v>
      </c>
      <c r="O433" s="229">
        <f t="shared" si="286"/>
        <v>-2.4039999999999999</v>
      </c>
      <c r="P433" s="526">
        <f t="shared" si="286"/>
        <v>-4.2270000000000003</v>
      </c>
      <c r="Q433" s="229">
        <f t="shared" si="286"/>
        <v>-2.8809999999999998</v>
      </c>
      <c r="R433" s="229">
        <f t="shared" si="286"/>
        <v>7.8800000000000008</v>
      </c>
      <c r="S433" s="229">
        <f t="shared" si="286"/>
        <v>9.44</v>
      </c>
      <c r="T433" s="229">
        <f t="shared" si="286"/>
        <v>-2.7199999999999998</v>
      </c>
      <c r="U433" s="526">
        <f t="shared" si="286"/>
        <v>11.719999999999999</v>
      </c>
      <c r="V433" s="229">
        <f t="shared" si="286"/>
        <v>-16.260000000000002</v>
      </c>
      <c r="W433" s="229">
        <f t="shared" si="286"/>
        <v>-3.2090000000000005</v>
      </c>
      <c r="X433" s="229">
        <f t="shared" si="286"/>
        <v>0.24900000000000055</v>
      </c>
      <c r="Y433" s="229">
        <f t="shared" si="286"/>
        <v>14.774000000000003</v>
      </c>
      <c r="Z433" s="526">
        <f t="shared" si="286"/>
        <v>-3.7200000000000006</v>
      </c>
      <c r="AA433" s="229">
        <f t="shared" si="286"/>
        <v>-9.2840000000000007</v>
      </c>
      <c r="AB433" s="229">
        <f t="shared" si="286"/>
        <v>-15.817999999999998</v>
      </c>
      <c r="AC433" s="229">
        <f t="shared" si="286"/>
        <v>1.8699999999999992</v>
      </c>
      <c r="AD433" s="229">
        <f t="shared" si="286"/>
        <v>76.05</v>
      </c>
      <c r="AE433" s="526">
        <f t="shared" si="286"/>
        <v>58.2</v>
      </c>
      <c r="AF433" s="229">
        <f t="shared" si="286"/>
        <v>-5.35</v>
      </c>
      <c r="AG433" s="229">
        <f t="shared" si="286"/>
        <v>-14.238000000000001</v>
      </c>
      <c r="AH433" s="229">
        <f t="shared" si="286"/>
        <v>-2.6719999999999997</v>
      </c>
      <c r="AI433" s="229">
        <f t="shared" ref="AI433:BS433" si="287">-SUM(AI360:AI392)</f>
        <v>-44.850000000000009</v>
      </c>
      <c r="AJ433" s="526">
        <f t="shared" si="287"/>
        <v>-67.110000000000014</v>
      </c>
      <c r="AK433" s="229">
        <f t="shared" si="287"/>
        <v>-10.159000000000001</v>
      </c>
      <c r="AL433" s="229">
        <f t="shared" si="287"/>
        <v>-26.922000000000001</v>
      </c>
      <c r="AM433" s="229">
        <f t="shared" si="287"/>
        <v>-19.265000000000001</v>
      </c>
      <c r="AN433" s="229">
        <f t="shared" si="287"/>
        <v>-24.253</v>
      </c>
      <c r="AO433" s="526">
        <f t="shared" si="287"/>
        <v>-80.59899999999999</v>
      </c>
      <c r="AP433" s="229">
        <f t="shared" si="287"/>
        <v>-3.3280000000000003</v>
      </c>
      <c r="AQ433" s="229">
        <f t="shared" si="287"/>
        <v>-9.3550000000000004</v>
      </c>
      <c r="AR433" s="229">
        <f t="shared" si="287"/>
        <v>-15.492000000000001</v>
      </c>
      <c r="AS433" s="229">
        <f t="shared" si="287"/>
        <v>9.0820000000000007</v>
      </c>
      <c r="AT433" s="526">
        <f t="shared" si="287"/>
        <v>-19.093000000000004</v>
      </c>
      <c r="AU433" s="229">
        <f t="shared" si="287"/>
        <v>-7.9</v>
      </c>
      <c r="AV433" s="229">
        <f t="shared" si="287"/>
        <v>-34.372</v>
      </c>
      <c r="AW433" s="229">
        <f t="shared" si="287"/>
        <v>-25.617999999999999</v>
      </c>
      <c r="AX433" s="229">
        <f t="shared" si="287"/>
        <v>-44.276999999999994</v>
      </c>
      <c r="AY433" s="526">
        <f t="shared" si="287"/>
        <v>-112.167</v>
      </c>
      <c r="AZ433" s="229">
        <f t="shared" si="287"/>
        <v>14.406000000000001</v>
      </c>
      <c r="BA433" s="229">
        <f t="shared" si="287"/>
        <v>-12.651999999999999</v>
      </c>
      <c r="BB433" s="229">
        <f t="shared" si="287"/>
        <v>-19.995000000000001</v>
      </c>
      <c r="BC433" s="229">
        <f t="shared" si="287"/>
        <v>-8.7080000000000002</v>
      </c>
      <c r="BD433" s="526">
        <f t="shared" si="287"/>
        <v>-26.949000000000002</v>
      </c>
      <c r="BE433" s="229">
        <f t="shared" si="287"/>
        <v>-33.683999999999997</v>
      </c>
      <c r="BF433" s="229">
        <f t="shared" si="287"/>
        <v>-50.155999999999999</v>
      </c>
      <c r="BG433" s="229">
        <f t="shared" si="287"/>
        <v>-71.927000000000007</v>
      </c>
      <c r="BH433" s="229">
        <f t="shared" si="287"/>
        <v>-49.687999999999995</v>
      </c>
      <c r="BI433" s="526">
        <f t="shared" si="287"/>
        <v>-205.45499999999998</v>
      </c>
      <c r="BJ433" s="229">
        <f t="shared" si="287"/>
        <v>3.2689999999999997</v>
      </c>
      <c r="BK433" s="229">
        <f t="shared" si="287"/>
        <v>-19.948999999999998</v>
      </c>
      <c r="BL433" s="229">
        <f t="shared" si="287"/>
        <v>-51.053000000000004</v>
      </c>
      <c r="BM433" s="229">
        <f t="shared" si="287"/>
        <v>22.281000000000002</v>
      </c>
      <c r="BN433" s="526">
        <f t="shared" si="287"/>
        <v>-45.452000000000005</v>
      </c>
      <c r="BO433" s="229">
        <f t="shared" si="287"/>
        <v>-32.650999999999996</v>
      </c>
      <c r="BP433" s="229">
        <f t="shared" si="287"/>
        <v>-7.7640000000000002</v>
      </c>
      <c r="BQ433" s="229">
        <f t="shared" si="287"/>
        <v>-36.89</v>
      </c>
      <c r="BR433" s="229">
        <f t="shared" si="287"/>
        <v>-20.585999999999999</v>
      </c>
      <c r="BS433" s="527">
        <f t="shared" si="287"/>
        <v>-97.890999999999991</v>
      </c>
      <c r="BT433" s="184">
        <v>0</v>
      </c>
      <c r="BU433" s="184">
        <v>0</v>
      </c>
      <c r="BV433" s="184">
        <v>0</v>
      </c>
      <c r="BW433" s="184">
        <v>0</v>
      </c>
      <c r="BX433" s="492">
        <f>SUM(BT433,BU433,BV433,BW433)</f>
        <v>0</v>
      </c>
      <c r="BY433" s="184">
        <v>0</v>
      </c>
      <c r="BZ433" s="184">
        <v>0</v>
      </c>
      <c r="CA433" s="184">
        <v>0</v>
      </c>
      <c r="CB433" s="184">
        <v>0</v>
      </c>
      <c r="CC433" s="492">
        <f>SUM(BY433,BZ433,CA433,CB433)</f>
        <v>0</v>
      </c>
      <c r="CD433" s="493">
        <v>0</v>
      </c>
      <c r="CE433" s="493">
        <v>0</v>
      </c>
      <c r="CF433" s="493">
        <v>0</v>
      </c>
      <c r="CG433" s="99"/>
    </row>
    <row r="434" spans="1:85" ht="14.45" customHeight="1" x14ac:dyDescent="0.25">
      <c r="A434" s="130" t="s">
        <v>494</v>
      </c>
      <c r="B434" s="190"/>
      <c r="C434" s="415"/>
      <c r="D434" s="415"/>
      <c r="E434" s="415"/>
      <c r="F434" s="415"/>
      <c r="G434" s="158"/>
      <c r="H434" s="158"/>
      <c r="I434" s="158"/>
      <c r="J434" s="158"/>
      <c r="K434" s="415"/>
      <c r="L434" s="158"/>
      <c r="M434" s="158"/>
      <c r="N434" s="158"/>
      <c r="O434" s="158"/>
      <c r="P434" s="415"/>
      <c r="Q434" s="158"/>
      <c r="R434" s="158"/>
      <c r="S434" s="158"/>
      <c r="T434" s="158"/>
      <c r="U434" s="415"/>
      <c r="V434" s="158"/>
      <c r="W434" s="158"/>
      <c r="X434" s="158"/>
      <c r="Y434" s="158"/>
      <c r="Z434" s="415"/>
      <c r="AA434" s="158"/>
      <c r="AB434" s="158"/>
      <c r="AC434" s="158"/>
      <c r="AD434" s="158"/>
      <c r="AE434" s="415"/>
      <c r="AF434" s="158"/>
      <c r="AG434" s="158"/>
      <c r="AH434" s="158"/>
      <c r="AI434" s="158"/>
      <c r="AJ434" s="415"/>
      <c r="AK434" s="158"/>
      <c r="AL434" s="158"/>
      <c r="AM434" s="158"/>
      <c r="AN434" s="158"/>
      <c r="AO434" s="415"/>
      <c r="AP434" s="158"/>
      <c r="AQ434" s="158"/>
      <c r="AR434" s="158"/>
      <c r="AS434" s="158"/>
      <c r="AT434" s="415"/>
      <c r="AU434" s="158"/>
      <c r="AV434" s="158"/>
      <c r="AW434" s="158"/>
      <c r="AX434" s="158"/>
      <c r="AY434" s="415"/>
      <c r="AZ434" s="158"/>
      <c r="BA434" s="158"/>
      <c r="BB434" s="158"/>
      <c r="BC434" s="158"/>
      <c r="BD434" s="415"/>
      <c r="BE434" s="158"/>
      <c r="BF434" s="158"/>
      <c r="BG434" s="158"/>
      <c r="BH434" s="158"/>
      <c r="BI434" s="415"/>
      <c r="BJ434" s="158"/>
      <c r="BK434" s="158"/>
      <c r="BL434" s="158"/>
      <c r="BM434" s="158"/>
      <c r="BN434" s="415"/>
      <c r="BO434" s="158"/>
      <c r="BP434" s="158"/>
      <c r="BQ434" s="158"/>
      <c r="BR434" s="158"/>
      <c r="BS434" s="470"/>
      <c r="BT434" s="158"/>
      <c r="BU434" s="158"/>
      <c r="BV434" s="158"/>
      <c r="BW434" s="158"/>
      <c r="BX434" s="415"/>
      <c r="BY434" s="158"/>
      <c r="BZ434" s="158"/>
      <c r="CA434" s="158"/>
      <c r="CB434" s="158"/>
      <c r="CC434" s="415"/>
      <c r="CD434" s="415"/>
      <c r="CE434" s="415"/>
      <c r="CF434" s="415"/>
      <c r="CG434" s="99"/>
    </row>
    <row r="435" spans="1:85" ht="14.45" customHeight="1" x14ac:dyDescent="0.25">
      <c r="A435" s="110" t="s">
        <v>495</v>
      </c>
      <c r="B435" s="212"/>
      <c r="C435" s="416">
        <f t="shared" ref="C435:AH435" si="288">C432-SUM(C433:C434)</f>
        <v>21.477000000000167</v>
      </c>
      <c r="D435" s="416">
        <f t="shared" si="288"/>
        <v>37.70499999999987</v>
      </c>
      <c r="E435" s="416">
        <f t="shared" si="288"/>
        <v>33.336000000000091</v>
      </c>
      <c r="F435" s="416">
        <f t="shared" si="288"/>
        <v>29.571999999999921</v>
      </c>
      <c r="G435" s="106">
        <f t="shared" si="288"/>
        <v>5.0849999999999715</v>
      </c>
      <c r="H435" s="106">
        <f t="shared" si="288"/>
        <v>11.961000000000002</v>
      </c>
      <c r="I435" s="106">
        <f t="shared" si="288"/>
        <v>13.722000000000019</v>
      </c>
      <c r="J435" s="106">
        <f t="shared" si="288"/>
        <v>4.1219999999998009</v>
      </c>
      <c r="K435" s="416">
        <f t="shared" si="288"/>
        <v>34.920999999999822</v>
      </c>
      <c r="L435" s="106">
        <f t="shared" si="288"/>
        <v>3.3439999999999857</v>
      </c>
      <c r="M435" s="106">
        <f t="shared" si="288"/>
        <v>14.735000000000039</v>
      </c>
      <c r="N435" s="106">
        <f t="shared" si="288"/>
        <v>12.106999999999998</v>
      </c>
      <c r="O435" s="106">
        <f t="shared" si="288"/>
        <v>5.393999999999652</v>
      </c>
      <c r="P435" s="416">
        <f t="shared" si="288"/>
        <v>35.580999999999761</v>
      </c>
      <c r="Q435" s="106">
        <f t="shared" si="288"/>
        <v>5.1049999999999862</v>
      </c>
      <c r="R435" s="106">
        <f t="shared" si="288"/>
        <v>19.054000000000002</v>
      </c>
      <c r="S435" s="106">
        <f t="shared" si="288"/>
        <v>16.113000000000056</v>
      </c>
      <c r="T435" s="106">
        <f t="shared" si="288"/>
        <v>7.0110000000002097</v>
      </c>
      <c r="U435" s="416">
        <f t="shared" si="288"/>
        <v>47.282000000000124</v>
      </c>
      <c r="V435" s="106">
        <f t="shared" si="288"/>
        <v>6.2190000000000119</v>
      </c>
      <c r="W435" s="106">
        <f t="shared" si="288"/>
        <v>18.860999999999994</v>
      </c>
      <c r="X435" s="106">
        <f t="shared" si="288"/>
        <v>22.893000000000036</v>
      </c>
      <c r="Y435" s="106">
        <f t="shared" si="288"/>
        <v>6.6189999999996996</v>
      </c>
      <c r="Z435" s="416">
        <f t="shared" si="288"/>
        <v>53.865999999999921</v>
      </c>
      <c r="AA435" s="106">
        <f t="shared" si="288"/>
        <v>4.2329999999999472</v>
      </c>
      <c r="AB435" s="106">
        <f t="shared" si="288"/>
        <v>22.165999999999876</v>
      </c>
      <c r="AC435" s="106">
        <f t="shared" si="288"/>
        <v>15.446000000000053</v>
      </c>
      <c r="AD435" s="106">
        <f t="shared" si="288"/>
        <v>1.8719999999994883</v>
      </c>
      <c r="AE435" s="416">
        <f t="shared" si="288"/>
        <v>38.334999999999638</v>
      </c>
      <c r="AF435" s="106">
        <f t="shared" si="288"/>
        <v>-8.8349999999999014</v>
      </c>
      <c r="AG435" s="106">
        <f t="shared" si="288"/>
        <v>10.304999999999977</v>
      </c>
      <c r="AH435" s="106">
        <f t="shared" si="288"/>
        <v>27.835999999999888</v>
      </c>
      <c r="AI435" s="106">
        <f t="shared" ref="AI435:BN435" si="289">AI432-SUM(AI433:AI434)</f>
        <v>17.873999999999349</v>
      </c>
      <c r="AJ435" s="416">
        <f t="shared" si="289"/>
        <v>47.179999999999595</v>
      </c>
      <c r="AK435" s="106">
        <f t="shared" si="289"/>
        <v>3.327999999999995</v>
      </c>
      <c r="AL435" s="106">
        <f t="shared" si="289"/>
        <v>42.292000000000108</v>
      </c>
      <c r="AM435" s="106">
        <f t="shared" si="289"/>
        <v>32.271000000000065</v>
      </c>
      <c r="AN435" s="106">
        <f t="shared" si="289"/>
        <v>14.082999999999732</v>
      </c>
      <c r="AO435" s="416">
        <f t="shared" si="289"/>
        <v>91.973999999999904</v>
      </c>
      <c r="AP435" s="106">
        <f t="shared" si="289"/>
        <v>17.989999999999966</v>
      </c>
      <c r="AQ435" s="106">
        <f t="shared" si="289"/>
        <v>48.92399999999995</v>
      </c>
      <c r="AR435" s="106">
        <f t="shared" si="289"/>
        <v>67.375999999999891</v>
      </c>
      <c r="AS435" s="106">
        <f t="shared" si="289"/>
        <v>57.296000000000028</v>
      </c>
      <c r="AT435" s="416">
        <f t="shared" si="289"/>
        <v>191.58600000000018</v>
      </c>
      <c r="AU435" s="106">
        <f t="shared" si="289"/>
        <v>61.26299999999997</v>
      </c>
      <c r="AV435" s="106">
        <f t="shared" si="289"/>
        <v>82.552000000000035</v>
      </c>
      <c r="AW435" s="106">
        <f t="shared" si="289"/>
        <v>94.548000000000002</v>
      </c>
      <c r="AX435" s="106">
        <f t="shared" si="289"/>
        <v>63.383999999999787</v>
      </c>
      <c r="AY435" s="416">
        <f t="shared" si="289"/>
        <v>301.74699999999984</v>
      </c>
      <c r="AZ435" s="106">
        <f t="shared" si="289"/>
        <v>78.983999999999895</v>
      </c>
      <c r="BA435" s="106">
        <f t="shared" si="289"/>
        <v>112.2139999999999</v>
      </c>
      <c r="BB435" s="106">
        <f t="shared" si="289"/>
        <v>138.75599999999994</v>
      </c>
      <c r="BC435" s="106">
        <f t="shared" si="289"/>
        <v>127.15300000000016</v>
      </c>
      <c r="BD435" s="416">
        <f t="shared" si="289"/>
        <v>457.10700000000026</v>
      </c>
      <c r="BE435" s="106">
        <f t="shared" si="289"/>
        <v>151.81100000000009</v>
      </c>
      <c r="BF435" s="106">
        <f t="shared" si="289"/>
        <v>172.47500000000002</v>
      </c>
      <c r="BG435" s="106">
        <f t="shared" si="289"/>
        <v>164.02000000000015</v>
      </c>
      <c r="BH435" s="106">
        <f t="shared" si="289"/>
        <v>125.52400000000009</v>
      </c>
      <c r="BI435" s="416">
        <f t="shared" si="289"/>
        <v>613.83000000000015</v>
      </c>
      <c r="BJ435" s="106">
        <f t="shared" si="289"/>
        <v>162.47199999999992</v>
      </c>
      <c r="BK435" s="106">
        <f t="shared" si="289"/>
        <v>192.76100000000008</v>
      </c>
      <c r="BL435" s="106">
        <f t="shared" si="289"/>
        <v>166.67700000000008</v>
      </c>
      <c r="BM435" s="106">
        <f t="shared" si="289"/>
        <v>156.66700000000068</v>
      </c>
      <c r="BN435" s="416">
        <f t="shared" si="289"/>
        <v>678.57700000000011</v>
      </c>
      <c r="BO435" s="106">
        <f t="shared" ref="BO435:CF435" si="290">BO432-SUM(BO433:BO434)</f>
        <v>136.26200000000006</v>
      </c>
      <c r="BP435" s="106">
        <f t="shared" si="290"/>
        <v>195.15100000000015</v>
      </c>
      <c r="BQ435" s="106">
        <f t="shared" si="290"/>
        <v>179.22400000000005</v>
      </c>
      <c r="BR435" s="106">
        <f t="shared" si="290"/>
        <v>157.83599999999973</v>
      </c>
      <c r="BS435" s="417">
        <f t="shared" si="290"/>
        <v>668.47300000000007</v>
      </c>
      <c r="BT435" s="159" t="e">
        <f t="shared" si="290"/>
        <v>#NAME?</v>
      </c>
      <c r="BU435" s="159" t="e">
        <f t="shared" si="290"/>
        <v>#NAME?</v>
      </c>
      <c r="BV435" s="159" t="e">
        <f t="shared" si="290"/>
        <v>#NAME?</v>
      </c>
      <c r="BW435" s="159" t="e">
        <f t="shared" si="290"/>
        <v>#NAME?</v>
      </c>
      <c r="BX435" s="418" t="e">
        <f t="shared" si="290"/>
        <v>#NAME?</v>
      </c>
      <c r="BY435" s="159" t="e">
        <f t="shared" si="290"/>
        <v>#NAME?</v>
      </c>
      <c r="BZ435" s="159" t="e">
        <f t="shared" si="290"/>
        <v>#NAME?</v>
      </c>
      <c r="CA435" s="159" t="e">
        <f t="shared" si="290"/>
        <v>#NAME?</v>
      </c>
      <c r="CB435" s="159" t="e">
        <f t="shared" si="290"/>
        <v>#NAME?</v>
      </c>
      <c r="CC435" s="418" t="e">
        <f t="shared" si="290"/>
        <v>#NAME?</v>
      </c>
      <c r="CD435" s="418" t="e">
        <f t="shared" si="290"/>
        <v>#NAME?</v>
      </c>
      <c r="CE435" s="418" t="e">
        <f t="shared" si="290"/>
        <v>#NAME?</v>
      </c>
      <c r="CF435" s="418" t="e">
        <f t="shared" si="290"/>
        <v>#NAME?</v>
      </c>
      <c r="CG435" s="109"/>
    </row>
    <row r="436" spans="1:85" ht="14.45" customHeight="1" x14ac:dyDescent="0.25">
      <c r="A436" s="230"/>
      <c r="B436" s="231"/>
      <c r="C436" s="528"/>
      <c r="D436" s="528"/>
      <c r="E436" s="528"/>
      <c r="F436" s="528"/>
      <c r="G436" s="232"/>
      <c r="H436" s="232"/>
      <c r="I436" s="232"/>
      <c r="J436" s="232"/>
      <c r="K436" s="528"/>
      <c r="L436" s="232"/>
      <c r="M436" s="232"/>
      <c r="N436" s="232"/>
      <c r="O436" s="232"/>
      <c r="P436" s="528"/>
      <c r="Q436" s="232"/>
      <c r="R436" s="232"/>
      <c r="S436" s="232"/>
      <c r="T436" s="232"/>
      <c r="U436" s="528"/>
      <c r="V436" s="232"/>
      <c r="W436" s="232"/>
      <c r="X436" s="232"/>
      <c r="Y436" s="232"/>
      <c r="Z436" s="528"/>
      <c r="AA436" s="232"/>
      <c r="AB436" s="232"/>
      <c r="AC436" s="232"/>
      <c r="AD436" s="232"/>
      <c r="AE436" s="528"/>
      <c r="AF436" s="232"/>
      <c r="AG436" s="232"/>
      <c r="AH436" s="232"/>
      <c r="AI436" s="232"/>
      <c r="AJ436" s="528"/>
      <c r="AK436" s="232"/>
      <c r="AL436" s="232"/>
      <c r="AM436" s="232"/>
      <c r="AN436" s="232"/>
      <c r="AO436" s="528"/>
      <c r="AP436" s="232"/>
      <c r="AQ436" s="232"/>
      <c r="AR436" s="232"/>
      <c r="AS436" s="232"/>
      <c r="AT436" s="528"/>
      <c r="AU436" s="232"/>
      <c r="AV436" s="232"/>
      <c r="AW436" s="232"/>
      <c r="AX436" s="232"/>
      <c r="AY436" s="528"/>
      <c r="AZ436" s="232"/>
      <c r="BA436" s="232"/>
      <c r="BB436" s="232"/>
      <c r="BC436" s="232"/>
      <c r="BD436" s="528"/>
      <c r="BE436" s="232"/>
      <c r="BF436" s="232"/>
      <c r="BG436" s="232"/>
      <c r="BH436" s="232"/>
      <c r="BI436" s="528"/>
      <c r="BJ436" s="232"/>
      <c r="BK436" s="232"/>
      <c r="BL436" s="232"/>
      <c r="BM436" s="232"/>
      <c r="BN436" s="528"/>
      <c r="BO436" s="232"/>
      <c r="BP436" s="232"/>
      <c r="BQ436" s="232"/>
      <c r="BR436" s="232"/>
      <c r="BS436" s="529"/>
      <c r="BT436" s="232"/>
      <c r="BU436" s="232"/>
      <c r="BV436" s="232"/>
      <c r="BW436" s="232"/>
      <c r="BX436" s="528"/>
      <c r="BY436" s="232"/>
      <c r="BZ436" s="232"/>
      <c r="CA436" s="232"/>
      <c r="CB436" s="232"/>
      <c r="CC436" s="528"/>
      <c r="CD436" s="528"/>
      <c r="CE436" s="528"/>
      <c r="CF436" s="528"/>
      <c r="CG436" s="523"/>
    </row>
    <row r="437" spans="1:85" ht="14.45" customHeight="1" x14ac:dyDescent="0.25">
      <c r="A437" s="233" t="s">
        <v>496</v>
      </c>
      <c r="B437" s="234"/>
      <c r="C437" s="530">
        <f t="shared" ref="C437:AH437" si="291">C429/C426</f>
        <v>0.21473497274498593</v>
      </c>
      <c r="D437" s="530">
        <f t="shared" si="291"/>
        <v>0.20259470942289282</v>
      </c>
      <c r="E437" s="530">
        <f t="shared" si="291"/>
        <v>0.20019985635324553</v>
      </c>
      <c r="F437" s="530">
        <f t="shared" si="291"/>
        <v>0.19546075844750357</v>
      </c>
      <c r="G437" s="235">
        <f t="shared" si="291"/>
        <v>0.19439054506967812</v>
      </c>
      <c r="H437" s="235">
        <f t="shared" si="291"/>
        <v>0.21094264996704018</v>
      </c>
      <c r="I437" s="235">
        <f t="shared" si="291"/>
        <v>0.20383785876237331</v>
      </c>
      <c r="J437" s="235">
        <f t="shared" si="291"/>
        <v>0.27680929741150173</v>
      </c>
      <c r="K437" s="530">
        <f t="shared" si="291"/>
        <v>0.19624945486262649</v>
      </c>
      <c r="L437" s="235">
        <f t="shared" si="291"/>
        <v>0.17994195420832074</v>
      </c>
      <c r="M437" s="235">
        <f t="shared" si="291"/>
        <v>0.20656144012522776</v>
      </c>
      <c r="N437" s="235">
        <f t="shared" si="291"/>
        <v>0.20335643925574609</v>
      </c>
      <c r="O437" s="235">
        <f t="shared" si="291"/>
        <v>0.17241379310346353</v>
      </c>
      <c r="P437" s="530">
        <f t="shared" si="291"/>
        <v>0.19932376254088044</v>
      </c>
      <c r="Q437" s="235">
        <f t="shared" si="291"/>
        <v>0.17304436166610304</v>
      </c>
      <c r="R437" s="235">
        <f t="shared" si="291"/>
        <v>0.21558728951281075</v>
      </c>
      <c r="S437" s="235">
        <f t="shared" si="291"/>
        <v>0.21463042926085807</v>
      </c>
      <c r="T437" s="235">
        <f t="shared" si="291"/>
        <v>0.17412225984672308</v>
      </c>
      <c r="U437" s="530">
        <f t="shared" si="291"/>
        <v>0.20967345181723104</v>
      </c>
      <c r="V437" s="235">
        <f t="shared" si="291"/>
        <v>0.25794309753127448</v>
      </c>
      <c r="W437" s="235">
        <f t="shared" si="291"/>
        <v>0.21069037173862862</v>
      </c>
      <c r="X437" s="235">
        <f t="shared" si="291"/>
        <v>0.21120807732947175</v>
      </c>
      <c r="Y437" s="235">
        <f t="shared" si="291"/>
        <v>0.21736272404575413</v>
      </c>
      <c r="Z437" s="530">
        <f t="shared" si="291"/>
        <v>0.20607804034378724</v>
      </c>
      <c r="AA437" s="235">
        <f t="shared" si="291"/>
        <v>0.26760244509847991</v>
      </c>
      <c r="AB437" s="235">
        <f t="shared" si="291"/>
        <v>0.19667590027701151</v>
      </c>
      <c r="AC437" s="235">
        <f t="shared" si="291"/>
        <v>0.21511289725556496</v>
      </c>
      <c r="AD437" s="235">
        <f t="shared" si="291"/>
        <v>0.22610558114198132</v>
      </c>
      <c r="AE437" s="530">
        <f t="shared" si="291"/>
        <v>0.22013281865295128</v>
      </c>
      <c r="AF437" s="235">
        <f t="shared" si="291"/>
        <v>0.24635009585607021</v>
      </c>
      <c r="AG437" s="235">
        <f t="shared" si="291"/>
        <v>0.3387918486171731</v>
      </c>
      <c r="AH437" s="235">
        <f t="shared" si="291"/>
        <v>0.22096474953617906</v>
      </c>
      <c r="AI437" s="235">
        <f t="shared" ref="AI437:BS437" si="292">AI429/AI426</f>
        <v>0.24767405799348111</v>
      </c>
      <c r="AJ437" s="530">
        <f t="shared" si="292"/>
        <v>0.31050409078911784</v>
      </c>
      <c r="AK437" s="235">
        <f t="shared" si="292"/>
        <v>0.29042667622803842</v>
      </c>
      <c r="AL437" s="235">
        <f t="shared" si="292"/>
        <v>0.21713336497389515</v>
      </c>
      <c r="AM437" s="235">
        <f t="shared" si="292"/>
        <v>0.19921523221407358</v>
      </c>
      <c r="AN437" s="235">
        <f t="shared" si="292"/>
        <v>0.29428848015487918</v>
      </c>
      <c r="AO437" s="530">
        <f t="shared" si="292"/>
        <v>0.14574353448275934</v>
      </c>
      <c r="AP437" s="235">
        <f t="shared" si="292"/>
        <v>0.22376770719825698</v>
      </c>
      <c r="AQ437" s="235">
        <f t="shared" si="292"/>
        <v>0.22110623518644576</v>
      </c>
      <c r="AR437" s="235">
        <f t="shared" si="292"/>
        <v>0.2244341918843322</v>
      </c>
      <c r="AS437" s="235">
        <f t="shared" si="292"/>
        <v>0.22967063301805921</v>
      </c>
      <c r="AT437" s="530">
        <f t="shared" si="292"/>
        <v>0.22557757678599846</v>
      </c>
      <c r="AU437" s="235">
        <f t="shared" si="292"/>
        <v>0.23812379363978797</v>
      </c>
      <c r="AV437" s="235">
        <f t="shared" si="292"/>
        <v>0.23812785388127836</v>
      </c>
      <c r="AW437" s="235">
        <f t="shared" si="292"/>
        <v>0.23812563470187145</v>
      </c>
      <c r="AX437" s="235">
        <f t="shared" si="292"/>
        <v>0.2382372952321162</v>
      </c>
      <c r="AY437" s="530">
        <f t="shared" si="292"/>
        <v>0.23813693427576768</v>
      </c>
      <c r="AZ437" s="235">
        <f t="shared" si="292"/>
        <v>0.21566548881036535</v>
      </c>
      <c r="BA437" s="235">
        <f t="shared" si="292"/>
        <v>0.10720957795142735</v>
      </c>
      <c r="BB437" s="235">
        <f t="shared" si="292"/>
        <v>0.10720691135978988</v>
      </c>
      <c r="BC437" s="235">
        <f t="shared" si="292"/>
        <v>0.11980243995103193</v>
      </c>
      <c r="BD437" s="530">
        <f t="shared" si="292"/>
        <v>0.134222773957476</v>
      </c>
      <c r="BE437" s="235">
        <f t="shared" si="292"/>
        <v>0.10720665046940997</v>
      </c>
      <c r="BF437" s="235">
        <f t="shared" si="292"/>
        <v>0.10720329629902141</v>
      </c>
      <c r="BG437" s="235">
        <f t="shared" si="292"/>
        <v>0.10721770384285433</v>
      </c>
      <c r="BH437" s="235">
        <f t="shared" si="292"/>
        <v>0.10721820771137702</v>
      </c>
      <c r="BI437" s="530">
        <f t="shared" si="292"/>
        <v>0.10721028466483007</v>
      </c>
      <c r="BJ437" s="235">
        <f t="shared" si="292"/>
        <v>0.10718530719616755</v>
      </c>
      <c r="BK437" s="235">
        <f t="shared" si="292"/>
        <v>0.10796125269078533</v>
      </c>
      <c r="BL437" s="235">
        <f t="shared" si="292"/>
        <v>0.11470801909638131</v>
      </c>
      <c r="BM437" s="235">
        <f t="shared" si="292"/>
        <v>0.11264724948029554</v>
      </c>
      <c r="BN437" s="530">
        <f t="shared" si="292"/>
        <v>0.11031470878578478</v>
      </c>
      <c r="BO437" s="235">
        <f t="shared" si="292"/>
        <v>0.11527733541805403</v>
      </c>
      <c r="BP437" s="235">
        <f t="shared" si="292"/>
        <v>0.11544023865049328</v>
      </c>
      <c r="BQ437" s="235">
        <f t="shared" si="292"/>
        <v>0.11595964421712304</v>
      </c>
      <c r="BR437" s="235">
        <f t="shared" si="292"/>
        <v>0.13151183970856128</v>
      </c>
      <c r="BS437" s="531">
        <f t="shared" si="292"/>
        <v>0.11940615021153837</v>
      </c>
      <c r="BT437" s="235" t="e">
        <f>BT458/BT459</f>
        <v>#NAME?</v>
      </c>
      <c r="BU437" s="235" t="e">
        <f>BU458/BU459</f>
        <v>#NAME?</v>
      </c>
      <c r="BV437" s="235" t="e">
        <f>BV458/BV459</f>
        <v>#NAME?</v>
      </c>
      <c r="BW437" s="235" t="e">
        <f>BW458/BW459</f>
        <v>#NAME?</v>
      </c>
      <c r="BX437" s="530" t="e">
        <f>BX429/BX426</f>
        <v>#NAME?</v>
      </c>
      <c r="BY437" s="235" t="e">
        <f>BY458/BY459</f>
        <v>#NAME?</v>
      </c>
      <c r="BZ437" s="235" t="e">
        <f>BZ458/BZ459</f>
        <v>#NAME?</v>
      </c>
      <c r="CA437" s="235" t="e">
        <f>CA458/CA459</f>
        <v>#NAME?</v>
      </c>
      <c r="CB437" s="235" t="e">
        <f>CB458/CB459</f>
        <v>#NAME?</v>
      </c>
      <c r="CC437" s="530" t="e">
        <f>CC429/CC426</f>
        <v>#NAME?</v>
      </c>
      <c r="CD437" s="530" t="e">
        <f>CD458/CD459</f>
        <v>#NAME?</v>
      </c>
      <c r="CE437" s="530" t="e">
        <f>CE458/CE459</f>
        <v>#NAME?</v>
      </c>
      <c r="CF437" s="530" t="e">
        <f>CF458/CF459</f>
        <v>#NAME?</v>
      </c>
      <c r="CG437" s="236"/>
    </row>
    <row r="438" spans="1:85" ht="14.45" customHeight="1" x14ac:dyDescent="0.25">
      <c r="A438" s="236" t="s">
        <v>497</v>
      </c>
      <c r="B438" s="234"/>
      <c r="C438" s="532">
        <f t="shared" ref="C438:AH438" si="293">C424/C422</f>
        <v>0.1566416917582798</v>
      </c>
      <c r="D438" s="532">
        <f t="shared" si="293"/>
        <v>0.43396904773577905</v>
      </c>
      <c r="E438" s="532">
        <f t="shared" si="293"/>
        <v>0.22579581385424102</v>
      </c>
      <c r="F438" s="532">
        <f t="shared" si="293"/>
        <v>0.27650521106695697</v>
      </c>
      <c r="G438" s="236">
        <f t="shared" si="293"/>
        <v>0.28289554815637047</v>
      </c>
      <c r="H438" s="236">
        <f t="shared" si="293"/>
        <v>0.35525910723447918</v>
      </c>
      <c r="I438" s="236">
        <f t="shared" si="293"/>
        <v>0.29370813082884517</v>
      </c>
      <c r="J438" s="236">
        <f t="shared" si="293"/>
        <v>-1.0062964158863092</v>
      </c>
      <c r="K438" s="532">
        <f t="shared" si="293"/>
        <v>0.50083627158484967</v>
      </c>
      <c r="L438" s="236">
        <f t="shared" si="293"/>
        <v>0.32086654404251069</v>
      </c>
      <c r="M438" s="236">
        <f t="shared" si="293"/>
        <v>0.34722628652648246</v>
      </c>
      <c r="N438" s="236">
        <f t="shared" si="293"/>
        <v>0.34376924169942691</v>
      </c>
      <c r="O438" s="236">
        <f t="shared" si="293"/>
        <v>-0.31945176594625058</v>
      </c>
      <c r="P438" s="532">
        <f t="shared" si="293"/>
        <v>0.27537847459455694</v>
      </c>
      <c r="Q438" s="236">
        <f t="shared" si="293"/>
        <v>0.32937751903269241</v>
      </c>
      <c r="R438" s="236">
        <f t="shared" si="293"/>
        <v>0.40999935460275794</v>
      </c>
      <c r="S438" s="236">
        <f t="shared" si="293"/>
        <v>0.35639719602602199</v>
      </c>
      <c r="T438" s="236">
        <f t="shared" si="293"/>
        <v>-1.2910158543746</v>
      </c>
      <c r="U438" s="532">
        <f t="shared" si="293"/>
        <v>0.23879663445047489</v>
      </c>
      <c r="V438" s="236">
        <f t="shared" si="293"/>
        <v>0</v>
      </c>
      <c r="W438" s="236">
        <f t="shared" si="293"/>
        <v>0.25162720835419505</v>
      </c>
      <c r="X438" s="236">
        <f t="shared" si="293"/>
        <v>0.15865956456534089</v>
      </c>
      <c r="Y438" s="236">
        <f t="shared" si="293"/>
        <v>-0.49929081543783177</v>
      </c>
      <c r="Z438" s="532">
        <f t="shared" si="293"/>
        <v>-7.4348520148416669E-2</v>
      </c>
      <c r="AA438" s="236">
        <f t="shared" si="293"/>
        <v>-1.455846077947696</v>
      </c>
      <c r="AB438" s="236">
        <f t="shared" si="293"/>
        <v>1.1626633698339937</v>
      </c>
      <c r="AC438" s="236">
        <f t="shared" si="293"/>
        <v>0.37740956978374962</v>
      </c>
      <c r="AD438" s="236">
        <f t="shared" si="293"/>
        <v>-0.62720126325908232</v>
      </c>
      <c r="AE438" s="532">
        <f t="shared" si="293"/>
        <v>0.28997238358251759</v>
      </c>
      <c r="AF438" s="236">
        <f t="shared" si="293"/>
        <v>-9.1320242716617386E-2</v>
      </c>
      <c r="AG438" s="236">
        <f t="shared" si="293"/>
        <v>-0.26257370794311308</v>
      </c>
      <c r="AH438" s="236">
        <f t="shared" si="293"/>
        <v>-0.22318900628409702</v>
      </c>
      <c r="AI438" s="236">
        <f t="shared" ref="AI438:BS438" si="294">AI424/AI422</f>
        <v>3.5915647653217191E-2</v>
      </c>
      <c r="AJ438" s="532">
        <f t="shared" si="294"/>
        <v>0.564235719123938</v>
      </c>
      <c r="AK438" s="236">
        <f t="shared" si="294"/>
        <v>-5.1264126762204321E-2</v>
      </c>
      <c r="AL438" s="236">
        <f t="shared" si="294"/>
        <v>-1.1648223645893921E-2</v>
      </c>
      <c r="AM438" s="236">
        <f t="shared" si="294"/>
        <v>0.24298601714027901</v>
      </c>
      <c r="AN438" s="236">
        <f t="shared" si="294"/>
        <v>-1.8032352941175041</v>
      </c>
      <c r="AO438" s="532">
        <f t="shared" si="294"/>
        <v>0.3412125639152675</v>
      </c>
      <c r="AP438" s="236">
        <f t="shared" si="294"/>
        <v>-2.6190249022039942E-2</v>
      </c>
      <c r="AQ438" s="236">
        <f t="shared" si="294"/>
        <v>-9.9134948096886288E-3</v>
      </c>
      <c r="AR438" s="236">
        <f t="shared" si="294"/>
        <v>0.47306482149910856</v>
      </c>
      <c r="AS438" s="236">
        <f t="shared" si="294"/>
        <v>0.1867748506093786</v>
      </c>
      <c r="AT438" s="532">
        <f t="shared" si="294"/>
        <v>0.20828908065051427</v>
      </c>
      <c r="AU438" s="236">
        <f t="shared" si="294"/>
        <v>5.4508537399669088E-4</v>
      </c>
      <c r="AV438" s="236">
        <f t="shared" si="294"/>
        <v>0.53413795737529568</v>
      </c>
      <c r="AW438" s="236">
        <f t="shared" si="294"/>
        <v>0.17464237057220705</v>
      </c>
      <c r="AX438" s="236">
        <f t="shared" si="294"/>
        <v>1.0439643991234051</v>
      </c>
      <c r="AY438" s="532">
        <f t="shared" si="294"/>
        <v>0.29297390936276474</v>
      </c>
      <c r="AZ438" s="236">
        <f t="shared" si="294"/>
        <v>3.5554853237462677E-4</v>
      </c>
      <c r="BA438" s="236">
        <f t="shared" si="294"/>
        <v>0.4205139307791087</v>
      </c>
      <c r="BB438" s="236">
        <f t="shared" si="294"/>
        <v>0.25631517086630518</v>
      </c>
      <c r="BC438" s="236">
        <f t="shared" si="294"/>
        <v>0.2495610170254639</v>
      </c>
      <c r="BD438" s="532">
        <f t="shared" si="294"/>
        <v>0.23640249214466671</v>
      </c>
      <c r="BE438" s="236">
        <f t="shared" si="294"/>
        <v>2.0854009371741597E-3</v>
      </c>
      <c r="BF438" s="236">
        <f t="shared" si="294"/>
        <v>0.55249101680100998</v>
      </c>
      <c r="BG438" s="236">
        <f t="shared" si="294"/>
        <v>0.46224294121536674</v>
      </c>
      <c r="BH438" s="236">
        <f t="shared" si="294"/>
        <v>0.45180064508676648</v>
      </c>
      <c r="BI438" s="532">
        <f t="shared" si="294"/>
        <v>0.35539686554339955</v>
      </c>
      <c r="BJ438" s="236">
        <f t="shared" si="294"/>
        <v>2.145084928310192E-3</v>
      </c>
      <c r="BK438" s="236">
        <f t="shared" si="294"/>
        <v>0.48989126924319071</v>
      </c>
      <c r="BL438" s="236">
        <f t="shared" si="294"/>
        <v>0.38719361287709786</v>
      </c>
      <c r="BM438" s="236">
        <f t="shared" si="294"/>
        <v>0.18909812178140101</v>
      </c>
      <c r="BN438" s="532">
        <f t="shared" si="294"/>
        <v>0.25798046819369308</v>
      </c>
      <c r="BO438" s="236">
        <f t="shared" si="294"/>
        <v>4.18719035225458E-3</v>
      </c>
      <c r="BP438" s="236">
        <f t="shared" si="294"/>
        <v>0.46194346066278752</v>
      </c>
      <c r="BQ438" s="236">
        <f t="shared" si="294"/>
        <v>0.17368776985902301</v>
      </c>
      <c r="BR438" s="236">
        <f t="shared" si="294"/>
        <v>0.20078311364711046</v>
      </c>
      <c r="BS438" s="533">
        <f t="shared" si="294"/>
        <v>0.2440517622826742</v>
      </c>
      <c r="BT438" s="534">
        <v>0.2</v>
      </c>
      <c r="BU438" s="534">
        <v>0.2</v>
      </c>
      <c r="BV438" s="534">
        <v>0.2</v>
      </c>
      <c r="BW438" s="534">
        <v>0.2</v>
      </c>
      <c r="BX438" s="530">
        <f>BX424/BX422</f>
        <v>0.20000000000000007</v>
      </c>
      <c r="BY438" s="534">
        <v>0.2</v>
      </c>
      <c r="BZ438" s="534">
        <v>0.2</v>
      </c>
      <c r="CA438" s="534">
        <v>0.2</v>
      </c>
      <c r="CB438" s="534">
        <v>0.2</v>
      </c>
      <c r="CC438" s="530">
        <f>CC424/CC422</f>
        <v>0.20000000000000015</v>
      </c>
      <c r="CD438" s="535">
        <v>0.20000000000000009</v>
      </c>
      <c r="CE438" s="535">
        <v>0.20000000000000009</v>
      </c>
      <c r="CF438" s="535">
        <v>0.20000000000000009</v>
      </c>
      <c r="CG438" s="236"/>
    </row>
    <row r="439" spans="1:85" ht="14.45" customHeight="1" x14ac:dyDescent="0.25">
      <c r="A439" s="236" t="s">
        <v>498</v>
      </c>
      <c r="B439" s="234"/>
      <c r="C439" s="532">
        <f t="shared" ref="C439:AH439" si="295">C425/C422</f>
        <v>0.13362159512639135</v>
      </c>
      <c r="D439" s="532">
        <f t="shared" si="295"/>
        <v>-8.0175189161805008E-2</v>
      </c>
      <c r="E439" s="532">
        <f t="shared" si="295"/>
        <v>0.15301352059125889</v>
      </c>
      <c r="F439" s="532">
        <f t="shared" si="295"/>
        <v>0.13380070480617851</v>
      </c>
      <c r="G439" s="236">
        <f t="shared" si="295"/>
        <v>1.8004686151190098E-2</v>
      </c>
      <c r="H439" s="236">
        <f t="shared" si="295"/>
        <v>2.2062596203181115E-2</v>
      </c>
      <c r="I439" s="236">
        <f t="shared" si="295"/>
        <v>-8.5467840098077785E-2</v>
      </c>
      <c r="J439" s="236">
        <f t="shared" si="295"/>
        <v>1.3950597352275949</v>
      </c>
      <c r="K439" s="532">
        <f t="shared" si="295"/>
        <v>-0.22640358014646145</v>
      </c>
      <c r="L439" s="236">
        <f t="shared" si="295"/>
        <v>4.5370938074800873E-2</v>
      </c>
      <c r="M439" s="236">
        <f t="shared" si="295"/>
        <v>1.1830609088248801E-2</v>
      </c>
      <c r="N439" s="236">
        <f t="shared" si="295"/>
        <v>7.1046274806990965E-3</v>
      </c>
      <c r="O439" s="236">
        <f t="shared" si="295"/>
        <v>0.62642769284839539</v>
      </c>
      <c r="P439" s="532">
        <f t="shared" si="295"/>
        <v>7.587471681829655E-2</v>
      </c>
      <c r="Q439" s="236">
        <f t="shared" si="295"/>
        <v>9.4043887147335706E-3</v>
      </c>
      <c r="R439" s="236">
        <f t="shared" si="295"/>
        <v>-3.2183809134522297E-2</v>
      </c>
      <c r="S439" s="236">
        <f t="shared" si="295"/>
        <v>-5.1313732412123586E-2</v>
      </c>
      <c r="T439" s="236">
        <f t="shared" si="295"/>
        <v>1.632061068702249</v>
      </c>
      <c r="U439" s="532">
        <f t="shared" si="295"/>
        <v>0.1050019168297652</v>
      </c>
      <c r="V439" s="236">
        <f t="shared" si="295"/>
        <v>0.35986110126851423</v>
      </c>
      <c r="W439" s="236">
        <f t="shared" si="295"/>
        <v>0.12881768113868827</v>
      </c>
      <c r="X439" s="236">
        <f t="shared" si="295"/>
        <v>0.18061229766768352</v>
      </c>
      <c r="Y439" s="236">
        <f t="shared" si="295"/>
        <v>0.93147037599224314</v>
      </c>
      <c r="Z439" s="532">
        <f t="shared" si="295"/>
        <v>0.46317628785917719</v>
      </c>
      <c r="AA439" s="236">
        <f t="shared" si="295"/>
        <v>1.9110754810064006</v>
      </c>
      <c r="AB439" s="236">
        <f t="shared" si="295"/>
        <v>-0.83212645708231214</v>
      </c>
      <c r="AC439" s="236">
        <f t="shared" si="295"/>
        <v>5.7731824260412699E-3</v>
      </c>
      <c r="AD439" s="236">
        <f t="shared" si="295"/>
        <v>-1.14551508702072</v>
      </c>
      <c r="AE439" s="532">
        <f t="shared" si="295"/>
        <v>-0.92230898644574066</v>
      </c>
      <c r="AF439" s="236">
        <f t="shared" si="295"/>
        <v>0.58018316813025506</v>
      </c>
      <c r="AG439" s="236">
        <f t="shared" si="295"/>
        <v>0.30939993062781612</v>
      </c>
      <c r="AH439" s="236">
        <f t="shared" si="295"/>
        <v>0.60283589991483255</v>
      </c>
      <c r="AI439" s="236">
        <f t="shared" ref="AI439:BS439" si="296">AI425/AI422</f>
        <v>1.9660247492128139E-2</v>
      </c>
      <c r="AJ439" s="532">
        <f t="shared" si="296"/>
        <v>-0.70489952585231463</v>
      </c>
      <c r="AK439" s="236">
        <f t="shared" si="296"/>
        <v>0.40137481067225883</v>
      </c>
      <c r="AL439" s="236">
        <f t="shared" si="296"/>
        <v>0.3104251601630737</v>
      </c>
      <c r="AM439" s="236">
        <f t="shared" si="296"/>
        <v>5.5796120884077392E-2</v>
      </c>
      <c r="AN439" s="236">
        <f t="shared" si="296"/>
        <v>0.3726470588234998</v>
      </c>
      <c r="AO439" s="532">
        <f t="shared" si="296"/>
        <v>0.11649379108838599</v>
      </c>
      <c r="AP439" s="236">
        <f t="shared" si="296"/>
        <v>0.28193874630283416</v>
      </c>
      <c r="AQ439" s="236">
        <f t="shared" si="296"/>
        <v>0.27266435986159199</v>
      </c>
      <c r="AR439" s="236">
        <f t="shared" si="296"/>
        <v>-0.22294563929335204</v>
      </c>
      <c r="AS439" s="236">
        <f t="shared" si="296"/>
        <v>3.8655878281810913E-2</v>
      </c>
      <c r="AT439" s="532">
        <f t="shared" si="296"/>
        <v>3.6247095917689987E-2</v>
      </c>
      <c r="AU439" s="236">
        <f t="shared" si="296"/>
        <v>0.27227014431135288</v>
      </c>
      <c r="AV439" s="236">
        <f t="shared" si="296"/>
        <v>-0.27021617905431194</v>
      </c>
      <c r="AW439" s="236">
        <f t="shared" si="296"/>
        <v>9.1685115803814721E-2</v>
      </c>
      <c r="AX439" s="236">
        <f t="shared" si="296"/>
        <v>-0.89851961178944417</v>
      </c>
      <c r="AY439" s="532">
        <f t="shared" si="296"/>
        <v>-3.599073482553334E-2</v>
      </c>
      <c r="AZ439" s="236">
        <f t="shared" si="296"/>
        <v>0.26176273061272887</v>
      </c>
      <c r="BA439" s="236">
        <f t="shared" si="296"/>
        <v>-0.16380237106937034</v>
      </c>
      <c r="BB439" s="236">
        <f t="shared" si="296"/>
        <v>-2.765538871534432E-3</v>
      </c>
      <c r="BC439" s="236">
        <f t="shared" si="296"/>
        <v>-1.1397477375492841E-2</v>
      </c>
      <c r="BD439" s="532">
        <f t="shared" si="296"/>
        <v>1.5609812080606928E-2</v>
      </c>
      <c r="BE439" s="236">
        <f t="shared" si="296"/>
        <v>0.25592015175688737</v>
      </c>
      <c r="BF439" s="236">
        <f t="shared" si="296"/>
        <v>-0.29493420413712729</v>
      </c>
      <c r="BG439" s="236">
        <f t="shared" si="296"/>
        <v>-0.22344276929180693</v>
      </c>
      <c r="BH439" s="236">
        <f t="shared" si="296"/>
        <v>-0.12564086615782405</v>
      </c>
      <c r="BI439" s="532">
        <f t="shared" si="296"/>
        <v>-8.7933041664200184E-2</v>
      </c>
      <c r="BJ439" s="236">
        <f t="shared" si="296"/>
        <v>0.25407139811968504</v>
      </c>
      <c r="BK439" s="236">
        <f t="shared" si="296"/>
        <v>-0.2340488750134567</v>
      </c>
      <c r="BL439" s="236">
        <f t="shared" si="296"/>
        <v>-0.13045518535898634</v>
      </c>
      <c r="BM439" s="236">
        <f t="shared" si="296"/>
        <v>8.3562640480264447E-2</v>
      </c>
      <c r="BN439" s="532">
        <f t="shared" si="296"/>
        <v>2.952183728786651E-3</v>
      </c>
      <c r="BO439" s="236">
        <f t="shared" si="296"/>
        <v>0.25293784460074703</v>
      </c>
      <c r="BP439" s="236">
        <f t="shared" si="296"/>
        <v>-0.20262696053630144</v>
      </c>
      <c r="BQ439" s="236">
        <f t="shared" si="296"/>
        <v>8.5876294022785168E-2</v>
      </c>
      <c r="BR439" s="236">
        <f t="shared" si="296"/>
        <v>7.0028636245304879E-2</v>
      </c>
      <c r="BS439" s="533">
        <f t="shared" si="296"/>
        <v>1.7730212001790615E-2</v>
      </c>
      <c r="BT439" s="534">
        <v>0.05</v>
      </c>
      <c r="BU439" s="534">
        <v>0.05</v>
      </c>
      <c r="BV439" s="534">
        <v>0.05</v>
      </c>
      <c r="BW439" s="534">
        <v>0.05</v>
      </c>
      <c r="BX439" s="530">
        <f>BX425/BX422</f>
        <v>5.0000000000000017E-2</v>
      </c>
      <c r="BY439" s="534">
        <v>0.05</v>
      </c>
      <c r="BZ439" s="534">
        <v>0.05</v>
      </c>
      <c r="CA439" s="534">
        <v>0.05</v>
      </c>
      <c r="CB439" s="534">
        <v>0.05</v>
      </c>
      <c r="CC439" s="530">
        <f>CC425/CC422</f>
        <v>5.0000000000000037E-2</v>
      </c>
      <c r="CD439" s="535">
        <v>4.9999999999999947E-2</v>
      </c>
      <c r="CE439" s="535">
        <v>4.9999999999999947E-2</v>
      </c>
      <c r="CF439" s="535">
        <v>4.9999999999999947E-2</v>
      </c>
      <c r="CG439" s="236"/>
    </row>
    <row r="440" spans="1:85" ht="14.45" customHeight="1" x14ac:dyDescent="0.25">
      <c r="A440" s="63"/>
      <c r="B440" s="180"/>
      <c r="C440" s="413"/>
      <c r="D440" s="413"/>
      <c r="E440" s="413"/>
      <c r="F440" s="413"/>
      <c r="G440" s="63"/>
      <c r="H440" s="63"/>
      <c r="I440" s="63"/>
      <c r="J440" s="63"/>
      <c r="K440" s="413"/>
      <c r="L440" s="63"/>
      <c r="M440" s="63"/>
      <c r="N440" s="63"/>
      <c r="O440" s="63"/>
      <c r="P440" s="413"/>
      <c r="Q440" s="63"/>
      <c r="R440" s="63"/>
      <c r="S440" s="63"/>
      <c r="T440" s="63"/>
      <c r="U440" s="413"/>
      <c r="V440" s="63"/>
      <c r="W440" s="63"/>
      <c r="X440" s="63"/>
      <c r="Y440" s="63"/>
      <c r="Z440" s="413"/>
      <c r="AA440" s="63"/>
      <c r="AB440" s="63"/>
      <c r="AC440" s="63"/>
      <c r="AD440" s="63"/>
      <c r="AE440" s="413"/>
      <c r="AF440" s="63"/>
      <c r="AG440" s="63"/>
      <c r="AH440" s="63"/>
      <c r="AI440" s="63"/>
      <c r="AJ440" s="413"/>
      <c r="AK440" s="63"/>
      <c r="AL440" s="63"/>
      <c r="AM440" s="63"/>
      <c r="AN440" s="63"/>
      <c r="AO440" s="413"/>
      <c r="AP440" s="63"/>
      <c r="AQ440" s="63"/>
      <c r="AR440" s="63"/>
      <c r="AS440" s="63"/>
      <c r="AT440" s="413"/>
      <c r="AU440" s="63"/>
      <c r="AV440" s="63"/>
      <c r="AW440" s="63"/>
      <c r="AX440" s="63"/>
      <c r="AY440" s="413"/>
      <c r="AZ440" s="63"/>
      <c r="BA440" s="63"/>
      <c r="BB440" s="63"/>
      <c r="BC440" s="63"/>
      <c r="BD440" s="413"/>
      <c r="BE440" s="63"/>
      <c r="BF440" s="63"/>
      <c r="BG440" s="63"/>
      <c r="BH440" s="63"/>
      <c r="BI440" s="413"/>
      <c r="BJ440" s="63"/>
      <c r="BK440" s="63"/>
      <c r="BL440" s="63"/>
      <c r="BM440" s="63"/>
      <c r="BN440" s="413"/>
      <c r="BO440" s="63"/>
      <c r="BP440" s="63"/>
      <c r="BQ440" s="63"/>
      <c r="BR440" s="63"/>
      <c r="BS440" s="425"/>
      <c r="BT440" s="63"/>
      <c r="BU440" s="63"/>
      <c r="BV440" s="63"/>
      <c r="BW440" s="63"/>
      <c r="BX440" s="413"/>
      <c r="BY440" s="63"/>
      <c r="BZ440" s="63"/>
      <c r="CA440" s="63"/>
      <c r="CB440" s="63"/>
      <c r="CC440" s="413"/>
      <c r="CD440" s="413"/>
      <c r="CE440" s="413"/>
      <c r="CF440" s="413"/>
      <c r="CG440" s="99"/>
    </row>
    <row r="441" spans="1:85" ht="14.45" customHeight="1" x14ac:dyDescent="0.25">
      <c r="A441" s="165" t="s">
        <v>499</v>
      </c>
      <c r="B441" s="166"/>
      <c r="C441" s="476">
        <f t="shared" ref="C441:AH441" si="297">C430/C446</f>
        <v>0.41614819004525117</v>
      </c>
      <c r="D441" s="476">
        <f t="shared" si="297"/>
        <v>0.39274611398963544</v>
      </c>
      <c r="E441" s="476">
        <f t="shared" si="297"/>
        <v>0.31083881809270536</v>
      </c>
      <c r="F441" s="476">
        <f t="shared" si="297"/>
        <v>0.2950287074639395</v>
      </c>
      <c r="G441" s="167">
        <f t="shared" si="297"/>
        <v>5.2653689959389058E-2</v>
      </c>
      <c r="H441" s="167">
        <f t="shared" si="297"/>
        <v>0.12139756336647532</v>
      </c>
      <c r="I441" s="167">
        <f t="shared" si="297"/>
        <v>0.17480744993698386</v>
      </c>
      <c r="J441" s="167">
        <f t="shared" si="297"/>
        <v>-4.9530878028290128E-2</v>
      </c>
      <c r="K441" s="476">
        <f t="shared" si="297"/>
        <v>0.29932782523455848</v>
      </c>
      <c r="L441" s="167">
        <f t="shared" si="297"/>
        <v>2.6480885030107631E-2</v>
      </c>
      <c r="M441" s="167">
        <f t="shared" si="297"/>
        <v>0.14866265228959585</v>
      </c>
      <c r="N441" s="167">
        <f t="shared" si="297"/>
        <v>0.13086402464640806</v>
      </c>
      <c r="O441" s="167">
        <f t="shared" si="297"/>
        <v>3.2348410586747679E-2</v>
      </c>
      <c r="P441" s="476">
        <f t="shared" si="297"/>
        <v>0.33835597255286037</v>
      </c>
      <c r="Q441" s="167">
        <f t="shared" si="297"/>
        <v>2.3988236941604638E-2</v>
      </c>
      <c r="R441" s="167">
        <f t="shared" si="297"/>
        <v>0.28986136395462825</v>
      </c>
      <c r="S441" s="167">
        <f t="shared" si="297"/>
        <v>0.27500350091023751</v>
      </c>
      <c r="T441" s="167">
        <f t="shared" si="297"/>
        <v>4.6408066097188221E-2</v>
      </c>
      <c r="U441" s="476">
        <f t="shared" si="297"/>
        <v>0.63526116790365672</v>
      </c>
      <c r="V441" s="167">
        <f t="shared" si="297"/>
        <v>-0.10798207533958816</v>
      </c>
      <c r="W441" s="167">
        <f t="shared" si="297"/>
        <v>0.16807169864164673</v>
      </c>
      <c r="X441" s="167">
        <f t="shared" si="297"/>
        <v>0.24849460859823611</v>
      </c>
      <c r="Y441" s="167">
        <f t="shared" si="297"/>
        <v>0.23012183167623171</v>
      </c>
      <c r="Z441" s="476">
        <f t="shared" si="297"/>
        <v>0.53870606357652884</v>
      </c>
      <c r="AA441" s="167">
        <f t="shared" si="297"/>
        <v>-5.4180086822574615E-2</v>
      </c>
      <c r="AB441" s="167">
        <f t="shared" si="297"/>
        <v>6.8015684077858518E-2</v>
      </c>
      <c r="AC441" s="167">
        <f t="shared" si="297"/>
        <v>0.18552023526116862</v>
      </c>
      <c r="AD441" s="167">
        <f t="shared" si="297"/>
        <v>0.83544321523595411</v>
      </c>
      <c r="AE441" s="476">
        <f t="shared" si="297"/>
        <v>1.0347990477524107</v>
      </c>
      <c r="AF441" s="167">
        <f t="shared" si="297"/>
        <v>-0.15185548242542923</v>
      </c>
      <c r="AG441" s="167">
        <f t="shared" si="297"/>
        <v>-4.2038930121832019E-2</v>
      </c>
      <c r="AH441" s="167">
        <f t="shared" si="297"/>
        <v>0.26899593894412388</v>
      </c>
      <c r="AI441" s="167">
        <f t="shared" ref="AI441:BN441" si="298">AI430/AI446</f>
        <v>-0.28829295616861306</v>
      </c>
      <c r="AJ441" s="476">
        <f t="shared" si="298"/>
        <v>-0.21319142977174654</v>
      </c>
      <c r="AK441" s="167">
        <f t="shared" si="298"/>
        <v>-7.297297297297306E-2</v>
      </c>
      <c r="AL441" s="167">
        <f t="shared" si="298"/>
        <v>0.16398263548522768</v>
      </c>
      <c r="AM441" s="167">
        <f t="shared" si="298"/>
        <v>0.13876207814031738</v>
      </c>
      <c r="AN441" s="167">
        <f t="shared" si="298"/>
        <v>-0.10836017364515148</v>
      </c>
      <c r="AO441" s="476">
        <f t="shared" si="298"/>
        <v>0.12141156700742066</v>
      </c>
      <c r="AP441" s="167">
        <f t="shared" si="298"/>
        <v>0.15643467301498346</v>
      </c>
      <c r="AQ441" s="167">
        <f t="shared" si="298"/>
        <v>0.42216776361854003</v>
      </c>
      <c r="AR441" s="167">
        <f t="shared" si="298"/>
        <v>0.55353591933902668</v>
      </c>
      <c r="AS441" s="167">
        <f t="shared" si="298"/>
        <v>0.70816412267189499</v>
      </c>
      <c r="AT441" s="476">
        <f t="shared" si="298"/>
        <v>1.84030247864445</v>
      </c>
      <c r="AU441" s="167">
        <f t="shared" si="298"/>
        <v>0.56933202632684454</v>
      </c>
      <c r="AV441" s="167">
        <f t="shared" si="298"/>
        <v>0.51403164822853997</v>
      </c>
      <c r="AW441" s="167">
        <f t="shared" si="298"/>
        <v>0.73541520795406812</v>
      </c>
      <c r="AX441" s="167">
        <f t="shared" si="298"/>
        <v>0.20382299397843157</v>
      </c>
      <c r="AY441" s="476">
        <f t="shared" si="298"/>
        <v>2.0226018764878844</v>
      </c>
      <c r="AZ441" s="167">
        <f t="shared" si="298"/>
        <v>0.99563680848171676</v>
      </c>
      <c r="BA441" s="167">
        <f t="shared" si="298"/>
        <v>1.0621101684789089</v>
      </c>
      <c r="BB441" s="167">
        <f t="shared" si="298"/>
        <v>1.2669255586091521</v>
      </c>
      <c r="BC441" s="167">
        <f t="shared" si="298"/>
        <v>1.2457282829489804</v>
      </c>
      <c r="BD441" s="476">
        <f t="shared" si="298"/>
        <v>4.5881606504866355</v>
      </c>
      <c r="BE441" s="167">
        <f t="shared" si="298"/>
        <v>1.2601625044808231</v>
      </c>
      <c r="BF441" s="167">
        <f t="shared" si="298"/>
        <v>1.3048870832835466</v>
      </c>
      <c r="BG441" s="167">
        <f t="shared" si="298"/>
        <v>0.98242322858167241</v>
      </c>
      <c r="BH441" s="167">
        <f t="shared" si="298"/>
        <v>0.80899749073963534</v>
      </c>
      <c r="BI441" s="476">
        <f t="shared" si="298"/>
        <v>4.3564703070856767</v>
      </c>
      <c r="BJ441" s="167">
        <f t="shared" si="298"/>
        <v>1.7681443422153178</v>
      </c>
      <c r="BK441" s="167">
        <f t="shared" si="298"/>
        <v>1.8568417248855704</v>
      </c>
      <c r="BL441" s="167">
        <f t="shared" si="298"/>
        <v>1.3197653429602896</v>
      </c>
      <c r="BM441" s="167">
        <f t="shared" si="298"/>
        <v>2.0534074744601147</v>
      </c>
      <c r="BN441" s="476">
        <f t="shared" si="298"/>
        <v>7.0103546981953979</v>
      </c>
      <c r="BO441" s="167">
        <f t="shared" ref="BO441:CF441" si="299">BO430/BO446</f>
        <v>1.1884740049267477</v>
      </c>
      <c r="BP441" s="167">
        <f t="shared" si="299"/>
        <v>2.1535293429822415</v>
      </c>
      <c r="BQ441" s="167">
        <f t="shared" si="299"/>
        <v>1.6436632964965914</v>
      </c>
      <c r="BR441" s="167">
        <f t="shared" si="299"/>
        <v>1.8444588865162583</v>
      </c>
      <c r="BS441" s="477">
        <f t="shared" si="299"/>
        <v>6.8214043281110008</v>
      </c>
      <c r="BT441" s="168" t="e">
        <f t="shared" si="299"/>
        <v>#NAME?</v>
      </c>
      <c r="BU441" s="168" t="e">
        <f t="shared" si="299"/>
        <v>#NAME?</v>
      </c>
      <c r="BV441" s="168" t="e">
        <f t="shared" si="299"/>
        <v>#NAME?</v>
      </c>
      <c r="BW441" s="168" t="e">
        <f t="shared" si="299"/>
        <v>#NAME?</v>
      </c>
      <c r="BX441" s="475" t="e">
        <f t="shared" si="299"/>
        <v>#NAME?</v>
      </c>
      <c r="BY441" s="168" t="e">
        <f t="shared" si="299"/>
        <v>#NAME?</v>
      </c>
      <c r="BZ441" s="168" t="e">
        <f t="shared" si="299"/>
        <v>#NAME?</v>
      </c>
      <c r="CA441" s="168" t="e">
        <f t="shared" si="299"/>
        <v>#NAME?</v>
      </c>
      <c r="CB441" s="168" t="e">
        <f t="shared" si="299"/>
        <v>#NAME?</v>
      </c>
      <c r="CC441" s="475" t="e">
        <f t="shared" si="299"/>
        <v>#NAME?</v>
      </c>
      <c r="CD441" s="475" t="e">
        <f t="shared" si="299"/>
        <v>#NAME?</v>
      </c>
      <c r="CE441" s="475" t="e">
        <f t="shared" si="299"/>
        <v>#NAME?</v>
      </c>
      <c r="CF441" s="475" t="e">
        <f t="shared" si="299"/>
        <v>#NAME?</v>
      </c>
      <c r="CG441" s="167"/>
    </row>
    <row r="442" spans="1:85" ht="14.45" customHeight="1" x14ac:dyDescent="0.25">
      <c r="A442" s="165" t="s">
        <v>500</v>
      </c>
      <c r="B442" s="166"/>
      <c r="C442" s="476">
        <f t="shared" ref="C442:AH442" si="300">C432/C447</f>
        <v>0.41465695335435648</v>
      </c>
      <c r="D442" s="476">
        <f t="shared" si="300"/>
        <v>0.39103134150308927</v>
      </c>
      <c r="E442" s="476">
        <f t="shared" si="300"/>
        <v>0.30947641713544016</v>
      </c>
      <c r="F442" s="476">
        <f t="shared" si="300"/>
        <v>0.29372976473127477</v>
      </c>
      <c r="G442" s="167">
        <f t="shared" si="300"/>
        <v>5.2414833980163562E-2</v>
      </c>
      <c r="H442" s="167">
        <f t="shared" si="300"/>
        <v>0.12087190527448874</v>
      </c>
      <c r="I442" s="167">
        <f t="shared" si="300"/>
        <v>0.17404736275565144</v>
      </c>
      <c r="J442" s="167">
        <f t="shared" si="300"/>
        <v>-4.9567567567569706E-2</v>
      </c>
      <c r="K442" s="476">
        <f t="shared" si="300"/>
        <v>0.29802929140641632</v>
      </c>
      <c r="L442" s="167">
        <f t="shared" si="300"/>
        <v>2.6344664371772651E-2</v>
      </c>
      <c r="M442" s="167">
        <f t="shared" si="300"/>
        <v>0.14802921275910255</v>
      </c>
      <c r="N442" s="167">
        <f t="shared" si="300"/>
        <v>0.13029749758350337</v>
      </c>
      <c r="O442" s="167">
        <f t="shared" si="300"/>
        <v>3.2112555042419201E-2</v>
      </c>
      <c r="P442" s="476">
        <f t="shared" si="300"/>
        <v>0.3368862146771221</v>
      </c>
      <c r="Q442" s="167">
        <f t="shared" si="300"/>
        <v>2.3870344531501414E-2</v>
      </c>
      <c r="R442" s="167">
        <f t="shared" si="300"/>
        <v>0.28861980282897554</v>
      </c>
      <c r="S442" s="167">
        <f t="shared" si="300"/>
        <v>0.27382126018002634</v>
      </c>
      <c r="T442" s="167">
        <f t="shared" si="300"/>
        <v>4.5981568795544464E-2</v>
      </c>
      <c r="U442" s="476">
        <f t="shared" si="300"/>
        <v>0.63252572898799442</v>
      </c>
      <c r="V442" s="167">
        <f t="shared" si="300"/>
        <v>-0.10799096579909646</v>
      </c>
      <c r="W442" s="167">
        <f t="shared" si="300"/>
        <v>0.16734737517374096</v>
      </c>
      <c r="X442" s="167">
        <f t="shared" si="300"/>
        <v>0.24742863252432415</v>
      </c>
      <c r="Y442" s="167">
        <f t="shared" si="300"/>
        <v>0.22872875013364377</v>
      </c>
      <c r="Z442" s="476">
        <f t="shared" si="300"/>
        <v>0.53637822226976062</v>
      </c>
      <c r="AA442" s="167">
        <f t="shared" si="300"/>
        <v>-5.4201094538041131E-2</v>
      </c>
      <c r="AB442" s="167">
        <f t="shared" si="300"/>
        <v>6.7719223383826285E-2</v>
      </c>
      <c r="AC442" s="167">
        <f t="shared" si="300"/>
        <v>0.1847237038617458</v>
      </c>
      <c r="AD442" s="167">
        <f t="shared" si="300"/>
        <v>0.83125666737784809</v>
      </c>
      <c r="AE442" s="476">
        <f t="shared" si="300"/>
        <v>1.0303661009712846</v>
      </c>
      <c r="AF442" s="167">
        <f t="shared" si="300"/>
        <v>-0.15187366167023447</v>
      </c>
      <c r="AG442" s="167">
        <f t="shared" si="300"/>
        <v>-4.2046183450930349E-2</v>
      </c>
      <c r="AH442" s="167">
        <f t="shared" si="300"/>
        <v>0.267559808612439</v>
      </c>
      <c r="AI442" s="167">
        <f t="shared" ref="AI442:BN442" si="301">AI432/AI447</f>
        <v>-0.28838999358563888</v>
      </c>
      <c r="AJ442" s="476">
        <f t="shared" si="301"/>
        <v>-0.21315508021390822</v>
      </c>
      <c r="AK442" s="167">
        <f t="shared" si="301"/>
        <v>-7.2980769230769293E-2</v>
      </c>
      <c r="AL442" s="167">
        <f t="shared" si="301"/>
        <v>0.16314616282772645</v>
      </c>
      <c r="AM442" s="167">
        <f t="shared" si="301"/>
        <v>0.13817061510676792</v>
      </c>
      <c r="AN442" s="167">
        <f t="shared" si="301"/>
        <v>-0.10850314733810167</v>
      </c>
      <c r="AO442" s="476">
        <f t="shared" si="301"/>
        <v>0.12079218434745577</v>
      </c>
      <c r="AP442" s="167">
        <f t="shared" si="301"/>
        <v>0.15525201185938126</v>
      </c>
      <c r="AQ442" s="167">
        <f t="shared" si="301"/>
        <v>0.41916313559321983</v>
      </c>
      <c r="AR442" s="167">
        <f t="shared" si="301"/>
        <v>0.55020148462354079</v>
      </c>
      <c r="AS442" s="167">
        <f t="shared" si="301"/>
        <v>0.7057735247208935</v>
      </c>
      <c r="AT442" s="476">
        <f t="shared" si="301"/>
        <v>1.8297761748170167</v>
      </c>
      <c r="AU442" s="167">
        <f t="shared" si="301"/>
        <v>0.56714847486449116</v>
      </c>
      <c r="AV442" s="167">
        <f t="shared" si="301"/>
        <v>0.51217178696715249</v>
      </c>
      <c r="AW442" s="167">
        <f t="shared" si="301"/>
        <v>0.7325964502072484</v>
      </c>
      <c r="AX442" s="167">
        <f t="shared" si="301"/>
        <v>0.20350410054318666</v>
      </c>
      <c r="AY442" s="476">
        <f t="shared" si="301"/>
        <v>2.0168085106382958</v>
      </c>
      <c r="AZ442" s="167">
        <f t="shared" si="301"/>
        <v>0.99393358876117388</v>
      </c>
      <c r="BA442" s="167">
        <f t="shared" si="301"/>
        <v>1.0592829024364283</v>
      </c>
      <c r="BB442" s="167">
        <f t="shared" si="301"/>
        <v>1.2626089729959593</v>
      </c>
      <c r="BC442" s="167">
        <f t="shared" si="301"/>
        <v>1.2612607815994055</v>
      </c>
      <c r="BD442" s="476">
        <f t="shared" si="301"/>
        <v>4.5737161084529534</v>
      </c>
      <c r="BE442" s="167">
        <f t="shared" si="301"/>
        <v>1.2573390101117625</v>
      </c>
      <c r="BF442" s="167">
        <f t="shared" si="301"/>
        <v>1.3018199233716476</v>
      </c>
      <c r="BG442" s="167">
        <f t="shared" si="301"/>
        <v>0.98023416711016675</v>
      </c>
      <c r="BH442" s="167">
        <f t="shared" si="301"/>
        <v>0.80814151747655671</v>
      </c>
      <c r="BI442" s="476">
        <f t="shared" si="301"/>
        <v>4.3481154173764933</v>
      </c>
      <c r="BJ442" s="167">
        <f t="shared" si="301"/>
        <v>1.7656439757110889</v>
      </c>
      <c r="BK442" s="167">
        <f t="shared" si="301"/>
        <v>1.8540070807853244</v>
      </c>
      <c r="BL442" s="167">
        <f t="shared" si="301"/>
        <v>1.3181030551755593</v>
      </c>
      <c r="BM442" s="167">
        <f t="shared" si="301"/>
        <v>2.0462893081761089</v>
      </c>
      <c r="BN442" s="476">
        <f t="shared" si="301"/>
        <v>6.9935380536838627</v>
      </c>
      <c r="BO442" s="167">
        <f t="shared" ref="BO442:CF442" si="302">BO432/BO447</f>
        <v>1.1873825349530145</v>
      </c>
      <c r="BP442" s="167">
        <f t="shared" si="302"/>
        <v>2.1499936895487473</v>
      </c>
      <c r="BQ442" s="167">
        <f t="shared" si="302"/>
        <v>1.6411539525874004</v>
      </c>
      <c r="BR442" s="167">
        <f t="shared" si="302"/>
        <v>1.8365626505379185</v>
      </c>
      <c r="BS442" s="477">
        <f t="shared" si="302"/>
        <v>6.808285704058135</v>
      </c>
      <c r="BT442" s="168" t="e">
        <f t="shared" si="302"/>
        <v>#NAME?</v>
      </c>
      <c r="BU442" s="168" t="e">
        <f t="shared" si="302"/>
        <v>#NAME?</v>
      </c>
      <c r="BV442" s="168" t="e">
        <f t="shared" si="302"/>
        <v>#NAME?</v>
      </c>
      <c r="BW442" s="168" t="e">
        <f t="shared" si="302"/>
        <v>#NAME?</v>
      </c>
      <c r="BX442" s="475" t="e">
        <f t="shared" si="302"/>
        <v>#NAME?</v>
      </c>
      <c r="BY442" s="168" t="e">
        <f t="shared" si="302"/>
        <v>#NAME?</v>
      </c>
      <c r="BZ442" s="168" t="e">
        <f t="shared" si="302"/>
        <v>#NAME?</v>
      </c>
      <c r="CA442" s="168" t="e">
        <f t="shared" si="302"/>
        <v>#NAME?</v>
      </c>
      <c r="CB442" s="168" t="e">
        <f t="shared" si="302"/>
        <v>#NAME?</v>
      </c>
      <c r="CC442" s="475" t="e">
        <f t="shared" si="302"/>
        <v>#NAME?</v>
      </c>
      <c r="CD442" s="475" t="e">
        <f t="shared" si="302"/>
        <v>#NAME?</v>
      </c>
      <c r="CE442" s="475" t="e">
        <f t="shared" si="302"/>
        <v>#NAME?</v>
      </c>
      <c r="CF442" s="475" t="e">
        <f t="shared" si="302"/>
        <v>#NAME?</v>
      </c>
      <c r="CG442" s="167"/>
    </row>
    <row r="443" spans="1:85" ht="14.45" customHeight="1" x14ac:dyDescent="0.25">
      <c r="A443" s="165" t="s">
        <v>501</v>
      </c>
      <c r="B443" s="166"/>
      <c r="C443" s="476">
        <f t="shared" ref="C443:AH443" si="303">C435/C448</f>
        <v>0.2335218005871498</v>
      </c>
      <c r="D443" s="476">
        <f t="shared" si="303"/>
        <v>0.40890358963235945</v>
      </c>
      <c r="E443" s="476">
        <f t="shared" si="303"/>
        <v>0.36062310688013949</v>
      </c>
      <c r="F443" s="476">
        <f t="shared" si="303"/>
        <v>0.31914526224908185</v>
      </c>
      <c r="G443" s="167">
        <f t="shared" si="303"/>
        <v>5.4818887451487407E-2</v>
      </c>
      <c r="H443" s="167">
        <f t="shared" si="303"/>
        <v>0.12875134553283105</v>
      </c>
      <c r="I443" s="167">
        <f t="shared" si="303"/>
        <v>0.1477072120559744</v>
      </c>
      <c r="J443" s="167">
        <f t="shared" si="303"/>
        <v>4.456216216216001E-2</v>
      </c>
      <c r="K443" s="476">
        <f t="shared" si="303"/>
        <v>0.37606073659271833</v>
      </c>
      <c r="L443" s="167">
        <f t="shared" si="303"/>
        <v>3.5972461273665941E-2</v>
      </c>
      <c r="M443" s="167">
        <f t="shared" si="303"/>
        <v>0.15825367844485058</v>
      </c>
      <c r="N443" s="167">
        <f t="shared" si="303"/>
        <v>0.13002899795940284</v>
      </c>
      <c r="O443" s="167">
        <f t="shared" si="303"/>
        <v>5.7931478895925807E-2</v>
      </c>
      <c r="P443" s="476">
        <f t="shared" si="303"/>
        <v>0.38230364241968151</v>
      </c>
      <c r="Q443" s="167">
        <f t="shared" si="303"/>
        <v>5.4792315122893488E-2</v>
      </c>
      <c r="R443" s="167">
        <f t="shared" si="303"/>
        <v>0.20417916845263609</v>
      </c>
      <c r="S443" s="167">
        <f t="shared" si="303"/>
        <v>0.17266395199314247</v>
      </c>
      <c r="T443" s="167">
        <f t="shared" si="303"/>
        <v>7.5128589798544892E-2</v>
      </c>
      <c r="U443" s="476">
        <f t="shared" si="303"/>
        <v>0.50688250428816595</v>
      </c>
      <c r="V443" s="167">
        <f t="shared" si="303"/>
        <v>6.6885351688535294E-2</v>
      </c>
      <c r="W443" s="167">
        <f t="shared" si="303"/>
        <v>0.20165722228162081</v>
      </c>
      <c r="X443" s="167">
        <f t="shared" si="303"/>
        <v>0.24476638511707513</v>
      </c>
      <c r="Y443" s="167">
        <f t="shared" si="303"/>
        <v>7.0768737303535764E-2</v>
      </c>
      <c r="Z443" s="476">
        <f t="shared" si="303"/>
        <v>0.57616857417905565</v>
      </c>
      <c r="AA443" s="167">
        <f t="shared" si="303"/>
        <v>4.5423328683334548E-2</v>
      </c>
      <c r="AB443" s="167">
        <f t="shared" si="303"/>
        <v>0.23646255600597263</v>
      </c>
      <c r="AC443" s="167">
        <f t="shared" si="303"/>
        <v>0.16477490932366173</v>
      </c>
      <c r="AD443" s="167">
        <f t="shared" si="303"/>
        <v>1.9970130147210243E-2</v>
      </c>
      <c r="AE443" s="476">
        <f t="shared" si="303"/>
        <v>0.40916853452876123</v>
      </c>
      <c r="AF443" s="167">
        <f t="shared" si="303"/>
        <v>-9.4593147751604933E-2</v>
      </c>
      <c r="AG443" s="167">
        <f t="shared" si="303"/>
        <v>0.11016677357280284</v>
      </c>
      <c r="AH443" s="167">
        <f t="shared" si="303"/>
        <v>0.29597022860180638</v>
      </c>
      <c r="AI443" s="167">
        <f t="shared" ref="AI443:BN443" si="304">AI435/AI448</f>
        <v>0.19108402822321308</v>
      </c>
      <c r="AJ443" s="476">
        <f t="shared" si="304"/>
        <v>0.50459893048127913</v>
      </c>
      <c r="AK443" s="167">
        <f t="shared" si="304"/>
        <v>3.5555555555555507E-2</v>
      </c>
      <c r="AL443" s="167">
        <f t="shared" si="304"/>
        <v>0.44891200509500173</v>
      </c>
      <c r="AM443" s="167">
        <f t="shared" si="304"/>
        <v>0.34283437798788979</v>
      </c>
      <c r="AN443" s="167">
        <f t="shared" si="304"/>
        <v>0.15025072015362992</v>
      </c>
      <c r="AO443" s="476">
        <f t="shared" si="304"/>
        <v>0.97668047148773396</v>
      </c>
      <c r="AP443" s="167">
        <f t="shared" si="304"/>
        <v>0.19049131723845791</v>
      </c>
      <c r="AQ443" s="167">
        <f t="shared" si="304"/>
        <v>0.51826271186440631</v>
      </c>
      <c r="AR443" s="167">
        <f t="shared" si="304"/>
        <v>0.71448568398727352</v>
      </c>
      <c r="AS443" s="167">
        <f t="shared" si="304"/>
        <v>0.60920786815523686</v>
      </c>
      <c r="AT443" s="476">
        <f t="shared" si="304"/>
        <v>2.032311445847037</v>
      </c>
      <c r="AU443" s="167">
        <f t="shared" si="304"/>
        <v>0.65111063875013253</v>
      </c>
      <c r="AV443" s="167">
        <f t="shared" si="304"/>
        <v>0.87755926437759157</v>
      </c>
      <c r="AW443" s="167">
        <f t="shared" si="304"/>
        <v>1.004867679880965</v>
      </c>
      <c r="AX443" s="167">
        <f t="shared" si="304"/>
        <v>0.67508786878261584</v>
      </c>
      <c r="AY443" s="476">
        <f t="shared" si="304"/>
        <v>3.2100744680851045</v>
      </c>
      <c r="AZ443" s="167">
        <f t="shared" si="304"/>
        <v>0.84061302681992223</v>
      </c>
      <c r="BA443" s="167">
        <f t="shared" si="304"/>
        <v>1.1938929673369498</v>
      </c>
      <c r="BB443" s="167">
        <f t="shared" si="304"/>
        <v>1.4751860514565165</v>
      </c>
      <c r="BC443" s="167">
        <f t="shared" si="304"/>
        <v>1.3539878607177103</v>
      </c>
      <c r="BD443" s="476">
        <f t="shared" si="304"/>
        <v>4.8602551834130807</v>
      </c>
      <c r="BE443" s="167">
        <f t="shared" si="304"/>
        <v>1.6158701436934551</v>
      </c>
      <c r="BF443" s="167">
        <f t="shared" si="304"/>
        <v>1.8356215410813113</v>
      </c>
      <c r="BG443" s="167">
        <f t="shared" si="304"/>
        <v>1.7458222458754675</v>
      </c>
      <c r="BH443" s="167">
        <f t="shared" si="304"/>
        <v>1.3376385336743402</v>
      </c>
      <c r="BI443" s="476">
        <f t="shared" si="304"/>
        <v>6.5356686541737679</v>
      </c>
      <c r="BJ443" s="167">
        <f t="shared" si="304"/>
        <v>1.7308192180675392</v>
      </c>
      <c r="BK443" s="167">
        <f t="shared" si="304"/>
        <v>2.0680291814183036</v>
      </c>
      <c r="BL443" s="167">
        <f t="shared" si="304"/>
        <v>1.9001025991792075</v>
      </c>
      <c r="BM443" s="167">
        <f t="shared" si="304"/>
        <v>1.7915037164093848</v>
      </c>
      <c r="BN443" s="476">
        <f t="shared" si="304"/>
        <v>7.4956036672926114</v>
      </c>
      <c r="BO443" s="167">
        <f t="shared" ref="BO443:CF443" si="305">BO435/BO448</f>
        <v>1.5615631446252585</v>
      </c>
      <c r="BP443" s="167">
        <f t="shared" si="305"/>
        <v>2.2390743141686857</v>
      </c>
      <c r="BQ443" s="167">
        <f t="shared" si="305"/>
        <v>2.0665067798173609</v>
      </c>
      <c r="BR443" s="167">
        <f t="shared" si="305"/>
        <v>2.1120269763956503</v>
      </c>
      <c r="BS443" s="477">
        <f t="shared" si="305"/>
        <v>7.9763384920114078</v>
      </c>
      <c r="BT443" s="168" t="e">
        <f t="shared" si="305"/>
        <v>#NAME?</v>
      </c>
      <c r="BU443" s="168" t="e">
        <f t="shared" si="305"/>
        <v>#NAME?</v>
      </c>
      <c r="BV443" s="168" t="e">
        <f t="shared" si="305"/>
        <v>#NAME?</v>
      </c>
      <c r="BW443" s="168" t="e">
        <f t="shared" si="305"/>
        <v>#NAME?</v>
      </c>
      <c r="BX443" s="475" t="e">
        <f t="shared" si="305"/>
        <v>#NAME?</v>
      </c>
      <c r="BY443" s="168" t="e">
        <f t="shared" si="305"/>
        <v>#NAME?</v>
      </c>
      <c r="BZ443" s="168" t="e">
        <f t="shared" si="305"/>
        <v>#NAME?</v>
      </c>
      <c r="CA443" s="168" t="e">
        <f t="shared" si="305"/>
        <v>#NAME?</v>
      </c>
      <c r="CB443" s="168" t="e">
        <f t="shared" si="305"/>
        <v>#NAME?</v>
      </c>
      <c r="CC443" s="475" t="e">
        <f t="shared" si="305"/>
        <v>#NAME?</v>
      </c>
      <c r="CD443" s="475" t="e">
        <f t="shared" si="305"/>
        <v>#NAME?</v>
      </c>
      <c r="CE443" s="475" t="e">
        <f t="shared" si="305"/>
        <v>#NAME?</v>
      </c>
      <c r="CF443" s="475" t="e">
        <f t="shared" si="305"/>
        <v>#NAME?</v>
      </c>
      <c r="CG443" s="167"/>
    </row>
    <row r="444" spans="1:85" ht="14.45" customHeight="1" x14ac:dyDescent="0.25">
      <c r="A444" s="237" t="str">
        <f>CONCATENATE("Consensus Estimates - ",IFERROR(LEFT(A443,FIND("(",A443)-1),A443))</f>
        <v>Consensus Estimates - Adjusted Earnings Per Share - WAD</v>
      </c>
      <c r="B444" s="238"/>
      <c r="C444" s="536"/>
      <c r="D444" s="536"/>
      <c r="E444" s="536"/>
      <c r="F444" s="536"/>
      <c r="G444" s="239"/>
      <c r="H444" s="239"/>
      <c r="I444" s="239"/>
      <c r="J444" s="239"/>
      <c r="K444" s="536"/>
      <c r="L444" s="239"/>
      <c r="M444" s="239"/>
      <c r="N444" s="239"/>
      <c r="O444" s="239"/>
      <c r="P444" s="536"/>
      <c r="Q444" s="239"/>
      <c r="R444" s="239"/>
      <c r="S444" s="239"/>
      <c r="T444" s="239"/>
      <c r="U444" s="536"/>
      <c r="V444" s="239"/>
      <c r="W444" s="239"/>
      <c r="X444" s="239"/>
      <c r="Y444" s="240"/>
      <c r="Z444" s="537"/>
      <c r="AA444" s="239"/>
      <c r="AB444" s="239"/>
      <c r="AC444" s="239"/>
      <c r="AD444" s="240"/>
      <c r="AE444" s="537"/>
      <c r="AF444" s="239"/>
      <c r="AG444" s="239"/>
      <c r="AH444" s="239"/>
      <c r="AI444" s="240"/>
      <c r="AJ444" s="537"/>
      <c r="AK444" s="239"/>
      <c r="AL444" s="239"/>
      <c r="AM444" s="239"/>
      <c r="AN444" s="240"/>
      <c r="AO444" s="537"/>
      <c r="AP444" s="239"/>
      <c r="AQ444" s="239"/>
      <c r="AR444" s="239"/>
      <c r="AS444" s="240"/>
      <c r="AT444" s="537"/>
      <c r="AU444" s="239"/>
      <c r="AV444" s="239"/>
      <c r="AW444" s="239"/>
      <c r="AX444" s="240"/>
      <c r="AY444" s="537"/>
      <c r="AZ444" s="239"/>
      <c r="BA444" s="239"/>
      <c r="BB444" s="239"/>
      <c r="BC444" s="240"/>
      <c r="BD444" s="537"/>
      <c r="BE444" s="239"/>
      <c r="BF444" s="239"/>
      <c r="BG444" s="239"/>
      <c r="BH444" s="240"/>
      <c r="BI444" s="537"/>
      <c r="BJ444" s="239"/>
      <c r="BK444" s="239"/>
      <c r="BL444" s="239"/>
      <c r="BM444" s="240"/>
      <c r="BN444" s="537"/>
      <c r="BO444" s="239"/>
      <c r="BP444" s="239"/>
      <c r="BQ444" s="239"/>
      <c r="BR444" s="240"/>
      <c r="BS444" s="538"/>
      <c r="BT444" s="539" t="str">
        <f ca="1">IFERROR(VLOOKUP($A444,tb_ConsensusEstimate,MATCH(BT$5,OFFSET(tb_ConsensusEstimate,0,0,1,COLUMNS(tb_ConsensusEstimate)),0),FALSE),"-")</f>
        <v>-</v>
      </c>
      <c r="BU444" s="539" t="str">
        <f ca="1">IFERROR(VLOOKUP($A444,tb_ConsensusEstimate,MATCH(BU$5,OFFSET(tb_ConsensusEstimate,0,0,1,COLUMNS(tb_ConsensusEstimate)),0),FALSE),"-")</f>
        <v>-</v>
      </c>
      <c r="BV444" s="539" t="str">
        <f ca="1">IFERROR(VLOOKUP($A444,tb_ConsensusEstimate,MATCH(BV$5,OFFSET(tb_ConsensusEstimate,0,0,1,COLUMNS(tb_ConsensusEstimate)),0),FALSE),"-")</f>
        <v>-</v>
      </c>
      <c r="BW444" s="539" t="str">
        <f ca="1">IFERROR(VLOOKUP($A444,tb_ConsensusEstimate,MATCH(BW$5,OFFSET(tb_ConsensusEstimate,0,0,1,COLUMNS(tb_ConsensusEstimate)),0),FALSE),"-")</f>
        <v>-</v>
      </c>
      <c r="BX444" s="537" t="str">
        <f ca="1">IFERROR(VLOOKUP($A444,tb_ConsensusEstimate,MATCH(BX$5,OFFSET(tb_ConsensusEstimate,0,0,1,COLUMNS(tb_ConsensusEstimate)),0),FALSE),"-")</f>
        <v>-</v>
      </c>
      <c r="BY444" s="539" t="str">
        <f ca="1">IFERROR(VLOOKUP($A444,tb_ConsensusEstimate,MATCH(BY$5,OFFSET(tb_ConsensusEstimate,0,0,1,COLUMNS(tb_ConsensusEstimate)),0),FALSE),"-")</f>
        <v>-</v>
      </c>
      <c r="BZ444" s="539" t="str">
        <f ca="1">IFERROR(VLOOKUP($A444,tb_ConsensusEstimate,MATCH(BZ$5,OFFSET(tb_ConsensusEstimate,0,0,1,COLUMNS(tb_ConsensusEstimate)),0),FALSE),"-")</f>
        <v>-</v>
      </c>
      <c r="CA444" s="539" t="str">
        <f ca="1">IFERROR(VLOOKUP($A444,tb_ConsensusEstimate,MATCH(CA$5,OFFSET(tb_ConsensusEstimate,0,0,1,COLUMNS(tb_ConsensusEstimate)),0),FALSE),"-")</f>
        <v>-</v>
      </c>
      <c r="CB444" s="539" t="str">
        <f ca="1">IFERROR(VLOOKUP($A444,tb_ConsensusEstimate,MATCH(CB$5,OFFSET(tb_ConsensusEstimate,0,0,1,COLUMNS(tb_ConsensusEstimate)),0),FALSE),"-")</f>
        <v>-</v>
      </c>
      <c r="CC444" s="537" t="str">
        <f ca="1">IFERROR(VLOOKUP($A444,tb_ConsensusEstimate,MATCH(CC$5,OFFSET(tb_ConsensusEstimate,0,0,1,COLUMNS(tb_ConsensusEstimate)),0),FALSE),"-")</f>
        <v>-</v>
      </c>
      <c r="CD444" s="537" t="str">
        <f ca="1">IFERROR(VLOOKUP($A444,tb_ConsensusEstimate,MATCH(CD5,OFFSET(tb_ConsensusEstimate,0,0,1,COLUMNS(tb_ConsensusEstimate)),0),FALSE),"-")</f>
        <v>-</v>
      </c>
      <c r="CE444" s="537" t="str">
        <f ca="1">IFERROR(VLOOKUP($A444,tb_ConsensusEstimate,MATCH(CE5,OFFSET(tb_ConsensusEstimate,0,0,1,COLUMNS(tb_ConsensusEstimate)),0),FALSE),"-")</f>
        <v>-</v>
      </c>
      <c r="CF444" s="537" t="str">
        <f ca="1">IFERROR(VLOOKUP($A444,tb_ConsensusEstimate,MATCH(CF5,OFFSET(tb_ConsensusEstimate,0,0,1,COLUMNS(tb_ConsensusEstimate)),0),FALSE),"-")</f>
        <v>-</v>
      </c>
      <c r="CG444" s="239"/>
    </row>
    <row r="445" spans="1:85" ht="14.45" customHeight="1" x14ac:dyDescent="0.25">
      <c r="A445" s="63"/>
      <c r="B445" s="180"/>
      <c r="C445" s="413"/>
      <c r="D445" s="413"/>
      <c r="E445" s="413"/>
      <c r="F445" s="413"/>
      <c r="G445" s="63"/>
      <c r="H445" s="63"/>
      <c r="I445" s="63"/>
      <c r="J445" s="63"/>
      <c r="K445" s="413"/>
      <c r="L445" s="63"/>
      <c r="M445" s="63"/>
      <c r="N445" s="63"/>
      <c r="O445" s="63"/>
      <c r="P445" s="413"/>
      <c r="Q445" s="63"/>
      <c r="R445" s="63"/>
      <c r="S445" s="63"/>
      <c r="T445" s="63"/>
      <c r="U445" s="413"/>
      <c r="V445" s="63"/>
      <c r="W445" s="63"/>
      <c r="X445" s="63"/>
      <c r="Y445" s="63"/>
      <c r="Z445" s="413"/>
      <c r="AA445" s="63"/>
      <c r="AB445" s="63"/>
      <c r="AC445" s="63"/>
      <c r="AD445" s="63"/>
      <c r="AE445" s="413"/>
      <c r="AF445" s="63"/>
      <c r="AG445" s="63"/>
      <c r="AH445" s="63"/>
      <c r="AI445" s="63"/>
      <c r="AJ445" s="413"/>
      <c r="AK445" s="63"/>
      <c r="AL445" s="63"/>
      <c r="AM445" s="63"/>
      <c r="AN445" s="63"/>
      <c r="AO445" s="413"/>
      <c r="AP445" s="63"/>
      <c r="AQ445" s="63"/>
      <c r="AR445" s="63"/>
      <c r="AS445" s="63"/>
      <c r="AT445" s="413"/>
      <c r="AU445" s="63"/>
      <c r="AV445" s="63"/>
      <c r="AW445" s="63"/>
      <c r="AX445" s="63"/>
      <c r="AY445" s="413"/>
      <c r="AZ445" s="63"/>
      <c r="BA445" s="63"/>
      <c r="BB445" s="63"/>
      <c r="BC445" s="63"/>
      <c r="BD445" s="413"/>
      <c r="BE445" s="63"/>
      <c r="BF445" s="63"/>
      <c r="BG445" s="63"/>
      <c r="BH445" s="63"/>
      <c r="BI445" s="413"/>
      <c r="BJ445" s="63"/>
      <c r="BK445" s="63"/>
      <c r="BL445" s="63"/>
      <c r="BM445" s="63"/>
      <c r="BN445" s="413"/>
      <c r="BO445" s="63"/>
      <c r="BP445" s="63"/>
      <c r="BQ445" s="63"/>
      <c r="BR445" s="63"/>
      <c r="BS445" s="425"/>
      <c r="BT445" s="63"/>
      <c r="BU445" s="63"/>
      <c r="BV445" s="63"/>
      <c r="BW445" s="63"/>
      <c r="BX445" s="413"/>
      <c r="BY445" s="63"/>
      <c r="BZ445" s="63"/>
      <c r="CA445" s="63"/>
      <c r="CB445" s="63"/>
      <c r="CC445" s="413"/>
      <c r="CD445" s="413"/>
      <c r="CE445" s="413"/>
      <c r="CF445" s="413"/>
      <c r="CG445" s="99"/>
    </row>
    <row r="446" spans="1:85" ht="14.45" customHeight="1" x14ac:dyDescent="0.25">
      <c r="A446" s="99" t="s">
        <v>503</v>
      </c>
      <c r="B446" s="180"/>
      <c r="C446" s="410">
        <f>7.072*10</f>
        <v>70.72</v>
      </c>
      <c r="D446" s="410">
        <f t="shared" ref="D446:AY446" si="306">10*7.141</f>
        <v>71.41</v>
      </c>
      <c r="E446" s="410">
        <f t="shared" si="306"/>
        <v>71.41</v>
      </c>
      <c r="F446" s="410">
        <f t="shared" si="306"/>
        <v>71.41</v>
      </c>
      <c r="G446" s="98">
        <f t="shared" si="306"/>
        <v>71.41</v>
      </c>
      <c r="H446" s="98">
        <f t="shared" si="306"/>
        <v>71.41</v>
      </c>
      <c r="I446" s="98">
        <f t="shared" si="306"/>
        <v>71.41</v>
      </c>
      <c r="J446" s="98">
        <f t="shared" si="306"/>
        <v>71.41</v>
      </c>
      <c r="K446" s="410">
        <f t="shared" si="306"/>
        <v>71.41</v>
      </c>
      <c r="L446" s="98">
        <f t="shared" si="306"/>
        <v>71.41</v>
      </c>
      <c r="M446" s="98">
        <f t="shared" si="306"/>
        <v>71.41</v>
      </c>
      <c r="N446" s="98">
        <f t="shared" si="306"/>
        <v>71.41</v>
      </c>
      <c r="O446" s="98">
        <f t="shared" si="306"/>
        <v>71.41</v>
      </c>
      <c r="P446" s="410">
        <f t="shared" si="306"/>
        <v>71.41</v>
      </c>
      <c r="Q446" s="98">
        <f t="shared" si="306"/>
        <v>71.41</v>
      </c>
      <c r="R446" s="98">
        <f t="shared" si="306"/>
        <v>71.41</v>
      </c>
      <c r="S446" s="98">
        <f t="shared" si="306"/>
        <v>71.41</v>
      </c>
      <c r="T446" s="98">
        <f t="shared" si="306"/>
        <v>71.41</v>
      </c>
      <c r="U446" s="410">
        <f t="shared" si="306"/>
        <v>71.41</v>
      </c>
      <c r="V446" s="98">
        <f t="shared" si="306"/>
        <v>71.41</v>
      </c>
      <c r="W446" s="98">
        <f t="shared" si="306"/>
        <v>71.41</v>
      </c>
      <c r="X446" s="98">
        <f t="shared" si="306"/>
        <v>71.41</v>
      </c>
      <c r="Y446" s="98">
        <f t="shared" si="306"/>
        <v>71.41</v>
      </c>
      <c r="Z446" s="410">
        <f t="shared" si="306"/>
        <v>71.41</v>
      </c>
      <c r="AA446" s="98">
        <f t="shared" si="306"/>
        <v>71.41</v>
      </c>
      <c r="AB446" s="98">
        <f t="shared" si="306"/>
        <v>71.41</v>
      </c>
      <c r="AC446" s="98">
        <f t="shared" si="306"/>
        <v>71.41</v>
      </c>
      <c r="AD446" s="98">
        <f t="shared" si="306"/>
        <v>71.41</v>
      </c>
      <c r="AE446" s="410">
        <f t="shared" si="306"/>
        <v>71.41</v>
      </c>
      <c r="AF446" s="98">
        <f t="shared" si="306"/>
        <v>71.41</v>
      </c>
      <c r="AG446" s="98">
        <f t="shared" si="306"/>
        <v>71.41</v>
      </c>
      <c r="AH446" s="98">
        <f t="shared" si="306"/>
        <v>71.41</v>
      </c>
      <c r="AI446" s="98">
        <f t="shared" si="306"/>
        <v>71.41</v>
      </c>
      <c r="AJ446" s="410">
        <f t="shared" si="306"/>
        <v>71.41</v>
      </c>
      <c r="AK446" s="98">
        <f t="shared" si="306"/>
        <v>71.41</v>
      </c>
      <c r="AL446" s="98">
        <f t="shared" si="306"/>
        <v>71.41</v>
      </c>
      <c r="AM446" s="98">
        <f t="shared" si="306"/>
        <v>71.41</v>
      </c>
      <c r="AN446" s="98">
        <f t="shared" si="306"/>
        <v>71.41</v>
      </c>
      <c r="AO446" s="410">
        <f t="shared" si="306"/>
        <v>71.41</v>
      </c>
      <c r="AP446" s="98">
        <f t="shared" si="306"/>
        <v>71.41</v>
      </c>
      <c r="AQ446" s="98">
        <f t="shared" si="306"/>
        <v>71.41</v>
      </c>
      <c r="AR446" s="98">
        <f t="shared" si="306"/>
        <v>71.41</v>
      </c>
      <c r="AS446" s="98">
        <f t="shared" si="306"/>
        <v>71.41</v>
      </c>
      <c r="AT446" s="410">
        <f t="shared" si="306"/>
        <v>71.41</v>
      </c>
      <c r="AU446" s="98">
        <f t="shared" si="306"/>
        <v>71.41</v>
      </c>
      <c r="AV446" s="98">
        <f t="shared" si="306"/>
        <v>71.41</v>
      </c>
      <c r="AW446" s="98">
        <f t="shared" si="306"/>
        <v>71.41</v>
      </c>
      <c r="AX446" s="98">
        <f t="shared" si="306"/>
        <v>71.41</v>
      </c>
      <c r="AY446" s="410">
        <f t="shared" si="306"/>
        <v>71.41</v>
      </c>
      <c r="AZ446" s="98">
        <f>7.357*10</f>
        <v>73.570000000000007</v>
      </c>
      <c r="BA446" s="98">
        <f>8.369*10</f>
        <v>83.69</v>
      </c>
      <c r="BB446" s="98">
        <f>8.369*10</f>
        <v>83.69</v>
      </c>
      <c r="BC446" s="98">
        <f>8.369*10</f>
        <v>83.69</v>
      </c>
      <c r="BD446" s="410">
        <f>8.117*10</f>
        <v>81.170000000000016</v>
      </c>
      <c r="BE446" s="98">
        <f t="shared" ref="BE446:BJ446" si="307">8.369*10</f>
        <v>83.69</v>
      </c>
      <c r="BF446" s="98">
        <f t="shared" si="307"/>
        <v>83.69</v>
      </c>
      <c r="BG446" s="98">
        <f t="shared" si="307"/>
        <v>83.69</v>
      </c>
      <c r="BH446" s="98">
        <f t="shared" si="307"/>
        <v>83.69</v>
      </c>
      <c r="BI446" s="410">
        <f t="shared" si="307"/>
        <v>83.69</v>
      </c>
      <c r="BJ446" s="98">
        <f t="shared" si="307"/>
        <v>83.69</v>
      </c>
      <c r="BK446" s="98">
        <f>8.302*10</f>
        <v>83.02</v>
      </c>
      <c r="BL446" s="98">
        <f>7.756*10</f>
        <v>77.56</v>
      </c>
      <c r="BM446" s="98">
        <f>7.733*10</f>
        <v>77.33</v>
      </c>
      <c r="BN446" s="410">
        <f>8.035*10</f>
        <v>80.349999999999994</v>
      </c>
      <c r="BO446" s="98">
        <f>7.713*10</f>
        <v>77.13</v>
      </c>
      <c r="BP446" s="98">
        <v>76.968999999999994</v>
      </c>
      <c r="BQ446" s="98">
        <v>76.554000000000002</v>
      </c>
      <c r="BR446" s="98">
        <v>64.626000000000005</v>
      </c>
      <c r="BS446" s="419">
        <v>73.658000000000001</v>
      </c>
      <c r="BT446" s="63" t="e">
        <f>AVERAGE(BS455,BT455)</f>
        <v>#NAME?</v>
      </c>
      <c r="BU446" s="63" t="e">
        <f>AVERAGE(BT455,BU455)</f>
        <v>#NAME?</v>
      </c>
      <c r="BV446" s="63" t="e">
        <f>AVERAGE(BU455,BV455)</f>
        <v>#NAME?</v>
      </c>
      <c r="BW446" s="63" t="e">
        <f>AVERAGE(BV455,BW455)</f>
        <v>#NAME?</v>
      </c>
      <c r="BX446" s="413" t="e">
        <f>SUM(BT446*BT3,BU446*BU3,BV446*BV3,BW446*BW3)/BX3</f>
        <v>#NAME?</v>
      </c>
      <c r="BY446" s="63" t="e">
        <f>AVERAGE(BX455,BY455)</f>
        <v>#NAME?</v>
      </c>
      <c r="BZ446" s="63" t="e">
        <f>AVERAGE(BY455,BZ455)</f>
        <v>#NAME?</v>
      </c>
      <c r="CA446" s="63" t="e">
        <f>AVERAGE(BZ455,CA455)</f>
        <v>#NAME?</v>
      </c>
      <c r="CB446" s="63" t="e">
        <f>AVERAGE(CA455,CB455)</f>
        <v>#NAME?</v>
      </c>
      <c r="CC446" s="413" t="e">
        <f>SUM(BY446*BY3,BZ446*BZ3,CA446*CA3,CB446*CB3)/CC3</f>
        <v>#NAME?</v>
      </c>
      <c r="CD446" s="413" t="e">
        <f>AVERAGE(CC455,CD455)</f>
        <v>#NAME?</v>
      </c>
      <c r="CE446" s="413" t="e">
        <f>AVERAGE(CD455,CE455)</f>
        <v>#NAME?</v>
      </c>
      <c r="CF446" s="413" t="e">
        <f>AVERAGE(CE455,CF455)</f>
        <v>#NAME?</v>
      </c>
      <c r="CG446" s="99"/>
    </row>
    <row r="447" spans="1:85" ht="14.45" customHeight="1" x14ac:dyDescent="0.25">
      <c r="A447" s="99" t="s">
        <v>504</v>
      </c>
      <c r="B447" s="180"/>
      <c r="C447" s="410">
        <f>10*9.197</f>
        <v>91.97</v>
      </c>
      <c r="D447" s="410">
        <f>10*9.221</f>
        <v>92.210000000000008</v>
      </c>
      <c r="E447" s="410">
        <f>10*9.244</f>
        <v>92.44</v>
      </c>
      <c r="F447" s="410">
        <f>10*9.266</f>
        <v>92.66</v>
      </c>
      <c r="G447" s="98">
        <f>10*9.276</f>
        <v>92.759999999999991</v>
      </c>
      <c r="H447" s="98">
        <f>10*9.29</f>
        <v>92.899999999999991</v>
      </c>
      <c r="I447" s="98">
        <f>10*9.29</f>
        <v>92.899999999999991</v>
      </c>
      <c r="J447" s="98">
        <f>10*9.25</f>
        <v>92.5</v>
      </c>
      <c r="K447" s="410">
        <f>10*9.286</f>
        <v>92.86</v>
      </c>
      <c r="L447" s="98">
        <f>10*9.296</f>
        <v>92.96</v>
      </c>
      <c r="M447" s="98">
        <f>10*9.311</f>
        <v>93.11</v>
      </c>
      <c r="N447" s="98">
        <f>10*9.311</f>
        <v>93.11</v>
      </c>
      <c r="O447" s="98">
        <f>10*9.311</f>
        <v>93.11</v>
      </c>
      <c r="P447" s="410">
        <f>10*9.307</f>
        <v>93.070000000000007</v>
      </c>
      <c r="Q447" s="98">
        <f>10*9.317</f>
        <v>93.17</v>
      </c>
      <c r="R447" s="98">
        <f>10*9.332</f>
        <v>93.320000000000007</v>
      </c>
      <c r="S447" s="98">
        <f>10*9.332</f>
        <v>93.320000000000007</v>
      </c>
      <c r="T447" s="98">
        <f>10*9.332</f>
        <v>93.320000000000007</v>
      </c>
      <c r="U447" s="410">
        <f>10*9.328</f>
        <v>93.28</v>
      </c>
      <c r="V447" s="98">
        <f>10*9.298</f>
        <v>92.98</v>
      </c>
      <c r="W447" s="98">
        <f>10*9.353</f>
        <v>93.53</v>
      </c>
      <c r="X447" s="98">
        <f>10*9.353</f>
        <v>93.53</v>
      </c>
      <c r="Y447" s="98">
        <f>10*9.353</f>
        <v>93.53</v>
      </c>
      <c r="Z447" s="410">
        <f>10*9.349</f>
        <v>93.490000000000009</v>
      </c>
      <c r="AA447" s="98">
        <f>10*9.319</f>
        <v>93.190000000000012</v>
      </c>
      <c r="AB447" s="98">
        <f>10*9.374</f>
        <v>93.740000000000009</v>
      </c>
      <c r="AC447" s="98">
        <f>10*9.374</f>
        <v>93.740000000000009</v>
      </c>
      <c r="AD447" s="98">
        <f>10*9.374</f>
        <v>93.740000000000009</v>
      </c>
      <c r="AE447" s="410">
        <f>10*9.369</f>
        <v>93.69</v>
      </c>
      <c r="AF447" s="98">
        <f>10*9.34</f>
        <v>93.4</v>
      </c>
      <c r="AG447" s="98">
        <f>10*9.354</f>
        <v>93.539999999999992</v>
      </c>
      <c r="AH447" s="98">
        <f>10*9.405</f>
        <v>94.05</v>
      </c>
      <c r="AI447" s="98">
        <f>10*9.354</f>
        <v>93.539999999999992</v>
      </c>
      <c r="AJ447" s="410">
        <f>10*9.35</f>
        <v>93.5</v>
      </c>
      <c r="AK447" s="98">
        <f>10*9.36</f>
        <v>93.6</v>
      </c>
      <c r="AL447" s="98">
        <f>10*9.421</f>
        <v>94.21</v>
      </c>
      <c r="AM447" s="98">
        <f>10*9.413</f>
        <v>94.13</v>
      </c>
      <c r="AN447" s="98">
        <f>10*9.373</f>
        <v>93.72999999999999</v>
      </c>
      <c r="AO447" s="410">
        <f>10*9.417</f>
        <v>94.17</v>
      </c>
      <c r="AP447" s="98">
        <f>10*9.444</f>
        <v>94.440000000000012</v>
      </c>
      <c r="AQ447" s="98">
        <f>10*9.44</f>
        <v>94.399999999999991</v>
      </c>
      <c r="AR447" s="98">
        <f>10*9.43</f>
        <v>94.3</v>
      </c>
      <c r="AS447" s="98">
        <f>10*9.405</f>
        <v>94.05</v>
      </c>
      <c r="AT447" s="410">
        <f>10*9.427</f>
        <v>94.27</v>
      </c>
      <c r="AU447" s="98">
        <f>10*9.409</f>
        <v>94.09</v>
      </c>
      <c r="AV447" s="98">
        <f>10*9.407</f>
        <v>94.07</v>
      </c>
      <c r="AW447" s="98">
        <f>10*9.409</f>
        <v>94.09</v>
      </c>
      <c r="AX447" s="98">
        <f>10*9.389</f>
        <v>93.889999999999986</v>
      </c>
      <c r="AY447" s="410">
        <f>10*9.4</f>
        <v>94</v>
      </c>
      <c r="AZ447" s="98">
        <f>9.396*10</f>
        <v>93.960000000000008</v>
      </c>
      <c r="BA447" s="98">
        <f>9.399*10</f>
        <v>93.99</v>
      </c>
      <c r="BB447" s="98">
        <f>9.406*10</f>
        <v>94.06</v>
      </c>
      <c r="BC447" s="98">
        <f>9.391*10</f>
        <v>93.91</v>
      </c>
      <c r="BD447" s="410">
        <f>9.405*10</f>
        <v>94.05</v>
      </c>
      <c r="BE447" s="98">
        <f>9.395*10</f>
        <v>93.949999999999989</v>
      </c>
      <c r="BF447" s="98">
        <f>9.396*10</f>
        <v>93.960000000000008</v>
      </c>
      <c r="BG447" s="98">
        <f>9.395*10</f>
        <v>93.949999999999989</v>
      </c>
      <c r="BH447" s="98">
        <f>9.384*10</f>
        <v>93.84</v>
      </c>
      <c r="BI447" s="410">
        <f>9.392*10</f>
        <v>93.919999999999987</v>
      </c>
      <c r="BJ447" s="98">
        <f>9.387*10</f>
        <v>93.87</v>
      </c>
      <c r="BK447" s="98">
        <f>9.321*10</f>
        <v>93.21</v>
      </c>
      <c r="BL447" s="98">
        <f>8.772*10</f>
        <v>87.72</v>
      </c>
      <c r="BM447" s="98">
        <f>8.745*10</f>
        <v>87.449999999999989</v>
      </c>
      <c r="BN447" s="410">
        <f>9.053*10</f>
        <v>90.53</v>
      </c>
      <c r="BO447" s="98">
        <f>8.726*10</f>
        <v>87.26</v>
      </c>
      <c r="BP447" s="98">
        <v>87.156999999999996</v>
      </c>
      <c r="BQ447" s="98">
        <v>86.727999999999994</v>
      </c>
      <c r="BR447" s="98">
        <v>74.731999999999999</v>
      </c>
      <c r="BS447" s="419">
        <v>83.807000000000002</v>
      </c>
      <c r="BT447" s="63" t="e">
        <f>IF(BT432&lt;0,BT446+AVERAGE(BT458,BS458),AVERAGE(BS475,BT475))</f>
        <v>#NAME?</v>
      </c>
      <c r="BU447" s="63" t="e">
        <f>IF(BU432&lt;0,BU446+AVERAGE(BU458,BT458),AVERAGE(BT475,BU475))</f>
        <v>#NAME?</v>
      </c>
      <c r="BV447" s="63" t="e">
        <f>IF(BV432&lt;0,BV446+AVERAGE(BV458,BU458),AVERAGE(BU475,BV475))</f>
        <v>#NAME?</v>
      </c>
      <c r="BW447" s="63" t="e">
        <f>IF(BW432&lt;0,BW446+AVERAGE(BW458,BV458),AVERAGE(BV475,BW475))</f>
        <v>#NAME?</v>
      </c>
      <c r="BX447" s="413" t="e">
        <f>IF(BX432&lt;0,BX446+AVERAGE(BT458,BU458,BV458,BW458),SUM(AVERAGE(BS475,BT475)*BT3,AVERAGE(BT475,BU475)*BU3,AVERAGE(BU475,BV475)*BV3,AVERAGE(BV475,BW475)*BW3)/BX3)</f>
        <v>#NAME?</v>
      </c>
      <c r="BY447" s="63" t="e">
        <f>IF(BY432&lt;0,BY446+AVERAGE(BY458,BX458),AVERAGE(BX475,BY475))</f>
        <v>#NAME?</v>
      </c>
      <c r="BZ447" s="63" t="e">
        <f>IF(BZ432&lt;0,BZ446+AVERAGE(BZ458,BY458),AVERAGE(BY475,BZ475))</f>
        <v>#NAME?</v>
      </c>
      <c r="CA447" s="63" t="e">
        <f>IF(CA432&lt;0,CA446+AVERAGE(CA458,BZ458),AVERAGE(BZ475,CA475))</f>
        <v>#NAME?</v>
      </c>
      <c r="CB447" s="63" t="e">
        <f>IF(CB432&lt;0,CB446+AVERAGE(CB458,CA458),AVERAGE(CA475,CB475))</f>
        <v>#NAME?</v>
      </c>
      <c r="CC447" s="413" t="e">
        <f>IF(CC432&lt;0,CC446+AVERAGE(BY458,BZ458,CA458,CB458),SUM(AVERAGE(BX475,BY475)*BY3,AVERAGE(BY475,BZ475)*BZ3,AVERAGE(BZ475,CA475)*CA3,AVERAGE(CA475,CB475)*CB3)/CC3)</f>
        <v>#NAME?</v>
      </c>
      <c r="CD447" s="413" t="e">
        <f>IF(CD432&lt;0,CD446+AVERAGE(CD458,CC458),AVERAGE(CC475,CD475))</f>
        <v>#NAME?</v>
      </c>
      <c r="CE447" s="413" t="e">
        <f>IF(CE432&lt;0,CE446+AVERAGE(CE458,CD458),AVERAGE(CD475,CE475))</f>
        <v>#NAME?</v>
      </c>
      <c r="CF447" s="413" t="e">
        <f>IF(CF432&lt;0,CF446+AVERAGE(CF458,CE458),AVERAGE(CE475,CF475))</f>
        <v>#NAME?</v>
      </c>
      <c r="CG447" s="99"/>
    </row>
    <row r="448" spans="1:85" ht="14.45" customHeight="1" x14ac:dyDescent="0.25">
      <c r="A448" s="99" t="s">
        <v>505</v>
      </c>
      <c r="B448" s="180"/>
      <c r="C448" s="467">
        <f t="shared" ref="C448:AH448" si="308">C447</f>
        <v>91.97</v>
      </c>
      <c r="D448" s="467">
        <f t="shared" si="308"/>
        <v>92.210000000000008</v>
      </c>
      <c r="E448" s="467">
        <f t="shared" si="308"/>
        <v>92.44</v>
      </c>
      <c r="F448" s="467">
        <f t="shared" si="308"/>
        <v>92.66</v>
      </c>
      <c r="G448" s="99">
        <f t="shared" si="308"/>
        <v>92.759999999999991</v>
      </c>
      <c r="H448" s="99">
        <f t="shared" si="308"/>
        <v>92.899999999999991</v>
      </c>
      <c r="I448" s="99">
        <f t="shared" si="308"/>
        <v>92.899999999999991</v>
      </c>
      <c r="J448" s="99">
        <f t="shared" si="308"/>
        <v>92.5</v>
      </c>
      <c r="K448" s="467">
        <f t="shared" si="308"/>
        <v>92.86</v>
      </c>
      <c r="L448" s="99">
        <f t="shared" si="308"/>
        <v>92.96</v>
      </c>
      <c r="M448" s="99">
        <f t="shared" si="308"/>
        <v>93.11</v>
      </c>
      <c r="N448" s="99">
        <f t="shared" si="308"/>
        <v>93.11</v>
      </c>
      <c r="O448" s="99">
        <f t="shared" si="308"/>
        <v>93.11</v>
      </c>
      <c r="P448" s="467">
        <f t="shared" si="308"/>
        <v>93.070000000000007</v>
      </c>
      <c r="Q448" s="99">
        <f t="shared" si="308"/>
        <v>93.17</v>
      </c>
      <c r="R448" s="99">
        <f t="shared" si="308"/>
        <v>93.320000000000007</v>
      </c>
      <c r="S448" s="99">
        <f t="shared" si="308"/>
        <v>93.320000000000007</v>
      </c>
      <c r="T448" s="99">
        <f t="shared" si="308"/>
        <v>93.320000000000007</v>
      </c>
      <c r="U448" s="467">
        <f t="shared" si="308"/>
        <v>93.28</v>
      </c>
      <c r="V448" s="99">
        <f t="shared" si="308"/>
        <v>92.98</v>
      </c>
      <c r="W448" s="99">
        <f t="shared" si="308"/>
        <v>93.53</v>
      </c>
      <c r="X448" s="99">
        <f t="shared" si="308"/>
        <v>93.53</v>
      </c>
      <c r="Y448" s="99">
        <f t="shared" si="308"/>
        <v>93.53</v>
      </c>
      <c r="Z448" s="467">
        <f t="shared" si="308"/>
        <v>93.490000000000009</v>
      </c>
      <c r="AA448" s="99">
        <f t="shared" si="308"/>
        <v>93.190000000000012</v>
      </c>
      <c r="AB448" s="99">
        <f t="shared" si="308"/>
        <v>93.740000000000009</v>
      </c>
      <c r="AC448" s="99">
        <f t="shared" si="308"/>
        <v>93.740000000000009</v>
      </c>
      <c r="AD448" s="99">
        <f t="shared" si="308"/>
        <v>93.740000000000009</v>
      </c>
      <c r="AE448" s="467">
        <f t="shared" si="308"/>
        <v>93.69</v>
      </c>
      <c r="AF448" s="99">
        <f t="shared" si="308"/>
        <v>93.4</v>
      </c>
      <c r="AG448" s="99">
        <f t="shared" si="308"/>
        <v>93.539999999999992</v>
      </c>
      <c r="AH448" s="99">
        <f t="shared" si="308"/>
        <v>94.05</v>
      </c>
      <c r="AI448" s="99">
        <f t="shared" ref="AI448:BN448" si="309">AI447</f>
        <v>93.539999999999992</v>
      </c>
      <c r="AJ448" s="467">
        <f t="shared" si="309"/>
        <v>93.5</v>
      </c>
      <c r="AK448" s="99">
        <f t="shared" si="309"/>
        <v>93.6</v>
      </c>
      <c r="AL448" s="99">
        <f t="shared" si="309"/>
        <v>94.21</v>
      </c>
      <c r="AM448" s="99">
        <f t="shared" si="309"/>
        <v>94.13</v>
      </c>
      <c r="AN448" s="99">
        <f t="shared" si="309"/>
        <v>93.72999999999999</v>
      </c>
      <c r="AO448" s="467">
        <f t="shared" si="309"/>
        <v>94.17</v>
      </c>
      <c r="AP448" s="99">
        <f t="shared" si="309"/>
        <v>94.440000000000012</v>
      </c>
      <c r="AQ448" s="99">
        <f t="shared" si="309"/>
        <v>94.399999999999991</v>
      </c>
      <c r="AR448" s="99">
        <f t="shared" si="309"/>
        <v>94.3</v>
      </c>
      <c r="AS448" s="99">
        <f t="shared" si="309"/>
        <v>94.05</v>
      </c>
      <c r="AT448" s="467">
        <f t="shared" si="309"/>
        <v>94.27</v>
      </c>
      <c r="AU448" s="99">
        <f t="shared" si="309"/>
        <v>94.09</v>
      </c>
      <c r="AV448" s="99">
        <f t="shared" si="309"/>
        <v>94.07</v>
      </c>
      <c r="AW448" s="99">
        <f t="shared" si="309"/>
        <v>94.09</v>
      </c>
      <c r="AX448" s="99">
        <f t="shared" si="309"/>
        <v>93.889999999999986</v>
      </c>
      <c r="AY448" s="467">
        <f t="shared" si="309"/>
        <v>94</v>
      </c>
      <c r="AZ448" s="99">
        <f t="shared" si="309"/>
        <v>93.960000000000008</v>
      </c>
      <c r="BA448" s="99">
        <f t="shared" si="309"/>
        <v>93.99</v>
      </c>
      <c r="BB448" s="99">
        <f t="shared" si="309"/>
        <v>94.06</v>
      </c>
      <c r="BC448" s="99">
        <f t="shared" si="309"/>
        <v>93.91</v>
      </c>
      <c r="BD448" s="467">
        <f t="shared" si="309"/>
        <v>94.05</v>
      </c>
      <c r="BE448" s="99">
        <f t="shared" si="309"/>
        <v>93.949999999999989</v>
      </c>
      <c r="BF448" s="99">
        <f t="shared" si="309"/>
        <v>93.960000000000008</v>
      </c>
      <c r="BG448" s="99">
        <f t="shared" si="309"/>
        <v>93.949999999999989</v>
      </c>
      <c r="BH448" s="99">
        <f t="shared" si="309"/>
        <v>93.84</v>
      </c>
      <c r="BI448" s="467">
        <f t="shared" si="309"/>
        <v>93.919999999999987</v>
      </c>
      <c r="BJ448" s="99">
        <f t="shared" si="309"/>
        <v>93.87</v>
      </c>
      <c r="BK448" s="99">
        <f t="shared" si="309"/>
        <v>93.21</v>
      </c>
      <c r="BL448" s="99">
        <f t="shared" si="309"/>
        <v>87.72</v>
      </c>
      <c r="BM448" s="99">
        <f t="shared" si="309"/>
        <v>87.449999999999989</v>
      </c>
      <c r="BN448" s="467">
        <f t="shared" si="309"/>
        <v>90.53</v>
      </c>
      <c r="BO448" s="99">
        <f t="shared" ref="BO448:BS448" si="310">BO447</f>
        <v>87.26</v>
      </c>
      <c r="BP448" s="99">
        <f t="shared" si="310"/>
        <v>87.156999999999996</v>
      </c>
      <c r="BQ448" s="99">
        <f t="shared" si="310"/>
        <v>86.727999999999994</v>
      </c>
      <c r="BR448" s="99">
        <f t="shared" si="310"/>
        <v>74.731999999999999</v>
      </c>
      <c r="BS448" s="468">
        <f t="shared" si="310"/>
        <v>83.807000000000002</v>
      </c>
      <c r="BT448" s="63" t="e">
        <f>IF(BT435&lt;0,BT446+AVERAGE(BT458,BS458),AVERAGE(BS475,BT475))</f>
        <v>#NAME?</v>
      </c>
      <c r="BU448" s="63" t="e">
        <f>IF(BU435&lt;0,BU446+AVERAGE(BU458,BT458),AVERAGE(BT475,BU475))</f>
        <v>#NAME?</v>
      </c>
      <c r="BV448" s="63" t="e">
        <f>IF(BV435&lt;0,BV446+AVERAGE(BV458,BU458),AVERAGE(BU475,BV475))</f>
        <v>#NAME?</v>
      </c>
      <c r="BW448" s="63" t="e">
        <f>IF(BW435&lt;0,BW446+AVERAGE(BW458,BV458),AVERAGE(BV475,BW475))</f>
        <v>#NAME?</v>
      </c>
      <c r="BX448" s="413" t="e">
        <f>IF(BX435&lt;0,BX446+AVERAGE(BT458,BU458,BV458,BW458),SUM(AVERAGE(BS475,BT475)*BT3,AVERAGE(BT475,BU475)*BU3,AVERAGE(BU475,BV475)*BV3,AVERAGE(BV475,BW475)*BW3)/BX3)</f>
        <v>#NAME?</v>
      </c>
      <c r="BY448" s="63" t="e">
        <f>IF(BY435&lt;0,BY446+AVERAGE(BY458,BX458),AVERAGE(BX475,BY475))</f>
        <v>#NAME?</v>
      </c>
      <c r="BZ448" s="63" t="e">
        <f>IF(BZ435&lt;0,BZ446+AVERAGE(BZ458,BY458),AVERAGE(BY475,BZ475))</f>
        <v>#NAME?</v>
      </c>
      <c r="CA448" s="63" t="e">
        <f>IF(CA435&lt;0,CA446+AVERAGE(CA458,BZ458),AVERAGE(BZ475,CA475))</f>
        <v>#NAME?</v>
      </c>
      <c r="CB448" s="63" t="e">
        <f>IF(CB435&lt;0,CB446+AVERAGE(CB458,CA458),AVERAGE(CA475,CB475))</f>
        <v>#NAME?</v>
      </c>
      <c r="CC448" s="413" t="e">
        <f>IF(CC435&lt;0,CC446+AVERAGE(BY458,BZ458,CA458,CB458),SUM(AVERAGE(BX475,BY475)*BY3,AVERAGE(BY475,BZ475)*BZ3,AVERAGE(BZ475,CA475)*CA3,AVERAGE(CA475,CB475)*CB3)/CC3)</f>
        <v>#NAME?</v>
      </c>
      <c r="CD448" s="413" t="e">
        <f>IF(CD435&lt;0,CD446+AVERAGE(CD458,CC458),AVERAGE(CC475,CD475))</f>
        <v>#NAME?</v>
      </c>
      <c r="CE448" s="413" t="e">
        <f>IF(CE435&lt;0,CE446+AVERAGE(CE458,CD458),AVERAGE(CD475,CE475))</f>
        <v>#NAME?</v>
      </c>
      <c r="CF448" s="413" t="e">
        <f>IF(CF435&lt;0,CF446+AVERAGE(CF458,CE458),AVERAGE(CE475,CF475))</f>
        <v>#NAME?</v>
      </c>
      <c r="CG448" s="99"/>
    </row>
    <row r="449" spans="1:85" ht="14.45" customHeight="1" x14ac:dyDescent="0.25">
      <c r="A449" s="162"/>
      <c r="B449" s="180"/>
      <c r="C449" s="413"/>
      <c r="D449" s="413"/>
      <c r="E449" s="413"/>
      <c r="F449" s="413"/>
      <c r="G449" s="63"/>
      <c r="H449" s="63"/>
      <c r="I449" s="63"/>
      <c r="J449" s="63"/>
      <c r="K449" s="413"/>
      <c r="L449" s="63"/>
      <c r="M449" s="63"/>
      <c r="N449" s="63"/>
      <c r="O449" s="63"/>
      <c r="P449" s="413"/>
      <c r="Q449" s="63"/>
      <c r="R449" s="63"/>
      <c r="S449" s="63"/>
      <c r="T449" s="63"/>
      <c r="U449" s="413"/>
      <c r="V449" s="63"/>
      <c r="W449" s="63"/>
      <c r="X449" s="63"/>
      <c r="Y449" s="63"/>
      <c r="Z449" s="413"/>
      <c r="AA449" s="63"/>
      <c r="AB449" s="63"/>
      <c r="AC449" s="63"/>
      <c r="AD449" s="63"/>
      <c r="AE449" s="413"/>
      <c r="AF449" s="63"/>
      <c r="AG449" s="63"/>
      <c r="AH449" s="63"/>
      <c r="AI449" s="63"/>
      <c r="AJ449" s="413"/>
      <c r="AK449" s="63"/>
      <c r="AL449" s="63"/>
      <c r="AM449" s="63"/>
      <c r="AN449" s="63"/>
      <c r="AO449" s="413"/>
      <c r="AP449" s="63"/>
      <c r="AQ449" s="63"/>
      <c r="AR449" s="63"/>
      <c r="AS449" s="63"/>
      <c r="AT449" s="413"/>
      <c r="AU449" s="63"/>
      <c r="AV449" s="63"/>
      <c r="AW449" s="63"/>
      <c r="AX449" s="63"/>
      <c r="AY449" s="413"/>
      <c r="AZ449" s="63"/>
      <c r="BA449" s="63"/>
      <c r="BB449" s="63"/>
      <c r="BC449" s="63"/>
      <c r="BD449" s="413"/>
      <c r="BE449" s="63"/>
      <c r="BF449" s="63"/>
      <c r="BG449" s="63"/>
      <c r="BH449" s="63"/>
      <c r="BI449" s="413"/>
      <c r="BJ449" s="63"/>
      <c r="BK449" s="63"/>
      <c r="BL449" s="63"/>
      <c r="BM449" s="63"/>
      <c r="BN449" s="413"/>
      <c r="BO449" s="63"/>
      <c r="BP449" s="63"/>
      <c r="BQ449" s="63"/>
      <c r="BR449" s="63"/>
      <c r="BS449" s="425"/>
      <c r="BT449" s="63"/>
      <c r="BU449" s="63"/>
      <c r="BV449" s="63"/>
      <c r="BW449" s="63"/>
      <c r="BX449" s="413"/>
      <c r="BY449" s="63"/>
      <c r="BZ449" s="63"/>
      <c r="CA449" s="63"/>
      <c r="CB449" s="63"/>
      <c r="CC449" s="413"/>
      <c r="CD449" s="413"/>
      <c r="CE449" s="413"/>
      <c r="CF449" s="413"/>
      <c r="CG449" s="99"/>
    </row>
    <row r="450" spans="1:85" ht="14.45" customHeight="1" x14ac:dyDescent="0.25">
      <c r="A450" s="241" t="s">
        <v>506</v>
      </c>
      <c r="B450" s="242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  <c r="AU450" s="243"/>
      <c r="AV450" s="243"/>
      <c r="AW450" s="243"/>
      <c r="AX450" s="243"/>
      <c r="AY450" s="243"/>
      <c r="AZ450" s="243"/>
      <c r="BA450" s="243"/>
      <c r="BB450" s="243"/>
      <c r="BC450" s="243"/>
      <c r="BD450" s="243"/>
      <c r="BE450" s="243"/>
      <c r="BF450" s="243"/>
      <c r="BG450" s="243"/>
      <c r="BH450" s="243"/>
      <c r="BI450" s="243"/>
      <c r="BJ450" s="243"/>
      <c r="BK450" s="243"/>
      <c r="BL450" s="243"/>
      <c r="BM450" s="243"/>
      <c r="BN450" s="243"/>
      <c r="BO450" s="243"/>
      <c r="BP450" s="243"/>
      <c r="BQ450" s="243"/>
      <c r="BR450" s="243"/>
      <c r="BS450" s="540"/>
      <c r="BT450" s="243"/>
      <c r="BU450" s="243"/>
      <c r="BV450" s="243"/>
      <c r="BW450" s="243"/>
      <c r="BX450" s="243"/>
      <c r="BY450" s="243"/>
      <c r="BZ450" s="243"/>
      <c r="CA450" s="243"/>
      <c r="CB450" s="243"/>
      <c r="CC450" s="243"/>
      <c r="CD450" s="243"/>
      <c r="CE450" s="243"/>
      <c r="CF450" s="243"/>
      <c r="CG450" s="99"/>
    </row>
    <row r="451" spans="1:85" ht="15" hidden="1" customHeight="1" x14ac:dyDescent="0.25">
      <c r="A451" s="244" t="s">
        <v>507</v>
      </c>
      <c r="B451" s="221"/>
      <c r="C451" s="541">
        <v>1</v>
      </c>
      <c r="D451" s="541">
        <v>1</v>
      </c>
      <c r="E451" s="541">
        <v>1</v>
      </c>
      <c r="F451" s="541">
        <v>1</v>
      </c>
      <c r="G451" s="245">
        <v>1</v>
      </c>
      <c r="H451" s="245">
        <v>1</v>
      </c>
      <c r="I451" s="245">
        <v>1</v>
      </c>
      <c r="J451" s="246">
        <f>K451</f>
        <v>1</v>
      </c>
      <c r="K451" s="541">
        <v>1</v>
      </c>
      <c r="L451" s="245">
        <v>1</v>
      </c>
      <c r="M451" s="245">
        <v>1</v>
      </c>
      <c r="N451" s="245">
        <v>1</v>
      </c>
      <c r="O451" s="246">
        <f>P451</f>
        <v>1</v>
      </c>
      <c r="P451" s="541">
        <v>1</v>
      </c>
      <c r="Q451" s="245">
        <v>1</v>
      </c>
      <c r="R451" s="245">
        <v>1</v>
      </c>
      <c r="S451" s="245">
        <v>1</v>
      </c>
      <c r="T451" s="246">
        <f>U451</f>
        <v>1</v>
      </c>
      <c r="U451" s="541">
        <v>1</v>
      </c>
      <c r="V451" s="245">
        <v>1</v>
      </c>
      <c r="W451" s="245">
        <v>1</v>
      </c>
      <c r="X451" s="245">
        <v>1</v>
      </c>
      <c r="Y451" s="246">
        <f>Z451</f>
        <v>1</v>
      </c>
      <c r="Z451" s="541">
        <v>1</v>
      </c>
      <c r="AA451" s="245">
        <v>1</v>
      </c>
      <c r="AB451" s="245">
        <v>1</v>
      </c>
      <c r="AC451" s="245">
        <v>1</v>
      </c>
      <c r="AD451" s="246">
        <f>AE451</f>
        <v>1</v>
      </c>
      <c r="AE451" s="541">
        <v>1</v>
      </c>
      <c r="AF451" s="245">
        <v>1</v>
      </c>
      <c r="AG451" s="245">
        <v>1</v>
      </c>
      <c r="AH451" s="245">
        <v>1</v>
      </c>
      <c r="AI451" s="246">
        <f>AJ451</f>
        <v>1</v>
      </c>
      <c r="AJ451" s="541">
        <v>1</v>
      </c>
      <c r="AK451" s="245">
        <v>1</v>
      </c>
      <c r="AL451" s="245">
        <v>1</v>
      </c>
      <c r="AM451" s="245">
        <v>1</v>
      </c>
      <c r="AN451" s="246">
        <f>AO451</f>
        <v>1</v>
      </c>
      <c r="AO451" s="541">
        <v>1</v>
      </c>
      <c r="AP451" s="245">
        <v>1</v>
      </c>
      <c r="AQ451" s="245">
        <v>1</v>
      </c>
      <c r="AR451" s="245">
        <v>1</v>
      </c>
      <c r="AS451" s="246">
        <f>AT451</f>
        <v>1</v>
      </c>
      <c r="AT451" s="541">
        <v>1</v>
      </c>
      <c r="AU451" s="245">
        <v>1</v>
      </c>
      <c r="AV451" s="245">
        <v>1</v>
      </c>
      <c r="AW451" s="245">
        <v>1</v>
      </c>
      <c r="AX451" s="246">
        <f>AY451</f>
        <v>1</v>
      </c>
      <c r="AY451" s="541">
        <v>1</v>
      </c>
      <c r="AZ451" s="245">
        <v>1</v>
      </c>
      <c r="BA451" s="245">
        <v>1</v>
      </c>
      <c r="BB451" s="245">
        <v>1</v>
      </c>
      <c r="BC451" s="246">
        <f>BD451</f>
        <v>1</v>
      </c>
      <c r="BD451" s="541">
        <v>1</v>
      </c>
      <c r="BE451" s="245">
        <v>1</v>
      </c>
      <c r="BF451" s="245">
        <v>1</v>
      </c>
      <c r="BG451" s="245">
        <v>1</v>
      </c>
      <c r="BH451" s="246">
        <f>BI451</f>
        <v>1</v>
      </c>
      <c r="BI451" s="541">
        <v>1</v>
      </c>
      <c r="BJ451" s="245">
        <v>1</v>
      </c>
      <c r="BK451" s="245">
        <v>1</v>
      </c>
      <c r="BL451" s="245">
        <v>1</v>
      </c>
      <c r="BM451" s="246">
        <f>BN451</f>
        <v>1</v>
      </c>
      <c r="BN451" s="541">
        <v>1</v>
      </c>
      <c r="BO451" s="245">
        <v>1</v>
      </c>
      <c r="BP451" s="245">
        <v>1</v>
      </c>
      <c r="BQ451" s="245">
        <v>1</v>
      </c>
      <c r="BR451" s="246">
        <f>BS451</f>
        <v>1</v>
      </c>
      <c r="BS451" s="542">
        <v>1</v>
      </c>
      <c r="BT451" s="246">
        <f t="shared" ref="BT451:CF451" si="311">BS451</f>
        <v>1</v>
      </c>
      <c r="BU451" s="246">
        <f t="shared" si="311"/>
        <v>1</v>
      </c>
      <c r="BV451" s="246">
        <f t="shared" si="311"/>
        <v>1</v>
      </c>
      <c r="BW451" s="246">
        <f t="shared" si="311"/>
        <v>1</v>
      </c>
      <c r="BX451" s="543">
        <f t="shared" si="311"/>
        <v>1</v>
      </c>
      <c r="BY451" s="246">
        <f t="shared" si="311"/>
        <v>1</v>
      </c>
      <c r="BZ451" s="246">
        <f t="shared" si="311"/>
        <v>1</v>
      </c>
      <c r="CA451" s="246">
        <f t="shared" si="311"/>
        <v>1</v>
      </c>
      <c r="CB451" s="246">
        <f t="shared" si="311"/>
        <v>1</v>
      </c>
      <c r="CC451" s="543">
        <f t="shared" si="311"/>
        <v>1</v>
      </c>
      <c r="CD451" s="543">
        <f t="shared" si="311"/>
        <v>1</v>
      </c>
      <c r="CE451" s="543">
        <f t="shared" si="311"/>
        <v>1</v>
      </c>
      <c r="CF451" s="543">
        <f t="shared" si="311"/>
        <v>1</v>
      </c>
      <c r="CG451" s="99"/>
    </row>
    <row r="452" spans="1:85" ht="15" hidden="1" customHeight="1" x14ac:dyDescent="0.25">
      <c r="A452" s="247"/>
      <c r="B452" s="180"/>
      <c r="C452" s="413"/>
      <c r="D452" s="413"/>
      <c r="E452" s="413"/>
      <c r="F452" s="413"/>
      <c r="G452" s="63"/>
      <c r="H452" s="63"/>
      <c r="I452" s="63"/>
      <c r="J452" s="63"/>
      <c r="K452" s="413"/>
      <c r="L452" s="63"/>
      <c r="M452" s="63"/>
      <c r="N452" s="63"/>
      <c r="O452" s="63"/>
      <c r="P452" s="413"/>
      <c r="Q452" s="63"/>
      <c r="R452" s="63"/>
      <c r="S452" s="63"/>
      <c r="T452" s="63"/>
      <c r="U452" s="413"/>
      <c r="V452" s="63"/>
      <c r="W452" s="63"/>
      <c r="X452" s="63"/>
      <c r="Y452" s="63"/>
      <c r="Z452" s="413"/>
      <c r="AA452" s="63"/>
      <c r="AB452" s="63"/>
      <c r="AC452" s="63"/>
      <c r="AD452" s="63"/>
      <c r="AE452" s="413"/>
      <c r="AF452" s="63"/>
      <c r="AG452" s="63"/>
      <c r="AH452" s="63"/>
      <c r="AI452" s="63"/>
      <c r="AJ452" s="413"/>
      <c r="AK452" s="63"/>
      <c r="AL452" s="63"/>
      <c r="AM452" s="63"/>
      <c r="AN452" s="63"/>
      <c r="AO452" s="413"/>
      <c r="AP452" s="63"/>
      <c r="AQ452" s="63"/>
      <c r="AR452" s="63"/>
      <c r="AS452" s="63"/>
      <c r="AT452" s="413"/>
      <c r="AU452" s="63"/>
      <c r="AV452" s="63"/>
      <c r="AW452" s="63"/>
      <c r="AX452" s="63"/>
      <c r="AY452" s="413"/>
      <c r="AZ452" s="63"/>
      <c r="BA452" s="63"/>
      <c r="BB452" s="63"/>
      <c r="BC452" s="63"/>
      <c r="BD452" s="413"/>
      <c r="BE452" s="63"/>
      <c r="BF452" s="63"/>
      <c r="BG452" s="63"/>
      <c r="BH452" s="63"/>
      <c r="BI452" s="413"/>
      <c r="BJ452" s="63"/>
      <c r="BK452" s="63"/>
      <c r="BL452" s="63"/>
      <c r="BM452" s="63"/>
      <c r="BN452" s="413"/>
      <c r="BO452" s="63"/>
      <c r="BP452" s="63"/>
      <c r="BQ452" s="63"/>
      <c r="BR452" s="63"/>
      <c r="BS452" s="425"/>
      <c r="BT452" s="63"/>
      <c r="BU452" s="63"/>
      <c r="BV452" s="63"/>
      <c r="BW452" s="63"/>
      <c r="BX452" s="413"/>
      <c r="BY452" s="63"/>
      <c r="BZ452" s="63"/>
      <c r="CA452" s="63"/>
      <c r="CB452" s="63"/>
      <c r="CC452" s="413"/>
      <c r="CD452" s="413"/>
      <c r="CE452" s="413"/>
      <c r="CF452" s="413"/>
      <c r="CG452" s="99"/>
    </row>
    <row r="453" spans="1:85" ht="15" hidden="1" customHeight="1" x14ac:dyDescent="0.25">
      <c r="A453" s="191" t="s">
        <v>508</v>
      </c>
      <c r="B453" s="180"/>
      <c r="C453" s="410">
        <f t="shared" ref="C453:I453" si="312">10*10.203821</f>
        <v>102.03820999999999</v>
      </c>
      <c r="D453" s="410">
        <f t="shared" si="312"/>
        <v>102.03820999999999</v>
      </c>
      <c r="E453" s="410">
        <f t="shared" si="312"/>
        <v>102.03820999999999</v>
      </c>
      <c r="F453" s="410">
        <f t="shared" si="312"/>
        <v>102.03820999999999</v>
      </c>
      <c r="G453" s="98">
        <f t="shared" si="312"/>
        <v>102.03820999999999</v>
      </c>
      <c r="H453" s="98">
        <f t="shared" si="312"/>
        <v>102.03820999999999</v>
      </c>
      <c r="I453" s="98">
        <f t="shared" si="312"/>
        <v>102.03820999999999</v>
      </c>
      <c r="J453" s="63">
        <f>K453</f>
        <v>102.03820999999999</v>
      </c>
      <c r="K453" s="410">
        <f>10*10.203821</f>
        <v>102.03820999999999</v>
      </c>
      <c r="L453" s="98">
        <f>10*10.203821</f>
        <v>102.03820999999999</v>
      </c>
      <c r="M453" s="98">
        <f>10*10.203821</f>
        <v>102.03820999999999</v>
      </c>
      <c r="N453" s="98">
        <f>10*10.203821</f>
        <v>102.03820999999999</v>
      </c>
      <c r="O453" s="63">
        <f>P453</f>
        <v>102.03820999999999</v>
      </c>
      <c r="P453" s="410">
        <f>10*10.203821</f>
        <v>102.03820999999999</v>
      </c>
      <c r="Q453" s="98">
        <f>10*10.203821</f>
        <v>102.03820999999999</v>
      </c>
      <c r="R453" s="98">
        <f>10*10.203821</f>
        <v>102.03820999999999</v>
      </c>
      <c r="S453" s="98">
        <f>10*10.203821</f>
        <v>102.03820999999999</v>
      </c>
      <c r="T453" s="63">
        <f>U453</f>
        <v>102.03820999999999</v>
      </c>
      <c r="U453" s="410">
        <f>10*10.203821</f>
        <v>102.03820999999999</v>
      </c>
      <c r="V453" s="98">
        <f>10*10.203821</f>
        <v>102.03820999999999</v>
      </c>
      <c r="W453" s="98">
        <f>10*10.203821</f>
        <v>102.03820999999999</v>
      </c>
      <c r="X453" s="98">
        <f>10*10.203821</f>
        <v>102.03820999999999</v>
      </c>
      <c r="Y453" s="63">
        <f>Z453</f>
        <v>102.03820999999999</v>
      </c>
      <c r="Z453" s="410">
        <f>10*10.203821</f>
        <v>102.03820999999999</v>
      </c>
      <c r="AA453" s="98">
        <f>10*10.203821</f>
        <v>102.03820999999999</v>
      </c>
      <c r="AB453" s="98">
        <f>10*10.203821</f>
        <v>102.03820999999999</v>
      </c>
      <c r="AC453" s="98">
        <f>10*10.203821</f>
        <v>102.03820999999999</v>
      </c>
      <c r="AD453" s="63">
        <f>AE453</f>
        <v>102.03820999999999</v>
      </c>
      <c r="AE453" s="410">
        <f>10*10.203821</f>
        <v>102.03820999999999</v>
      </c>
      <c r="AF453" s="98">
        <f>10*10.203821</f>
        <v>102.03820999999999</v>
      </c>
      <c r="AG453" s="98">
        <f>10*10.203821</f>
        <v>102.03820999999999</v>
      </c>
      <c r="AH453" s="98">
        <f>10*10.203821</f>
        <v>102.03820999999999</v>
      </c>
      <c r="AI453" s="63">
        <f>AJ453</f>
        <v>102.03820999999999</v>
      </c>
      <c r="AJ453" s="410">
        <f>10*10.203821</f>
        <v>102.03820999999999</v>
      </c>
      <c r="AK453" s="98">
        <f>10*10.203821</f>
        <v>102.03820999999999</v>
      </c>
      <c r="AL453" s="98">
        <f>10*10.203821</f>
        <v>102.03820999999999</v>
      </c>
      <c r="AM453" s="98">
        <f>10*10.203821</f>
        <v>102.03820999999999</v>
      </c>
      <c r="AN453" s="63">
        <f>AO453</f>
        <v>102.03820999999999</v>
      </c>
      <c r="AO453" s="410">
        <f>10*10.203821</f>
        <v>102.03820999999999</v>
      </c>
      <c r="AP453" s="98">
        <f>10*10.203821</f>
        <v>102.03820999999999</v>
      </c>
      <c r="AQ453" s="98">
        <f>10*10.203821</f>
        <v>102.03820999999999</v>
      </c>
      <c r="AR453" s="98">
        <f>10*10.203821</f>
        <v>102.03820999999999</v>
      </c>
      <c r="AS453" s="63">
        <f>AT453</f>
        <v>102.03820999999999</v>
      </c>
      <c r="AT453" s="410">
        <f>10*10.203821</f>
        <v>102.03820999999999</v>
      </c>
      <c r="AU453" s="98">
        <f>10*10.203821</f>
        <v>102.03820999999999</v>
      </c>
      <c r="AV453" s="98">
        <f>10*10.203821</f>
        <v>102.03820999999999</v>
      </c>
      <c r="AW453" s="98">
        <f>10*10.203821</f>
        <v>102.03820999999999</v>
      </c>
      <c r="AX453" s="63">
        <f>AY453</f>
        <v>102.03820999999999</v>
      </c>
      <c r="AY453" s="410">
        <f>10*10.203821</f>
        <v>102.03820999999999</v>
      </c>
      <c r="AZ453" s="98">
        <f>10*11.431367</f>
        <v>114.31367</v>
      </c>
      <c r="BA453" s="98">
        <f>10*11.431367</f>
        <v>114.31367</v>
      </c>
      <c r="BB453" s="98">
        <f>10*11.431367</f>
        <v>114.31367</v>
      </c>
      <c r="BC453" s="63">
        <f>BD453</f>
        <v>114.31367</v>
      </c>
      <c r="BD453" s="410">
        <f>10*11.431367</f>
        <v>114.31367</v>
      </c>
      <c r="BE453" s="98">
        <f>10*11.431367</f>
        <v>114.31367</v>
      </c>
      <c r="BF453" s="98">
        <f>10*11.431367</f>
        <v>114.31367</v>
      </c>
      <c r="BG453" s="98">
        <f>10*11.431367</f>
        <v>114.31367</v>
      </c>
      <c r="BH453" s="63">
        <f>BI453</f>
        <v>114.31367</v>
      </c>
      <c r="BI453" s="410">
        <f>10*11.431367</f>
        <v>114.31367</v>
      </c>
      <c r="BJ453" s="98">
        <f>10*11.431367</f>
        <v>114.31367</v>
      </c>
      <c r="BK453" s="98">
        <f>10*11.431367</f>
        <v>114.31367</v>
      </c>
      <c r="BL453" s="98">
        <f>10*10.832748</f>
        <v>108.32748000000001</v>
      </c>
      <c r="BM453" s="63">
        <f>BN453</f>
        <v>108.32748000000001</v>
      </c>
      <c r="BN453" s="410">
        <f>10*10.832748</f>
        <v>108.32748000000001</v>
      </c>
      <c r="BO453" s="98">
        <f>10*10.832748</f>
        <v>108.32748000000001</v>
      </c>
      <c r="BP453" s="98">
        <v>108.32747999999999</v>
      </c>
      <c r="BQ453" s="98">
        <v>75.877566000000002</v>
      </c>
      <c r="BR453" s="63">
        <f>BS453</f>
        <v>56.517333999999998</v>
      </c>
      <c r="BS453" s="419">
        <v>56.517333999999998</v>
      </c>
      <c r="BT453" s="63"/>
      <c r="BU453" s="63"/>
      <c r="BV453" s="63"/>
      <c r="BW453" s="63"/>
      <c r="BX453" s="413"/>
      <c r="BY453" s="63"/>
      <c r="BZ453" s="63"/>
      <c r="CA453" s="63"/>
      <c r="CB453" s="63"/>
      <c r="CC453" s="413"/>
      <c r="CD453" s="413"/>
      <c r="CE453" s="413"/>
      <c r="CF453" s="413"/>
      <c r="CG453" s="99"/>
    </row>
    <row r="454" spans="1:85" ht="15" hidden="1" customHeight="1" x14ac:dyDescent="0.25">
      <c r="A454" s="248" t="s">
        <v>509</v>
      </c>
      <c r="B454" s="190"/>
      <c r="C454" s="414">
        <f t="shared" ref="C454:I454" si="313">10*3.062374</f>
        <v>30.623740000000002</v>
      </c>
      <c r="D454" s="414">
        <f t="shared" si="313"/>
        <v>30.623740000000002</v>
      </c>
      <c r="E454" s="414">
        <f t="shared" si="313"/>
        <v>30.623740000000002</v>
      </c>
      <c r="F454" s="414">
        <f t="shared" si="313"/>
        <v>30.623740000000002</v>
      </c>
      <c r="G454" s="102">
        <f t="shared" si="313"/>
        <v>30.623740000000002</v>
      </c>
      <c r="H454" s="102">
        <f t="shared" si="313"/>
        <v>30.623740000000002</v>
      </c>
      <c r="I454" s="102">
        <f t="shared" si="313"/>
        <v>30.623740000000002</v>
      </c>
      <c r="J454" s="158">
        <f>K454</f>
        <v>30.623740000000002</v>
      </c>
      <c r="K454" s="414">
        <f>10*3.062374</f>
        <v>30.623740000000002</v>
      </c>
      <c r="L454" s="102">
        <f>10*3.062374</f>
        <v>30.623740000000002</v>
      </c>
      <c r="M454" s="102">
        <f>10*3.062374</f>
        <v>30.623740000000002</v>
      </c>
      <c r="N454" s="102">
        <f>10*3.062374</f>
        <v>30.623740000000002</v>
      </c>
      <c r="O454" s="158">
        <f>P454</f>
        <v>30.623740000000002</v>
      </c>
      <c r="P454" s="414">
        <f>10*3.062374</f>
        <v>30.623740000000002</v>
      </c>
      <c r="Q454" s="102">
        <f>10*3.062374</f>
        <v>30.623740000000002</v>
      </c>
      <c r="R454" s="102">
        <f>10*3.062374</f>
        <v>30.623740000000002</v>
      </c>
      <c r="S454" s="102">
        <f>10*3.062374</f>
        <v>30.623740000000002</v>
      </c>
      <c r="T454" s="158">
        <f>U454</f>
        <v>30.623740000000002</v>
      </c>
      <c r="U454" s="414">
        <f>10*3.062374</f>
        <v>30.623740000000002</v>
      </c>
      <c r="V454" s="102">
        <f>10*3.062374</f>
        <v>30.623740000000002</v>
      </c>
      <c r="W454" s="102">
        <f>10*3.062374</f>
        <v>30.623740000000002</v>
      </c>
      <c r="X454" s="102">
        <f>10*3.062374</f>
        <v>30.623740000000002</v>
      </c>
      <c r="Y454" s="158">
        <f>Z454</f>
        <v>30.623740000000002</v>
      </c>
      <c r="Z454" s="414">
        <f>10*3.062374</f>
        <v>30.623740000000002</v>
      </c>
      <c r="AA454" s="102">
        <f>10*3.062374</f>
        <v>30.623740000000002</v>
      </c>
      <c r="AB454" s="102">
        <f>10*3.062374</f>
        <v>30.623740000000002</v>
      </c>
      <c r="AC454" s="102">
        <f>10*3.062374</f>
        <v>30.623740000000002</v>
      </c>
      <c r="AD454" s="158">
        <f>AE454</f>
        <v>30.623740000000002</v>
      </c>
      <c r="AE454" s="414">
        <f>10*3.062374</f>
        <v>30.623740000000002</v>
      </c>
      <c r="AF454" s="102">
        <f>10*3.062374</f>
        <v>30.623740000000002</v>
      </c>
      <c r="AG454" s="102">
        <f>10*3.062374</f>
        <v>30.623740000000002</v>
      </c>
      <c r="AH454" s="102">
        <f>10*3.062374</f>
        <v>30.623740000000002</v>
      </c>
      <c r="AI454" s="158">
        <f>AJ454</f>
        <v>30.623740000000002</v>
      </c>
      <c r="AJ454" s="414">
        <f>10*3.062374</f>
        <v>30.623740000000002</v>
      </c>
      <c r="AK454" s="102">
        <f>10*3.062374</f>
        <v>30.623740000000002</v>
      </c>
      <c r="AL454" s="102">
        <f>10*3.062374</f>
        <v>30.623740000000002</v>
      </c>
      <c r="AM454" s="102">
        <f>10*3.062374</f>
        <v>30.623740000000002</v>
      </c>
      <c r="AN454" s="158">
        <f>AO454</f>
        <v>30.623740000000002</v>
      </c>
      <c r="AO454" s="414">
        <f>10*3.062374</f>
        <v>30.623740000000002</v>
      </c>
      <c r="AP454" s="102">
        <f>10*3.062374</f>
        <v>30.623740000000002</v>
      </c>
      <c r="AQ454" s="102">
        <f>10*3.062374</f>
        <v>30.623740000000002</v>
      </c>
      <c r="AR454" s="102">
        <f>10*3.062374</f>
        <v>30.623740000000002</v>
      </c>
      <c r="AS454" s="158">
        <f>AT454</f>
        <v>30.623740000000002</v>
      </c>
      <c r="AT454" s="414">
        <f>10*3.062374</f>
        <v>30.623740000000002</v>
      </c>
      <c r="AU454" s="102">
        <f>10*3.062374</f>
        <v>30.623740000000002</v>
      </c>
      <c r="AV454" s="102">
        <f>10*3.062374</f>
        <v>30.623740000000002</v>
      </c>
      <c r="AW454" s="102">
        <f>10*3.062374</f>
        <v>30.623740000000002</v>
      </c>
      <c r="AX454" s="158">
        <f>AY454</f>
        <v>30.623740000000002</v>
      </c>
      <c r="AY454" s="414">
        <f>10*3.062374</f>
        <v>30.623740000000002</v>
      </c>
      <c r="AZ454" s="102">
        <f>10*3.062374</f>
        <v>30.623740000000002</v>
      </c>
      <c r="BA454" s="102">
        <f>10*3.062374</f>
        <v>30.623740000000002</v>
      </c>
      <c r="BB454" s="102">
        <f>10*3.062374</f>
        <v>30.623740000000002</v>
      </c>
      <c r="BC454" s="158">
        <f>BD454</f>
        <v>30.623740000000002</v>
      </c>
      <c r="BD454" s="414">
        <f>10*3.062374</f>
        <v>30.623740000000002</v>
      </c>
      <c r="BE454" s="102">
        <f>10*3.062374</f>
        <v>30.623740000000002</v>
      </c>
      <c r="BF454" s="102">
        <f>10*3.062374</f>
        <v>30.623740000000002</v>
      </c>
      <c r="BG454" s="102">
        <f>10*3.062374</f>
        <v>30.623740000000002</v>
      </c>
      <c r="BH454" s="158">
        <f>BI454</f>
        <v>30.623740000000002</v>
      </c>
      <c r="BI454" s="414">
        <f>10*3.062374</f>
        <v>30.623740000000002</v>
      </c>
      <c r="BJ454" s="102">
        <f>10*3.062374</f>
        <v>30.623740000000002</v>
      </c>
      <c r="BK454" s="102">
        <f>10*3.675384</f>
        <v>36.753840000000004</v>
      </c>
      <c r="BL454" s="102">
        <f>10*3.076765</f>
        <v>30.76765</v>
      </c>
      <c r="BM454" s="158">
        <f>BN454</f>
        <v>31.1966</v>
      </c>
      <c r="BN454" s="414">
        <f>10*3.11966</f>
        <v>31.1966</v>
      </c>
      <c r="BO454" s="102">
        <f>10*3.11966</f>
        <v>31.1966</v>
      </c>
      <c r="BP454" s="102">
        <v>31.488534999999999</v>
      </c>
      <c r="BQ454" s="102">
        <v>0</v>
      </c>
      <c r="BR454" s="158">
        <f>BS454</f>
        <v>0</v>
      </c>
      <c r="BS454" s="420">
        <v>0</v>
      </c>
      <c r="BT454" s="158"/>
      <c r="BU454" s="158"/>
      <c r="BV454" s="158"/>
      <c r="BW454" s="158"/>
      <c r="BX454" s="415"/>
      <c r="BY454" s="158"/>
      <c r="BZ454" s="158"/>
      <c r="CA454" s="158"/>
      <c r="CB454" s="158"/>
      <c r="CC454" s="415"/>
      <c r="CD454" s="415"/>
      <c r="CE454" s="415"/>
      <c r="CF454" s="415"/>
      <c r="CG454" s="99"/>
    </row>
    <row r="455" spans="1:85" ht="15" hidden="1" customHeight="1" x14ac:dyDescent="0.25">
      <c r="A455" s="189" t="s">
        <v>510</v>
      </c>
      <c r="B455" s="180"/>
      <c r="C455" s="413">
        <f t="shared" ref="C455:AH455" si="314">C453-C454</f>
        <v>71.414469999999994</v>
      </c>
      <c r="D455" s="413">
        <f t="shared" si="314"/>
        <v>71.414469999999994</v>
      </c>
      <c r="E455" s="413">
        <f t="shared" si="314"/>
        <v>71.414469999999994</v>
      </c>
      <c r="F455" s="413">
        <f t="shared" si="314"/>
        <v>71.414469999999994</v>
      </c>
      <c r="G455" s="63">
        <f t="shared" si="314"/>
        <v>71.414469999999994</v>
      </c>
      <c r="H455" s="63">
        <f t="shared" si="314"/>
        <v>71.414469999999994</v>
      </c>
      <c r="I455" s="63">
        <f t="shared" si="314"/>
        <v>71.414469999999994</v>
      </c>
      <c r="J455" s="63">
        <f t="shared" si="314"/>
        <v>71.414469999999994</v>
      </c>
      <c r="K455" s="413">
        <f t="shared" si="314"/>
        <v>71.414469999999994</v>
      </c>
      <c r="L455" s="63">
        <f t="shared" si="314"/>
        <v>71.414469999999994</v>
      </c>
      <c r="M455" s="63">
        <f t="shared" si="314"/>
        <v>71.414469999999994</v>
      </c>
      <c r="N455" s="63">
        <f t="shared" si="314"/>
        <v>71.414469999999994</v>
      </c>
      <c r="O455" s="63">
        <f t="shared" si="314"/>
        <v>71.414469999999994</v>
      </c>
      <c r="P455" s="413">
        <f t="shared" si="314"/>
        <v>71.414469999999994</v>
      </c>
      <c r="Q455" s="63">
        <f t="shared" si="314"/>
        <v>71.414469999999994</v>
      </c>
      <c r="R455" s="63">
        <f t="shared" si="314"/>
        <v>71.414469999999994</v>
      </c>
      <c r="S455" s="63">
        <f t="shared" si="314"/>
        <v>71.414469999999994</v>
      </c>
      <c r="T455" s="63">
        <f t="shared" si="314"/>
        <v>71.414469999999994</v>
      </c>
      <c r="U455" s="413">
        <f t="shared" si="314"/>
        <v>71.414469999999994</v>
      </c>
      <c r="V455" s="63">
        <f t="shared" si="314"/>
        <v>71.414469999999994</v>
      </c>
      <c r="W455" s="63">
        <f t="shared" si="314"/>
        <v>71.414469999999994</v>
      </c>
      <c r="X455" s="63">
        <f t="shared" si="314"/>
        <v>71.414469999999994</v>
      </c>
      <c r="Y455" s="63">
        <f t="shared" si="314"/>
        <v>71.414469999999994</v>
      </c>
      <c r="Z455" s="413">
        <f t="shared" si="314"/>
        <v>71.414469999999994</v>
      </c>
      <c r="AA455" s="63">
        <f t="shared" si="314"/>
        <v>71.414469999999994</v>
      </c>
      <c r="AB455" s="63">
        <f t="shared" si="314"/>
        <v>71.414469999999994</v>
      </c>
      <c r="AC455" s="63">
        <f t="shared" si="314"/>
        <v>71.414469999999994</v>
      </c>
      <c r="AD455" s="63">
        <f t="shared" si="314"/>
        <v>71.414469999999994</v>
      </c>
      <c r="AE455" s="413">
        <f t="shared" si="314"/>
        <v>71.414469999999994</v>
      </c>
      <c r="AF455" s="63">
        <f t="shared" si="314"/>
        <v>71.414469999999994</v>
      </c>
      <c r="AG455" s="63">
        <f t="shared" si="314"/>
        <v>71.414469999999994</v>
      </c>
      <c r="AH455" s="63">
        <f t="shared" si="314"/>
        <v>71.414469999999994</v>
      </c>
      <c r="AI455" s="63">
        <f t="shared" ref="AI455:BN455" si="315">AI453-AI454</f>
        <v>71.414469999999994</v>
      </c>
      <c r="AJ455" s="413">
        <f t="shared" si="315"/>
        <v>71.414469999999994</v>
      </c>
      <c r="AK455" s="63">
        <f t="shared" si="315"/>
        <v>71.414469999999994</v>
      </c>
      <c r="AL455" s="63">
        <f t="shared" si="315"/>
        <v>71.414469999999994</v>
      </c>
      <c r="AM455" s="63">
        <f t="shared" si="315"/>
        <v>71.414469999999994</v>
      </c>
      <c r="AN455" s="63">
        <f t="shared" si="315"/>
        <v>71.414469999999994</v>
      </c>
      <c r="AO455" s="413">
        <f t="shared" si="315"/>
        <v>71.414469999999994</v>
      </c>
      <c r="AP455" s="63">
        <f t="shared" si="315"/>
        <v>71.414469999999994</v>
      </c>
      <c r="AQ455" s="63">
        <f t="shared" si="315"/>
        <v>71.414469999999994</v>
      </c>
      <c r="AR455" s="63">
        <f t="shared" si="315"/>
        <v>71.414469999999994</v>
      </c>
      <c r="AS455" s="63">
        <f t="shared" si="315"/>
        <v>71.414469999999994</v>
      </c>
      <c r="AT455" s="413">
        <f t="shared" si="315"/>
        <v>71.414469999999994</v>
      </c>
      <c r="AU455" s="63">
        <f t="shared" si="315"/>
        <v>71.414469999999994</v>
      </c>
      <c r="AV455" s="63">
        <f t="shared" si="315"/>
        <v>71.414469999999994</v>
      </c>
      <c r="AW455" s="63">
        <f t="shared" si="315"/>
        <v>71.414469999999994</v>
      </c>
      <c r="AX455" s="63">
        <f t="shared" si="315"/>
        <v>71.414469999999994</v>
      </c>
      <c r="AY455" s="413">
        <f t="shared" si="315"/>
        <v>71.414469999999994</v>
      </c>
      <c r="AZ455" s="63">
        <f t="shared" si="315"/>
        <v>83.689930000000004</v>
      </c>
      <c r="BA455" s="63">
        <f t="shared" si="315"/>
        <v>83.689930000000004</v>
      </c>
      <c r="BB455" s="63">
        <f t="shared" si="315"/>
        <v>83.689930000000004</v>
      </c>
      <c r="BC455" s="63">
        <f t="shared" si="315"/>
        <v>83.689930000000004</v>
      </c>
      <c r="BD455" s="413">
        <f t="shared" si="315"/>
        <v>83.689930000000004</v>
      </c>
      <c r="BE455" s="63">
        <f t="shared" si="315"/>
        <v>83.689930000000004</v>
      </c>
      <c r="BF455" s="63">
        <f t="shared" si="315"/>
        <v>83.689930000000004</v>
      </c>
      <c r="BG455" s="63">
        <f t="shared" si="315"/>
        <v>83.689930000000004</v>
      </c>
      <c r="BH455" s="63">
        <f t="shared" si="315"/>
        <v>83.689930000000004</v>
      </c>
      <c r="BI455" s="413">
        <f t="shared" si="315"/>
        <v>83.689930000000004</v>
      </c>
      <c r="BJ455" s="63">
        <f t="shared" si="315"/>
        <v>83.689930000000004</v>
      </c>
      <c r="BK455" s="63">
        <f t="shared" si="315"/>
        <v>77.559830000000005</v>
      </c>
      <c r="BL455" s="63">
        <f t="shared" si="315"/>
        <v>77.559830000000005</v>
      </c>
      <c r="BM455" s="63">
        <f t="shared" si="315"/>
        <v>77.130880000000005</v>
      </c>
      <c r="BN455" s="413">
        <f t="shared" si="315"/>
        <v>77.130880000000005</v>
      </c>
      <c r="BO455" s="63">
        <f t="shared" ref="BO455:BS455" si="316">BO453-BO454</f>
        <v>77.130880000000005</v>
      </c>
      <c r="BP455" s="63">
        <f t="shared" si="316"/>
        <v>76.838944999999995</v>
      </c>
      <c r="BQ455" s="63">
        <f t="shared" si="316"/>
        <v>75.877566000000002</v>
      </c>
      <c r="BR455" s="63">
        <f t="shared" si="316"/>
        <v>56.517333999999998</v>
      </c>
      <c r="BS455" s="425">
        <f t="shared" si="316"/>
        <v>56.517333999999998</v>
      </c>
      <c r="BT455" s="63" t="e">
        <f t="shared" ref="BT455:CF455" si="317">BT459-BT458</f>
        <v>#NAME?</v>
      </c>
      <c r="BU455" s="63" t="e">
        <f t="shared" si="317"/>
        <v>#NAME?</v>
      </c>
      <c r="BV455" s="63" t="e">
        <f t="shared" si="317"/>
        <v>#NAME?</v>
      </c>
      <c r="BW455" s="63" t="e">
        <f t="shared" si="317"/>
        <v>#NAME?</v>
      </c>
      <c r="BX455" s="413" t="e">
        <f t="shared" si="317"/>
        <v>#NAME?</v>
      </c>
      <c r="BY455" s="63" t="e">
        <f t="shared" si="317"/>
        <v>#NAME?</v>
      </c>
      <c r="BZ455" s="63" t="e">
        <f t="shared" si="317"/>
        <v>#NAME?</v>
      </c>
      <c r="CA455" s="63" t="e">
        <f t="shared" si="317"/>
        <v>#NAME?</v>
      </c>
      <c r="CB455" s="63" t="e">
        <f t="shared" si="317"/>
        <v>#NAME?</v>
      </c>
      <c r="CC455" s="413" t="e">
        <f t="shared" si="317"/>
        <v>#NAME?</v>
      </c>
      <c r="CD455" s="413" t="e">
        <f t="shared" si="317"/>
        <v>#NAME?</v>
      </c>
      <c r="CE455" s="413" t="e">
        <f t="shared" si="317"/>
        <v>#NAME?</v>
      </c>
      <c r="CF455" s="413" t="e">
        <f t="shared" si="317"/>
        <v>#NAME?</v>
      </c>
      <c r="CG455" s="99"/>
    </row>
    <row r="456" spans="1:85" ht="15" hidden="1" customHeight="1" x14ac:dyDescent="0.25">
      <c r="A456" s="191" t="s">
        <v>511</v>
      </c>
      <c r="B456" s="180"/>
      <c r="C456" s="410">
        <f>10*2.649996</f>
        <v>26.499959999999998</v>
      </c>
      <c r="D456" s="410">
        <f>10*2.672316</f>
        <v>26.72316</v>
      </c>
      <c r="E456" s="410">
        <f>10*2.694636</f>
        <v>26.946359999999999</v>
      </c>
      <c r="F456" s="410">
        <f>10*2.716956</f>
        <v>27.169560000000001</v>
      </c>
      <c r="G456" s="98">
        <f>10*2.737076</f>
        <v>27.370760000000001</v>
      </c>
      <c r="H456" s="98">
        <f>10*2.737076</f>
        <v>27.370760000000001</v>
      </c>
      <c r="I456" s="98">
        <f>10*2.737076</f>
        <v>27.370760000000001</v>
      </c>
      <c r="J456" s="63">
        <f>K456</f>
        <v>27.370760000000001</v>
      </c>
      <c r="K456" s="410">
        <f>10*2.737076</f>
        <v>27.370760000000001</v>
      </c>
      <c r="L456" s="98">
        <f>10*2.757976</f>
        <v>27.57976</v>
      </c>
      <c r="M456" s="98">
        <f>10*2.757976</f>
        <v>27.57976</v>
      </c>
      <c r="N456" s="98">
        <f>10*2.757976</f>
        <v>27.57976</v>
      </c>
      <c r="O456" s="63">
        <f>P456</f>
        <v>27.57976</v>
      </c>
      <c r="P456" s="410">
        <f>10*2.757976</f>
        <v>27.57976</v>
      </c>
      <c r="Q456" s="98">
        <f>10*2.778896</f>
        <v>27.788959999999999</v>
      </c>
      <c r="R456" s="98">
        <f>10*2.778896</f>
        <v>27.788959999999999</v>
      </c>
      <c r="S456" s="98">
        <f>10*2.778896</f>
        <v>27.788959999999999</v>
      </c>
      <c r="T456" s="63">
        <f>U456</f>
        <v>27.788959999999999</v>
      </c>
      <c r="U456" s="410">
        <f>10*2.778896</f>
        <v>27.788959999999999</v>
      </c>
      <c r="V456" s="98">
        <f>10*2.799816</f>
        <v>27.998159999999999</v>
      </c>
      <c r="W456" s="98">
        <f>10*2.799816</f>
        <v>27.998159999999999</v>
      </c>
      <c r="X456" s="98">
        <f>10*2.799816</f>
        <v>27.998159999999999</v>
      </c>
      <c r="Y456" s="63">
        <f>Z456</f>
        <v>27.998159999999999</v>
      </c>
      <c r="Z456" s="410">
        <f>10*2.799816</f>
        <v>27.998159999999999</v>
      </c>
      <c r="AA456" s="98">
        <f>10*2.820836</f>
        <v>28.208359999999999</v>
      </c>
      <c r="AB456" s="98">
        <f>10*2.820836</f>
        <v>28.208359999999999</v>
      </c>
      <c r="AC456" s="98">
        <f>10*2.820836</f>
        <v>28.208359999999999</v>
      </c>
      <c r="AD456" s="63">
        <f>AE456</f>
        <v>28.208359999999999</v>
      </c>
      <c r="AE456" s="410">
        <f>10*2.820836</f>
        <v>28.208359999999999</v>
      </c>
      <c r="AF456" s="98">
        <f>10*2.841132</f>
        <v>28.41132</v>
      </c>
      <c r="AG456" s="98">
        <f>10*2.841132</f>
        <v>28.41132</v>
      </c>
      <c r="AH456" s="98">
        <f>10*2.841132</f>
        <v>28.41132</v>
      </c>
      <c r="AI456" s="63">
        <f>AJ456</f>
        <v>28.41132</v>
      </c>
      <c r="AJ456" s="410">
        <f>10*2.841132</f>
        <v>28.41132</v>
      </c>
      <c r="AK456" s="98">
        <f>10*2.860356</f>
        <v>28.603559999999998</v>
      </c>
      <c r="AL456" s="98">
        <f>10*2.860356</f>
        <v>28.603559999999998</v>
      </c>
      <c r="AM456" s="98">
        <f>10*2.860356</f>
        <v>28.603559999999998</v>
      </c>
      <c r="AN456" s="63">
        <f>AO456</f>
        <v>28.603559999999998</v>
      </c>
      <c r="AO456" s="410">
        <f>10*2.860356</f>
        <v>28.603559999999998</v>
      </c>
      <c r="AP456" s="98">
        <f>10*2.860356</f>
        <v>28.603559999999998</v>
      </c>
      <c r="AQ456" s="98">
        <f>10*2.860356</f>
        <v>28.603559999999998</v>
      </c>
      <c r="AR456" s="98">
        <f>10*2.860356</f>
        <v>28.603559999999998</v>
      </c>
      <c r="AS456" s="63">
        <f>AT456</f>
        <v>28.603559999999998</v>
      </c>
      <c r="AT456" s="410">
        <f>10*2.860356</f>
        <v>28.603559999999998</v>
      </c>
      <c r="AU456" s="98">
        <f>10*2.860356</f>
        <v>28.603559999999998</v>
      </c>
      <c r="AV456" s="98">
        <f>10*2.860356</f>
        <v>28.603559999999998</v>
      </c>
      <c r="AW456" s="98">
        <f>10*2.860356</f>
        <v>28.603559999999998</v>
      </c>
      <c r="AX456" s="63">
        <f>AY456</f>
        <v>28.603559999999998</v>
      </c>
      <c r="AY456" s="410">
        <f>10*2.860356</f>
        <v>28.603559999999998</v>
      </c>
      <c r="AZ456" s="98">
        <f>10*1.63281</f>
        <v>16.328099999999999</v>
      </c>
      <c r="BA456" s="98">
        <f>10*1.63281</f>
        <v>16.328099999999999</v>
      </c>
      <c r="BB456" s="98">
        <f>10*1.63281</f>
        <v>16.328099999999999</v>
      </c>
      <c r="BC456" s="63">
        <f>BD456</f>
        <v>16.328099999999999</v>
      </c>
      <c r="BD456" s="410">
        <f>10*1.63281</f>
        <v>16.328099999999999</v>
      </c>
      <c r="BE456" s="98">
        <f>10*1.63281</f>
        <v>16.328099999999999</v>
      </c>
      <c r="BF456" s="98">
        <f>10*1.63281</f>
        <v>16.328099999999999</v>
      </c>
      <c r="BG456" s="98">
        <f>10*1.63281</f>
        <v>16.328099999999999</v>
      </c>
      <c r="BH456" s="63">
        <f>BI456</f>
        <v>16.328099999999999</v>
      </c>
      <c r="BI456" s="410">
        <f>10*1.63281</f>
        <v>16.328099999999999</v>
      </c>
      <c r="BJ456" s="98">
        <f>10*1.63281</f>
        <v>16.328099999999999</v>
      </c>
      <c r="BK456" s="98">
        <f>10*1.63281</f>
        <v>16.328099999999999</v>
      </c>
      <c r="BL456" s="98">
        <f>10*1.63281</f>
        <v>16.328099999999999</v>
      </c>
      <c r="BM456" s="63">
        <f>BN456</f>
        <v>16.328099999999999</v>
      </c>
      <c r="BN456" s="410">
        <f>10*1.63281</f>
        <v>16.328099999999999</v>
      </c>
      <c r="BO456" s="98">
        <f>10*1.63281</f>
        <v>16.328099999999999</v>
      </c>
      <c r="BP456" s="98">
        <v>16.328099999999999</v>
      </c>
      <c r="BQ456" s="98">
        <v>10.04696</v>
      </c>
      <c r="BR456" s="63">
        <f>BS456</f>
        <v>10.04696</v>
      </c>
      <c r="BS456" s="419">
        <v>10.04696</v>
      </c>
      <c r="BT456" s="63"/>
      <c r="BU456" s="63"/>
      <c r="BV456" s="63"/>
      <c r="BW456" s="63"/>
      <c r="BX456" s="413"/>
      <c r="BY456" s="63"/>
      <c r="BZ456" s="63"/>
      <c r="CA456" s="63"/>
      <c r="CB456" s="63"/>
      <c r="CC456" s="413"/>
      <c r="CD456" s="413"/>
      <c r="CE456" s="413"/>
      <c r="CF456" s="413"/>
      <c r="CG456" s="99"/>
    </row>
    <row r="457" spans="1:85" ht="15" hidden="1" customHeight="1" x14ac:dyDescent="0.25">
      <c r="A457" s="248" t="s">
        <v>512</v>
      </c>
      <c r="B457" s="190"/>
      <c r="C457" s="414">
        <f t="shared" ref="C457:I457" si="318">10*0.628114</f>
        <v>6.2811399999999997</v>
      </c>
      <c r="D457" s="414">
        <f t="shared" si="318"/>
        <v>6.2811399999999997</v>
      </c>
      <c r="E457" s="414">
        <f t="shared" si="318"/>
        <v>6.2811399999999997</v>
      </c>
      <c r="F457" s="414">
        <f t="shared" si="318"/>
        <v>6.2811399999999997</v>
      </c>
      <c r="G457" s="102">
        <f t="shared" si="318"/>
        <v>6.2811399999999997</v>
      </c>
      <c r="H457" s="102">
        <f t="shared" si="318"/>
        <v>6.2811399999999997</v>
      </c>
      <c r="I457" s="102">
        <f t="shared" si="318"/>
        <v>6.2811399999999997</v>
      </c>
      <c r="J457" s="158">
        <f>K457</f>
        <v>6.2811399999999997</v>
      </c>
      <c r="K457" s="414">
        <f>10*0.628114</f>
        <v>6.2811399999999997</v>
      </c>
      <c r="L457" s="102">
        <f>10*0.628114</f>
        <v>6.2811399999999997</v>
      </c>
      <c r="M457" s="102">
        <f>10*0.628114</f>
        <v>6.2811399999999997</v>
      </c>
      <c r="N457" s="102">
        <f>10*0.628114</f>
        <v>6.2811399999999997</v>
      </c>
      <c r="O457" s="158">
        <f>P457</f>
        <v>6.2811399999999997</v>
      </c>
      <c r="P457" s="414">
        <f>10*0.628114</f>
        <v>6.2811399999999997</v>
      </c>
      <c r="Q457" s="102">
        <f>10*0.628114</f>
        <v>6.2811399999999997</v>
      </c>
      <c r="R457" s="102">
        <f>10*0.628114</f>
        <v>6.2811399999999997</v>
      </c>
      <c r="S457" s="102">
        <f>10*0.628114</f>
        <v>6.2811399999999997</v>
      </c>
      <c r="T457" s="158">
        <f>U457</f>
        <v>6.2811399999999997</v>
      </c>
      <c r="U457" s="414">
        <f>10*0.628114</f>
        <v>6.2811399999999997</v>
      </c>
      <c r="V457" s="102">
        <f>10*0.628114</f>
        <v>6.2811399999999997</v>
      </c>
      <c r="W457" s="102">
        <f>10*0.628114</f>
        <v>6.2811399999999997</v>
      </c>
      <c r="X457" s="102">
        <f>10*0.628114</f>
        <v>6.2811399999999997</v>
      </c>
      <c r="Y457" s="158">
        <f>Z457</f>
        <v>6.2811399999999997</v>
      </c>
      <c r="Z457" s="414">
        <f>10*0.628114</f>
        <v>6.2811399999999997</v>
      </c>
      <c r="AA457" s="102">
        <f>10*0.628114</f>
        <v>6.2811399999999997</v>
      </c>
      <c r="AB457" s="102">
        <f>10*0.628114</f>
        <v>6.2811399999999997</v>
      </c>
      <c r="AC457" s="102">
        <f>10*0.628114</f>
        <v>6.2811399999999997</v>
      </c>
      <c r="AD457" s="158">
        <f>AE457</f>
        <v>6.2811399999999997</v>
      </c>
      <c r="AE457" s="414">
        <f>10*0.628114</f>
        <v>6.2811399999999997</v>
      </c>
      <c r="AF457" s="102">
        <f>10*0.628114</f>
        <v>6.2811399999999997</v>
      </c>
      <c r="AG457" s="102">
        <f>10*0.628114</f>
        <v>6.2811399999999997</v>
      </c>
      <c r="AH457" s="102">
        <f>10*0.628114</f>
        <v>6.2811399999999997</v>
      </c>
      <c r="AI457" s="158">
        <f>AJ457</f>
        <v>6.2811399999999997</v>
      </c>
      <c r="AJ457" s="414">
        <f>10*0.628114</f>
        <v>6.2811399999999997</v>
      </c>
      <c r="AK457" s="102">
        <f>10*0.628114</f>
        <v>6.2811399999999997</v>
      </c>
      <c r="AL457" s="102">
        <f>10*0.628114</f>
        <v>6.2811399999999997</v>
      </c>
      <c r="AM457" s="102">
        <f>10*0.628114</f>
        <v>6.2811399999999997</v>
      </c>
      <c r="AN457" s="158">
        <f>AO457</f>
        <v>6.2811399999999997</v>
      </c>
      <c r="AO457" s="414">
        <f>10*0.628114</f>
        <v>6.2811399999999997</v>
      </c>
      <c r="AP457" s="102">
        <f>10*0.628114</f>
        <v>6.2811399999999997</v>
      </c>
      <c r="AQ457" s="102">
        <f>10*0.628114</f>
        <v>6.2811399999999997</v>
      </c>
      <c r="AR457" s="102">
        <f>10*0.628114</f>
        <v>6.2811399999999997</v>
      </c>
      <c r="AS457" s="158">
        <f>AT457</f>
        <v>6.2811399999999997</v>
      </c>
      <c r="AT457" s="414">
        <f>10*0.628114</f>
        <v>6.2811399999999997</v>
      </c>
      <c r="AU457" s="102">
        <f>10*0.628114</f>
        <v>6.2811399999999997</v>
      </c>
      <c r="AV457" s="102">
        <f>10*0.628114</f>
        <v>6.2811399999999997</v>
      </c>
      <c r="AW457" s="102">
        <f>10*0.628114</f>
        <v>6.2811399999999997</v>
      </c>
      <c r="AX457" s="158">
        <f>AY457</f>
        <v>6.2811399999999997</v>
      </c>
      <c r="AY457" s="414">
        <f>10*0.628114</f>
        <v>6.2811399999999997</v>
      </c>
      <c r="AZ457" s="102">
        <f>10*0.628114</f>
        <v>6.2811399999999997</v>
      </c>
      <c r="BA457" s="102">
        <f>10*0.628114</f>
        <v>6.2811399999999997</v>
      </c>
      <c r="BB457" s="102">
        <f>10*0.628114</f>
        <v>6.2811399999999997</v>
      </c>
      <c r="BC457" s="158">
        <f>BD457</f>
        <v>6.2811399999999997</v>
      </c>
      <c r="BD457" s="414">
        <f>10*0.628114</f>
        <v>6.2811399999999997</v>
      </c>
      <c r="BE457" s="102">
        <f>10*0.628114</f>
        <v>6.2811399999999997</v>
      </c>
      <c r="BF457" s="102">
        <f>10*0.628114</f>
        <v>6.2811399999999997</v>
      </c>
      <c r="BG457" s="102">
        <f>10*0.628114</f>
        <v>6.2811399999999997</v>
      </c>
      <c r="BH457" s="158">
        <f>BI457</f>
        <v>6.2811399999999997</v>
      </c>
      <c r="BI457" s="414">
        <f>10*0.628114</f>
        <v>6.2811399999999997</v>
      </c>
      <c r="BJ457" s="102">
        <f>10*0.628114</f>
        <v>6.2811399999999997</v>
      </c>
      <c r="BK457" s="102">
        <f>10*0.628114</f>
        <v>6.2811399999999997</v>
      </c>
      <c r="BL457" s="102">
        <f>10*0.628114</f>
        <v>6.2811399999999997</v>
      </c>
      <c r="BM457" s="158">
        <f>BN457</f>
        <v>6.2811399999999997</v>
      </c>
      <c r="BN457" s="414">
        <f>10*0.628114</f>
        <v>6.2811399999999997</v>
      </c>
      <c r="BO457" s="102">
        <f>10*0.628114</f>
        <v>6.2811399999999997</v>
      </c>
      <c r="BP457" s="102">
        <v>6.2811399999999997</v>
      </c>
      <c r="BQ457" s="102">
        <v>0</v>
      </c>
      <c r="BR457" s="158">
        <f>BS457</f>
        <v>0</v>
      </c>
      <c r="BS457" s="420">
        <v>0</v>
      </c>
      <c r="BT457" s="158"/>
      <c r="BU457" s="158"/>
      <c r="BV457" s="158"/>
      <c r="BW457" s="158"/>
      <c r="BX457" s="415"/>
      <c r="BY457" s="158"/>
      <c r="BZ457" s="158"/>
      <c r="CA457" s="158"/>
      <c r="CB457" s="158"/>
      <c r="CC457" s="415"/>
      <c r="CD457" s="415"/>
      <c r="CE457" s="415"/>
      <c r="CF457" s="415"/>
      <c r="CG457" s="99"/>
    </row>
    <row r="458" spans="1:85" ht="15" hidden="1" customHeight="1" x14ac:dyDescent="0.25">
      <c r="A458" s="249" t="s">
        <v>513</v>
      </c>
      <c r="B458" s="250"/>
      <c r="C458" s="544">
        <f t="shared" ref="C458:AH458" si="319">C456-C457</f>
        <v>20.218819999999997</v>
      </c>
      <c r="D458" s="544">
        <f t="shared" si="319"/>
        <v>20.442019999999999</v>
      </c>
      <c r="E458" s="544">
        <f t="shared" si="319"/>
        <v>20.665219999999998</v>
      </c>
      <c r="F458" s="544">
        <f t="shared" si="319"/>
        <v>20.88842</v>
      </c>
      <c r="G458" s="251">
        <f t="shared" si="319"/>
        <v>21.08962</v>
      </c>
      <c r="H458" s="251">
        <f t="shared" si="319"/>
        <v>21.08962</v>
      </c>
      <c r="I458" s="251">
        <f t="shared" si="319"/>
        <v>21.08962</v>
      </c>
      <c r="J458" s="251">
        <f t="shared" si="319"/>
        <v>21.08962</v>
      </c>
      <c r="K458" s="544">
        <f t="shared" si="319"/>
        <v>21.08962</v>
      </c>
      <c r="L458" s="251">
        <f t="shared" si="319"/>
        <v>21.29862</v>
      </c>
      <c r="M458" s="251">
        <f t="shared" si="319"/>
        <v>21.29862</v>
      </c>
      <c r="N458" s="251">
        <f t="shared" si="319"/>
        <v>21.29862</v>
      </c>
      <c r="O458" s="251">
        <f t="shared" si="319"/>
        <v>21.29862</v>
      </c>
      <c r="P458" s="544">
        <f t="shared" si="319"/>
        <v>21.29862</v>
      </c>
      <c r="Q458" s="251">
        <f t="shared" si="319"/>
        <v>21.507819999999999</v>
      </c>
      <c r="R458" s="251">
        <f t="shared" si="319"/>
        <v>21.507819999999999</v>
      </c>
      <c r="S458" s="251">
        <f t="shared" si="319"/>
        <v>21.507819999999999</v>
      </c>
      <c r="T458" s="251">
        <f t="shared" si="319"/>
        <v>21.507819999999999</v>
      </c>
      <c r="U458" s="544">
        <f t="shared" si="319"/>
        <v>21.507819999999999</v>
      </c>
      <c r="V458" s="251">
        <f t="shared" si="319"/>
        <v>21.717019999999998</v>
      </c>
      <c r="W458" s="251">
        <f t="shared" si="319"/>
        <v>21.717019999999998</v>
      </c>
      <c r="X458" s="251">
        <f t="shared" si="319"/>
        <v>21.717019999999998</v>
      </c>
      <c r="Y458" s="251">
        <f t="shared" si="319"/>
        <v>21.717019999999998</v>
      </c>
      <c r="Z458" s="544">
        <f t="shared" si="319"/>
        <v>21.717019999999998</v>
      </c>
      <c r="AA458" s="251">
        <f t="shared" si="319"/>
        <v>21.927219999999998</v>
      </c>
      <c r="AB458" s="251">
        <f t="shared" si="319"/>
        <v>21.927219999999998</v>
      </c>
      <c r="AC458" s="251">
        <f t="shared" si="319"/>
        <v>21.927219999999998</v>
      </c>
      <c r="AD458" s="251">
        <f t="shared" si="319"/>
        <v>21.927219999999998</v>
      </c>
      <c r="AE458" s="544">
        <f t="shared" si="319"/>
        <v>21.927219999999998</v>
      </c>
      <c r="AF458" s="251">
        <f t="shared" si="319"/>
        <v>22.130179999999999</v>
      </c>
      <c r="AG458" s="251">
        <f t="shared" si="319"/>
        <v>22.130179999999999</v>
      </c>
      <c r="AH458" s="251">
        <f t="shared" si="319"/>
        <v>22.130179999999999</v>
      </c>
      <c r="AI458" s="251">
        <f t="shared" ref="AI458:BN458" si="320">AI456-AI457</f>
        <v>22.130179999999999</v>
      </c>
      <c r="AJ458" s="544">
        <f t="shared" si="320"/>
        <v>22.130179999999999</v>
      </c>
      <c r="AK458" s="251">
        <f t="shared" si="320"/>
        <v>22.322419999999997</v>
      </c>
      <c r="AL458" s="251">
        <f t="shared" si="320"/>
        <v>22.322419999999997</v>
      </c>
      <c r="AM458" s="251">
        <f t="shared" si="320"/>
        <v>22.322419999999997</v>
      </c>
      <c r="AN458" s="251">
        <f t="shared" si="320"/>
        <v>22.322419999999997</v>
      </c>
      <c r="AO458" s="544">
        <f t="shared" si="320"/>
        <v>22.322419999999997</v>
      </c>
      <c r="AP458" s="251">
        <f t="shared" si="320"/>
        <v>22.322419999999997</v>
      </c>
      <c r="AQ458" s="251">
        <f t="shared" si="320"/>
        <v>22.322419999999997</v>
      </c>
      <c r="AR458" s="251">
        <f t="shared" si="320"/>
        <v>22.322419999999997</v>
      </c>
      <c r="AS458" s="251">
        <f t="shared" si="320"/>
        <v>22.322419999999997</v>
      </c>
      <c r="AT458" s="544">
        <f t="shared" si="320"/>
        <v>22.322419999999997</v>
      </c>
      <c r="AU458" s="251">
        <f t="shared" si="320"/>
        <v>22.322419999999997</v>
      </c>
      <c r="AV458" s="251">
        <f t="shared" si="320"/>
        <v>22.322419999999997</v>
      </c>
      <c r="AW458" s="251">
        <f t="shared" si="320"/>
        <v>22.322419999999997</v>
      </c>
      <c r="AX458" s="251">
        <f t="shared" si="320"/>
        <v>22.322419999999997</v>
      </c>
      <c r="AY458" s="544">
        <f t="shared" si="320"/>
        <v>22.322419999999997</v>
      </c>
      <c r="AZ458" s="251">
        <f t="shared" si="320"/>
        <v>10.046959999999999</v>
      </c>
      <c r="BA458" s="251">
        <f t="shared" si="320"/>
        <v>10.046959999999999</v>
      </c>
      <c r="BB458" s="251">
        <f t="shared" si="320"/>
        <v>10.046959999999999</v>
      </c>
      <c r="BC458" s="251">
        <f t="shared" si="320"/>
        <v>10.046959999999999</v>
      </c>
      <c r="BD458" s="544">
        <f t="shared" si="320"/>
        <v>10.046959999999999</v>
      </c>
      <c r="BE458" s="251">
        <f t="shared" si="320"/>
        <v>10.046959999999999</v>
      </c>
      <c r="BF458" s="251">
        <f t="shared" si="320"/>
        <v>10.046959999999999</v>
      </c>
      <c r="BG458" s="251">
        <f t="shared" si="320"/>
        <v>10.046959999999999</v>
      </c>
      <c r="BH458" s="251">
        <f t="shared" si="320"/>
        <v>10.046959999999999</v>
      </c>
      <c r="BI458" s="544">
        <f t="shared" si="320"/>
        <v>10.046959999999999</v>
      </c>
      <c r="BJ458" s="251">
        <f t="shared" si="320"/>
        <v>10.046959999999999</v>
      </c>
      <c r="BK458" s="251">
        <f t="shared" si="320"/>
        <v>10.046959999999999</v>
      </c>
      <c r="BL458" s="251">
        <f t="shared" si="320"/>
        <v>10.046959999999999</v>
      </c>
      <c r="BM458" s="251">
        <f t="shared" si="320"/>
        <v>10.046959999999999</v>
      </c>
      <c r="BN458" s="544">
        <f t="shared" si="320"/>
        <v>10.046959999999999</v>
      </c>
      <c r="BO458" s="251">
        <f t="shared" ref="BO458:BS458" si="321">BO456-BO457</f>
        <v>10.046959999999999</v>
      </c>
      <c r="BP458" s="251">
        <f t="shared" si="321"/>
        <v>10.046959999999999</v>
      </c>
      <c r="BQ458" s="251">
        <f t="shared" si="321"/>
        <v>10.04696</v>
      </c>
      <c r="BR458" s="251">
        <f t="shared" si="321"/>
        <v>10.04696</v>
      </c>
      <c r="BS458" s="545">
        <f t="shared" si="321"/>
        <v>10.04696</v>
      </c>
      <c r="BT458" s="251">
        <f t="shared" ref="BT458:CF458" si="322">BS458</f>
        <v>10.04696</v>
      </c>
      <c r="BU458" s="251">
        <f t="shared" si="322"/>
        <v>10.04696</v>
      </c>
      <c r="BV458" s="251">
        <f t="shared" si="322"/>
        <v>10.04696</v>
      </c>
      <c r="BW458" s="251">
        <f t="shared" si="322"/>
        <v>10.04696</v>
      </c>
      <c r="BX458" s="544">
        <f t="shared" si="322"/>
        <v>10.04696</v>
      </c>
      <c r="BY458" s="251">
        <f t="shared" si="322"/>
        <v>10.04696</v>
      </c>
      <c r="BZ458" s="251">
        <f t="shared" si="322"/>
        <v>10.04696</v>
      </c>
      <c r="CA458" s="251">
        <f t="shared" si="322"/>
        <v>10.04696</v>
      </c>
      <c r="CB458" s="251">
        <f t="shared" si="322"/>
        <v>10.04696</v>
      </c>
      <c r="CC458" s="544">
        <f t="shared" si="322"/>
        <v>10.04696</v>
      </c>
      <c r="CD458" s="544">
        <f t="shared" si="322"/>
        <v>10.04696</v>
      </c>
      <c r="CE458" s="544">
        <f t="shared" si="322"/>
        <v>10.04696</v>
      </c>
      <c r="CF458" s="544">
        <f t="shared" si="322"/>
        <v>10.04696</v>
      </c>
      <c r="CG458" s="99"/>
    </row>
    <row r="459" spans="1:85" ht="15" hidden="1" customHeight="1" x14ac:dyDescent="0.25">
      <c r="A459" s="252" t="s">
        <v>514</v>
      </c>
      <c r="B459" s="253"/>
      <c r="C459" s="546">
        <f t="shared" ref="C459:AH459" si="323">C455+C458</f>
        <v>91.633289999999988</v>
      </c>
      <c r="D459" s="546">
        <f t="shared" si="323"/>
        <v>91.856489999999994</v>
      </c>
      <c r="E459" s="546">
        <f t="shared" si="323"/>
        <v>92.079689999999999</v>
      </c>
      <c r="F459" s="546">
        <f t="shared" si="323"/>
        <v>92.302889999999991</v>
      </c>
      <c r="G459" s="254">
        <f t="shared" si="323"/>
        <v>92.504089999999991</v>
      </c>
      <c r="H459" s="254">
        <f t="shared" si="323"/>
        <v>92.504089999999991</v>
      </c>
      <c r="I459" s="254">
        <f t="shared" si="323"/>
        <v>92.504089999999991</v>
      </c>
      <c r="J459" s="254">
        <f t="shared" si="323"/>
        <v>92.504089999999991</v>
      </c>
      <c r="K459" s="546">
        <f t="shared" si="323"/>
        <v>92.504089999999991</v>
      </c>
      <c r="L459" s="254">
        <f t="shared" si="323"/>
        <v>92.713089999999994</v>
      </c>
      <c r="M459" s="254">
        <f t="shared" si="323"/>
        <v>92.713089999999994</v>
      </c>
      <c r="N459" s="254">
        <f t="shared" si="323"/>
        <v>92.713089999999994</v>
      </c>
      <c r="O459" s="254">
        <f t="shared" si="323"/>
        <v>92.713089999999994</v>
      </c>
      <c r="P459" s="546">
        <f t="shared" si="323"/>
        <v>92.713089999999994</v>
      </c>
      <c r="Q459" s="254">
        <f t="shared" si="323"/>
        <v>92.92228999999999</v>
      </c>
      <c r="R459" s="254">
        <f t="shared" si="323"/>
        <v>92.92228999999999</v>
      </c>
      <c r="S459" s="254">
        <f t="shared" si="323"/>
        <v>92.92228999999999</v>
      </c>
      <c r="T459" s="254">
        <f t="shared" si="323"/>
        <v>92.92228999999999</v>
      </c>
      <c r="U459" s="546">
        <f t="shared" si="323"/>
        <v>92.92228999999999</v>
      </c>
      <c r="V459" s="254">
        <f t="shared" si="323"/>
        <v>93.131489999999985</v>
      </c>
      <c r="W459" s="254">
        <f t="shared" si="323"/>
        <v>93.131489999999985</v>
      </c>
      <c r="X459" s="254">
        <f t="shared" si="323"/>
        <v>93.131489999999985</v>
      </c>
      <c r="Y459" s="254">
        <f t="shared" si="323"/>
        <v>93.131489999999985</v>
      </c>
      <c r="Z459" s="546">
        <f t="shared" si="323"/>
        <v>93.131489999999985</v>
      </c>
      <c r="AA459" s="254">
        <f t="shared" si="323"/>
        <v>93.34169</v>
      </c>
      <c r="AB459" s="254">
        <f t="shared" si="323"/>
        <v>93.34169</v>
      </c>
      <c r="AC459" s="254">
        <f t="shared" si="323"/>
        <v>93.34169</v>
      </c>
      <c r="AD459" s="254">
        <f t="shared" si="323"/>
        <v>93.34169</v>
      </c>
      <c r="AE459" s="546">
        <f t="shared" si="323"/>
        <v>93.34169</v>
      </c>
      <c r="AF459" s="254">
        <f t="shared" si="323"/>
        <v>93.54464999999999</v>
      </c>
      <c r="AG459" s="254">
        <f t="shared" si="323"/>
        <v>93.54464999999999</v>
      </c>
      <c r="AH459" s="254">
        <f t="shared" si="323"/>
        <v>93.54464999999999</v>
      </c>
      <c r="AI459" s="254">
        <f t="shared" ref="AI459:BN459" si="324">AI455+AI458</f>
        <v>93.54464999999999</v>
      </c>
      <c r="AJ459" s="546">
        <f t="shared" si="324"/>
        <v>93.54464999999999</v>
      </c>
      <c r="AK459" s="254">
        <f t="shared" si="324"/>
        <v>93.736889999999988</v>
      </c>
      <c r="AL459" s="254">
        <f t="shared" si="324"/>
        <v>93.736889999999988</v>
      </c>
      <c r="AM459" s="254">
        <f t="shared" si="324"/>
        <v>93.736889999999988</v>
      </c>
      <c r="AN459" s="254">
        <f t="shared" si="324"/>
        <v>93.736889999999988</v>
      </c>
      <c r="AO459" s="546">
        <f t="shared" si="324"/>
        <v>93.736889999999988</v>
      </c>
      <c r="AP459" s="254">
        <f t="shared" si="324"/>
        <v>93.736889999999988</v>
      </c>
      <c r="AQ459" s="254">
        <f t="shared" si="324"/>
        <v>93.736889999999988</v>
      </c>
      <c r="AR459" s="254">
        <f t="shared" si="324"/>
        <v>93.736889999999988</v>
      </c>
      <c r="AS459" s="254">
        <f t="shared" si="324"/>
        <v>93.736889999999988</v>
      </c>
      <c r="AT459" s="546">
        <f t="shared" si="324"/>
        <v>93.736889999999988</v>
      </c>
      <c r="AU459" s="254">
        <f t="shared" si="324"/>
        <v>93.736889999999988</v>
      </c>
      <c r="AV459" s="254">
        <f t="shared" si="324"/>
        <v>93.736889999999988</v>
      </c>
      <c r="AW459" s="254">
        <f t="shared" si="324"/>
        <v>93.736889999999988</v>
      </c>
      <c r="AX459" s="254">
        <f t="shared" si="324"/>
        <v>93.736889999999988</v>
      </c>
      <c r="AY459" s="546">
        <f t="shared" si="324"/>
        <v>93.736889999999988</v>
      </c>
      <c r="AZ459" s="254">
        <f t="shared" si="324"/>
        <v>93.736890000000002</v>
      </c>
      <c r="BA459" s="254">
        <f t="shared" si="324"/>
        <v>93.736890000000002</v>
      </c>
      <c r="BB459" s="254">
        <f t="shared" si="324"/>
        <v>93.736890000000002</v>
      </c>
      <c r="BC459" s="254">
        <f t="shared" si="324"/>
        <v>93.736890000000002</v>
      </c>
      <c r="BD459" s="546">
        <f t="shared" si="324"/>
        <v>93.736890000000002</v>
      </c>
      <c r="BE459" s="254">
        <f t="shared" si="324"/>
        <v>93.736890000000002</v>
      </c>
      <c r="BF459" s="254">
        <f t="shared" si="324"/>
        <v>93.736890000000002</v>
      </c>
      <c r="BG459" s="254">
        <f t="shared" si="324"/>
        <v>93.736890000000002</v>
      </c>
      <c r="BH459" s="254">
        <f t="shared" si="324"/>
        <v>93.736890000000002</v>
      </c>
      <c r="BI459" s="546">
        <f t="shared" si="324"/>
        <v>93.736890000000002</v>
      </c>
      <c r="BJ459" s="254">
        <f t="shared" si="324"/>
        <v>93.736890000000002</v>
      </c>
      <c r="BK459" s="254">
        <f t="shared" si="324"/>
        <v>87.606790000000004</v>
      </c>
      <c r="BL459" s="254">
        <f t="shared" si="324"/>
        <v>87.606790000000004</v>
      </c>
      <c r="BM459" s="254">
        <f t="shared" si="324"/>
        <v>87.177840000000003</v>
      </c>
      <c r="BN459" s="546">
        <f t="shared" si="324"/>
        <v>87.177840000000003</v>
      </c>
      <c r="BO459" s="254">
        <f t="shared" ref="BO459:BS459" si="325">BO455+BO458</f>
        <v>87.177840000000003</v>
      </c>
      <c r="BP459" s="254">
        <f t="shared" si="325"/>
        <v>86.885904999999994</v>
      </c>
      <c r="BQ459" s="254">
        <f t="shared" si="325"/>
        <v>85.924526</v>
      </c>
      <c r="BR459" s="254">
        <f t="shared" si="325"/>
        <v>66.564294000000004</v>
      </c>
      <c r="BS459" s="547">
        <f t="shared" si="325"/>
        <v>66.564294000000004</v>
      </c>
      <c r="BT459" s="254" t="e">
        <f>BS459*(1+BT460)+BT492/(BT493/BT538)</f>
        <v>#NAME?</v>
      </c>
      <c r="BU459" s="254" t="e">
        <f>BT459*(1+BU460)+BU492/(BU493/BU538)</f>
        <v>#NAME?</v>
      </c>
      <c r="BV459" s="254" t="e">
        <f>BU459*(1+BV460)+BV492/(BV493/BV538)</f>
        <v>#NAME?</v>
      </c>
      <c r="BW459" s="254" t="e">
        <f>BV459*(1+BW460)+BW492/(BW493/BW538)</f>
        <v>#NAME?</v>
      </c>
      <c r="BX459" s="546" t="e">
        <f>BW459</f>
        <v>#NAME?</v>
      </c>
      <c r="BY459" s="254" t="e">
        <f>BX459*(1+BY460)+BY492/(BY493/BY538)</f>
        <v>#NAME?</v>
      </c>
      <c r="BZ459" s="254" t="e">
        <f>BY459*(1+BZ460)+BZ492/(BZ493/BZ538)</f>
        <v>#NAME?</v>
      </c>
      <c r="CA459" s="254" t="e">
        <f>BZ459*(1+CA460)+CA492/(CA493/CA538)</f>
        <v>#NAME?</v>
      </c>
      <c r="CB459" s="254" t="e">
        <f>CA459*(1+CB460)+CB492/(CB493/CB538)</f>
        <v>#NAME?</v>
      </c>
      <c r="CC459" s="546" t="e">
        <f>CB459</f>
        <v>#NAME?</v>
      </c>
      <c r="CD459" s="546" t="e">
        <f>CC459*(1+CD461)+CD492/(CD493/CD538)</f>
        <v>#NAME?</v>
      </c>
      <c r="CE459" s="546" t="e">
        <f>CD459*(1+CE461)+CE492/(CE493/CE538)</f>
        <v>#NAME?</v>
      </c>
      <c r="CF459" s="546" t="e">
        <f>CE459*(1+CF461)+CF492/(CF493/CF538)</f>
        <v>#NAME?</v>
      </c>
      <c r="CG459" s="99"/>
    </row>
    <row r="460" spans="1:85" ht="15" hidden="1" customHeight="1" x14ac:dyDescent="0.25">
      <c r="A460" s="255" t="s">
        <v>515</v>
      </c>
      <c r="B460" s="221"/>
      <c r="C460" s="504"/>
      <c r="D460" s="504"/>
      <c r="E460" s="504"/>
      <c r="F460" s="504"/>
      <c r="G460" s="205"/>
      <c r="H460" s="205"/>
      <c r="I460" s="205"/>
      <c r="J460" s="205"/>
      <c r="K460" s="504"/>
      <c r="L460" s="205"/>
      <c r="M460" s="205"/>
      <c r="N460" s="205"/>
      <c r="O460" s="205"/>
      <c r="P460" s="504"/>
      <c r="Q460" s="205"/>
      <c r="R460" s="205"/>
      <c r="S460" s="205"/>
      <c r="T460" s="205"/>
      <c r="U460" s="504"/>
      <c r="V460" s="205"/>
      <c r="W460" s="205"/>
      <c r="X460" s="205"/>
      <c r="Y460" s="205"/>
      <c r="Z460" s="504"/>
      <c r="AA460" s="205"/>
      <c r="AB460" s="205"/>
      <c r="AC460" s="205"/>
      <c r="AD460" s="205"/>
      <c r="AE460" s="504"/>
      <c r="AF460" s="205"/>
      <c r="AG460" s="205"/>
      <c r="AH460" s="205"/>
      <c r="AI460" s="205"/>
      <c r="AJ460" s="504"/>
      <c r="AK460" s="205"/>
      <c r="AL460" s="205"/>
      <c r="AM460" s="205"/>
      <c r="AN460" s="205"/>
      <c r="AO460" s="504"/>
      <c r="AP460" s="205"/>
      <c r="AQ460" s="205"/>
      <c r="AR460" s="205"/>
      <c r="AS460" s="205"/>
      <c r="AT460" s="504"/>
      <c r="AU460" s="205"/>
      <c r="AV460" s="205"/>
      <c r="AW460" s="205"/>
      <c r="AX460" s="205"/>
      <c r="AY460" s="504"/>
      <c r="AZ460" s="205"/>
      <c r="BA460" s="205"/>
      <c r="BB460" s="205"/>
      <c r="BC460" s="205"/>
      <c r="BD460" s="504"/>
      <c r="BE460" s="205"/>
      <c r="BF460" s="205"/>
      <c r="BG460" s="205"/>
      <c r="BH460" s="205"/>
      <c r="BI460" s="504"/>
      <c r="BJ460" s="205"/>
      <c r="BK460" s="205"/>
      <c r="BL460" s="205"/>
      <c r="BM460" s="205"/>
      <c r="BN460" s="504"/>
      <c r="BO460" s="205"/>
      <c r="BP460" s="205"/>
      <c r="BQ460" s="205"/>
      <c r="BR460" s="205"/>
      <c r="BS460" s="505"/>
      <c r="BT460" s="548">
        <v>1E-4</v>
      </c>
      <c r="BU460" s="548">
        <v>1E-4</v>
      </c>
      <c r="BV460" s="548">
        <v>1E-4</v>
      </c>
      <c r="BW460" s="548">
        <v>1E-4</v>
      </c>
      <c r="BX460" s="504"/>
      <c r="BY460" s="548">
        <v>1E-4</v>
      </c>
      <c r="BZ460" s="548">
        <v>1E-4</v>
      </c>
      <c r="CA460" s="548">
        <v>1E-4</v>
      </c>
      <c r="CB460" s="548">
        <v>1E-4</v>
      </c>
      <c r="CC460" s="504"/>
      <c r="CD460" s="504"/>
      <c r="CE460" s="504"/>
      <c r="CF460" s="504"/>
      <c r="CG460" s="99"/>
    </row>
    <row r="461" spans="1:85" ht="15" hidden="1" customHeight="1" x14ac:dyDescent="0.25">
      <c r="A461" s="255" t="s">
        <v>516</v>
      </c>
      <c r="B461" s="221"/>
      <c r="C461" s="504"/>
      <c r="D461" s="504"/>
      <c r="E461" s="504"/>
      <c r="F461" s="504"/>
      <c r="G461" s="205"/>
      <c r="H461" s="205"/>
      <c r="I461" s="205"/>
      <c r="J461" s="205"/>
      <c r="K461" s="504"/>
      <c r="L461" s="205"/>
      <c r="M461" s="205"/>
      <c r="N461" s="205"/>
      <c r="O461" s="205"/>
      <c r="P461" s="504"/>
      <c r="Q461" s="205"/>
      <c r="R461" s="205"/>
      <c r="S461" s="205"/>
      <c r="T461" s="205"/>
      <c r="U461" s="504"/>
      <c r="V461" s="205"/>
      <c r="W461" s="205"/>
      <c r="X461" s="205"/>
      <c r="Y461" s="205"/>
      <c r="Z461" s="504"/>
      <c r="AA461" s="205"/>
      <c r="AB461" s="205"/>
      <c r="AC461" s="205"/>
      <c r="AD461" s="205"/>
      <c r="AE461" s="504"/>
      <c r="AF461" s="205"/>
      <c r="AG461" s="205"/>
      <c r="AH461" s="205"/>
      <c r="AI461" s="205"/>
      <c r="AJ461" s="504"/>
      <c r="AK461" s="205"/>
      <c r="AL461" s="205"/>
      <c r="AM461" s="205"/>
      <c r="AN461" s="205"/>
      <c r="AO461" s="504"/>
      <c r="AP461" s="205"/>
      <c r="AQ461" s="205"/>
      <c r="AR461" s="205"/>
      <c r="AS461" s="205"/>
      <c r="AT461" s="504"/>
      <c r="AU461" s="205"/>
      <c r="AV461" s="205"/>
      <c r="AW461" s="205"/>
      <c r="AX461" s="205"/>
      <c r="AY461" s="504"/>
      <c r="AZ461" s="205"/>
      <c r="BA461" s="205"/>
      <c r="BB461" s="205"/>
      <c r="BC461" s="205"/>
      <c r="BD461" s="504"/>
      <c r="BE461" s="205"/>
      <c r="BF461" s="205"/>
      <c r="BG461" s="205"/>
      <c r="BH461" s="205"/>
      <c r="BI461" s="504"/>
      <c r="BJ461" s="205"/>
      <c r="BK461" s="205"/>
      <c r="BL461" s="205"/>
      <c r="BM461" s="205"/>
      <c r="BN461" s="504"/>
      <c r="BO461" s="205"/>
      <c r="BP461" s="205"/>
      <c r="BQ461" s="205"/>
      <c r="BR461" s="205"/>
      <c r="BS461" s="505"/>
      <c r="BT461" s="205"/>
      <c r="BU461" s="205"/>
      <c r="BV461" s="205"/>
      <c r="BW461" s="205"/>
      <c r="BX461" s="504"/>
      <c r="BY461" s="205"/>
      <c r="BZ461" s="205"/>
      <c r="CA461" s="205"/>
      <c r="CB461" s="205"/>
      <c r="CC461" s="504"/>
      <c r="CD461" s="549">
        <v>4.0000000000000002E-4</v>
      </c>
      <c r="CE461" s="549">
        <v>4.0000000000000002E-4</v>
      </c>
      <c r="CF461" s="549">
        <v>4.0000000000000002E-4</v>
      </c>
      <c r="CG461" s="99"/>
    </row>
    <row r="462" spans="1:85" ht="15" hidden="1" customHeight="1" x14ac:dyDescent="0.25">
      <c r="A462" s="255" t="s">
        <v>517</v>
      </c>
      <c r="B462" s="221"/>
      <c r="C462" s="504"/>
      <c r="D462" s="504"/>
      <c r="E462" s="504"/>
      <c r="F462" s="504"/>
      <c r="G462" s="205"/>
      <c r="H462" s="205"/>
      <c r="I462" s="205"/>
      <c r="J462" s="205"/>
      <c r="K462" s="504"/>
      <c r="L462" s="205"/>
      <c r="M462" s="205"/>
      <c r="N462" s="205"/>
      <c r="O462" s="205"/>
      <c r="P462" s="504"/>
      <c r="Q462" s="205"/>
      <c r="R462" s="205"/>
      <c r="S462" s="205"/>
      <c r="T462" s="205"/>
      <c r="U462" s="504"/>
      <c r="V462" s="205"/>
      <c r="W462" s="205"/>
      <c r="X462" s="205"/>
      <c r="Y462" s="205"/>
      <c r="Z462" s="504"/>
      <c r="AA462" s="205"/>
      <c r="AB462" s="205"/>
      <c r="AC462" s="205"/>
      <c r="AD462" s="205"/>
      <c r="AE462" s="504"/>
      <c r="AF462" s="205"/>
      <c r="AG462" s="205"/>
      <c r="AH462" s="205"/>
      <c r="AI462" s="205"/>
      <c r="AJ462" s="504"/>
      <c r="AK462" s="205"/>
      <c r="AL462" s="205"/>
      <c r="AM462" s="205"/>
      <c r="AN462" s="205"/>
      <c r="AO462" s="504"/>
      <c r="AP462" s="205"/>
      <c r="AQ462" s="205"/>
      <c r="AR462" s="205"/>
      <c r="AS462" s="205"/>
      <c r="AT462" s="504"/>
      <c r="AU462" s="205"/>
      <c r="AV462" s="205"/>
      <c r="AW462" s="205"/>
      <c r="AX462" s="205"/>
      <c r="AY462" s="504"/>
      <c r="AZ462" s="205"/>
      <c r="BA462" s="205"/>
      <c r="BB462" s="205"/>
      <c r="BC462" s="205"/>
      <c r="BD462" s="504"/>
      <c r="BE462" s="205"/>
      <c r="BF462" s="205"/>
      <c r="BG462" s="205"/>
      <c r="BH462" s="205"/>
      <c r="BI462" s="504"/>
      <c r="BJ462" s="205"/>
      <c r="BK462" s="205"/>
      <c r="BL462" s="205"/>
      <c r="BM462" s="205"/>
      <c r="BN462" s="504"/>
      <c r="BO462" s="205"/>
      <c r="BP462" s="205"/>
      <c r="BQ462" s="205"/>
      <c r="BR462" s="205"/>
      <c r="BS462" s="505"/>
      <c r="BT462" s="205" t="e">
        <f>BT492/(BT493/BT538)/BR459</f>
        <v>#NAME?</v>
      </c>
      <c r="BU462" s="205" t="e">
        <f>BU492/(BU493/BU538)/BT459</f>
        <v>#NAME?</v>
      </c>
      <c r="BV462" s="205" t="e">
        <f>BV492/(BV493/BV538)/BU459</f>
        <v>#NAME?</v>
      </c>
      <c r="BW462" s="205" t="e">
        <f>BW492/(BW493/BW538)/BV459</f>
        <v>#NAME?</v>
      </c>
      <c r="BX462" s="504"/>
      <c r="BY462" s="205" t="e">
        <f>BY492/(BY493/BY538)/BW459</f>
        <v>#NAME?</v>
      </c>
      <c r="BZ462" s="205" t="e">
        <f>BZ492/(BZ493/BZ538)/BY459</f>
        <v>#NAME?</v>
      </c>
      <c r="CA462" s="205" t="e">
        <f>CA492/(CA493/CA538)/BZ459</f>
        <v>#NAME?</v>
      </c>
      <c r="CB462" s="205" t="e">
        <f>CB492/(CB493/CB538)/CA459</f>
        <v>#NAME?</v>
      </c>
      <c r="CC462" s="504"/>
      <c r="CD462" s="504"/>
      <c r="CE462" s="504"/>
      <c r="CF462" s="504"/>
      <c r="CG462" s="99"/>
    </row>
    <row r="463" spans="1:85" ht="15" hidden="1" customHeight="1" x14ac:dyDescent="0.25">
      <c r="A463" s="256" t="s">
        <v>518</v>
      </c>
      <c r="B463" s="257"/>
      <c r="C463" s="550"/>
      <c r="D463" s="550"/>
      <c r="E463" s="550"/>
      <c r="F463" s="550"/>
      <c r="G463" s="258"/>
      <c r="H463" s="258"/>
      <c r="I463" s="258"/>
      <c r="J463" s="258"/>
      <c r="K463" s="550"/>
      <c r="L463" s="258"/>
      <c r="M463" s="258"/>
      <c r="N463" s="258"/>
      <c r="O463" s="258"/>
      <c r="P463" s="550"/>
      <c r="Q463" s="258"/>
      <c r="R463" s="258"/>
      <c r="S463" s="258"/>
      <c r="T463" s="258"/>
      <c r="U463" s="550"/>
      <c r="V463" s="258"/>
      <c r="W463" s="258"/>
      <c r="X463" s="258"/>
      <c r="Y463" s="258"/>
      <c r="Z463" s="550"/>
      <c r="AA463" s="258"/>
      <c r="AB463" s="258"/>
      <c r="AC463" s="258"/>
      <c r="AD463" s="258"/>
      <c r="AE463" s="550"/>
      <c r="AF463" s="258"/>
      <c r="AG463" s="258"/>
      <c r="AH463" s="258"/>
      <c r="AI463" s="258"/>
      <c r="AJ463" s="550"/>
      <c r="AK463" s="258"/>
      <c r="AL463" s="258"/>
      <c r="AM463" s="258"/>
      <c r="AN463" s="258"/>
      <c r="AO463" s="550"/>
      <c r="AP463" s="258"/>
      <c r="AQ463" s="258"/>
      <c r="AR463" s="258"/>
      <c r="AS463" s="258"/>
      <c r="AT463" s="550"/>
      <c r="AU463" s="258"/>
      <c r="AV463" s="258"/>
      <c r="AW463" s="258"/>
      <c r="AX463" s="258"/>
      <c r="AY463" s="550"/>
      <c r="AZ463" s="258"/>
      <c r="BA463" s="258"/>
      <c r="BB463" s="258"/>
      <c r="BC463" s="258"/>
      <c r="BD463" s="550"/>
      <c r="BE463" s="258"/>
      <c r="BF463" s="258"/>
      <c r="BG463" s="258"/>
      <c r="BH463" s="258"/>
      <c r="BI463" s="550"/>
      <c r="BJ463" s="258"/>
      <c r="BK463" s="258"/>
      <c r="BL463" s="258"/>
      <c r="BM463" s="258"/>
      <c r="BN463" s="550"/>
      <c r="BO463" s="258"/>
      <c r="BP463" s="258"/>
      <c r="BQ463" s="258"/>
      <c r="BR463" s="258"/>
      <c r="BS463" s="551"/>
      <c r="BT463" s="258"/>
      <c r="BU463" s="258"/>
      <c r="BV463" s="258"/>
      <c r="BW463" s="258"/>
      <c r="BX463" s="550" t="e">
        <f>BX492/(BX493/BX538)/BS459</f>
        <v>#NAME?</v>
      </c>
      <c r="BY463" s="258"/>
      <c r="BZ463" s="258"/>
      <c r="CA463" s="258"/>
      <c r="CB463" s="258"/>
      <c r="CC463" s="550" t="e">
        <f>CC492/(CC493/CC538)/BX459</f>
        <v>#NAME?</v>
      </c>
      <c r="CD463" s="550" t="e">
        <f>CD492/(CD493/CD538)/CC459</f>
        <v>#NAME?</v>
      </c>
      <c r="CE463" s="550" t="e">
        <f>CE492/(CE493/CE538)/CD459</f>
        <v>#NAME?</v>
      </c>
      <c r="CF463" s="550" t="e">
        <f>CF492/(CF493/CF538)/CE459</f>
        <v>#NAME?</v>
      </c>
      <c r="CG463" s="99"/>
    </row>
    <row r="464" spans="1:85" ht="15" hidden="1" customHeight="1" x14ac:dyDescent="0.25">
      <c r="A464" s="259" t="s">
        <v>519</v>
      </c>
      <c r="B464" s="221"/>
      <c r="C464" s="504"/>
      <c r="D464" s="504"/>
      <c r="E464" s="504"/>
      <c r="F464" s="504"/>
      <c r="G464" s="205">
        <f>G459/F459-1</f>
        <v>2.179780069724746E-3</v>
      </c>
      <c r="H464" s="205">
        <f>H459/G459-1</f>
        <v>0</v>
      </c>
      <c r="I464" s="205">
        <f>I459/H459-1</f>
        <v>0</v>
      </c>
      <c r="J464" s="205">
        <f>J459/I459-1</f>
        <v>0</v>
      </c>
      <c r="K464" s="504"/>
      <c r="L464" s="205">
        <f>L459/J459-1</f>
        <v>2.2593595591287041E-3</v>
      </c>
      <c r="M464" s="205">
        <f>M459/L459-1</f>
        <v>0</v>
      </c>
      <c r="N464" s="205">
        <f>N459/M459-1</f>
        <v>0</v>
      </c>
      <c r="O464" s="205">
        <f>O459/N459-1</f>
        <v>0</v>
      </c>
      <c r="P464" s="504"/>
      <c r="Q464" s="205">
        <f>Q459/O459-1</f>
        <v>2.256423553567144E-3</v>
      </c>
      <c r="R464" s="205">
        <f>R459/Q459-1</f>
        <v>0</v>
      </c>
      <c r="S464" s="205">
        <f>S459/R459-1</f>
        <v>0</v>
      </c>
      <c r="T464" s="205">
        <f>T459/S459-1</f>
        <v>0</v>
      </c>
      <c r="U464" s="504"/>
      <c r="V464" s="205">
        <f>V459/T459-1</f>
        <v>2.2513435689111017E-3</v>
      </c>
      <c r="W464" s="205">
        <f>W459/V459-1</f>
        <v>0</v>
      </c>
      <c r="X464" s="205">
        <f>X459/W459-1</f>
        <v>0</v>
      </c>
      <c r="Y464" s="205">
        <f>Y459/X459-1</f>
        <v>0</v>
      </c>
      <c r="Z464" s="504"/>
      <c r="AA464" s="205">
        <f>AA459/Y459-1</f>
        <v>2.2570239131791681E-3</v>
      </c>
      <c r="AB464" s="205">
        <f>AB459/AA459-1</f>
        <v>0</v>
      </c>
      <c r="AC464" s="205">
        <f>AC459/AB459-1</f>
        <v>0</v>
      </c>
      <c r="AD464" s="205">
        <f>AD459/AC459-1</f>
        <v>0</v>
      </c>
      <c r="AE464" s="504"/>
      <c r="AF464" s="205">
        <f>AF459/AD459-1</f>
        <v>2.1743767441964046E-3</v>
      </c>
      <c r="AG464" s="205">
        <f>AG459/AF459-1</f>
        <v>0</v>
      </c>
      <c r="AH464" s="205">
        <f>AH459/AG459-1</f>
        <v>0</v>
      </c>
      <c r="AI464" s="205">
        <f>AI459/AH459-1</f>
        <v>0</v>
      </c>
      <c r="AJ464" s="504"/>
      <c r="AK464" s="205">
        <f>AK459/AI459-1</f>
        <v>2.0550614065046879E-3</v>
      </c>
      <c r="AL464" s="205">
        <f>AL459/AK459-1</f>
        <v>0</v>
      </c>
      <c r="AM464" s="205">
        <f>AM459/AL459-1</f>
        <v>0</v>
      </c>
      <c r="AN464" s="205">
        <f>AN459/AM459-1</f>
        <v>0</v>
      </c>
      <c r="AO464" s="504"/>
      <c r="AP464" s="205">
        <f>AP459/AN459-1</f>
        <v>0</v>
      </c>
      <c r="AQ464" s="205">
        <f>AQ459/AP459-1</f>
        <v>0</v>
      </c>
      <c r="AR464" s="205">
        <f>AR459/AQ459-1</f>
        <v>0</v>
      </c>
      <c r="AS464" s="205">
        <f>AS459/AR459-1</f>
        <v>0</v>
      </c>
      <c r="AT464" s="504"/>
      <c r="AU464" s="205">
        <f>AU459/AS459-1</f>
        <v>0</v>
      </c>
      <c r="AV464" s="205">
        <f>AV459/AU459-1</f>
        <v>0</v>
      </c>
      <c r="AW464" s="205">
        <f>AW459/AV459-1</f>
        <v>0</v>
      </c>
      <c r="AX464" s="205">
        <f>AX459/AW459-1</f>
        <v>0</v>
      </c>
      <c r="AY464" s="504"/>
      <c r="AZ464" s="205">
        <f>AZ459/AX459-1</f>
        <v>0</v>
      </c>
      <c r="BA464" s="205">
        <f>BA459/AZ459-1</f>
        <v>0</v>
      </c>
      <c r="BB464" s="205">
        <f>BB459/BA459-1</f>
        <v>0</v>
      </c>
      <c r="BC464" s="205">
        <f>BC459/BB459-1</f>
        <v>0</v>
      </c>
      <c r="BD464" s="504"/>
      <c r="BE464" s="205">
        <f>BE459/BC459-1</f>
        <v>0</v>
      </c>
      <c r="BF464" s="205">
        <f>BF459/BE459-1</f>
        <v>0</v>
      </c>
      <c r="BG464" s="205">
        <f>BG459/BF459-1</f>
        <v>0</v>
      </c>
      <c r="BH464" s="205">
        <f>BH459/BG459-1</f>
        <v>0</v>
      </c>
      <c r="BI464" s="504"/>
      <c r="BJ464" s="205">
        <f>BJ459/BH459-1</f>
        <v>0</v>
      </c>
      <c r="BK464" s="205">
        <f>BK459/BJ459-1</f>
        <v>-6.5396878432813388E-2</v>
      </c>
      <c r="BL464" s="205">
        <f>BL459/BK459-1</f>
        <v>0</v>
      </c>
      <c r="BM464" s="205">
        <f>BM459/BL459-1</f>
        <v>-4.8963099777996621E-3</v>
      </c>
      <c r="BN464" s="504"/>
      <c r="BO464" s="205">
        <f>BO459/BM459-1</f>
        <v>0</v>
      </c>
      <c r="BP464" s="205">
        <f>BP459/BO459-1</f>
        <v>-3.3487294477588803E-3</v>
      </c>
      <c r="BQ464" s="205">
        <f>BQ459/BP459-1</f>
        <v>-1.1064844176969735E-2</v>
      </c>
      <c r="BR464" s="205">
        <f>BR459/BQ459-1</f>
        <v>-0.22531671574190582</v>
      </c>
      <c r="BS464" s="505"/>
      <c r="BT464" s="205" t="e">
        <f>BT459/BR459-1</f>
        <v>#NAME?</v>
      </c>
      <c r="BU464" s="205" t="e">
        <f>BU459/BT459-1</f>
        <v>#NAME?</v>
      </c>
      <c r="BV464" s="205" t="e">
        <f>BV459/BU459-1</f>
        <v>#NAME?</v>
      </c>
      <c r="BW464" s="205" t="e">
        <f>BW459/BV459-1</f>
        <v>#NAME?</v>
      </c>
      <c r="BX464" s="504"/>
      <c r="BY464" s="205" t="e">
        <f>BY459/BW459-1</f>
        <v>#NAME?</v>
      </c>
      <c r="BZ464" s="205" t="e">
        <f>BZ459/BY459-1</f>
        <v>#NAME?</v>
      </c>
      <c r="CA464" s="205" t="e">
        <f>CA459/BZ459-1</f>
        <v>#NAME?</v>
      </c>
      <c r="CB464" s="205" t="e">
        <f>CB459/CA459-1</f>
        <v>#NAME?</v>
      </c>
      <c r="CC464" s="504"/>
      <c r="CD464" s="504"/>
      <c r="CE464" s="504"/>
      <c r="CF464" s="504"/>
      <c r="CG464" s="99"/>
    </row>
    <row r="465" spans="1:85" ht="15" hidden="1" customHeight="1" x14ac:dyDescent="0.25">
      <c r="A465" s="259" t="s">
        <v>520</v>
      </c>
      <c r="B465" s="221"/>
      <c r="C465" s="504"/>
      <c r="D465" s="504">
        <f>D459/C459-1</f>
        <v>2.4357959863714473E-3</v>
      </c>
      <c r="E465" s="504">
        <f>E459/D459-1</f>
        <v>2.4298773009943098E-3</v>
      </c>
      <c r="F465" s="504">
        <f>F459/E459-1</f>
        <v>2.423987309253528E-3</v>
      </c>
      <c r="G465" s="205"/>
      <c r="H465" s="205"/>
      <c r="I465" s="205"/>
      <c r="J465" s="205"/>
      <c r="K465" s="504">
        <f t="shared" ref="K465:AP465" si="326">K459/F459-1</f>
        <v>2.179780069724746E-3</v>
      </c>
      <c r="L465" s="205">
        <f t="shared" si="326"/>
        <v>2.2593595591287041E-3</v>
      </c>
      <c r="M465" s="205">
        <f t="shared" si="326"/>
        <v>2.2593595591287041E-3</v>
      </c>
      <c r="N465" s="205">
        <f t="shared" si="326"/>
        <v>2.2593595591287041E-3</v>
      </c>
      <c r="O465" s="205">
        <f t="shared" si="326"/>
        <v>2.2593595591287041E-3</v>
      </c>
      <c r="P465" s="504">
        <f t="shared" si="326"/>
        <v>2.2593595591287041E-3</v>
      </c>
      <c r="Q465" s="205">
        <f t="shared" si="326"/>
        <v>2.256423553567144E-3</v>
      </c>
      <c r="R465" s="205">
        <f t="shared" si="326"/>
        <v>2.256423553567144E-3</v>
      </c>
      <c r="S465" s="205">
        <f t="shared" si="326"/>
        <v>2.256423553567144E-3</v>
      </c>
      <c r="T465" s="205">
        <f t="shared" si="326"/>
        <v>2.256423553567144E-3</v>
      </c>
      <c r="U465" s="504">
        <f t="shared" si="326"/>
        <v>2.256423553567144E-3</v>
      </c>
      <c r="V465" s="205">
        <f t="shared" si="326"/>
        <v>2.2513435689111017E-3</v>
      </c>
      <c r="W465" s="205">
        <f t="shared" si="326"/>
        <v>2.2513435689111017E-3</v>
      </c>
      <c r="X465" s="205">
        <f t="shared" si="326"/>
        <v>2.2513435689111017E-3</v>
      </c>
      <c r="Y465" s="205">
        <f t="shared" si="326"/>
        <v>2.2513435689111017E-3</v>
      </c>
      <c r="Z465" s="504">
        <f t="shared" si="326"/>
        <v>2.2513435689111017E-3</v>
      </c>
      <c r="AA465" s="205">
        <f t="shared" si="326"/>
        <v>2.2570239131791681E-3</v>
      </c>
      <c r="AB465" s="205">
        <f t="shared" si="326"/>
        <v>2.2570239131791681E-3</v>
      </c>
      <c r="AC465" s="205">
        <f t="shared" si="326"/>
        <v>2.2570239131791681E-3</v>
      </c>
      <c r="AD465" s="205">
        <f t="shared" si="326"/>
        <v>2.2570239131791681E-3</v>
      </c>
      <c r="AE465" s="504">
        <f t="shared" si="326"/>
        <v>2.2570239131791681E-3</v>
      </c>
      <c r="AF465" s="205">
        <f t="shared" si="326"/>
        <v>2.1743767441964046E-3</v>
      </c>
      <c r="AG465" s="205">
        <f t="shared" si="326"/>
        <v>2.1743767441964046E-3</v>
      </c>
      <c r="AH465" s="205">
        <f t="shared" si="326"/>
        <v>2.1743767441964046E-3</v>
      </c>
      <c r="AI465" s="205">
        <f t="shared" si="326"/>
        <v>2.1743767441964046E-3</v>
      </c>
      <c r="AJ465" s="504">
        <f t="shared" si="326"/>
        <v>2.1743767441964046E-3</v>
      </c>
      <c r="AK465" s="205">
        <f t="shared" si="326"/>
        <v>2.0550614065046879E-3</v>
      </c>
      <c r="AL465" s="205">
        <f t="shared" si="326"/>
        <v>2.0550614065046879E-3</v>
      </c>
      <c r="AM465" s="205">
        <f t="shared" si="326"/>
        <v>2.0550614065046879E-3</v>
      </c>
      <c r="AN465" s="205">
        <f t="shared" si="326"/>
        <v>2.0550614065046879E-3</v>
      </c>
      <c r="AO465" s="504">
        <f t="shared" si="326"/>
        <v>2.0550614065046879E-3</v>
      </c>
      <c r="AP465" s="205">
        <f t="shared" si="326"/>
        <v>0</v>
      </c>
      <c r="AQ465" s="205">
        <f t="shared" ref="AQ465:BV465" si="327">AQ459/AL459-1</f>
        <v>0</v>
      </c>
      <c r="AR465" s="205">
        <f t="shared" si="327"/>
        <v>0</v>
      </c>
      <c r="AS465" s="205">
        <f t="shared" si="327"/>
        <v>0</v>
      </c>
      <c r="AT465" s="504">
        <f t="shared" si="327"/>
        <v>0</v>
      </c>
      <c r="AU465" s="205">
        <f t="shared" si="327"/>
        <v>0</v>
      </c>
      <c r="AV465" s="205">
        <f t="shared" si="327"/>
        <v>0</v>
      </c>
      <c r="AW465" s="205">
        <f t="shared" si="327"/>
        <v>0</v>
      </c>
      <c r="AX465" s="205">
        <f t="shared" si="327"/>
        <v>0</v>
      </c>
      <c r="AY465" s="504">
        <f t="shared" si="327"/>
        <v>0</v>
      </c>
      <c r="AZ465" s="205">
        <f t="shared" si="327"/>
        <v>0</v>
      </c>
      <c r="BA465" s="205">
        <f t="shared" si="327"/>
        <v>0</v>
      </c>
      <c r="BB465" s="205">
        <f t="shared" si="327"/>
        <v>0</v>
      </c>
      <c r="BC465" s="205">
        <f t="shared" si="327"/>
        <v>0</v>
      </c>
      <c r="BD465" s="504">
        <f t="shared" si="327"/>
        <v>0</v>
      </c>
      <c r="BE465" s="205">
        <f t="shared" si="327"/>
        <v>0</v>
      </c>
      <c r="BF465" s="205">
        <f t="shared" si="327"/>
        <v>0</v>
      </c>
      <c r="BG465" s="205">
        <f t="shared" si="327"/>
        <v>0</v>
      </c>
      <c r="BH465" s="205">
        <f t="shared" si="327"/>
        <v>0</v>
      </c>
      <c r="BI465" s="504">
        <f t="shared" si="327"/>
        <v>0</v>
      </c>
      <c r="BJ465" s="205">
        <f t="shared" si="327"/>
        <v>0</v>
      </c>
      <c r="BK465" s="205">
        <f t="shared" si="327"/>
        <v>-6.5396878432813388E-2</v>
      </c>
      <c r="BL465" s="205">
        <f t="shared" si="327"/>
        <v>-6.5396878432813388E-2</v>
      </c>
      <c r="BM465" s="205">
        <f t="shared" si="327"/>
        <v>-6.9972985022225487E-2</v>
      </c>
      <c r="BN465" s="504">
        <f t="shared" si="327"/>
        <v>-6.9972985022225487E-2</v>
      </c>
      <c r="BO465" s="205">
        <f t="shared" si="327"/>
        <v>-6.9972985022225487E-2</v>
      </c>
      <c r="BP465" s="205">
        <f t="shared" si="327"/>
        <v>-8.2286430081505157E-3</v>
      </c>
      <c r="BQ465" s="205">
        <f t="shared" si="327"/>
        <v>-1.9202438532447075E-2</v>
      </c>
      <c r="BR465" s="205">
        <f t="shared" si="327"/>
        <v>-0.23645396582434253</v>
      </c>
      <c r="BS465" s="505">
        <f t="shared" si="327"/>
        <v>-0.23645396582434253</v>
      </c>
      <c r="BT465" s="205" t="e">
        <f t="shared" si="327"/>
        <v>#NAME?</v>
      </c>
      <c r="BU465" s="205" t="e">
        <f t="shared" si="327"/>
        <v>#NAME?</v>
      </c>
      <c r="BV465" s="205" t="e">
        <f t="shared" si="327"/>
        <v>#NAME?</v>
      </c>
      <c r="BW465" s="205" t="e">
        <f t="shared" ref="BW465:CC465" si="328">BW459/BR459-1</f>
        <v>#NAME?</v>
      </c>
      <c r="BX465" s="504" t="e">
        <f t="shared" si="328"/>
        <v>#NAME?</v>
      </c>
      <c r="BY465" s="205" t="e">
        <f t="shared" si="328"/>
        <v>#NAME?</v>
      </c>
      <c r="BZ465" s="205" t="e">
        <f t="shared" si="328"/>
        <v>#NAME?</v>
      </c>
      <c r="CA465" s="205" t="e">
        <f t="shared" si="328"/>
        <v>#NAME?</v>
      </c>
      <c r="CB465" s="205" t="e">
        <f t="shared" si="328"/>
        <v>#NAME?</v>
      </c>
      <c r="CC465" s="504" t="e">
        <f t="shared" si="328"/>
        <v>#NAME?</v>
      </c>
      <c r="CD465" s="504" t="e">
        <f>CD459/CC459-1</f>
        <v>#NAME?</v>
      </c>
      <c r="CE465" s="504" t="e">
        <f>CE459/CD459-1</f>
        <v>#NAME?</v>
      </c>
      <c r="CF465" s="504" t="e">
        <f>CF459/CE459-1</f>
        <v>#NAME?</v>
      </c>
      <c r="CG465" s="99"/>
    </row>
    <row r="466" spans="1:85" ht="15" hidden="1" customHeight="1" x14ac:dyDescent="0.25">
      <c r="A466" s="162"/>
      <c r="B466" s="180"/>
      <c r="C466" s="413"/>
      <c r="D466" s="413"/>
      <c r="E466" s="413"/>
      <c r="F466" s="413"/>
      <c r="G466" s="63"/>
      <c r="H466" s="63"/>
      <c r="I466" s="63"/>
      <c r="J466" s="63"/>
      <c r="K466" s="413"/>
      <c r="L466" s="63"/>
      <c r="M466" s="63"/>
      <c r="N466" s="63"/>
      <c r="O466" s="63"/>
      <c r="P466" s="413"/>
      <c r="Q466" s="63"/>
      <c r="R466" s="63"/>
      <c r="S466" s="63"/>
      <c r="T466" s="63"/>
      <c r="U466" s="413"/>
      <c r="V466" s="63"/>
      <c r="W466" s="63"/>
      <c r="X466" s="63"/>
      <c r="Y466" s="63"/>
      <c r="Z466" s="413"/>
      <c r="AA466" s="63"/>
      <c r="AB466" s="63"/>
      <c r="AC466" s="63"/>
      <c r="AD466" s="63"/>
      <c r="AE466" s="413"/>
      <c r="AF466" s="63"/>
      <c r="AG466" s="63"/>
      <c r="AH466" s="63"/>
      <c r="AI466" s="63"/>
      <c r="AJ466" s="413"/>
      <c r="AK466" s="63"/>
      <c r="AL466" s="63"/>
      <c r="AM466" s="63"/>
      <c r="AN466" s="63"/>
      <c r="AO466" s="413"/>
      <c r="AP466" s="63"/>
      <c r="AQ466" s="63"/>
      <c r="AR466" s="63"/>
      <c r="AS466" s="63"/>
      <c r="AT466" s="413"/>
      <c r="AU466" s="63"/>
      <c r="AV466" s="63"/>
      <c r="AW466" s="63"/>
      <c r="AX466" s="63"/>
      <c r="AY466" s="413"/>
      <c r="AZ466" s="63"/>
      <c r="BA466" s="63"/>
      <c r="BB466" s="63"/>
      <c r="BC466" s="63"/>
      <c r="BD466" s="413"/>
      <c r="BE466" s="63"/>
      <c r="BF466" s="63"/>
      <c r="BG466" s="63"/>
      <c r="BH466" s="63"/>
      <c r="BI466" s="413"/>
      <c r="BJ466" s="63"/>
      <c r="BK466" s="63"/>
      <c r="BL466" s="63"/>
      <c r="BM466" s="63"/>
      <c r="BN466" s="413"/>
      <c r="BO466" s="63"/>
      <c r="BP466" s="63"/>
      <c r="BQ466" s="63"/>
      <c r="BR466" s="63"/>
      <c r="BS466" s="425"/>
      <c r="BT466" s="63"/>
      <c r="BU466" s="63"/>
      <c r="BV466" s="63"/>
      <c r="BW466" s="63"/>
      <c r="BX466" s="413"/>
      <c r="BY466" s="63"/>
      <c r="BZ466" s="63"/>
      <c r="CA466" s="63"/>
      <c r="CB466" s="63"/>
      <c r="CC466" s="413"/>
      <c r="CD466" s="413"/>
      <c r="CE466" s="413"/>
      <c r="CF466" s="413"/>
      <c r="CG466" s="99"/>
    </row>
    <row r="467" spans="1:85" ht="15" hidden="1" customHeight="1" x14ac:dyDescent="0.25">
      <c r="A467" s="189" t="s">
        <v>521</v>
      </c>
      <c r="B467" s="180"/>
      <c r="C467" s="410">
        <f t="shared" ref="C467:I467" si="329">10*7.141447</f>
        <v>71.414470000000009</v>
      </c>
      <c r="D467" s="410">
        <f t="shared" si="329"/>
        <v>71.414470000000009</v>
      </c>
      <c r="E467" s="410">
        <f t="shared" si="329"/>
        <v>71.414470000000009</v>
      </c>
      <c r="F467" s="410">
        <f t="shared" si="329"/>
        <v>71.414470000000009</v>
      </c>
      <c r="G467" s="98">
        <f t="shared" si="329"/>
        <v>71.414470000000009</v>
      </c>
      <c r="H467" s="98">
        <f t="shared" si="329"/>
        <v>71.414470000000009</v>
      </c>
      <c r="I467" s="98">
        <f t="shared" si="329"/>
        <v>71.414470000000009</v>
      </c>
      <c r="J467" s="63">
        <f>K467</f>
        <v>71.414470000000009</v>
      </c>
      <c r="K467" s="410">
        <f>10*7.141447</f>
        <v>71.414470000000009</v>
      </c>
      <c r="L467" s="98">
        <f>10*7.141447</f>
        <v>71.414470000000009</v>
      </c>
      <c r="M467" s="98">
        <f>10*7.141447</f>
        <v>71.414470000000009</v>
      </c>
      <c r="N467" s="98">
        <f>10*7.141447</f>
        <v>71.414470000000009</v>
      </c>
      <c r="O467" s="63">
        <f>P467</f>
        <v>71.414470000000009</v>
      </c>
      <c r="P467" s="410">
        <f>10*7.141447</f>
        <v>71.414470000000009</v>
      </c>
      <c r="Q467" s="98">
        <f>10*7.141447</f>
        <v>71.414470000000009</v>
      </c>
      <c r="R467" s="98">
        <f>10*7.141447</f>
        <v>71.414470000000009</v>
      </c>
      <c r="S467" s="98">
        <f>10*7.141447</f>
        <v>71.414470000000009</v>
      </c>
      <c r="T467" s="63">
        <f>U467</f>
        <v>71.414470000000009</v>
      </c>
      <c r="U467" s="410">
        <f>10*7.141447</f>
        <v>71.414470000000009</v>
      </c>
      <c r="V467" s="98">
        <f>10*7.141447</f>
        <v>71.414470000000009</v>
      </c>
      <c r="W467" s="98">
        <f>10*7.141447</f>
        <v>71.414470000000009</v>
      </c>
      <c r="X467" s="98">
        <f>10*7.141447</f>
        <v>71.414470000000009</v>
      </c>
      <c r="Y467" s="63">
        <f>Z467</f>
        <v>71.414470000000009</v>
      </c>
      <c r="Z467" s="410">
        <f>10*7.141447</f>
        <v>71.414470000000009</v>
      </c>
      <c r="AA467" s="98">
        <f>10*7.141447</f>
        <v>71.414470000000009</v>
      </c>
      <c r="AB467" s="98">
        <f>10*7.141447</f>
        <v>71.414470000000009</v>
      </c>
      <c r="AC467" s="98">
        <f>10*7.141447</f>
        <v>71.414470000000009</v>
      </c>
      <c r="AD467" s="63">
        <f>AE467</f>
        <v>71.414470000000009</v>
      </c>
      <c r="AE467" s="410">
        <f>10*7.141447</f>
        <v>71.414470000000009</v>
      </c>
      <c r="AF467" s="98">
        <f>10*7.141447</f>
        <v>71.414470000000009</v>
      </c>
      <c r="AG467" s="98">
        <f>10*7.141447</f>
        <v>71.414470000000009</v>
      </c>
      <c r="AH467" s="98">
        <f>10*7.141447</f>
        <v>71.414470000000009</v>
      </c>
      <c r="AI467" s="63">
        <f>AJ467</f>
        <v>71.414470000000009</v>
      </c>
      <c r="AJ467" s="410">
        <f>10*7.141447</f>
        <v>71.414470000000009</v>
      </c>
      <c r="AK467" s="98">
        <f>10*7.141447</f>
        <v>71.414470000000009</v>
      </c>
      <c r="AL467" s="98">
        <f>10*7.141447</f>
        <v>71.414470000000009</v>
      </c>
      <c r="AM467" s="98">
        <f>10*7.141447</f>
        <v>71.414470000000009</v>
      </c>
      <c r="AN467" s="63">
        <f>AO467</f>
        <v>71.414470000000009</v>
      </c>
      <c r="AO467" s="410">
        <f>10*7.141447</f>
        <v>71.414470000000009</v>
      </c>
      <c r="AP467" s="98">
        <f>10*7.141447</f>
        <v>71.414470000000009</v>
      </c>
      <c r="AQ467" s="98">
        <f>10*7.141447</f>
        <v>71.414470000000009</v>
      </c>
      <c r="AR467" s="98">
        <f>10*7.141447</f>
        <v>71.414470000000009</v>
      </c>
      <c r="AS467" s="63">
        <f>AT467</f>
        <v>71.414470000000009</v>
      </c>
      <c r="AT467" s="410">
        <f>10*7.141447</f>
        <v>71.414470000000009</v>
      </c>
      <c r="AU467" s="98">
        <f>10*7.141447</f>
        <v>71.414470000000009</v>
      </c>
      <c r="AV467" s="98">
        <f>10*7.141447</f>
        <v>71.414470000000009</v>
      </c>
      <c r="AW467" s="98">
        <f>10*7.141447</f>
        <v>71.414470000000009</v>
      </c>
      <c r="AX467" s="63">
        <f>AY467</f>
        <v>71.414470000000009</v>
      </c>
      <c r="AY467" s="410">
        <f>10*7.141447</f>
        <v>71.414470000000009</v>
      </c>
      <c r="AZ467" s="98">
        <f>10*8.368993</f>
        <v>83.689930000000004</v>
      </c>
      <c r="BA467" s="98">
        <f>10*8.368993</f>
        <v>83.689930000000004</v>
      </c>
      <c r="BB467" s="98">
        <f>10*8.368993</f>
        <v>83.689930000000004</v>
      </c>
      <c r="BC467" s="63">
        <f>BD467</f>
        <v>83.689930000000004</v>
      </c>
      <c r="BD467" s="410">
        <f>10*8.368993</f>
        <v>83.689930000000004</v>
      </c>
      <c r="BE467" s="98">
        <f>10*8.368993</f>
        <v>83.689930000000004</v>
      </c>
      <c r="BF467" s="98">
        <f>10*8.368993</f>
        <v>83.689930000000004</v>
      </c>
      <c r="BG467" s="98">
        <f>10*8.368993</f>
        <v>83.689930000000004</v>
      </c>
      <c r="BH467" s="63">
        <f>BI467</f>
        <v>83.689930000000004</v>
      </c>
      <c r="BI467" s="410">
        <f>10*8.368993</f>
        <v>83.689930000000004</v>
      </c>
      <c r="BJ467" s="98">
        <f>10*8.368993</f>
        <v>83.689930000000004</v>
      </c>
      <c r="BK467" s="98">
        <f>10*7.755983</f>
        <v>77.559829999999991</v>
      </c>
      <c r="BL467" s="98">
        <f>10*7.755983</f>
        <v>77.559829999999991</v>
      </c>
      <c r="BM467" s="63">
        <f>BN467</f>
        <v>77.130880000000005</v>
      </c>
      <c r="BN467" s="410">
        <f>10*7.713088</f>
        <v>77.130880000000005</v>
      </c>
      <c r="BO467" s="98">
        <f>10*7.713088</f>
        <v>77.130880000000005</v>
      </c>
      <c r="BP467" s="98">
        <v>76.838944999999995</v>
      </c>
      <c r="BQ467" s="98">
        <v>75.402475999999993</v>
      </c>
      <c r="BR467" s="63">
        <f>BS467</f>
        <v>56.517333999999998</v>
      </c>
      <c r="BS467" s="419">
        <v>56.517333999999998</v>
      </c>
      <c r="BT467" s="63"/>
      <c r="BU467" s="63"/>
      <c r="BV467" s="63"/>
      <c r="BW467" s="63"/>
      <c r="BX467" s="413"/>
      <c r="BY467" s="63"/>
      <c r="BZ467" s="63"/>
      <c r="CA467" s="63"/>
      <c r="CB467" s="63"/>
      <c r="CC467" s="413"/>
      <c r="CD467" s="413"/>
      <c r="CE467" s="413"/>
      <c r="CF467" s="413"/>
      <c r="CG467" s="99"/>
    </row>
    <row r="468" spans="1:85" ht="15" hidden="1" customHeight="1" x14ac:dyDescent="0.25">
      <c r="A468" s="189" t="s">
        <v>522</v>
      </c>
      <c r="B468" s="180"/>
      <c r="C468" s="410">
        <f>10*2.021882</f>
        <v>20.218820000000001</v>
      </c>
      <c r="D468" s="410">
        <f>10*2.044202</f>
        <v>20.442019999999999</v>
      </c>
      <c r="E468" s="410">
        <f>10*2.066522</f>
        <v>20.665219999999998</v>
      </c>
      <c r="F468" s="410">
        <f>10*2.088842</f>
        <v>20.88842</v>
      </c>
      <c r="G468" s="98">
        <f>10*2.108962</f>
        <v>21.08962</v>
      </c>
      <c r="H468" s="98">
        <f>10*2.108962</f>
        <v>21.08962</v>
      </c>
      <c r="I468" s="98">
        <f>10*2.108962</f>
        <v>21.08962</v>
      </c>
      <c r="J468" s="63">
        <f>K468</f>
        <v>21.08962</v>
      </c>
      <c r="K468" s="410">
        <f>10*2.108962</f>
        <v>21.08962</v>
      </c>
      <c r="L468" s="98">
        <f>10*2.129862</f>
        <v>21.29862</v>
      </c>
      <c r="M468" s="98">
        <f>10*2.129862</f>
        <v>21.29862</v>
      </c>
      <c r="N468" s="98">
        <f>10*2.129862</f>
        <v>21.29862</v>
      </c>
      <c r="O468" s="63">
        <f>P468</f>
        <v>21.29862</v>
      </c>
      <c r="P468" s="410">
        <f>10*2.129862</f>
        <v>21.29862</v>
      </c>
      <c r="Q468" s="98">
        <f>10*2.150782</f>
        <v>21.507819999999999</v>
      </c>
      <c r="R468" s="98">
        <f>10*2.150782</f>
        <v>21.507819999999999</v>
      </c>
      <c r="S468" s="98">
        <f>10*2.150782</f>
        <v>21.507819999999999</v>
      </c>
      <c r="T468" s="63">
        <f>U468</f>
        <v>21.507819999999999</v>
      </c>
      <c r="U468" s="410">
        <f>10*2.150782</f>
        <v>21.507819999999999</v>
      </c>
      <c r="V468" s="98">
        <f>10*2.171702</f>
        <v>21.717019999999998</v>
      </c>
      <c r="W468" s="98">
        <f>10*2.171702</f>
        <v>21.717019999999998</v>
      </c>
      <c r="X468" s="98">
        <f>10*2.171702</f>
        <v>21.717019999999998</v>
      </c>
      <c r="Y468" s="63">
        <f>Z468</f>
        <v>21.717019999999998</v>
      </c>
      <c r="Z468" s="410">
        <f>10*2.171702</f>
        <v>21.717019999999998</v>
      </c>
      <c r="AA468" s="98">
        <f>10*2.192722</f>
        <v>21.927219999999998</v>
      </c>
      <c r="AB468" s="98">
        <f>10*2.192722</f>
        <v>21.927219999999998</v>
      </c>
      <c r="AC468" s="98">
        <f>10*2.192722</f>
        <v>21.927219999999998</v>
      </c>
      <c r="AD468" s="63">
        <f>AE468</f>
        <v>21.927219999999998</v>
      </c>
      <c r="AE468" s="410">
        <f>10*2.192722</f>
        <v>21.927219999999998</v>
      </c>
      <c r="AF468" s="98">
        <f>10*2.213018</f>
        <v>22.130179999999999</v>
      </c>
      <c r="AG468" s="98">
        <f>10*2.213018</f>
        <v>22.130179999999999</v>
      </c>
      <c r="AH468" s="98">
        <f>10*2.213018</f>
        <v>22.130179999999999</v>
      </c>
      <c r="AI468" s="63">
        <f>AJ468</f>
        <v>22.130179999999999</v>
      </c>
      <c r="AJ468" s="410">
        <f>10*2.213018</f>
        <v>22.130179999999999</v>
      </c>
      <c r="AK468" s="98">
        <f>10*2.232242</f>
        <v>22.322419999999997</v>
      </c>
      <c r="AL468" s="98">
        <f>10*2.232242</f>
        <v>22.322419999999997</v>
      </c>
      <c r="AM468" s="98">
        <f>10*2.232242</f>
        <v>22.322419999999997</v>
      </c>
      <c r="AN468" s="63">
        <f>AO468</f>
        <v>22.322419999999997</v>
      </c>
      <c r="AO468" s="410">
        <f>10*2.232242</f>
        <v>22.322419999999997</v>
      </c>
      <c r="AP468" s="98">
        <f>10*2.232242</f>
        <v>22.322419999999997</v>
      </c>
      <c r="AQ468" s="98">
        <f>10*2.232242</f>
        <v>22.322419999999997</v>
      </c>
      <c r="AR468" s="98">
        <f>10*2.232242</f>
        <v>22.322419999999997</v>
      </c>
      <c r="AS468" s="63">
        <f>AT468</f>
        <v>22.322419999999997</v>
      </c>
      <c r="AT468" s="410">
        <f>10*2.232242</f>
        <v>22.322419999999997</v>
      </c>
      <c r="AU468" s="98">
        <f>10*2.232242</f>
        <v>22.322419999999997</v>
      </c>
      <c r="AV468" s="98">
        <f>10*2.232242</f>
        <v>22.322419999999997</v>
      </c>
      <c r="AW468" s="98">
        <f>10*2.232242</f>
        <v>22.322419999999997</v>
      </c>
      <c r="AX468" s="63">
        <f>AY468</f>
        <v>22.322419999999997</v>
      </c>
      <c r="AY468" s="410">
        <f>10*2.232242</f>
        <v>22.322419999999997</v>
      </c>
      <c r="AZ468" s="98">
        <f>10*1.004696</f>
        <v>10.04696</v>
      </c>
      <c r="BA468" s="98">
        <f>10*1.004696</f>
        <v>10.04696</v>
      </c>
      <c r="BB468" s="98">
        <f>10*1.004696</f>
        <v>10.04696</v>
      </c>
      <c r="BC468" s="63">
        <f>BD468</f>
        <v>10.04696</v>
      </c>
      <c r="BD468" s="410">
        <f>10*1.004696</f>
        <v>10.04696</v>
      </c>
      <c r="BE468" s="98">
        <f>10*1.004696</f>
        <v>10.04696</v>
      </c>
      <c r="BF468" s="98">
        <f>10*1.004696</f>
        <v>10.04696</v>
      </c>
      <c r="BG468" s="98">
        <f>10*1.004696</f>
        <v>10.04696</v>
      </c>
      <c r="BH468" s="63">
        <f>BI468</f>
        <v>10.04696</v>
      </c>
      <c r="BI468" s="410">
        <f>10*1.004696</f>
        <v>10.04696</v>
      </c>
      <c r="BJ468" s="98">
        <f>10*1.004696</f>
        <v>10.04696</v>
      </c>
      <c r="BK468" s="260">
        <f>10*1.004696</f>
        <v>10.04696</v>
      </c>
      <c r="BL468" s="98">
        <f>10*1.004696</f>
        <v>10.04696</v>
      </c>
      <c r="BM468" s="63">
        <f>BN468</f>
        <v>10.04696</v>
      </c>
      <c r="BN468" s="410">
        <f>10*1.004696</f>
        <v>10.04696</v>
      </c>
      <c r="BO468" s="98">
        <f>10*1.004696</f>
        <v>10.04696</v>
      </c>
      <c r="BP468" s="260">
        <v>10.04696</v>
      </c>
      <c r="BQ468" s="260">
        <v>10.04696</v>
      </c>
      <c r="BR468" s="63">
        <f>BS468</f>
        <v>10.04696</v>
      </c>
      <c r="BS468" s="419">
        <v>10.04696</v>
      </c>
      <c r="BT468" s="63"/>
      <c r="BU468" s="63"/>
      <c r="BV468" s="63"/>
      <c r="BW468" s="63"/>
      <c r="BX468" s="413"/>
      <c r="BY468" s="63"/>
      <c r="BZ468" s="63"/>
      <c r="CA468" s="63"/>
      <c r="CB468" s="63"/>
      <c r="CC468" s="413"/>
      <c r="CD468" s="413"/>
      <c r="CE468" s="413"/>
      <c r="CF468" s="413"/>
      <c r="CG468" s="99"/>
    </row>
    <row r="469" spans="1:85" ht="15" hidden="1" customHeight="1" x14ac:dyDescent="0.25">
      <c r="A469" s="252" t="s">
        <v>523</v>
      </c>
      <c r="B469" s="253"/>
      <c r="C469" s="546">
        <f t="shared" ref="C469:AH469" si="330">SUM(C467:C468)</f>
        <v>91.633290000000017</v>
      </c>
      <c r="D469" s="546">
        <f t="shared" si="330"/>
        <v>91.856490000000008</v>
      </c>
      <c r="E469" s="546">
        <f t="shared" si="330"/>
        <v>92.079689999999999</v>
      </c>
      <c r="F469" s="546">
        <f t="shared" si="330"/>
        <v>92.302890000000005</v>
      </c>
      <c r="G469" s="254">
        <f t="shared" si="330"/>
        <v>92.504090000000005</v>
      </c>
      <c r="H469" s="254">
        <f t="shared" si="330"/>
        <v>92.504090000000005</v>
      </c>
      <c r="I469" s="254">
        <f t="shared" si="330"/>
        <v>92.504090000000005</v>
      </c>
      <c r="J469" s="254">
        <f t="shared" si="330"/>
        <v>92.504090000000005</v>
      </c>
      <c r="K469" s="546">
        <f t="shared" si="330"/>
        <v>92.504090000000005</v>
      </c>
      <c r="L469" s="254">
        <f t="shared" si="330"/>
        <v>92.713090000000008</v>
      </c>
      <c r="M469" s="254">
        <f t="shared" si="330"/>
        <v>92.713090000000008</v>
      </c>
      <c r="N469" s="254">
        <f t="shared" si="330"/>
        <v>92.713090000000008</v>
      </c>
      <c r="O469" s="254">
        <f t="shared" si="330"/>
        <v>92.713090000000008</v>
      </c>
      <c r="P469" s="546">
        <f t="shared" si="330"/>
        <v>92.713090000000008</v>
      </c>
      <c r="Q469" s="254">
        <f t="shared" si="330"/>
        <v>92.922290000000004</v>
      </c>
      <c r="R469" s="254">
        <f t="shared" si="330"/>
        <v>92.922290000000004</v>
      </c>
      <c r="S469" s="254">
        <f t="shared" si="330"/>
        <v>92.922290000000004</v>
      </c>
      <c r="T469" s="254">
        <f t="shared" si="330"/>
        <v>92.922290000000004</v>
      </c>
      <c r="U469" s="546">
        <f t="shared" si="330"/>
        <v>92.922290000000004</v>
      </c>
      <c r="V469" s="254">
        <f t="shared" si="330"/>
        <v>93.131490000000014</v>
      </c>
      <c r="W469" s="254">
        <f t="shared" si="330"/>
        <v>93.131490000000014</v>
      </c>
      <c r="X469" s="254">
        <f t="shared" si="330"/>
        <v>93.131490000000014</v>
      </c>
      <c r="Y469" s="254">
        <f t="shared" si="330"/>
        <v>93.131490000000014</v>
      </c>
      <c r="Z469" s="546">
        <f t="shared" si="330"/>
        <v>93.131490000000014</v>
      </c>
      <c r="AA469" s="254">
        <f t="shared" si="330"/>
        <v>93.34169</v>
      </c>
      <c r="AB469" s="254">
        <f t="shared" si="330"/>
        <v>93.34169</v>
      </c>
      <c r="AC469" s="254">
        <f t="shared" si="330"/>
        <v>93.34169</v>
      </c>
      <c r="AD469" s="254">
        <f t="shared" si="330"/>
        <v>93.34169</v>
      </c>
      <c r="AE469" s="546">
        <f t="shared" si="330"/>
        <v>93.34169</v>
      </c>
      <c r="AF469" s="254">
        <f t="shared" si="330"/>
        <v>93.544650000000004</v>
      </c>
      <c r="AG469" s="254">
        <f t="shared" si="330"/>
        <v>93.544650000000004</v>
      </c>
      <c r="AH469" s="254">
        <f t="shared" si="330"/>
        <v>93.544650000000004</v>
      </c>
      <c r="AI469" s="254">
        <f t="shared" ref="AI469:BN469" si="331">SUM(AI467:AI468)</f>
        <v>93.544650000000004</v>
      </c>
      <c r="AJ469" s="546">
        <f t="shared" si="331"/>
        <v>93.544650000000004</v>
      </c>
      <c r="AK469" s="254">
        <f t="shared" si="331"/>
        <v>93.736890000000002</v>
      </c>
      <c r="AL469" s="254">
        <f t="shared" si="331"/>
        <v>93.736890000000002</v>
      </c>
      <c r="AM469" s="254">
        <f t="shared" si="331"/>
        <v>93.736890000000002</v>
      </c>
      <c r="AN469" s="254">
        <f t="shared" si="331"/>
        <v>93.736890000000002</v>
      </c>
      <c r="AO469" s="546">
        <f t="shared" si="331"/>
        <v>93.736890000000002</v>
      </c>
      <c r="AP469" s="254">
        <f t="shared" si="331"/>
        <v>93.736890000000002</v>
      </c>
      <c r="AQ469" s="254">
        <f t="shared" si="331"/>
        <v>93.736890000000002</v>
      </c>
      <c r="AR469" s="254">
        <f t="shared" si="331"/>
        <v>93.736890000000002</v>
      </c>
      <c r="AS469" s="254">
        <f t="shared" si="331"/>
        <v>93.736890000000002</v>
      </c>
      <c r="AT469" s="546">
        <f t="shared" si="331"/>
        <v>93.736890000000002</v>
      </c>
      <c r="AU469" s="254">
        <f t="shared" si="331"/>
        <v>93.736890000000002</v>
      </c>
      <c r="AV469" s="254">
        <f t="shared" si="331"/>
        <v>93.736890000000002</v>
      </c>
      <c r="AW469" s="254">
        <f t="shared" si="331"/>
        <v>93.736890000000002</v>
      </c>
      <c r="AX469" s="254">
        <f t="shared" si="331"/>
        <v>93.736890000000002</v>
      </c>
      <c r="AY469" s="546">
        <f t="shared" si="331"/>
        <v>93.736890000000002</v>
      </c>
      <c r="AZ469" s="254">
        <f t="shared" si="331"/>
        <v>93.736890000000002</v>
      </c>
      <c r="BA469" s="254">
        <f t="shared" si="331"/>
        <v>93.736890000000002</v>
      </c>
      <c r="BB469" s="254">
        <f t="shared" si="331"/>
        <v>93.736890000000002</v>
      </c>
      <c r="BC469" s="254">
        <f t="shared" si="331"/>
        <v>93.736890000000002</v>
      </c>
      <c r="BD469" s="546">
        <f t="shared" si="331"/>
        <v>93.736890000000002</v>
      </c>
      <c r="BE469" s="254">
        <f t="shared" si="331"/>
        <v>93.736890000000002</v>
      </c>
      <c r="BF469" s="254">
        <f t="shared" si="331"/>
        <v>93.736890000000002</v>
      </c>
      <c r="BG469" s="254">
        <f t="shared" si="331"/>
        <v>93.736890000000002</v>
      </c>
      <c r="BH469" s="254">
        <f t="shared" si="331"/>
        <v>93.736890000000002</v>
      </c>
      <c r="BI469" s="546">
        <f t="shared" si="331"/>
        <v>93.736890000000002</v>
      </c>
      <c r="BJ469" s="254">
        <f t="shared" si="331"/>
        <v>93.736890000000002</v>
      </c>
      <c r="BK469" s="63">
        <f t="shared" si="331"/>
        <v>87.60678999999999</v>
      </c>
      <c r="BL469" s="254">
        <f t="shared" si="331"/>
        <v>87.60678999999999</v>
      </c>
      <c r="BM469" s="254">
        <f t="shared" si="331"/>
        <v>87.177840000000003</v>
      </c>
      <c r="BN469" s="546">
        <f t="shared" si="331"/>
        <v>87.177840000000003</v>
      </c>
      <c r="BO469" s="254">
        <f t="shared" ref="BO469:BS469" si="332">SUM(BO467:BO468)</f>
        <v>87.177840000000003</v>
      </c>
      <c r="BP469" s="63">
        <f t="shared" si="332"/>
        <v>86.885904999999994</v>
      </c>
      <c r="BQ469" s="63">
        <f t="shared" si="332"/>
        <v>85.449435999999992</v>
      </c>
      <c r="BR469" s="254">
        <f t="shared" si="332"/>
        <v>66.564294000000004</v>
      </c>
      <c r="BS469" s="547">
        <f t="shared" si="332"/>
        <v>66.564294000000004</v>
      </c>
      <c r="BT469" s="254"/>
      <c r="BU469" s="254"/>
      <c r="BV469" s="254"/>
      <c r="BW469" s="254"/>
      <c r="BX469" s="546"/>
      <c r="BY469" s="254"/>
      <c r="BZ469" s="254"/>
      <c r="CA469" s="254"/>
      <c r="CB469" s="254"/>
      <c r="CC469" s="546"/>
      <c r="CD469" s="546"/>
      <c r="CE469" s="546"/>
      <c r="CF469" s="546"/>
      <c r="CG469" s="99"/>
    </row>
    <row r="470" spans="1:85" ht="15" hidden="1" customHeight="1" x14ac:dyDescent="0.25">
      <c r="A470" s="247" t="s">
        <v>524</v>
      </c>
      <c r="B470" s="180"/>
      <c r="C470" s="552">
        <v>40242</v>
      </c>
      <c r="D470" s="552">
        <v>40606</v>
      </c>
      <c r="E470" s="552">
        <v>40969</v>
      </c>
      <c r="F470" s="552">
        <v>41334</v>
      </c>
      <c r="G470" s="261">
        <v>41394</v>
      </c>
      <c r="H470" s="261">
        <v>41486</v>
      </c>
      <c r="I470" s="261">
        <v>41578</v>
      </c>
      <c r="J470" s="262">
        <f>K470</f>
        <v>41698</v>
      </c>
      <c r="K470" s="552">
        <v>41698</v>
      </c>
      <c r="L470" s="261">
        <v>41759</v>
      </c>
      <c r="M470" s="261">
        <v>41851</v>
      </c>
      <c r="N470" s="261">
        <v>41943</v>
      </c>
      <c r="O470" s="262">
        <f>P470</f>
        <v>42062</v>
      </c>
      <c r="P470" s="552">
        <v>42062</v>
      </c>
      <c r="Q470" s="261">
        <v>42124</v>
      </c>
      <c r="R470" s="261">
        <v>42216</v>
      </c>
      <c r="S470" s="261">
        <v>42307</v>
      </c>
      <c r="T470" s="262">
        <f>U470</f>
        <v>42433</v>
      </c>
      <c r="U470" s="552">
        <v>42433</v>
      </c>
      <c r="V470" s="261">
        <v>42496</v>
      </c>
      <c r="W470" s="261">
        <v>42587</v>
      </c>
      <c r="X470" s="261">
        <v>42678</v>
      </c>
      <c r="Y470" s="262">
        <f>Z470</f>
        <v>42792</v>
      </c>
      <c r="Z470" s="552">
        <v>42792</v>
      </c>
      <c r="AA470" s="261">
        <v>42855</v>
      </c>
      <c r="AB470" s="261">
        <v>42946</v>
      </c>
      <c r="AC470" s="261">
        <v>43037</v>
      </c>
      <c r="AD470" s="262">
        <f>AE470</f>
        <v>43147</v>
      </c>
      <c r="AE470" s="552">
        <v>43147</v>
      </c>
      <c r="AF470" s="261">
        <v>43219</v>
      </c>
      <c r="AG470" s="261">
        <v>43310</v>
      </c>
      <c r="AH470" s="261">
        <v>43401</v>
      </c>
      <c r="AI470" s="262">
        <f>AJ470</f>
        <v>43492</v>
      </c>
      <c r="AJ470" s="552">
        <v>43492</v>
      </c>
      <c r="AK470" s="261">
        <v>43583</v>
      </c>
      <c r="AL470" s="261">
        <v>43674</v>
      </c>
      <c r="AM470" s="261">
        <v>43765</v>
      </c>
      <c r="AN470" s="262">
        <f>AO470</f>
        <v>43856</v>
      </c>
      <c r="AO470" s="552">
        <v>43856</v>
      </c>
      <c r="AP470" s="261">
        <v>43947</v>
      </c>
      <c r="AQ470" s="261">
        <v>44038</v>
      </c>
      <c r="AR470" s="261">
        <v>44129</v>
      </c>
      <c r="AS470" s="262">
        <f>AT470</f>
        <v>44225</v>
      </c>
      <c r="AT470" s="552">
        <v>44225</v>
      </c>
      <c r="AU470" s="261">
        <v>44316</v>
      </c>
      <c r="AV470" s="261">
        <v>44407</v>
      </c>
      <c r="AW470" s="261">
        <v>44498</v>
      </c>
      <c r="AX470" s="262">
        <f>AY470</f>
        <v>44589</v>
      </c>
      <c r="AY470" s="552">
        <v>44589</v>
      </c>
      <c r="AZ470" s="261">
        <v>44673</v>
      </c>
      <c r="BA470" s="261">
        <v>44764</v>
      </c>
      <c r="BB470" s="261">
        <v>44855</v>
      </c>
      <c r="BC470" s="262">
        <f>BD470</f>
        <v>44953</v>
      </c>
      <c r="BD470" s="552">
        <v>44953</v>
      </c>
      <c r="BE470" s="261">
        <v>45037</v>
      </c>
      <c r="BF470" s="261">
        <v>45128</v>
      </c>
      <c r="BG470" s="261">
        <v>45219</v>
      </c>
      <c r="BH470" s="262">
        <f>BI470</f>
        <v>45317</v>
      </c>
      <c r="BI470" s="552">
        <v>45317</v>
      </c>
      <c r="BJ470" s="261">
        <v>45401</v>
      </c>
      <c r="BK470" s="261">
        <v>45492</v>
      </c>
      <c r="BL470" s="261">
        <v>45583</v>
      </c>
      <c r="BM470" s="262">
        <f>BN470</f>
        <v>45681</v>
      </c>
      <c r="BN470" s="552">
        <v>45681</v>
      </c>
      <c r="BO470" s="261">
        <v>45765</v>
      </c>
      <c r="BP470" s="261">
        <v>45856</v>
      </c>
      <c r="BQ470" s="261">
        <v>45947</v>
      </c>
      <c r="BR470" s="262">
        <f>BS470</f>
        <v>46052</v>
      </c>
      <c r="BS470" s="553">
        <v>46052</v>
      </c>
      <c r="BT470" s="262"/>
      <c r="BU470" s="262"/>
      <c r="BV470" s="262"/>
      <c r="BW470" s="262"/>
      <c r="BX470" s="554"/>
      <c r="BY470" s="262"/>
      <c r="BZ470" s="262"/>
      <c r="CA470" s="262"/>
      <c r="CB470" s="262"/>
      <c r="CC470" s="554"/>
      <c r="CD470" s="554"/>
      <c r="CE470" s="554"/>
      <c r="CF470" s="554"/>
      <c r="CG470" s="99"/>
    </row>
    <row r="471" spans="1:85" ht="15" hidden="1" customHeight="1" x14ac:dyDescent="0.25">
      <c r="A471" s="247"/>
      <c r="B471" s="180"/>
      <c r="C471" s="554"/>
      <c r="D471" s="554"/>
      <c r="E471" s="554"/>
      <c r="F471" s="554"/>
      <c r="G471" s="262"/>
      <c r="H471" s="262"/>
      <c r="I471" s="262"/>
      <c r="J471" s="262"/>
      <c r="K471" s="554"/>
      <c r="L471" s="262"/>
      <c r="M471" s="262"/>
      <c r="N471" s="262"/>
      <c r="O471" s="262"/>
      <c r="P471" s="554"/>
      <c r="Q471" s="262"/>
      <c r="R471" s="262"/>
      <c r="S471" s="262"/>
      <c r="T471" s="262"/>
      <c r="U471" s="554"/>
      <c r="V471" s="262"/>
      <c r="W471" s="262"/>
      <c r="X471" s="262"/>
      <c r="Y471" s="262"/>
      <c r="Z471" s="554"/>
      <c r="AA471" s="262"/>
      <c r="AB471" s="262"/>
      <c r="AC471" s="262"/>
      <c r="AD471" s="262"/>
      <c r="AE471" s="554"/>
      <c r="AF471" s="262"/>
      <c r="AG471" s="262"/>
      <c r="AH471" s="262"/>
      <c r="AI471" s="262"/>
      <c r="AJ471" s="554"/>
      <c r="AK471" s="262"/>
      <c r="AL471" s="262"/>
      <c r="AM471" s="262"/>
      <c r="AN471" s="262"/>
      <c r="AO471" s="554"/>
      <c r="AP471" s="262"/>
      <c r="AQ471" s="262"/>
      <c r="AR471" s="262"/>
      <c r="AS471" s="262"/>
      <c r="AT471" s="554"/>
      <c r="AU471" s="262"/>
      <c r="AV471" s="262"/>
      <c r="AW471" s="262"/>
      <c r="AX471" s="262"/>
      <c r="AY471" s="554"/>
      <c r="AZ471" s="262"/>
      <c r="BA471" s="262"/>
      <c r="BB471" s="262"/>
      <c r="BC471" s="262"/>
      <c r="BD471" s="554"/>
      <c r="BE471" s="262"/>
      <c r="BF471" s="262"/>
      <c r="BG471" s="262"/>
      <c r="BH471" s="262"/>
      <c r="BI471" s="554"/>
      <c r="BJ471" s="262"/>
      <c r="BK471" s="262"/>
      <c r="BL471" s="262"/>
      <c r="BM471" s="262"/>
      <c r="BN471" s="554"/>
      <c r="BO471" s="262"/>
      <c r="BP471" s="262"/>
      <c r="BQ471" s="262"/>
      <c r="BR471" s="262"/>
      <c r="BS471" s="555"/>
      <c r="BT471" s="262"/>
      <c r="BU471" s="262"/>
      <c r="BV471" s="262"/>
      <c r="BW471" s="262"/>
      <c r="BX471" s="554"/>
      <c r="BY471" s="262"/>
      <c r="BZ471" s="262"/>
      <c r="CA471" s="262"/>
      <c r="CB471" s="262"/>
      <c r="CC471" s="554"/>
      <c r="CD471" s="554"/>
      <c r="CE471" s="554"/>
      <c r="CF471" s="554"/>
      <c r="CG471" s="99"/>
    </row>
    <row r="472" spans="1:85" ht="15" hidden="1" customHeight="1" x14ac:dyDescent="0.25">
      <c r="A472" s="247" t="s">
        <v>525</v>
      </c>
      <c r="B472" s="180"/>
      <c r="C472" s="413">
        <f>C447-C446-C458</f>
        <v>1.0311800000000027</v>
      </c>
      <c r="D472" s="413">
        <f t="shared" ref="D472:J472" si="333">IF(D432&gt;0,(D447-D446-AVERAGE(D458,C458)),C472)</f>
        <v>0.46958000000001476</v>
      </c>
      <c r="E472" s="413">
        <f t="shared" si="333"/>
        <v>0.47638000000000247</v>
      </c>
      <c r="F472" s="413">
        <f t="shared" si="333"/>
        <v>0.47317999999999927</v>
      </c>
      <c r="G472" s="63">
        <f t="shared" si="333"/>
        <v>0.36097999999999431</v>
      </c>
      <c r="H472" s="63">
        <f t="shared" si="333"/>
        <v>0.40037999999999485</v>
      </c>
      <c r="I472" s="63">
        <f t="shared" si="333"/>
        <v>0.40037999999999485</v>
      </c>
      <c r="J472" s="63">
        <f t="shared" si="333"/>
        <v>0.40037999999999485</v>
      </c>
      <c r="K472" s="413">
        <f>J472</f>
        <v>0.40037999999999485</v>
      </c>
      <c r="L472" s="63">
        <f>IF(L432&gt;0,(L447-L446-AVERAGE(L458,K458)),K472)</f>
        <v>0.35587999999999909</v>
      </c>
      <c r="M472" s="63">
        <f>IF(M432&gt;0,(M447-M446-AVERAGE(M458,L458)),L472)</f>
        <v>0.40138000000000318</v>
      </c>
      <c r="N472" s="63">
        <f>IF(N432&gt;0,(N447-N446-AVERAGE(N458,M458)),M472)</f>
        <v>0.40138000000000318</v>
      </c>
      <c r="O472" s="63">
        <f>IF(O432&gt;0,(O447-O446-AVERAGE(O458,N458)),N472)</f>
        <v>0.40138000000000318</v>
      </c>
      <c r="P472" s="413">
        <f>O472</f>
        <v>0.40138000000000318</v>
      </c>
      <c r="Q472" s="63">
        <f>IF(Q432&gt;0,(Q447-Q446-AVERAGE(Q458,P458)),P472)</f>
        <v>0.35678000000000765</v>
      </c>
      <c r="R472" s="63">
        <f>IF(R432&gt;0,(R447-R446-AVERAGE(R458,Q458)),Q472)</f>
        <v>0.40218000000001197</v>
      </c>
      <c r="S472" s="63">
        <f>IF(S432&gt;0,(S447-S446-AVERAGE(S458,R458)),R472)</f>
        <v>0.40218000000001197</v>
      </c>
      <c r="T472" s="63">
        <f>IF(T432&gt;0,(T447-T446-AVERAGE(T458,S458)),S472)</f>
        <v>0.40218000000001197</v>
      </c>
      <c r="U472" s="413">
        <f>T472</f>
        <v>0.40218000000001197</v>
      </c>
      <c r="V472" s="63">
        <f>IF(V432&gt;0,(V447-V446-AVERAGE(V458,U458)),U472)</f>
        <v>0.40218000000001197</v>
      </c>
      <c r="W472" s="63">
        <f>IF(W432&gt;0,(W447-W446-AVERAGE(W458,V458)),V472)</f>
        <v>0.40298000000000656</v>
      </c>
      <c r="X472" s="63">
        <f>IF(X432&gt;0,(X447-X446-AVERAGE(X458,W458)),W472)</f>
        <v>0.40298000000000656</v>
      </c>
      <c r="Y472" s="63">
        <f>IF(Y432&gt;0,(Y447-Y446-AVERAGE(Y458,X458)),X472)</f>
        <v>0.40298000000000656</v>
      </c>
      <c r="Z472" s="413">
        <f>Y472</f>
        <v>0.40298000000000656</v>
      </c>
      <c r="AA472" s="63">
        <f>IF(AA432&gt;0,(AA447-AA446-AVERAGE(AA458,Z458)),Z472)</f>
        <v>0.40298000000000656</v>
      </c>
      <c r="AB472" s="63">
        <f>IF(AB432&gt;0,(AB447-AB446-AVERAGE(AB458,AA458)),AA472)</f>
        <v>0.40278000000001413</v>
      </c>
      <c r="AC472" s="63">
        <f>IF(AC432&gt;0,(AC447-AC446-AVERAGE(AC458,AB458)),AB472)</f>
        <v>0.40278000000001413</v>
      </c>
      <c r="AD472" s="63">
        <f>IF(AD432&gt;0,(AD447-AD446-AVERAGE(AD458,AC458)),AC472)</f>
        <v>0.40278000000001413</v>
      </c>
      <c r="AE472" s="413">
        <f>AD472</f>
        <v>0.40278000000001413</v>
      </c>
      <c r="AF472" s="63">
        <f>IF(AF432&gt;0,(AF447-AF446-AVERAGE(AF458,AE458)),AE472)</f>
        <v>0.40278000000001413</v>
      </c>
      <c r="AG472" s="63">
        <f>IF(AG432&gt;0,(AG447-AG446-AVERAGE(AG458,AF458)),AF472)</f>
        <v>0.40278000000001413</v>
      </c>
      <c r="AH472" s="63">
        <f>IF(AH432&gt;0,(AH447-AH446-AVERAGE(AH458,AG458)),AG472)</f>
        <v>0.50982000000000127</v>
      </c>
      <c r="AI472" s="63">
        <f>IF(AI432&gt;0,(AI447-AI446-AVERAGE(AI458,AH458)),AH472)</f>
        <v>0.50982000000000127</v>
      </c>
      <c r="AJ472" s="413">
        <f>AI472</f>
        <v>0.50982000000000127</v>
      </c>
      <c r="AK472" s="63">
        <f>IF(AK432&gt;0,(AK447-AK446-AVERAGE(AK458,AJ458)),AJ472)</f>
        <v>0.50982000000000127</v>
      </c>
      <c r="AL472" s="63">
        <f>IF(AL432&gt;0,(AL447-AL446-AVERAGE(AL458,AK458)),AK472)</f>
        <v>0.47757999999999967</v>
      </c>
      <c r="AM472" s="63">
        <f>IF(AM432&gt;0,(AM447-AM446-AVERAGE(AM458,AL458)),AL472)</f>
        <v>0.39758000000000138</v>
      </c>
      <c r="AN472" s="63">
        <f>IF(AN432&gt;0,(AN447-AN446-AVERAGE(AN458,AM458)),AM472)</f>
        <v>0.39758000000000138</v>
      </c>
      <c r="AO472" s="413">
        <f>AN472</f>
        <v>0.39758000000000138</v>
      </c>
      <c r="AP472" s="63">
        <f>IF(AP432&gt;0,(AP447-AP446-AVERAGE(AP458,AO458)),AO472)</f>
        <v>0.70758000000001786</v>
      </c>
      <c r="AQ472" s="63">
        <f>IF(AQ432&gt;0,(AQ447-AQ446-AVERAGE(AQ458,AP458)),AP472)</f>
        <v>0.6675799999999974</v>
      </c>
      <c r="AR472" s="63">
        <f>IF(AR432&gt;0,(AR447-AR446-AVERAGE(AR458,AQ458)),AQ472)</f>
        <v>0.56758000000000308</v>
      </c>
      <c r="AS472" s="63">
        <f>IF(AS432&gt;0,(AS447-AS446-AVERAGE(AS458,AR458)),AR472)</f>
        <v>0.31758000000000308</v>
      </c>
      <c r="AT472" s="413">
        <f>AS472</f>
        <v>0.31758000000000308</v>
      </c>
      <c r="AU472" s="63">
        <f>IF(AU432&gt;0,(AU447-AU446-AVERAGE(AU458,AT458)),AT472)</f>
        <v>0.35758000000000933</v>
      </c>
      <c r="AV472" s="63">
        <f>IF(AV432&gt;0,(AV447-AV446-AVERAGE(AV458,AU458)),AU472)</f>
        <v>0.3375799999999991</v>
      </c>
      <c r="AW472" s="63">
        <f>IF(AW432&gt;0,(AW447-AW446-AVERAGE(AW458,AV458)),AV472)</f>
        <v>0.35758000000000933</v>
      </c>
      <c r="AX472" s="63">
        <f>IF(AX432&gt;0,(AX447-AX446-AVERAGE(AX458,AW458)),AW472)</f>
        <v>0.15757999999999228</v>
      </c>
      <c r="AY472" s="413">
        <f>AX472</f>
        <v>0.15757999999999228</v>
      </c>
      <c r="AZ472" s="63">
        <f>IF(AZ432&gt;0,(AZ447-AZ446-AVERAGE(AZ458,AY458)),AY472)</f>
        <v>4.2053100000000043</v>
      </c>
      <c r="BA472" s="63">
        <f>IF(BA432&gt;0,(BA447-BA446-AVERAGE(BA458,AZ458)),AZ472)</f>
        <v>0.2530399999999986</v>
      </c>
      <c r="BB472" s="63">
        <f>IF(BB432&gt;0,(BB447-BB446-AVERAGE(BB458,BA458)),BA472)</f>
        <v>0.32304000000000599</v>
      </c>
      <c r="BC472" s="63">
        <f>IF(BC432&gt;0,(BC447-BC446-AVERAGE(BC458,BB458)),BB472)</f>
        <v>0.1730400000000003</v>
      </c>
      <c r="BD472" s="413">
        <f>BC472</f>
        <v>0.1730400000000003</v>
      </c>
      <c r="BE472" s="63">
        <f>IF(BE432&gt;0,(BE447-BE446-AVERAGE(BE458,BD458)),BD472)</f>
        <v>0.21303999999999235</v>
      </c>
      <c r="BF472" s="63">
        <f>IF(BF432&gt;0,(BF447-BF446-AVERAGE(BF458,BE458)),BE472)</f>
        <v>0.22304000000001167</v>
      </c>
      <c r="BG472" s="63">
        <f>IF(BG432&gt;0,(BG447-BG446-AVERAGE(BG458,BF458)),BF472)</f>
        <v>0.21303999999999235</v>
      </c>
      <c r="BH472" s="63">
        <f>IF(BH432&gt;0,(BH447-BH446-AVERAGE(BH458,BG458)),BG472)</f>
        <v>0.10304000000000713</v>
      </c>
      <c r="BI472" s="413">
        <f>BH472</f>
        <v>0.10304000000000713</v>
      </c>
      <c r="BJ472" s="63">
        <f>IF(BJ432&gt;0,(BJ447-BJ446-AVERAGE(BJ458,BI458)),BI472)</f>
        <v>0.13304000000000826</v>
      </c>
      <c r="BK472" s="63">
        <f>IF(BK432&gt;0,(BK447-BK446-AVERAGE(BK458,BJ458)),BJ472)</f>
        <v>0.14303999999999917</v>
      </c>
      <c r="BL472" s="63">
        <f>IF(BL432&gt;0,(BL447-BL446-AVERAGE(BL458,BK458)),BK472)</f>
        <v>0.11303999999999803</v>
      </c>
      <c r="BM472" s="63">
        <f>IF(BM432&gt;0,(BM447-BM446-AVERAGE(BM458,BL458)),BL472)</f>
        <v>7.3039999999991778E-2</v>
      </c>
      <c r="BN472" s="413">
        <f>BM472</f>
        <v>7.3039999999991778E-2</v>
      </c>
      <c r="BO472" s="63">
        <f>IF(BO432&gt;0,(BO447-BO446-AVERAGE(BO458,BN458)),BN472)</f>
        <v>8.3040000000011105E-2</v>
      </c>
      <c r="BP472" s="63">
        <f>IF(BP432&gt;0,(BP447-BP446-AVERAGE(BP458,BO458)),BO472)</f>
        <v>0.14104000000000383</v>
      </c>
      <c r="BQ472" s="63">
        <f>IF(BQ432&gt;0,(BQ447-BQ446-AVERAGE(BQ458,BP458)),BP472)</f>
        <v>0.12703999999999382</v>
      </c>
      <c r="BR472" s="63">
        <f>IF(BR432&gt;0,(BR447-BR446-AVERAGE(BR458,BQ458)),BQ472)</f>
        <v>5.9039999999994208E-2</v>
      </c>
      <c r="BS472" s="425">
        <f>BR472</f>
        <v>5.9039999999994208E-2</v>
      </c>
      <c r="BT472" s="63" t="e">
        <f>BT459*BT473-BT459</f>
        <v>#NAME?</v>
      </c>
      <c r="BU472" s="63" t="e">
        <f>BU459*BU473-BU459</f>
        <v>#NAME?</v>
      </c>
      <c r="BV472" s="63" t="e">
        <f>BV459*BV473-BV459</f>
        <v>#NAME?</v>
      </c>
      <c r="BW472" s="63" t="e">
        <f>BW459*BW473-BW459</f>
        <v>#NAME?</v>
      </c>
      <c r="BX472" s="413" t="e">
        <f>BW472</f>
        <v>#NAME?</v>
      </c>
      <c r="BY472" s="63" t="e">
        <f>BY459*BY473-BY459</f>
        <v>#NAME?</v>
      </c>
      <c r="BZ472" s="63" t="e">
        <f>BZ459*BZ473-BZ459</f>
        <v>#NAME?</v>
      </c>
      <c r="CA472" s="63" t="e">
        <f>CA459*CA473-CA459</f>
        <v>#NAME?</v>
      </c>
      <c r="CB472" s="63" t="e">
        <f>CB459*CB473-CB459</f>
        <v>#NAME?</v>
      </c>
      <c r="CC472" s="413" t="e">
        <f>CB472</f>
        <v>#NAME?</v>
      </c>
      <c r="CD472" s="413" t="e">
        <f>CD459*CD473-CD459</f>
        <v>#NAME?</v>
      </c>
      <c r="CE472" s="413" t="e">
        <f>CE459*CE473-CE459</f>
        <v>#NAME?</v>
      </c>
      <c r="CF472" s="413" t="e">
        <f>CF459*CF473-CF459</f>
        <v>#NAME?</v>
      </c>
      <c r="CG472" s="99"/>
    </row>
    <row r="473" spans="1:85" ht="15" hidden="1" customHeight="1" x14ac:dyDescent="0.25">
      <c r="A473" s="263" t="s">
        <v>526</v>
      </c>
      <c r="B473" s="221"/>
      <c r="C473" s="556">
        <f t="shared" ref="C473:AH473" si="334">(C472+C459)/C459</f>
        <v>1.0112533338047778</v>
      </c>
      <c r="D473" s="556">
        <f t="shared" si="334"/>
        <v>1.0051121047625489</v>
      </c>
      <c r="E473" s="556">
        <f t="shared" si="334"/>
        <v>1.0051735621612106</v>
      </c>
      <c r="F473" s="556">
        <f t="shared" si="334"/>
        <v>1.0051263833667614</v>
      </c>
      <c r="G473" s="264">
        <f t="shared" si="334"/>
        <v>1.0039023139409295</v>
      </c>
      <c r="H473" s="264">
        <f t="shared" si="334"/>
        <v>1.0043282410539902</v>
      </c>
      <c r="I473" s="264">
        <f t="shared" si="334"/>
        <v>1.0043282410539902</v>
      </c>
      <c r="J473" s="264">
        <f t="shared" si="334"/>
        <v>1.0043282410539902</v>
      </c>
      <c r="K473" s="556">
        <f t="shared" si="334"/>
        <v>1.0043282410539902</v>
      </c>
      <c r="L473" s="264">
        <f t="shared" si="334"/>
        <v>1.0038385086722921</v>
      </c>
      <c r="M473" s="264">
        <f t="shared" si="334"/>
        <v>1.0043292700092297</v>
      </c>
      <c r="N473" s="264">
        <f t="shared" si="334"/>
        <v>1.0043292700092297</v>
      </c>
      <c r="O473" s="264">
        <f t="shared" si="334"/>
        <v>1.0043292700092297</v>
      </c>
      <c r="P473" s="556">
        <f t="shared" si="334"/>
        <v>1.0043292700092297</v>
      </c>
      <c r="Q473" s="264">
        <f t="shared" si="334"/>
        <v>1.0038395523829644</v>
      </c>
      <c r="R473" s="264">
        <f t="shared" si="334"/>
        <v>1.0043281326794682</v>
      </c>
      <c r="S473" s="264">
        <f t="shared" si="334"/>
        <v>1.0043281326794682</v>
      </c>
      <c r="T473" s="264">
        <f t="shared" si="334"/>
        <v>1.0043281326794682</v>
      </c>
      <c r="U473" s="556">
        <f t="shared" si="334"/>
        <v>1.0043281326794682</v>
      </c>
      <c r="V473" s="264">
        <f t="shared" si="334"/>
        <v>1.0043184104538649</v>
      </c>
      <c r="W473" s="264">
        <f t="shared" si="334"/>
        <v>1.0043270004592433</v>
      </c>
      <c r="X473" s="264">
        <f t="shared" si="334"/>
        <v>1.0043270004592433</v>
      </c>
      <c r="Y473" s="264">
        <f t="shared" si="334"/>
        <v>1.0043270004592433</v>
      </c>
      <c r="Z473" s="556">
        <f t="shared" si="334"/>
        <v>1.0043270004592433</v>
      </c>
      <c r="AA473" s="264">
        <f t="shared" si="334"/>
        <v>1.0043172563085156</v>
      </c>
      <c r="AB473" s="264">
        <f t="shared" si="334"/>
        <v>1.0043151136432178</v>
      </c>
      <c r="AC473" s="264">
        <f t="shared" si="334"/>
        <v>1.0043151136432178</v>
      </c>
      <c r="AD473" s="264">
        <f t="shared" si="334"/>
        <v>1.0043151136432178</v>
      </c>
      <c r="AE473" s="556">
        <f t="shared" si="334"/>
        <v>1.0043151136432178</v>
      </c>
      <c r="AF473" s="264">
        <f t="shared" si="334"/>
        <v>1.0043057513176863</v>
      </c>
      <c r="AG473" s="264">
        <f t="shared" si="334"/>
        <v>1.0043057513176863</v>
      </c>
      <c r="AH473" s="264">
        <f t="shared" si="334"/>
        <v>1.0054500177188113</v>
      </c>
      <c r="AI473" s="264">
        <f t="shared" ref="AI473:BN473" si="335">(AI472+AI459)/AI459</f>
        <v>1.0054500177188113</v>
      </c>
      <c r="AJ473" s="556">
        <f t="shared" si="335"/>
        <v>1.0054500177188113</v>
      </c>
      <c r="AK473" s="264">
        <f t="shared" si="335"/>
        <v>1.005438840567465</v>
      </c>
      <c r="AL473" s="264">
        <f t="shared" si="335"/>
        <v>1.0050948991373621</v>
      </c>
      <c r="AM473" s="264">
        <f t="shared" si="335"/>
        <v>1.004241446457206</v>
      </c>
      <c r="AN473" s="264">
        <f t="shared" si="335"/>
        <v>1.004241446457206</v>
      </c>
      <c r="AO473" s="556">
        <f t="shared" si="335"/>
        <v>1.004241446457206</v>
      </c>
      <c r="AP473" s="264">
        <f t="shared" si="335"/>
        <v>1.0075485755928111</v>
      </c>
      <c r="AQ473" s="264">
        <f t="shared" si="335"/>
        <v>1.0071218492527327</v>
      </c>
      <c r="AR473" s="264">
        <f t="shared" si="335"/>
        <v>1.0060550334025378</v>
      </c>
      <c r="AS473" s="264">
        <f t="shared" si="335"/>
        <v>1.0033879937770498</v>
      </c>
      <c r="AT473" s="556">
        <f t="shared" si="335"/>
        <v>1.0033879937770498</v>
      </c>
      <c r="AU473" s="264">
        <f t="shared" si="335"/>
        <v>1.0038147201171279</v>
      </c>
      <c r="AV473" s="264">
        <f t="shared" si="335"/>
        <v>1.0036013569470887</v>
      </c>
      <c r="AW473" s="264">
        <f t="shared" si="335"/>
        <v>1.0038147201171279</v>
      </c>
      <c r="AX473" s="264">
        <f t="shared" si="335"/>
        <v>1.0016810884167375</v>
      </c>
      <c r="AY473" s="556">
        <f t="shared" si="335"/>
        <v>1.0016810884167375</v>
      </c>
      <c r="AZ473" s="264">
        <f t="shared" si="335"/>
        <v>1.0448629136298422</v>
      </c>
      <c r="BA473" s="264">
        <f t="shared" si="335"/>
        <v>1.0026994708273338</v>
      </c>
      <c r="BB473" s="264">
        <f t="shared" si="335"/>
        <v>1.0034462419224706</v>
      </c>
      <c r="BC473" s="264">
        <f t="shared" si="335"/>
        <v>1.0018460181471778</v>
      </c>
      <c r="BD473" s="556">
        <f t="shared" si="335"/>
        <v>1.0018460181471778</v>
      </c>
      <c r="BE473" s="264">
        <f t="shared" si="335"/>
        <v>1.0022727444872557</v>
      </c>
      <c r="BF473" s="264">
        <f t="shared" si="335"/>
        <v>1.0023794260722754</v>
      </c>
      <c r="BG473" s="264">
        <f t="shared" si="335"/>
        <v>1.0022727444872557</v>
      </c>
      <c r="BH473" s="264">
        <f t="shared" si="335"/>
        <v>1.0010992470520412</v>
      </c>
      <c r="BI473" s="556">
        <f t="shared" si="335"/>
        <v>1.0010992470520412</v>
      </c>
      <c r="BJ473" s="264">
        <f t="shared" si="335"/>
        <v>1.0014192918070997</v>
      </c>
      <c r="BK473" s="264">
        <f t="shared" si="335"/>
        <v>1.0016327501555531</v>
      </c>
      <c r="BL473" s="264">
        <f t="shared" si="335"/>
        <v>1.0012903109450764</v>
      </c>
      <c r="BM473" s="264">
        <f t="shared" si="335"/>
        <v>1.000837827594719</v>
      </c>
      <c r="BN473" s="556">
        <f t="shared" si="335"/>
        <v>1.000837827594719</v>
      </c>
      <c r="BO473" s="264">
        <f t="shared" ref="BO473:BS473" si="336">(BO472+BO459)/BO459</f>
        <v>1.0009525356443796</v>
      </c>
      <c r="BP473" s="264">
        <f t="shared" si="336"/>
        <v>1.001623278252094</v>
      </c>
      <c r="BQ473" s="264">
        <f t="shared" si="336"/>
        <v>1.0014785068468111</v>
      </c>
      <c r="BR473" s="264">
        <f t="shared" si="336"/>
        <v>1.0008869620099929</v>
      </c>
      <c r="BS473" s="557">
        <f t="shared" si="336"/>
        <v>1.0008869620099929</v>
      </c>
      <c r="BT473" s="558">
        <v>1.0008869620099901</v>
      </c>
      <c r="BU473" s="558">
        <v>1.0008869620099901</v>
      </c>
      <c r="BV473" s="558">
        <v>1.0008869620099901</v>
      </c>
      <c r="BW473" s="558">
        <v>1.0008869620099901</v>
      </c>
      <c r="BX473" s="556" t="e">
        <f>(BX472+BX459)/BX459</f>
        <v>#NAME?</v>
      </c>
      <c r="BY473" s="558">
        <v>1.0008869620099901</v>
      </c>
      <c r="BZ473" s="558">
        <v>1.0008869620099901</v>
      </c>
      <c r="CA473" s="558">
        <v>1.0008869620099901</v>
      </c>
      <c r="CB473" s="558">
        <v>1.0008869620099901</v>
      </c>
      <c r="CC473" s="556" t="e">
        <f>(CC472+CC459)/CC459</f>
        <v>#NAME?</v>
      </c>
      <c r="CD473" s="559">
        <v>1.0008869620099901</v>
      </c>
      <c r="CE473" s="559">
        <v>1.0008869620099901</v>
      </c>
      <c r="CF473" s="559">
        <v>1.0008869620099901</v>
      </c>
      <c r="CG473" s="99"/>
    </row>
    <row r="474" spans="1:85" ht="15" hidden="1" customHeight="1" x14ac:dyDescent="0.25">
      <c r="A474" s="247"/>
      <c r="B474" s="180"/>
      <c r="C474" s="554"/>
      <c r="D474" s="554"/>
      <c r="E474" s="554"/>
      <c r="F474" s="554"/>
      <c r="G474" s="262"/>
      <c r="H474" s="262"/>
      <c r="I474" s="262"/>
      <c r="J474" s="262"/>
      <c r="K474" s="554"/>
      <c r="L474" s="262"/>
      <c r="M474" s="262"/>
      <c r="N474" s="262"/>
      <c r="O474" s="262"/>
      <c r="P474" s="554"/>
      <c r="Q474" s="262"/>
      <c r="R474" s="262"/>
      <c r="S474" s="262"/>
      <c r="T474" s="262"/>
      <c r="U474" s="554"/>
      <c r="V474" s="262"/>
      <c r="W474" s="262"/>
      <c r="X474" s="262"/>
      <c r="Y474" s="262"/>
      <c r="Z474" s="554"/>
      <c r="AA474" s="262"/>
      <c r="AB474" s="262"/>
      <c r="AC474" s="262"/>
      <c r="AD474" s="262"/>
      <c r="AE474" s="554"/>
      <c r="AF474" s="262"/>
      <c r="AG474" s="262"/>
      <c r="AH474" s="262"/>
      <c r="AI474" s="262"/>
      <c r="AJ474" s="554"/>
      <c r="AK474" s="262"/>
      <c r="AL474" s="262"/>
      <c r="AM474" s="262"/>
      <c r="AN474" s="262"/>
      <c r="AO474" s="554"/>
      <c r="AP474" s="262"/>
      <c r="AQ474" s="262"/>
      <c r="AR474" s="262"/>
      <c r="AS474" s="262"/>
      <c r="AT474" s="554"/>
      <c r="AU474" s="262"/>
      <c r="AV474" s="262"/>
      <c r="AW474" s="262"/>
      <c r="AX474" s="262"/>
      <c r="AY474" s="554"/>
      <c r="AZ474" s="262"/>
      <c r="BA474" s="262"/>
      <c r="BB474" s="262"/>
      <c r="BC474" s="262"/>
      <c r="BD474" s="554"/>
      <c r="BE474" s="262"/>
      <c r="BF474" s="262"/>
      <c r="BG474" s="262"/>
      <c r="BH474" s="262"/>
      <c r="BI474" s="554"/>
      <c r="BJ474" s="262"/>
      <c r="BK474" s="262"/>
      <c r="BL474" s="262"/>
      <c r="BM474" s="262"/>
      <c r="BN474" s="554"/>
      <c r="BO474" s="262"/>
      <c r="BP474" s="262"/>
      <c r="BQ474" s="262"/>
      <c r="BR474" s="262"/>
      <c r="BS474" s="555"/>
      <c r="BT474" s="262"/>
      <c r="BU474" s="262"/>
      <c r="BV474" s="262"/>
      <c r="BW474" s="262"/>
      <c r="BX474" s="554"/>
      <c r="BY474" s="262"/>
      <c r="BZ474" s="262"/>
      <c r="CA474" s="262"/>
      <c r="CB474" s="262"/>
      <c r="CC474" s="554"/>
      <c r="CD474" s="554"/>
      <c r="CE474" s="554"/>
      <c r="CF474" s="554"/>
      <c r="CG474" s="99"/>
    </row>
    <row r="475" spans="1:85" ht="15" hidden="1" customHeight="1" x14ac:dyDescent="0.25">
      <c r="A475" s="247" t="s">
        <v>527</v>
      </c>
      <c r="B475" s="180"/>
      <c r="C475" s="413">
        <f t="shared" ref="C475:AH475" si="337">C459+C472</f>
        <v>92.664469999999994</v>
      </c>
      <c r="D475" s="413">
        <f t="shared" si="337"/>
        <v>92.326070000000016</v>
      </c>
      <c r="E475" s="413">
        <f t="shared" si="337"/>
        <v>92.556070000000005</v>
      </c>
      <c r="F475" s="413">
        <f t="shared" si="337"/>
        <v>92.77606999999999</v>
      </c>
      <c r="G475" s="63">
        <f t="shared" si="337"/>
        <v>92.865069999999989</v>
      </c>
      <c r="H475" s="63">
        <f t="shared" si="337"/>
        <v>92.904469999999989</v>
      </c>
      <c r="I475" s="63">
        <f t="shared" si="337"/>
        <v>92.904469999999989</v>
      </c>
      <c r="J475" s="63">
        <f t="shared" si="337"/>
        <v>92.904469999999989</v>
      </c>
      <c r="K475" s="413">
        <f t="shared" si="337"/>
        <v>92.904469999999989</v>
      </c>
      <c r="L475" s="63">
        <f t="shared" si="337"/>
        <v>93.068969999999993</v>
      </c>
      <c r="M475" s="63">
        <f t="shared" si="337"/>
        <v>93.114469999999997</v>
      </c>
      <c r="N475" s="63">
        <f t="shared" si="337"/>
        <v>93.114469999999997</v>
      </c>
      <c r="O475" s="63">
        <f t="shared" si="337"/>
        <v>93.114469999999997</v>
      </c>
      <c r="P475" s="413">
        <f t="shared" si="337"/>
        <v>93.114469999999997</v>
      </c>
      <c r="Q475" s="63">
        <f t="shared" si="337"/>
        <v>93.27906999999999</v>
      </c>
      <c r="R475" s="63">
        <f t="shared" si="337"/>
        <v>93.324470000000005</v>
      </c>
      <c r="S475" s="63">
        <f t="shared" si="337"/>
        <v>93.324470000000005</v>
      </c>
      <c r="T475" s="63">
        <f t="shared" si="337"/>
        <v>93.324470000000005</v>
      </c>
      <c r="U475" s="413">
        <f t="shared" si="337"/>
        <v>93.324470000000005</v>
      </c>
      <c r="V475" s="63">
        <f t="shared" si="337"/>
        <v>93.533670000000001</v>
      </c>
      <c r="W475" s="63">
        <f t="shared" si="337"/>
        <v>93.534469999999999</v>
      </c>
      <c r="X475" s="63">
        <f t="shared" si="337"/>
        <v>93.534469999999999</v>
      </c>
      <c r="Y475" s="63">
        <f t="shared" si="337"/>
        <v>93.534469999999999</v>
      </c>
      <c r="Z475" s="413">
        <f t="shared" si="337"/>
        <v>93.534469999999999</v>
      </c>
      <c r="AA475" s="63">
        <f t="shared" si="337"/>
        <v>93.744670000000013</v>
      </c>
      <c r="AB475" s="63">
        <f t="shared" si="337"/>
        <v>93.744470000000007</v>
      </c>
      <c r="AC475" s="63">
        <f t="shared" si="337"/>
        <v>93.744470000000007</v>
      </c>
      <c r="AD475" s="63">
        <f t="shared" si="337"/>
        <v>93.744470000000007</v>
      </c>
      <c r="AE475" s="413">
        <f t="shared" si="337"/>
        <v>93.744470000000007</v>
      </c>
      <c r="AF475" s="63">
        <f t="shared" si="337"/>
        <v>93.947429999999997</v>
      </c>
      <c r="AG475" s="63">
        <f t="shared" si="337"/>
        <v>93.947429999999997</v>
      </c>
      <c r="AH475" s="63">
        <f t="shared" si="337"/>
        <v>94.054469999999995</v>
      </c>
      <c r="AI475" s="63">
        <f t="shared" ref="AI475:BN475" si="338">AI459+AI472</f>
        <v>94.054469999999995</v>
      </c>
      <c r="AJ475" s="413">
        <f t="shared" si="338"/>
        <v>94.054469999999995</v>
      </c>
      <c r="AK475" s="63">
        <f t="shared" si="338"/>
        <v>94.246709999999993</v>
      </c>
      <c r="AL475" s="63">
        <f t="shared" si="338"/>
        <v>94.214469999999992</v>
      </c>
      <c r="AM475" s="63">
        <f t="shared" si="338"/>
        <v>94.134469999999993</v>
      </c>
      <c r="AN475" s="63">
        <f t="shared" si="338"/>
        <v>94.134469999999993</v>
      </c>
      <c r="AO475" s="413">
        <f t="shared" si="338"/>
        <v>94.134469999999993</v>
      </c>
      <c r="AP475" s="63">
        <f t="shared" si="338"/>
        <v>94.44447000000001</v>
      </c>
      <c r="AQ475" s="63">
        <f t="shared" si="338"/>
        <v>94.404469999999989</v>
      </c>
      <c r="AR475" s="63">
        <f t="shared" si="338"/>
        <v>94.304469999999995</v>
      </c>
      <c r="AS475" s="63">
        <f t="shared" si="338"/>
        <v>94.054469999999995</v>
      </c>
      <c r="AT475" s="413">
        <f t="shared" si="338"/>
        <v>94.054469999999995</v>
      </c>
      <c r="AU475" s="63">
        <f t="shared" si="338"/>
        <v>94.094470000000001</v>
      </c>
      <c r="AV475" s="63">
        <f t="shared" si="338"/>
        <v>94.074469999999991</v>
      </c>
      <c r="AW475" s="63">
        <f t="shared" si="338"/>
        <v>94.094470000000001</v>
      </c>
      <c r="AX475" s="63">
        <f t="shared" si="338"/>
        <v>93.894469999999984</v>
      </c>
      <c r="AY475" s="413">
        <f t="shared" si="338"/>
        <v>93.894469999999984</v>
      </c>
      <c r="AZ475" s="63">
        <f t="shared" si="338"/>
        <v>97.942200000000014</v>
      </c>
      <c r="BA475" s="63">
        <f t="shared" si="338"/>
        <v>93.989930000000001</v>
      </c>
      <c r="BB475" s="63">
        <f t="shared" si="338"/>
        <v>94.059930000000008</v>
      </c>
      <c r="BC475" s="63">
        <f t="shared" si="338"/>
        <v>93.909930000000003</v>
      </c>
      <c r="BD475" s="413">
        <f t="shared" si="338"/>
        <v>93.909930000000003</v>
      </c>
      <c r="BE475" s="63">
        <f t="shared" si="338"/>
        <v>93.949929999999995</v>
      </c>
      <c r="BF475" s="63">
        <f t="shared" si="338"/>
        <v>93.959930000000014</v>
      </c>
      <c r="BG475" s="63">
        <f t="shared" si="338"/>
        <v>93.949929999999995</v>
      </c>
      <c r="BH475" s="63">
        <f t="shared" si="338"/>
        <v>93.83993000000001</v>
      </c>
      <c r="BI475" s="413">
        <f t="shared" si="338"/>
        <v>93.83993000000001</v>
      </c>
      <c r="BJ475" s="63">
        <f t="shared" si="338"/>
        <v>93.869930000000011</v>
      </c>
      <c r="BK475" s="63">
        <f t="shared" si="338"/>
        <v>87.749830000000003</v>
      </c>
      <c r="BL475" s="63">
        <f t="shared" si="338"/>
        <v>87.719830000000002</v>
      </c>
      <c r="BM475" s="63">
        <f t="shared" si="338"/>
        <v>87.250879999999995</v>
      </c>
      <c r="BN475" s="413">
        <f t="shared" si="338"/>
        <v>87.250879999999995</v>
      </c>
      <c r="BO475" s="63">
        <f t="shared" ref="BO475:CF475" si="339">BO459+BO472</f>
        <v>87.260880000000014</v>
      </c>
      <c r="BP475" s="63">
        <f t="shared" si="339"/>
        <v>87.026944999999998</v>
      </c>
      <c r="BQ475" s="63">
        <f t="shared" si="339"/>
        <v>86.051565999999994</v>
      </c>
      <c r="BR475" s="63">
        <f t="shared" si="339"/>
        <v>66.623334</v>
      </c>
      <c r="BS475" s="425">
        <f t="shared" si="339"/>
        <v>66.623334</v>
      </c>
      <c r="BT475" s="63" t="e">
        <f t="shared" si="339"/>
        <v>#NAME?</v>
      </c>
      <c r="BU475" s="63" t="e">
        <f t="shared" si="339"/>
        <v>#NAME?</v>
      </c>
      <c r="BV475" s="63" t="e">
        <f t="shared" si="339"/>
        <v>#NAME?</v>
      </c>
      <c r="BW475" s="63" t="e">
        <f t="shared" si="339"/>
        <v>#NAME?</v>
      </c>
      <c r="BX475" s="413" t="e">
        <f t="shared" si="339"/>
        <v>#NAME?</v>
      </c>
      <c r="BY475" s="63" t="e">
        <f t="shared" si="339"/>
        <v>#NAME?</v>
      </c>
      <c r="BZ475" s="63" t="e">
        <f t="shared" si="339"/>
        <v>#NAME?</v>
      </c>
      <c r="CA475" s="63" t="e">
        <f t="shared" si="339"/>
        <v>#NAME?</v>
      </c>
      <c r="CB475" s="63" t="e">
        <f t="shared" si="339"/>
        <v>#NAME?</v>
      </c>
      <c r="CC475" s="413" t="e">
        <f t="shared" si="339"/>
        <v>#NAME?</v>
      </c>
      <c r="CD475" s="413" t="e">
        <f t="shared" si="339"/>
        <v>#NAME?</v>
      </c>
      <c r="CE475" s="413" t="e">
        <f t="shared" si="339"/>
        <v>#NAME?</v>
      </c>
      <c r="CF475" s="413" t="e">
        <f t="shared" si="339"/>
        <v>#NAME?</v>
      </c>
      <c r="CG475" s="99"/>
    </row>
    <row r="476" spans="1:85" ht="15" customHeight="1" x14ac:dyDescent="0.25">
      <c r="A476" s="247"/>
      <c r="B476" s="180"/>
      <c r="C476" s="413"/>
      <c r="D476" s="413"/>
      <c r="E476" s="413"/>
      <c r="F476" s="413"/>
      <c r="G476" s="63"/>
      <c r="H476" s="63"/>
      <c r="I476" s="63"/>
      <c r="J476" s="63"/>
      <c r="K476" s="413"/>
      <c r="L476" s="63"/>
      <c r="M476" s="63"/>
      <c r="N476" s="63"/>
      <c r="O476" s="63"/>
      <c r="P476" s="413"/>
      <c r="Q476" s="63"/>
      <c r="R476" s="63"/>
      <c r="S476" s="63"/>
      <c r="T476" s="63"/>
      <c r="U476" s="413"/>
      <c r="V476" s="63"/>
      <c r="W476" s="63"/>
      <c r="X476" s="63"/>
      <c r="Y476" s="63"/>
      <c r="Z476" s="413"/>
      <c r="AA476" s="63"/>
      <c r="AB476" s="63"/>
      <c r="AC476" s="63"/>
      <c r="AD476" s="63"/>
      <c r="AE476" s="413"/>
      <c r="AF476" s="63"/>
      <c r="AG476" s="63"/>
      <c r="AH476" s="63"/>
      <c r="AI476" s="63"/>
      <c r="AJ476" s="413"/>
      <c r="AK476" s="63"/>
      <c r="AL476" s="63"/>
      <c r="AM476" s="63"/>
      <c r="AN476" s="63"/>
      <c r="AO476" s="413"/>
      <c r="AP476" s="63"/>
      <c r="AQ476" s="63"/>
      <c r="AR476" s="63"/>
      <c r="AS476" s="63"/>
      <c r="AT476" s="413"/>
      <c r="AU476" s="63"/>
      <c r="AV476" s="63"/>
      <c r="AW476" s="63"/>
      <c r="AX476" s="63"/>
      <c r="AY476" s="413"/>
      <c r="AZ476" s="63"/>
      <c r="BA476" s="63"/>
      <c r="BB476" s="63"/>
      <c r="BC476" s="63"/>
      <c r="BD476" s="413"/>
      <c r="BE476" s="63"/>
      <c r="BF476" s="63"/>
      <c r="BG476" s="63"/>
      <c r="BH476" s="63"/>
      <c r="BI476" s="413"/>
      <c r="BJ476" s="63"/>
      <c r="BK476" s="63"/>
      <c r="BL476" s="63"/>
      <c r="BM476" s="63"/>
      <c r="BN476" s="413"/>
      <c r="BO476" s="63"/>
      <c r="BP476" s="63"/>
      <c r="BQ476" s="63"/>
      <c r="BR476" s="63"/>
      <c r="BS476" s="425"/>
      <c r="BT476" s="63"/>
      <c r="BU476" s="63"/>
      <c r="BV476" s="63"/>
      <c r="BW476" s="63"/>
      <c r="BX476" s="413"/>
      <c r="BY476" s="63"/>
      <c r="BZ476" s="63"/>
      <c r="CA476" s="63"/>
      <c r="CB476" s="63"/>
      <c r="CC476" s="413"/>
      <c r="CD476" s="413"/>
      <c r="CE476" s="413"/>
      <c r="CF476" s="413"/>
      <c r="CG476" s="99"/>
    </row>
    <row r="477" spans="1:85" ht="14.45" customHeight="1" x14ac:dyDescent="0.25">
      <c r="A477" s="95" t="s">
        <v>528</v>
      </c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409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109"/>
    </row>
    <row r="478" spans="1:85" ht="15" hidden="1" customHeight="1" x14ac:dyDescent="0.25">
      <c r="A478" s="99" t="s">
        <v>529</v>
      </c>
      <c r="B478" s="180"/>
      <c r="C478" s="467">
        <f t="shared" ref="C478:AH478" si="340">C657</f>
        <v>113.20599999999999</v>
      </c>
      <c r="D478" s="467">
        <f t="shared" si="340"/>
        <v>106.774</v>
      </c>
      <c r="E478" s="467">
        <f t="shared" si="340"/>
        <v>106.032</v>
      </c>
      <c r="F478" s="467">
        <f t="shared" si="340"/>
        <v>104.80800000000001</v>
      </c>
      <c r="G478" s="99">
        <f t="shared" si="340"/>
        <v>20.423999999999999</v>
      </c>
      <c r="H478" s="99">
        <f t="shared" si="340"/>
        <v>28.185000000000002</v>
      </c>
      <c r="I478" s="99">
        <f t="shared" si="340"/>
        <v>32.499000000000009</v>
      </c>
      <c r="J478" s="99">
        <f t="shared" si="340"/>
        <v>16.023999999999997</v>
      </c>
      <c r="K478" s="467">
        <f t="shared" si="340"/>
        <v>97.132000000000005</v>
      </c>
      <c r="L478" s="99">
        <f t="shared" si="340"/>
        <v>18.905000000000005</v>
      </c>
      <c r="M478" s="99">
        <f t="shared" si="340"/>
        <v>31.606999999999999</v>
      </c>
      <c r="N478" s="99">
        <f t="shared" si="340"/>
        <v>30.530999999999992</v>
      </c>
      <c r="O478" s="99">
        <f t="shared" si="340"/>
        <v>27.053000000000004</v>
      </c>
      <c r="P478" s="467">
        <f t="shared" si="340"/>
        <v>108.096</v>
      </c>
      <c r="Q478" s="99">
        <f t="shared" si="340"/>
        <v>27.642000000000003</v>
      </c>
      <c r="R478" s="99">
        <f t="shared" si="340"/>
        <v>34.786999999999978</v>
      </c>
      <c r="S478" s="99">
        <f t="shared" si="340"/>
        <v>31.325999999999993</v>
      </c>
      <c r="T478" s="99">
        <f t="shared" si="340"/>
        <v>43.303000000000004</v>
      </c>
      <c r="U478" s="467">
        <f t="shared" si="340"/>
        <v>137.05799999999996</v>
      </c>
      <c r="V478" s="99">
        <f t="shared" si="340"/>
        <v>30.074999999999999</v>
      </c>
      <c r="W478" s="99">
        <f t="shared" si="340"/>
        <v>69.011999999999986</v>
      </c>
      <c r="X478" s="99">
        <f t="shared" si="340"/>
        <v>58.658000000000008</v>
      </c>
      <c r="Y478" s="99">
        <f t="shared" si="340"/>
        <v>69.573000000000008</v>
      </c>
      <c r="Z478" s="467">
        <f t="shared" si="340"/>
        <v>227.31800000000001</v>
      </c>
      <c r="AA478" s="99">
        <f t="shared" si="340"/>
        <v>117.53200000000001</v>
      </c>
      <c r="AB478" s="99">
        <f t="shared" si="340"/>
        <v>60.324999999999989</v>
      </c>
      <c r="AC478" s="99">
        <f t="shared" si="340"/>
        <v>60.741000000000007</v>
      </c>
      <c r="AD478" s="99">
        <f t="shared" si="340"/>
        <v>87.974999999999994</v>
      </c>
      <c r="AE478" s="467">
        <f t="shared" si="340"/>
        <v>326.57300000000004</v>
      </c>
      <c r="AF478" s="99">
        <f t="shared" si="340"/>
        <v>16.071000000000002</v>
      </c>
      <c r="AG478" s="99">
        <f t="shared" si="340"/>
        <v>55.960999999999999</v>
      </c>
      <c r="AH478" s="99">
        <f t="shared" si="340"/>
        <v>92.457000000000022</v>
      </c>
      <c r="AI478" s="99">
        <f t="shared" ref="AI478:BN478" si="341">AI657</f>
        <v>51.552000000000007</v>
      </c>
      <c r="AJ478" s="467">
        <f t="shared" si="341"/>
        <v>216.04100000000003</v>
      </c>
      <c r="AK478" s="99">
        <f t="shared" si="341"/>
        <v>55.515999999999991</v>
      </c>
      <c r="AL478" s="99">
        <f t="shared" si="341"/>
        <v>102.61300000000003</v>
      </c>
      <c r="AM478" s="99">
        <f t="shared" si="341"/>
        <v>85.524999999999991</v>
      </c>
      <c r="AN478" s="99">
        <f t="shared" si="341"/>
        <v>70.398999999999987</v>
      </c>
      <c r="AO478" s="467">
        <f t="shared" si="341"/>
        <v>314.053</v>
      </c>
      <c r="AP478" s="99">
        <f t="shared" si="341"/>
        <v>66.492999999999995</v>
      </c>
      <c r="AQ478" s="99">
        <f t="shared" si="341"/>
        <v>118.307</v>
      </c>
      <c r="AR478" s="99">
        <f t="shared" si="341"/>
        <v>116.71700000000001</v>
      </c>
      <c r="AS478" s="99">
        <f t="shared" si="341"/>
        <v>114.87600000000003</v>
      </c>
      <c r="AT478" s="467">
        <f t="shared" si="341"/>
        <v>416.39300000000003</v>
      </c>
      <c r="AU478" s="99">
        <f t="shared" si="341"/>
        <v>129.70500000000001</v>
      </c>
      <c r="AV478" s="99">
        <f t="shared" si="341"/>
        <v>125.20100000000002</v>
      </c>
      <c r="AW478" s="99">
        <f t="shared" si="341"/>
        <v>141.97300000000001</v>
      </c>
      <c r="AX478" s="99">
        <f t="shared" si="341"/>
        <v>102.00599999999999</v>
      </c>
      <c r="AY478" s="467">
        <f t="shared" si="341"/>
        <v>498.88499999999993</v>
      </c>
      <c r="AZ478" s="99">
        <f t="shared" si="341"/>
        <v>165.01999999999998</v>
      </c>
      <c r="BA478" s="99">
        <f t="shared" si="341"/>
        <v>125.36800000000001</v>
      </c>
      <c r="BB478" s="99">
        <f t="shared" si="341"/>
        <v>166.47300000000004</v>
      </c>
      <c r="BC478" s="99">
        <f t="shared" si="341"/>
        <v>174.08</v>
      </c>
      <c r="BD478" s="467">
        <f t="shared" si="341"/>
        <v>630.94100000000003</v>
      </c>
      <c r="BE478" s="99">
        <f t="shared" si="341"/>
        <v>246.66800000000001</v>
      </c>
      <c r="BF478" s="99">
        <f t="shared" si="341"/>
        <v>184.68799999999999</v>
      </c>
      <c r="BG478" s="99">
        <f t="shared" si="341"/>
        <v>207.33699999999993</v>
      </c>
      <c r="BH478" s="99">
        <f t="shared" si="341"/>
        <v>177.94900000000001</v>
      </c>
      <c r="BI478" s="467">
        <f t="shared" si="341"/>
        <v>816.64200000000017</v>
      </c>
      <c r="BJ478" s="99">
        <f t="shared" si="341"/>
        <v>264.488</v>
      </c>
      <c r="BK478" s="99">
        <f t="shared" si="341"/>
        <v>195.96899999999994</v>
      </c>
      <c r="BL478" s="99">
        <f t="shared" si="341"/>
        <v>215.32299999999998</v>
      </c>
      <c r="BM478" s="99">
        <f t="shared" si="341"/>
        <v>218.30899999999997</v>
      </c>
      <c r="BN478" s="467">
        <f t="shared" si="341"/>
        <v>894.08899999999994</v>
      </c>
      <c r="BO478" s="99">
        <f t="shared" ref="BO478:CF478" si="342">BO657</f>
        <v>237.19400000000002</v>
      </c>
      <c r="BP478" s="99">
        <f t="shared" si="342"/>
        <v>200.88200000000001</v>
      </c>
      <c r="BQ478" s="99">
        <f t="shared" si="342"/>
        <v>265.37600000000003</v>
      </c>
      <c r="BR478" s="99">
        <f t="shared" si="342"/>
        <v>235.255</v>
      </c>
      <c r="BS478" s="468">
        <f t="shared" si="342"/>
        <v>938.70699999999988</v>
      </c>
      <c r="BT478" s="63">
        <f t="shared" si="342"/>
        <v>189.81891324460264</v>
      </c>
      <c r="BU478" s="63">
        <f t="shared" si="342"/>
        <v>238.10049316385741</v>
      </c>
      <c r="BV478" s="63">
        <f t="shared" si="342"/>
        <v>245.58073820408799</v>
      </c>
      <c r="BW478" s="63">
        <f t="shared" si="342"/>
        <v>243.73683883042401</v>
      </c>
      <c r="BX478" s="413">
        <f t="shared" si="342"/>
        <v>917.23698344297202</v>
      </c>
      <c r="BY478" s="63">
        <f t="shared" si="342"/>
        <v>212.74475701871248</v>
      </c>
      <c r="BZ478" s="63">
        <f t="shared" si="342"/>
        <v>242.58268459810282</v>
      </c>
      <c r="CA478" s="63">
        <f t="shared" si="342"/>
        <v>250.07906845153417</v>
      </c>
      <c r="CB478" s="63">
        <f t="shared" si="342"/>
        <v>248.05218457202886</v>
      </c>
      <c r="CC478" s="413">
        <f t="shared" si="342"/>
        <v>953.45869464037833</v>
      </c>
      <c r="CD478" s="413">
        <f t="shared" si="342"/>
        <v>972.67618796854754</v>
      </c>
      <c r="CE478" s="413">
        <f t="shared" si="342"/>
        <v>989.60656396729996</v>
      </c>
      <c r="CF478" s="413">
        <f t="shared" si="342"/>
        <v>1005.5097552892901</v>
      </c>
      <c r="CG478" s="99"/>
    </row>
    <row r="479" spans="1:85" ht="15" hidden="1" customHeight="1" x14ac:dyDescent="0.25">
      <c r="A479" s="194" t="s">
        <v>530</v>
      </c>
      <c r="B479" s="190"/>
      <c r="C479" s="415">
        <f t="shared" ref="C479:AH479" si="343">C480-C478</f>
        <v>-33.703000000000003</v>
      </c>
      <c r="D479" s="415">
        <f t="shared" si="343"/>
        <v>2.9819999999999993</v>
      </c>
      <c r="E479" s="415">
        <f t="shared" si="343"/>
        <v>3.617999999999995</v>
      </c>
      <c r="F479" s="415">
        <f t="shared" si="343"/>
        <v>-21.635999999999996</v>
      </c>
      <c r="G479" s="158">
        <f t="shared" si="343"/>
        <v>-34.21</v>
      </c>
      <c r="H479" s="158">
        <f t="shared" si="343"/>
        <v>10.649999999999991</v>
      </c>
      <c r="I479" s="158">
        <f t="shared" si="343"/>
        <v>17.425000000000004</v>
      </c>
      <c r="J479" s="158">
        <f t="shared" si="343"/>
        <v>5.3769999999999989</v>
      </c>
      <c r="K479" s="415">
        <f t="shared" si="343"/>
        <v>-0.75799999999999557</v>
      </c>
      <c r="L479" s="158">
        <f t="shared" si="343"/>
        <v>-26.213000000000001</v>
      </c>
      <c r="M479" s="158">
        <f t="shared" si="343"/>
        <v>-12.542000000000002</v>
      </c>
      <c r="N479" s="158">
        <f t="shared" si="343"/>
        <v>7.68</v>
      </c>
      <c r="O479" s="158">
        <f t="shared" si="343"/>
        <v>14.882000000000005</v>
      </c>
      <c r="P479" s="415">
        <f t="shared" si="343"/>
        <v>-16.192999999999998</v>
      </c>
      <c r="Q479" s="158">
        <f t="shared" si="343"/>
        <v>-29.437000000000001</v>
      </c>
      <c r="R479" s="158">
        <f t="shared" si="343"/>
        <v>-2.4000000000000909E-2</v>
      </c>
      <c r="S479" s="158">
        <f t="shared" si="343"/>
        <v>8.188999999999993</v>
      </c>
      <c r="T479" s="158">
        <f t="shared" si="343"/>
        <v>-7.4960000000000022</v>
      </c>
      <c r="U479" s="415">
        <f t="shared" si="343"/>
        <v>-28.768000000000001</v>
      </c>
      <c r="V479" s="158">
        <f t="shared" si="343"/>
        <v>-45.292000000000002</v>
      </c>
      <c r="W479" s="158">
        <f t="shared" si="343"/>
        <v>7.402000000000001</v>
      </c>
      <c r="X479" s="158">
        <f t="shared" si="343"/>
        <v>8.2699999999999889</v>
      </c>
      <c r="Y479" s="158">
        <f t="shared" si="343"/>
        <v>-35.703000000000003</v>
      </c>
      <c r="Z479" s="415">
        <f t="shared" si="343"/>
        <v>-65.322999999999979</v>
      </c>
      <c r="AA479" s="158">
        <f t="shared" si="343"/>
        <v>-1.01400000000001</v>
      </c>
      <c r="AB479" s="158">
        <f t="shared" si="343"/>
        <v>2.1280000000000072</v>
      </c>
      <c r="AC479" s="158">
        <f t="shared" si="343"/>
        <v>-37.286999999999999</v>
      </c>
      <c r="AD479" s="158">
        <f t="shared" si="343"/>
        <v>17.415999999999997</v>
      </c>
      <c r="AE479" s="415">
        <f t="shared" si="343"/>
        <v>-18.757000000000005</v>
      </c>
      <c r="AF479" s="158">
        <f t="shared" si="343"/>
        <v>-96.817000000000007</v>
      </c>
      <c r="AG479" s="158">
        <f t="shared" si="343"/>
        <v>82.027000000000001</v>
      </c>
      <c r="AH479" s="158">
        <f t="shared" si="343"/>
        <v>-123.66900000000001</v>
      </c>
      <c r="AI479" s="158">
        <f t="shared" ref="AI479:BN479" si="344">AI480-AI478</f>
        <v>91.296999999999983</v>
      </c>
      <c r="AJ479" s="415">
        <f t="shared" si="344"/>
        <v>-47.162000000000006</v>
      </c>
      <c r="AK479" s="158">
        <f t="shared" si="344"/>
        <v>-49.92</v>
      </c>
      <c r="AL479" s="158">
        <f t="shared" si="344"/>
        <v>-19.623000000000005</v>
      </c>
      <c r="AM479" s="158">
        <f t="shared" si="344"/>
        <v>30.471999999999994</v>
      </c>
      <c r="AN479" s="158">
        <f t="shared" si="344"/>
        <v>15.387999999999991</v>
      </c>
      <c r="AO479" s="415">
        <f t="shared" si="344"/>
        <v>-23.682999999999936</v>
      </c>
      <c r="AP479" s="158">
        <f t="shared" si="344"/>
        <v>-34.204000000000001</v>
      </c>
      <c r="AQ479" s="158">
        <f t="shared" si="344"/>
        <v>78.407000000000025</v>
      </c>
      <c r="AR479" s="158">
        <f t="shared" si="344"/>
        <v>30.680999999999983</v>
      </c>
      <c r="AS479" s="158">
        <f t="shared" si="344"/>
        <v>3.1839999999999833</v>
      </c>
      <c r="AT479" s="415">
        <f t="shared" si="344"/>
        <v>78.067999999999984</v>
      </c>
      <c r="AU479" s="158">
        <f t="shared" si="344"/>
        <v>-47.795000000000002</v>
      </c>
      <c r="AV479" s="158">
        <f t="shared" si="344"/>
        <v>64.274000000000001</v>
      </c>
      <c r="AW479" s="158">
        <f t="shared" si="344"/>
        <v>26.516999999999996</v>
      </c>
      <c r="AX479" s="158">
        <f t="shared" si="344"/>
        <v>-20.126000000000019</v>
      </c>
      <c r="AY479" s="415">
        <f t="shared" si="344"/>
        <v>22.870000000000061</v>
      </c>
      <c r="AZ479" s="158">
        <f t="shared" si="344"/>
        <v>-34.13900000000001</v>
      </c>
      <c r="BA479" s="158">
        <f t="shared" si="344"/>
        <v>-12.713999999999999</v>
      </c>
      <c r="BB479" s="158">
        <f t="shared" si="344"/>
        <v>-15.699000000000012</v>
      </c>
      <c r="BC479" s="158">
        <f t="shared" si="344"/>
        <v>-13.88300000000001</v>
      </c>
      <c r="BD479" s="415">
        <f t="shared" si="344"/>
        <v>-76.434999999999945</v>
      </c>
      <c r="BE479" s="158">
        <f t="shared" si="344"/>
        <v>-61.974000000000018</v>
      </c>
      <c r="BF479" s="158">
        <f t="shared" si="344"/>
        <v>13.955999999999989</v>
      </c>
      <c r="BG479" s="158">
        <f t="shared" si="344"/>
        <v>53.874000000000024</v>
      </c>
      <c r="BH479" s="158">
        <f t="shared" si="344"/>
        <v>-11.807999999999993</v>
      </c>
      <c r="BI479" s="415">
        <f t="shared" si="344"/>
        <v>-5.9519999999999982</v>
      </c>
      <c r="BJ479" s="158">
        <f t="shared" si="344"/>
        <v>-70.215000000000003</v>
      </c>
      <c r="BK479" s="158">
        <f t="shared" si="344"/>
        <v>46.88900000000001</v>
      </c>
      <c r="BL479" s="158">
        <f t="shared" si="344"/>
        <v>55.438999999999965</v>
      </c>
      <c r="BM479" s="158">
        <f t="shared" si="344"/>
        <v>-49.844999999999999</v>
      </c>
      <c r="BN479" s="415">
        <f t="shared" si="344"/>
        <v>-17.731999999999971</v>
      </c>
      <c r="BO479" s="158">
        <f t="shared" ref="BO479:CF479" si="345">BO480-BO478</f>
        <v>-39.022999999999996</v>
      </c>
      <c r="BP479" s="158">
        <f t="shared" si="345"/>
        <v>7.1680000000000064</v>
      </c>
      <c r="BQ479" s="158">
        <f t="shared" si="345"/>
        <v>51.315999999999974</v>
      </c>
      <c r="BR479" s="158">
        <f t="shared" si="345"/>
        <v>-26.26400000000001</v>
      </c>
      <c r="BS479" s="470">
        <f t="shared" si="345"/>
        <v>-6.8029999999999973</v>
      </c>
      <c r="BT479" s="158">
        <f t="shared" si="345"/>
        <v>8.6722813209217406</v>
      </c>
      <c r="BU479" s="158">
        <f t="shared" si="345"/>
        <v>14.408916732030946</v>
      </c>
      <c r="BV479" s="158">
        <f t="shared" si="345"/>
        <v>-23.691738371063195</v>
      </c>
      <c r="BW479" s="158">
        <f t="shared" si="345"/>
        <v>-10.395422210265053</v>
      </c>
      <c r="BX479" s="415">
        <f t="shared" si="345"/>
        <v>-11.005962528375562</v>
      </c>
      <c r="BY479" s="158">
        <f t="shared" si="345"/>
        <v>8.8453803365855492</v>
      </c>
      <c r="BZ479" s="158">
        <f t="shared" si="345"/>
        <v>16.183008887275349</v>
      </c>
      <c r="CA479" s="158">
        <f t="shared" si="345"/>
        <v>-20.137157672528417</v>
      </c>
      <c r="CB479" s="158">
        <f t="shared" si="345"/>
        <v>-9.772695571970587</v>
      </c>
      <c r="CC479" s="415">
        <f t="shared" si="345"/>
        <v>-4.881464020638191</v>
      </c>
      <c r="CD479" s="415">
        <f t="shared" si="345"/>
        <v>-5.8120313953446612</v>
      </c>
      <c r="CE479" s="415">
        <f t="shared" si="345"/>
        <v>-5.9062899375735469</v>
      </c>
      <c r="CF479" s="415">
        <f t="shared" si="345"/>
        <v>-6.0023237402184577</v>
      </c>
      <c r="CG479" s="99"/>
    </row>
    <row r="480" spans="1:85" ht="15" customHeight="1" x14ac:dyDescent="0.25">
      <c r="A480" s="111" t="s">
        <v>531</v>
      </c>
      <c r="B480" s="211"/>
      <c r="C480" s="423">
        <f t="shared" ref="C480:AH480" si="346">C664</f>
        <v>79.502999999999986</v>
      </c>
      <c r="D480" s="423">
        <f t="shared" si="346"/>
        <v>109.756</v>
      </c>
      <c r="E480" s="423">
        <f t="shared" si="346"/>
        <v>109.64999999999999</v>
      </c>
      <c r="F480" s="423">
        <f t="shared" si="346"/>
        <v>83.172000000000011</v>
      </c>
      <c r="G480" s="112">
        <f t="shared" si="346"/>
        <v>-13.786000000000001</v>
      </c>
      <c r="H480" s="112">
        <f t="shared" si="346"/>
        <v>38.834999999999994</v>
      </c>
      <c r="I480" s="112">
        <f t="shared" si="346"/>
        <v>49.924000000000014</v>
      </c>
      <c r="J480" s="112">
        <f t="shared" si="346"/>
        <v>21.400999999999996</v>
      </c>
      <c r="K480" s="423">
        <f t="shared" si="346"/>
        <v>96.374000000000009</v>
      </c>
      <c r="L480" s="112">
        <f t="shared" si="346"/>
        <v>-7.3079999999999945</v>
      </c>
      <c r="M480" s="112">
        <f t="shared" si="346"/>
        <v>19.064999999999998</v>
      </c>
      <c r="N480" s="112">
        <f t="shared" si="346"/>
        <v>38.210999999999991</v>
      </c>
      <c r="O480" s="112">
        <f t="shared" si="346"/>
        <v>41.935000000000009</v>
      </c>
      <c r="P480" s="423">
        <f t="shared" si="346"/>
        <v>91.903000000000006</v>
      </c>
      <c r="Q480" s="112">
        <f t="shared" si="346"/>
        <v>-1.7949999999999968</v>
      </c>
      <c r="R480" s="112">
        <f t="shared" si="346"/>
        <v>34.762999999999977</v>
      </c>
      <c r="S480" s="112">
        <f t="shared" si="346"/>
        <v>39.514999999999986</v>
      </c>
      <c r="T480" s="112">
        <f t="shared" si="346"/>
        <v>35.807000000000002</v>
      </c>
      <c r="U480" s="423">
        <f t="shared" si="346"/>
        <v>108.28999999999996</v>
      </c>
      <c r="V480" s="112">
        <f t="shared" si="346"/>
        <v>-15.217000000000002</v>
      </c>
      <c r="W480" s="112">
        <f t="shared" si="346"/>
        <v>76.413999999999987</v>
      </c>
      <c r="X480" s="112">
        <f t="shared" si="346"/>
        <v>66.927999999999997</v>
      </c>
      <c r="Y480" s="112">
        <f t="shared" si="346"/>
        <v>33.870000000000005</v>
      </c>
      <c r="Z480" s="423">
        <f t="shared" si="346"/>
        <v>161.99500000000003</v>
      </c>
      <c r="AA480" s="112">
        <f t="shared" si="346"/>
        <v>116.518</v>
      </c>
      <c r="AB480" s="112">
        <f t="shared" si="346"/>
        <v>62.452999999999996</v>
      </c>
      <c r="AC480" s="112">
        <f t="shared" si="346"/>
        <v>23.454000000000008</v>
      </c>
      <c r="AD480" s="112">
        <f t="shared" si="346"/>
        <v>105.39099999999999</v>
      </c>
      <c r="AE480" s="423">
        <f t="shared" si="346"/>
        <v>307.81600000000003</v>
      </c>
      <c r="AF480" s="112">
        <f t="shared" si="346"/>
        <v>-80.746000000000009</v>
      </c>
      <c r="AG480" s="112">
        <f t="shared" si="346"/>
        <v>137.988</v>
      </c>
      <c r="AH480" s="112">
        <f t="shared" si="346"/>
        <v>-31.211999999999989</v>
      </c>
      <c r="AI480" s="112">
        <f t="shared" ref="AI480:BN480" si="347">AI664</f>
        <v>142.84899999999999</v>
      </c>
      <c r="AJ480" s="423">
        <f t="shared" si="347"/>
        <v>168.87900000000002</v>
      </c>
      <c r="AK480" s="112">
        <f t="shared" si="347"/>
        <v>5.5959999999999877</v>
      </c>
      <c r="AL480" s="112">
        <f t="shared" si="347"/>
        <v>82.990000000000023</v>
      </c>
      <c r="AM480" s="112">
        <f t="shared" si="347"/>
        <v>115.99699999999999</v>
      </c>
      <c r="AN480" s="112">
        <f t="shared" si="347"/>
        <v>85.786999999999978</v>
      </c>
      <c r="AO480" s="423">
        <f t="shared" si="347"/>
        <v>290.37000000000006</v>
      </c>
      <c r="AP480" s="112">
        <f t="shared" si="347"/>
        <v>32.288999999999994</v>
      </c>
      <c r="AQ480" s="112">
        <f t="shared" si="347"/>
        <v>196.71400000000003</v>
      </c>
      <c r="AR480" s="112">
        <f t="shared" si="347"/>
        <v>147.398</v>
      </c>
      <c r="AS480" s="112">
        <f t="shared" si="347"/>
        <v>118.06000000000002</v>
      </c>
      <c r="AT480" s="423">
        <f t="shared" si="347"/>
        <v>494.46100000000001</v>
      </c>
      <c r="AU480" s="112">
        <f t="shared" si="347"/>
        <v>81.910000000000011</v>
      </c>
      <c r="AV480" s="112">
        <f t="shared" si="347"/>
        <v>189.47500000000002</v>
      </c>
      <c r="AW480" s="112">
        <f t="shared" si="347"/>
        <v>168.49</v>
      </c>
      <c r="AX480" s="112">
        <f t="shared" si="347"/>
        <v>81.879999999999967</v>
      </c>
      <c r="AY480" s="423">
        <f t="shared" si="347"/>
        <v>521.755</v>
      </c>
      <c r="AZ480" s="112">
        <f t="shared" si="347"/>
        <v>130.88099999999997</v>
      </c>
      <c r="BA480" s="112">
        <f t="shared" si="347"/>
        <v>112.65400000000001</v>
      </c>
      <c r="BB480" s="112">
        <f t="shared" si="347"/>
        <v>150.77400000000003</v>
      </c>
      <c r="BC480" s="112">
        <f t="shared" si="347"/>
        <v>160.197</v>
      </c>
      <c r="BD480" s="423">
        <f t="shared" si="347"/>
        <v>554.50600000000009</v>
      </c>
      <c r="BE480" s="112">
        <f t="shared" si="347"/>
        <v>184.69399999999999</v>
      </c>
      <c r="BF480" s="112">
        <f t="shared" si="347"/>
        <v>198.64399999999998</v>
      </c>
      <c r="BG480" s="112">
        <f t="shared" si="347"/>
        <v>261.21099999999996</v>
      </c>
      <c r="BH480" s="112">
        <f t="shared" si="347"/>
        <v>166.14100000000002</v>
      </c>
      <c r="BI480" s="423">
        <f t="shared" si="347"/>
        <v>810.69000000000017</v>
      </c>
      <c r="BJ480" s="112">
        <f t="shared" si="347"/>
        <v>194.273</v>
      </c>
      <c r="BK480" s="112">
        <f t="shared" si="347"/>
        <v>242.85799999999995</v>
      </c>
      <c r="BL480" s="112">
        <f t="shared" si="347"/>
        <v>270.76199999999994</v>
      </c>
      <c r="BM480" s="112">
        <f t="shared" si="347"/>
        <v>168.46399999999997</v>
      </c>
      <c r="BN480" s="423">
        <f t="shared" si="347"/>
        <v>876.35699999999997</v>
      </c>
      <c r="BO480" s="112">
        <f t="shared" ref="BO480:CF480" si="348">BO664</f>
        <v>198.17100000000002</v>
      </c>
      <c r="BP480" s="112">
        <f t="shared" si="348"/>
        <v>208.05</v>
      </c>
      <c r="BQ480" s="112">
        <f t="shared" si="348"/>
        <v>316.69200000000001</v>
      </c>
      <c r="BR480" s="112">
        <f t="shared" si="348"/>
        <v>208.99099999999999</v>
      </c>
      <c r="BS480" s="424">
        <f t="shared" si="348"/>
        <v>931.90399999999988</v>
      </c>
      <c r="BT480" s="112">
        <f t="shared" si="348"/>
        <v>198.49119456552438</v>
      </c>
      <c r="BU480" s="112">
        <f t="shared" si="348"/>
        <v>252.50940989588835</v>
      </c>
      <c r="BV480" s="112">
        <f t="shared" si="348"/>
        <v>221.8889998330248</v>
      </c>
      <c r="BW480" s="112">
        <f t="shared" si="348"/>
        <v>233.34141662015895</v>
      </c>
      <c r="BX480" s="423">
        <f t="shared" si="348"/>
        <v>906.23102091459646</v>
      </c>
      <c r="BY480" s="112">
        <f t="shared" si="348"/>
        <v>221.59013735529803</v>
      </c>
      <c r="BZ480" s="112">
        <f t="shared" si="348"/>
        <v>258.76569348537816</v>
      </c>
      <c r="CA480" s="112">
        <f t="shared" si="348"/>
        <v>229.94191077900575</v>
      </c>
      <c r="CB480" s="112">
        <f t="shared" si="348"/>
        <v>238.27948900005828</v>
      </c>
      <c r="CC480" s="423">
        <f t="shared" si="348"/>
        <v>948.57723061974013</v>
      </c>
      <c r="CD480" s="423">
        <f t="shared" si="348"/>
        <v>966.86415657320288</v>
      </c>
      <c r="CE480" s="423">
        <f t="shared" si="348"/>
        <v>983.70027402972642</v>
      </c>
      <c r="CF480" s="423">
        <f t="shared" si="348"/>
        <v>999.50743154907161</v>
      </c>
      <c r="CG480" s="99"/>
    </row>
    <row r="481" spans="1:85" ht="14.45" hidden="1" customHeight="1" x14ac:dyDescent="0.25">
      <c r="A481" s="265" t="s">
        <v>532</v>
      </c>
      <c r="B481" s="166"/>
      <c r="C481" s="560">
        <f t="shared" ref="C481:AH481" si="349">C478/C447</f>
        <v>1.2309013808850711</v>
      </c>
      <c r="D481" s="560">
        <f t="shared" si="349"/>
        <v>1.1579438238802733</v>
      </c>
      <c r="E481" s="475">
        <f t="shared" si="349"/>
        <v>1.1470359151882301</v>
      </c>
      <c r="F481" s="475">
        <f t="shared" si="349"/>
        <v>1.1311029570472697</v>
      </c>
      <c r="G481" s="168">
        <f t="shared" si="349"/>
        <v>0.2201811125485123</v>
      </c>
      <c r="H481" s="168">
        <f t="shared" si="349"/>
        <v>0.30339074273412275</v>
      </c>
      <c r="I481" s="168">
        <f t="shared" si="349"/>
        <v>0.34982777179763197</v>
      </c>
      <c r="J481" s="168">
        <f t="shared" si="349"/>
        <v>0.17323243243243241</v>
      </c>
      <c r="K481" s="475">
        <f t="shared" si="349"/>
        <v>1.0460047383157443</v>
      </c>
      <c r="L481" s="168">
        <f t="shared" si="349"/>
        <v>0.20336703958691918</v>
      </c>
      <c r="M481" s="168">
        <f t="shared" si="349"/>
        <v>0.33945870475781331</v>
      </c>
      <c r="N481" s="168">
        <f t="shared" si="349"/>
        <v>0.32790248093652657</v>
      </c>
      <c r="O481" s="168">
        <f t="shared" si="349"/>
        <v>0.29054881323166154</v>
      </c>
      <c r="P481" s="475">
        <f t="shared" si="349"/>
        <v>1.1614483721929729</v>
      </c>
      <c r="Q481" s="168">
        <f t="shared" si="349"/>
        <v>0.2966834818074488</v>
      </c>
      <c r="R481" s="168">
        <f t="shared" si="349"/>
        <v>0.37277111015859382</v>
      </c>
      <c r="S481" s="168">
        <f t="shared" si="349"/>
        <v>0.335683669095585</v>
      </c>
      <c r="T481" s="168">
        <f t="shared" si="349"/>
        <v>0.46402700385769396</v>
      </c>
      <c r="U481" s="475">
        <f t="shared" si="349"/>
        <v>1.4693181818181815</v>
      </c>
      <c r="V481" s="168">
        <f t="shared" si="349"/>
        <v>0.3234566573456657</v>
      </c>
      <c r="W481" s="168">
        <f t="shared" si="349"/>
        <v>0.73785951031754504</v>
      </c>
      <c r="X481" s="168">
        <f t="shared" si="349"/>
        <v>0.6271570619052711</v>
      </c>
      <c r="Y481" s="168">
        <f t="shared" si="349"/>
        <v>0.7438575858013472</v>
      </c>
      <c r="Z481" s="475">
        <f t="shared" si="349"/>
        <v>2.4314686062680502</v>
      </c>
      <c r="AA481" s="168">
        <f t="shared" si="349"/>
        <v>1.26120828415066</v>
      </c>
      <c r="AB481" s="168">
        <f t="shared" si="349"/>
        <v>0.64353531043311263</v>
      </c>
      <c r="AC481" s="168">
        <f t="shared" si="349"/>
        <v>0.64797311713249417</v>
      </c>
      <c r="AD481" s="168">
        <f t="shared" si="349"/>
        <v>0.93850010667804551</v>
      </c>
      <c r="AE481" s="475">
        <f t="shared" si="349"/>
        <v>3.4856761660796249</v>
      </c>
      <c r="AF481" s="168">
        <f t="shared" si="349"/>
        <v>0.17206638115631692</v>
      </c>
      <c r="AG481" s="168">
        <f t="shared" si="349"/>
        <v>0.59825742997648068</v>
      </c>
      <c r="AH481" s="168">
        <f t="shared" si="349"/>
        <v>0.98306220095693808</v>
      </c>
      <c r="AI481" s="168">
        <f t="shared" ref="AI481:BN481" si="350">AI478/AI447</f>
        <v>0.55112251443232851</v>
      </c>
      <c r="AJ481" s="475">
        <f t="shared" si="350"/>
        <v>2.3105989304812837</v>
      </c>
      <c r="AK481" s="168">
        <f t="shared" si="350"/>
        <v>0.59311965811965806</v>
      </c>
      <c r="AL481" s="168">
        <f t="shared" si="350"/>
        <v>1.0891943530410788</v>
      </c>
      <c r="AM481" s="168">
        <f t="shared" si="350"/>
        <v>0.90858387336662061</v>
      </c>
      <c r="AN481" s="168">
        <f t="shared" si="350"/>
        <v>0.75108289768483938</v>
      </c>
      <c r="AO481" s="475">
        <f t="shared" si="350"/>
        <v>3.3349580545821387</v>
      </c>
      <c r="AP481" s="168">
        <f t="shared" si="350"/>
        <v>0.70407666243117306</v>
      </c>
      <c r="AQ481" s="168">
        <f t="shared" si="350"/>
        <v>1.2532521186440679</v>
      </c>
      <c r="AR481" s="168">
        <f t="shared" si="350"/>
        <v>1.2377200424178156</v>
      </c>
      <c r="AS481" s="168">
        <f t="shared" si="350"/>
        <v>1.2214354066985649</v>
      </c>
      <c r="AT481" s="475">
        <f t="shared" si="350"/>
        <v>4.4170255648668721</v>
      </c>
      <c r="AU481" s="168">
        <f t="shared" si="350"/>
        <v>1.378520565416091</v>
      </c>
      <c r="AV481" s="168">
        <f t="shared" si="350"/>
        <v>1.3309344105453389</v>
      </c>
      <c r="AW481" s="168">
        <f t="shared" si="350"/>
        <v>1.5089063662450846</v>
      </c>
      <c r="AX481" s="168">
        <f t="shared" si="350"/>
        <v>1.086441580573011</v>
      </c>
      <c r="AY481" s="475">
        <f t="shared" si="350"/>
        <v>5.3072872340425521</v>
      </c>
      <c r="AZ481" s="168">
        <f t="shared" si="350"/>
        <v>1.7562792677735204</v>
      </c>
      <c r="BA481" s="168">
        <f t="shared" si="350"/>
        <v>1.3338440259602087</v>
      </c>
      <c r="BB481" s="168">
        <f t="shared" si="350"/>
        <v>1.7698596640442275</v>
      </c>
      <c r="BC481" s="168">
        <f t="shared" si="350"/>
        <v>1.8536897029070389</v>
      </c>
      <c r="BD481" s="475">
        <f t="shared" si="350"/>
        <v>6.7085699096225415</v>
      </c>
      <c r="BE481" s="168">
        <f t="shared" si="350"/>
        <v>2.6255242150079834</v>
      </c>
      <c r="BF481" s="168">
        <f t="shared" si="350"/>
        <v>1.9656023839931882</v>
      </c>
      <c r="BG481" s="168">
        <f t="shared" si="350"/>
        <v>2.2068866418307604</v>
      </c>
      <c r="BH481" s="168">
        <f t="shared" si="350"/>
        <v>1.8963022165387895</v>
      </c>
      <c r="BI481" s="475">
        <f t="shared" si="350"/>
        <v>8.6950809199318595</v>
      </c>
      <c r="BJ481" s="168">
        <f t="shared" si="350"/>
        <v>2.8175988068605515</v>
      </c>
      <c r="BK481" s="168">
        <f t="shared" si="350"/>
        <v>2.1024460894753778</v>
      </c>
      <c r="BL481" s="168">
        <f t="shared" si="350"/>
        <v>2.454662562699498</v>
      </c>
      <c r="BM481" s="168">
        <f t="shared" si="350"/>
        <v>2.4963865065751856</v>
      </c>
      <c r="BN481" s="475">
        <f t="shared" si="350"/>
        <v>9.876162598033801</v>
      </c>
      <c r="BO481" s="168">
        <f t="shared" ref="BO481:CF481" si="351">BO478/BO447</f>
        <v>2.718244327297731</v>
      </c>
      <c r="BP481" s="168">
        <f t="shared" si="351"/>
        <v>2.3048292162419544</v>
      </c>
      <c r="BQ481" s="168">
        <f t="shared" si="351"/>
        <v>3.0598653260769306</v>
      </c>
      <c r="BR481" s="168">
        <f t="shared" si="351"/>
        <v>3.1479821227854199</v>
      </c>
      <c r="BS481" s="561">
        <f t="shared" si="351"/>
        <v>11.200818547376709</v>
      </c>
      <c r="BT481" s="168" t="e">
        <f t="shared" si="351"/>
        <v>#NAME?</v>
      </c>
      <c r="BU481" s="168" t="e">
        <f t="shared" si="351"/>
        <v>#NAME?</v>
      </c>
      <c r="BV481" s="168" t="e">
        <f t="shared" si="351"/>
        <v>#NAME?</v>
      </c>
      <c r="BW481" s="168" t="e">
        <f t="shared" si="351"/>
        <v>#NAME?</v>
      </c>
      <c r="BX481" s="475" t="e">
        <f t="shared" si="351"/>
        <v>#NAME?</v>
      </c>
      <c r="BY481" s="168" t="e">
        <f t="shared" si="351"/>
        <v>#NAME?</v>
      </c>
      <c r="BZ481" s="168" t="e">
        <f t="shared" si="351"/>
        <v>#NAME?</v>
      </c>
      <c r="CA481" s="168" t="e">
        <f t="shared" si="351"/>
        <v>#NAME?</v>
      </c>
      <c r="CB481" s="168" t="e">
        <f t="shared" si="351"/>
        <v>#NAME?</v>
      </c>
      <c r="CC481" s="475" t="e">
        <f t="shared" si="351"/>
        <v>#NAME?</v>
      </c>
      <c r="CD481" s="475" t="e">
        <f t="shared" si="351"/>
        <v>#NAME?</v>
      </c>
      <c r="CE481" s="475" t="e">
        <f t="shared" si="351"/>
        <v>#NAME?</v>
      </c>
      <c r="CF481" s="475" t="e">
        <f t="shared" si="351"/>
        <v>#NAME?</v>
      </c>
      <c r="CG481" s="167"/>
    </row>
    <row r="482" spans="1:85" ht="14.45" customHeight="1" x14ac:dyDescent="0.25">
      <c r="A482" s="265" t="s">
        <v>533</v>
      </c>
      <c r="B482" s="166"/>
      <c r="C482" s="560">
        <f t="shared" ref="C482:AH482" si="352">C480/C447</f>
        <v>0.86444492769381309</v>
      </c>
      <c r="D482" s="560">
        <f t="shared" si="352"/>
        <v>1.190283049560785</v>
      </c>
      <c r="E482" s="475">
        <f t="shared" si="352"/>
        <v>1.1861748160969277</v>
      </c>
      <c r="F482" s="475">
        <f t="shared" si="352"/>
        <v>0.89760414418303491</v>
      </c>
      <c r="G482" s="168">
        <f t="shared" si="352"/>
        <v>-0.14862009486847783</v>
      </c>
      <c r="H482" s="168">
        <f t="shared" si="352"/>
        <v>0.41803013993541438</v>
      </c>
      <c r="I482" s="168">
        <f t="shared" si="352"/>
        <v>0.53739504843918207</v>
      </c>
      <c r="J482" s="168">
        <f t="shared" si="352"/>
        <v>0.23136216216216213</v>
      </c>
      <c r="K482" s="475">
        <f t="shared" si="352"/>
        <v>1.0378419125565368</v>
      </c>
      <c r="L482" s="168">
        <f t="shared" si="352"/>
        <v>-7.8614457831325243E-2</v>
      </c>
      <c r="M482" s="168">
        <f t="shared" si="352"/>
        <v>0.20475781333906129</v>
      </c>
      <c r="N482" s="168">
        <f t="shared" si="352"/>
        <v>0.41038556546020827</v>
      </c>
      <c r="O482" s="168">
        <f t="shared" si="352"/>
        <v>0.45038126946622287</v>
      </c>
      <c r="P482" s="475">
        <f t="shared" si="352"/>
        <v>0.98746105082196189</v>
      </c>
      <c r="Q482" s="168">
        <f t="shared" si="352"/>
        <v>-1.9265858108833279E-2</v>
      </c>
      <c r="R482" s="168">
        <f t="shared" si="352"/>
        <v>0.3725139305615085</v>
      </c>
      <c r="S482" s="168">
        <f t="shared" si="352"/>
        <v>0.42343549078439757</v>
      </c>
      <c r="T482" s="168">
        <f t="shared" si="352"/>
        <v>0.38370124303471925</v>
      </c>
      <c r="U482" s="475">
        <f t="shared" si="352"/>
        <v>1.160913379073756</v>
      </c>
      <c r="V482" s="168">
        <f t="shared" si="352"/>
        <v>-0.16365885136588515</v>
      </c>
      <c r="W482" s="168">
        <f t="shared" si="352"/>
        <v>0.81699989308243326</v>
      </c>
      <c r="X482" s="168">
        <f t="shared" si="352"/>
        <v>0.7155778894472361</v>
      </c>
      <c r="Y482" s="168">
        <f t="shared" si="352"/>
        <v>0.36212979792579925</v>
      </c>
      <c r="Z482" s="475">
        <f t="shared" si="352"/>
        <v>1.7327521660070597</v>
      </c>
      <c r="AA482" s="168">
        <f t="shared" si="352"/>
        <v>1.2503272883356582</v>
      </c>
      <c r="AB482" s="168">
        <f t="shared" si="352"/>
        <v>0.66623639854917849</v>
      </c>
      <c r="AC482" s="168">
        <f t="shared" si="352"/>
        <v>0.25020268828675063</v>
      </c>
      <c r="AD482" s="168">
        <f t="shared" si="352"/>
        <v>1.1242905909963727</v>
      </c>
      <c r="AE482" s="475">
        <f t="shared" si="352"/>
        <v>3.2854733696232259</v>
      </c>
      <c r="AF482" s="168">
        <f t="shared" si="352"/>
        <v>-0.86451820128479662</v>
      </c>
      <c r="AG482" s="168">
        <f t="shared" si="352"/>
        <v>1.4751763951250803</v>
      </c>
      <c r="AH482" s="168">
        <f t="shared" si="352"/>
        <v>-0.33186602870813386</v>
      </c>
      <c r="AI482" s="168">
        <f t="shared" ref="AI482:BN482" si="353">AI480/AI447</f>
        <v>1.5271434680350653</v>
      </c>
      <c r="AJ482" s="475">
        <f t="shared" si="353"/>
        <v>1.8061925133689842</v>
      </c>
      <c r="AK482" s="168">
        <f t="shared" si="353"/>
        <v>5.978632478632466E-2</v>
      </c>
      <c r="AL482" s="168">
        <f t="shared" si="353"/>
        <v>0.88090436259420479</v>
      </c>
      <c r="AM482" s="168">
        <f t="shared" si="353"/>
        <v>1.2323063847869966</v>
      </c>
      <c r="AN482" s="168">
        <f t="shared" si="353"/>
        <v>0.91525658807212196</v>
      </c>
      <c r="AO482" s="475">
        <f t="shared" si="353"/>
        <v>3.083466071997452</v>
      </c>
      <c r="AP482" s="168">
        <f t="shared" si="353"/>
        <v>0.34189961880559072</v>
      </c>
      <c r="AQ482" s="168">
        <f t="shared" si="353"/>
        <v>2.0838347457627124</v>
      </c>
      <c r="AR482" s="168">
        <f t="shared" si="353"/>
        <v>1.5630752916224815</v>
      </c>
      <c r="AS482" s="168">
        <f t="shared" si="353"/>
        <v>1.255289739500266</v>
      </c>
      <c r="AT482" s="475">
        <f t="shared" si="353"/>
        <v>5.2451575262543759</v>
      </c>
      <c r="AU482" s="168">
        <f t="shared" si="353"/>
        <v>0.87054947390796056</v>
      </c>
      <c r="AV482" s="168">
        <f t="shared" si="353"/>
        <v>2.0141915594769855</v>
      </c>
      <c r="AW482" s="168">
        <f t="shared" si="353"/>
        <v>1.7907322776065469</v>
      </c>
      <c r="AX482" s="168">
        <f t="shared" si="353"/>
        <v>0.87208435403131301</v>
      </c>
      <c r="AY482" s="475">
        <f t="shared" si="353"/>
        <v>5.5505851063829788</v>
      </c>
      <c r="AZ482" s="168">
        <f t="shared" si="353"/>
        <v>1.39294380587484</v>
      </c>
      <c r="BA482" s="168">
        <f t="shared" si="353"/>
        <v>1.1985743164166403</v>
      </c>
      <c r="BB482" s="168">
        <f t="shared" si="353"/>
        <v>1.6029555602806722</v>
      </c>
      <c r="BC482" s="168">
        <f t="shared" si="353"/>
        <v>1.7058566712810139</v>
      </c>
      <c r="BD482" s="475">
        <f t="shared" si="353"/>
        <v>5.895863902179693</v>
      </c>
      <c r="BE482" s="168">
        <f t="shared" si="353"/>
        <v>1.9658754656732305</v>
      </c>
      <c r="BF482" s="168">
        <f t="shared" si="353"/>
        <v>2.1141336739037886</v>
      </c>
      <c r="BG482" s="168">
        <f t="shared" si="353"/>
        <v>2.7803193187865887</v>
      </c>
      <c r="BH482" s="168">
        <f t="shared" si="353"/>
        <v>1.7704710144927538</v>
      </c>
      <c r="BI482" s="475">
        <f t="shared" si="353"/>
        <v>8.6317078364565614</v>
      </c>
      <c r="BJ482" s="168">
        <f t="shared" si="353"/>
        <v>2.0695962501331628</v>
      </c>
      <c r="BK482" s="168">
        <f t="shared" si="353"/>
        <v>2.6054929728569891</v>
      </c>
      <c r="BL482" s="168">
        <f t="shared" si="353"/>
        <v>3.0866621067031459</v>
      </c>
      <c r="BM482" s="168">
        <f t="shared" si="353"/>
        <v>1.9264036592338478</v>
      </c>
      <c r="BN482" s="475">
        <f t="shared" si="353"/>
        <v>9.6802938252512973</v>
      </c>
      <c r="BO482" s="168">
        <f t="shared" ref="BO482:CF482" si="354">BO480/BO447</f>
        <v>2.2710405684162276</v>
      </c>
      <c r="BP482" s="168">
        <f t="shared" si="354"/>
        <v>2.3870716064114186</v>
      </c>
      <c r="BQ482" s="168">
        <f t="shared" si="354"/>
        <v>3.651554284660087</v>
      </c>
      <c r="BR482" s="168">
        <f t="shared" si="354"/>
        <v>2.7965396349622651</v>
      </c>
      <c r="BS482" s="561">
        <f t="shared" si="354"/>
        <v>11.119643943823307</v>
      </c>
      <c r="BT482" s="168" t="e">
        <f t="shared" si="354"/>
        <v>#NAME?</v>
      </c>
      <c r="BU482" s="168" t="e">
        <f t="shared" si="354"/>
        <v>#NAME?</v>
      </c>
      <c r="BV482" s="168" t="e">
        <f t="shared" si="354"/>
        <v>#NAME?</v>
      </c>
      <c r="BW482" s="168" t="e">
        <f t="shared" si="354"/>
        <v>#NAME?</v>
      </c>
      <c r="BX482" s="475" t="e">
        <f t="shared" si="354"/>
        <v>#NAME?</v>
      </c>
      <c r="BY482" s="168" t="e">
        <f t="shared" si="354"/>
        <v>#NAME?</v>
      </c>
      <c r="BZ482" s="168" t="e">
        <f t="shared" si="354"/>
        <v>#NAME?</v>
      </c>
      <c r="CA482" s="168" t="e">
        <f t="shared" si="354"/>
        <v>#NAME?</v>
      </c>
      <c r="CB482" s="168" t="e">
        <f t="shared" si="354"/>
        <v>#NAME?</v>
      </c>
      <c r="CC482" s="475" t="e">
        <f t="shared" si="354"/>
        <v>#NAME?</v>
      </c>
      <c r="CD482" s="475" t="e">
        <f t="shared" si="354"/>
        <v>#NAME?</v>
      </c>
      <c r="CE482" s="475" t="e">
        <f t="shared" si="354"/>
        <v>#NAME?</v>
      </c>
      <c r="CF482" s="475" t="e">
        <f t="shared" si="354"/>
        <v>#NAME?</v>
      </c>
      <c r="CG482" s="167"/>
    </row>
    <row r="483" spans="1:85" ht="14.45" customHeight="1" x14ac:dyDescent="0.25">
      <c r="A483" s="237" t="s">
        <v>534</v>
      </c>
      <c r="B483" s="238"/>
      <c r="C483" s="536"/>
      <c r="D483" s="536"/>
      <c r="E483" s="536"/>
      <c r="F483" s="536"/>
      <c r="G483" s="239"/>
      <c r="H483" s="239"/>
      <c r="I483" s="239"/>
      <c r="J483" s="239"/>
      <c r="K483" s="536"/>
      <c r="L483" s="239"/>
      <c r="M483" s="239"/>
      <c r="N483" s="239"/>
      <c r="O483" s="239"/>
      <c r="P483" s="536"/>
      <c r="Q483" s="239"/>
      <c r="R483" s="239"/>
      <c r="S483" s="239"/>
      <c r="T483" s="239"/>
      <c r="U483" s="536"/>
      <c r="V483" s="239"/>
      <c r="W483" s="239"/>
      <c r="X483" s="239"/>
      <c r="Y483" s="239"/>
      <c r="Z483" s="536"/>
      <c r="AA483" s="239"/>
      <c r="AB483" s="239"/>
      <c r="AC483" s="239"/>
      <c r="AD483" s="239"/>
      <c r="AE483" s="536"/>
      <c r="AF483" s="239"/>
      <c r="AG483" s="239"/>
      <c r="AH483" s="239"/>
      <c r="AI483" s="239"/>
      <c r="AJ483" s="536"/>
      <c r="AK483" s="239"/>
      <c r="AL483" s="239"/>
      <c r="AM483" s="239"/>
      <c r="AN483" s="239"/>
      <c r="AO483" s="536"/>
      <c r="AP483" s="239"/>
      <c r="AQ483" s="239"/>
      <c r="AR483" s="239"/>
      <c r="AS483" s="239"/>
      <c r="AT483" s="536"/>
      <c r="AU483" s="239"/>
      <c r="AV483" s="239"/>
      <c r="AW483" s="239"/>
      <c r="AX483" s="239"/>
      <c r="AY483" s="536"/>
      <c r="AZ483" s="239"/>
      <c r="BA483" s="239"/>
      <c r="BB483" s="239"/>
      <c r="BC483" s="239"/>
      <c r="BD483" s="536"/>
      <c r="BE483" s="239"/>
      <c r="BF483" s="239"/>
      <c r="BG483" s="239"/>
      <c r="BH483" s="239"/>
      <c r="BI483" s="536"/>
      <c r="BJ483" s="239"/>
      <c r="BK483" s="239"/>
      <c r="BL483" s="239"/>
      <c r="BM483" s="239"/>
      <c r="BN483" s="536"/>
      <c r="BO483" s="239"/>
      <c r="BP483" s="239"/>
      <c r="BQ483" s="239"/>
      <c r="BR483" s="239"/>
      <c r="BS483" s="562"/>
      <c r="BT483" s="539" t="str">
        <f ca="1">IFERROR(VLOOKUP($A483,tb_ConsensusEstimate,MATCH(BT$5,OFFSET(tb_ConsensusEstimate,0,0,1,COLUMNS(tb_ConsensusEstimate)),0),FALSE),"-")</f>
        <v>-</v>
      </c>
      <c r="BU483" s="539" t="str">
        <f ca="1">IFERROR(VLOOKUP($A483,tb_ConsensusEstimate,MATCH(BU$5,OFFSET(tb_ConsensusEstimate,0,0,1,COLUMNS(tb_ConsensusEstimate)),0),FALSE),"-")</f>
        <v>-</v>
      </c>
      <c r="BV483" s="539" t="str">
        <f ca="1">IFERROR(VLOOKUP($A483,tb_ConsensusEstimate,MATCH(BV$5,OFFSET(tb_ConsensusEstimate,0,0,1,COLUMNS(tb_ConsensusEstimate)),0),FALSE),"-")</f>
        <v>-</v>
      </c>
      <c r="BW483" s="539" t="str">
        <f ca="1">IFERROR(VLOOKUP($A483,tb_ConsensusEstimate,MATCH(BW$5,OFFSET(tb_ConsensusEstimate,0,0,1,COLUMNS(tb_ConsensusEstimate)),0),FALSE),"-")</f>
        <v>-</v>
      </c>
      <c r="BX483" s="563" t="str">
        <f ca="1">IFERROR(VLOOKUP($A483,tb_ConsensusEstimate,MATCH(BX$5,OFFSET(tb_ConsensusEstimate,0,0,1,COLUMNS(tb_ConsensusEstimate)),0),FALSE),"-")</f>
        <v>-</v>
      </c>
      <c r="BY483" s="539" t="str">
        <f ca="1">IFERROR(VLOOKUP($A483,tb_ConsensusEstimate,MATCH(BY$5,OFFSET(tb_ConsensusEstimate,0,0,1,COLUMNS(tb_ConsensusEstimate)),0),FALSE),"-")</f>
        <v>-</v>
      </c>
      <c r="BZ483" s="539" t="str">
        <f ca="1">IFERROR(VLOOKUP($A483,tb_ConsensusEstimate,MATCH(BZ$5,OFFSET(tb_ConsensusEstimate,0,0,1,COLUMNS(tb_ConsensusEstimate)),0),FALSE),"-")</f>
        <v>-</v>
      </c>
      <c r="CA483" s="539" t="str">
        <f ca="1">IFERROR(VLOOKUP($A483,tb_ConsensusEstimate,MATCH(CA$5,OFFSET(tb_ConsensusEstimate,0,0,1,COLUMNS(tb_ConsensusEstimate)),0),FALSE),"-")</f>
        <v>-</v>
      </c>
      <c r="CB483" s="539" t="str">
        <f ca="1">IFERROR(VLOOKUP($A483,tb_ConsensusEstimate,MATCH(CB$5,OFFSET(tb_ConsensusEstimate,0,0,1,COLUMNS(tb_ConsensusEstimate)),0),FALSE),"-")</f>
        <v>-</v>
      </c>
      <c r="CC483" s="563" t="str">
        <f ca="1">IFERROR(VLOOKUP($A483,tb_ConsensusEstimate,MATCH(CC$5,OFFSET(tb_ConsensusEstimate,0,0,1,COLUMNS(tb_ConsensusEstimate)),0),FALSE),"-")</f>
        <v>-</v>
      </c>
      <c r="CD483" s="563" t="str">
        <f ca="1">IFERROR(VLOOKUP($A483,tb_ConsensusEstimate,MATCH(CD5,OFFSET(tb_ConsensusEstimate,0,0,1,COLUMNS(tb_ConsensusEstimate)),0),FALSE),"-")</f>
        <v>-</v>
      </c>
      <c r="CE483" s="563" t="str">
        <f ca="1">IFERROR(VLOOKUP($A483,tb_ConsensusEstimate,MATCH(CE5,OFFSET(tb_ConsensusEstimate,0,0,1,COLUMNS(tb_ConsensusEstimate)),0),FALSE),"-")</f>
        <v>-</v>
      </c>
      <c r="CF483" s="563" t="str">
        <f ca="1">IFERROR(VLOOKUP($A483,tb_ConsensusEstimate,MATCH(CF5,OFFSET(tb_ConsensusEstimate,0,0,1,COLUMNS(tb_ConsensusEstimate)),0),FALSE),"-")</f>
        <v>-</v>
      </c>
      <c r="CG483" s="239"/>
    </row>
    <row r="484" spans="1:85" ht="14.45" customHeight="1" x14ac:dyDescent="0.25">
      <c r="A484" s="219" t="s">
        <v>89</v>
      </c>
      <c r="B484" s="211"/>
      <c r="C484" s="421">
        <f t="shared" ref="C484:AH484" si="355">C667</f>
        <v>-43.338999999999999</v>
      </c>
      <c r="D484" s="421">
        <f t="shared" si="355"/>
        <v>-57.798000000000002</v>
      </c>
      <c r="E484" s="421">
        <f t="shared" si="355"/>
        <v>-53.155999999999999</v>
      </c>
      <c r="F484" s="421">
        <f t="shared" si="355"/>
        <v>-53.271000000000001</v>
      </c>
      <c r="G484" s="109">
        <f t="shared" si="355"/>
        <v>-20.382999999999999</v>
      </c>
      <c r="H484" s="109">
        <f t="shared" si="355"/>
        <v>-12.757000000000001</v>
      </c>
      <c r="I484" s="109">
        <f t="shared" si="355"/>
        <v>-12.057000000000002</v>
      </c>
      <c r="J484" s="109">
        <f t="shared" si="355"/>
        <v>-16.234999999999999</v>
      </c>
      <c r="K484" s="421">
        <f t="shared" si="355"/>
        <v>-61.432000000000002</v>
      </c>
      <c r="L484" s="109">
        <f t="shared" si="355"/>
        <v>-17.814</v>
      </c>
      <c r="M484" s="109">
        <f t="shared" si="355"/>
        <v>-19.22</v>
      </c>
      <c r="N484" s="109">
        <f t="shared" si="355"/>
        <v>-24.323</v>
      </c>
      <c r="O484" s="109">
        <f t="shared" si="355"/>
        <v>-23.007000000000005</v>
      </c>
      <c r="P484" s="421">
        <f t="shared" si="355"/>
        <v>-84.364000000000004</v>
      </c>
      <c r="Q484" s="109">
        <f t="shared" si="355"/>
        <v>-30.841999999999999</v>
      </c>
      <c r="R484" s="109">
        <f t="shared" si="355"/>
        <v>-26.298000000000002</v>
      </c>
      <c r="S484" s="109">
        <f t="shared" si="355"/>
        <v>-47.281999999999996</v>
      </c>
      <c r="T484" s="109">
        <f t="shared" si="355"/>
        <v>-59.465000000000003</v>
      </c>
      <c r="U484" s="421">
        <f t="shared" si="355"/>
        <v>-163.887</v>
      </c>
      <c r="V484" s="109">
        <f t="shared" si="355"/>
        <v>-36.784999999999997</v>
      </c>
      <c r="W484" s="109">
        <f t="shared" si="355"/>
        <v>-42.84</v>
      </c>
      <c r="X484" s="109">
        <f t="shared" si="355"/>
        <v>-44.974000000000004</v>
      </c>
      <c r="Y484" s="109">
        <f t="shared" si="355"/>
        <v>-47.987000000000009</v>
      </c>
      <c r="Z484" s="421">
        <f t="shared" si="355"/>
        <v>-172.58600000000001</v>
      </c>
      <c r="AA484" s="109">
        <f t="shared" si="355"/>
        <v>-41.58</v>
      </c>
      <c r="AB484" s="109">
        <f t="shared" si="355"/>
        <v>-38.027000000000001</v>
      </c>
      <c r="AC484" s="109">
        <f t="shared" si="355"/>
        <v>-35.346000000000004</v>
      </c>
      <c r="AD484" s="109">
        <f t="shared" si="355"/>
        <v>-61.647999999999996</v>
      </c>
      <c r="AE484" s="421">
        <f t="shared" si="355"/>
        <v>-176.601</v>
      </c>
      <c r="AF484" s="109">
        <f t="shared" si="355"/>
        <v>-42.048000000000002</v>
      </c>
      <c r="AG484" s="109">
        <f t="shared" si="355"/>
        <v>-43.230999999999995</v>
      </c>
      <c r="AH484" s="109">
        <f t="shared" si="355"/>
        <v>-27.825000000000003</v>
      </c>
      <c r="AI484" s="109">
        <f t="shared" ref="AI484:BS484" si="356">AI667</f>
        <v>-25.131000000000014</v>
      </c>
      <c r="AJ484" s="421">
        <f t="shared" si="356"/>
        <v>-138.23500000000001</v>
      </c>
      <c r="AK484" s="109">
        <f t="shared" si="356"/>
        <v>-29.315000000000001</v>
      </c>
      <c r="AL484" s="109">
        <f t="shared" si="356"/>
        <v>-28.266000000000002</v>
      </c>
      <c r="AM484" s="109">
        <f t="shared" si="356"/>
        <v>-39.165999999999997</v>
      </c>
      <c r="AN484" s="109">
        <f t="shared" si="356"/>
        <v>-74.626999999999995</v>
      </c>
      <c r="AO484" s="421">
        <f t="shared" si="356"/>
        <v>-171.374</v>
      </c>
      <c r="AP484" s="109">
        <f t="shared" si="356"/>
        <v>-33.093000000000004</v>
      </c>
      <c r="AQ484" s="109">
        <f t="shared" si="356"/>
        <v>-39.792999999999992</v>
      </c>
      <c r="AR484" s="109">
        <f t="shared" si="356"/>
        <v>-37.831000000000003</v>
      </c>
      <c r="AS484" s="109">
        <f t="shared" si="356"/>
        <v>-91.316999999999993</v>
      </c>
      <c r="AT484" s="421">
        <f t="shared" si="356"/>
        <v>-202.03399999999999</v>
      </c>
      <c r="AU484" s="109">
        <f t="shared" si="356"/>
        <v>-37.204000000000001</v>
      </c>
      <c r="AV484" s="109">
        <f t="shared" si="356"/>
        <v>-43.104000000000006</v>
      </c>
      <c r="AW484" s="109">
        <f t="shared" si="356"/>
        <v>-39.311999999999998</v>
      </c>
      <c r="AX484" s="109">
        <f t="shared" si="356"/>
        <v>-36.073000000000008</v>
      </c>
      <c r="AY484" s="421">
        <f t="shared" si="356"/>
        <v>-155.69300000000001</v>
      </c>
      <c r="AZ484" s="109">
        <f t="shared" si="356"/>
        <v>-104.35299999999999</v>
      </c>
      <c r="BA484" s="109">
        <f t="shared" si="356"/>
        <v>-40.828999999999994</v>
      </c>
      <c r="BB484" s="109">
        <f t="shared" si="356"/>
        <v>-38.747000000000014</v>
      </c>
      <c r="BC484" s="109">
        <f t="shared" si="356"/>
        <v>-114.68199999999999</v>
      </c>
      <c r="BD484" s="421">
        <f t="shared" si="356"/>
        <v>-298.61099999999999</v>
      </c>
      <c r="BE484" s="109">
        <f t="shared" si="356"/>
        <v>-52.7</v>
      </c>
      <c r="BF484" s="109">
        <f t="shared" si="356"/>
        <v>-40.192999999999998</v>
      </c>
      <c r="BG484" s="109">
        <f t="shared" si="356"/>
        <v>-59.36699999999999</v>
      </c>
      <c r="BH484" s="109">
        <f t="shared" si="356"/>
        <v>-130.04399999999998</v>
      </c>
      <c r="BI484" s="421">
        <f t="shared" si="356"/>
        <v>-282.30399999999997</v>
      </c>
      <c r="BJ484" s="109">
        <f t="shared" si="356"/>
        <v>-77.040000000000006</v>
      </c>
      <c r="BK484" s="109">
        <f t="shared" si="356"/>
        <v>-82.36</v>
      </c>
      <c r="BL484" s="109">
        <f t="shared" si="356"/>
        <v>-127.93300000000002</v>
      </c>
      <c r="BM484" s="109">
        <f t="shared" si="356"/>
        <v>-83.68199999999996</v>
      </c>
      <c r="BN484" s="421">
        <f t="shared" si="356"/>
        <v>-371.01499999999999</v>
      </c>
      <c r="BO484" s="109">
        <f t="shared" si="356"/>
        <v>-97.866</v>
      </c>
      <c r="BP484" s="109">
        <f t="shared" si="356"/>
        <v>-59.51700000000001</v>
      </c>
      <c r="BQ484" s="109">
        <f t="shared" si="356"/>
        <v>-52.61099999999999</v>
      </c>
      <c r="BR484" s="109">
        <f t="shared" si="356"/>
        <v>-102.321</v>
      </c>
      <c r="BS484" s="422">
        <f t="shared" si="356"/>
        <v>-312.315</v>
      </c>
      <c r="BT484" s="163">
        <v>-75</v>
      </c>
      <c r="BU484" s="163">
        <v>-75</v>
      </c>
      <c r="BV484" s="163">
        <v>-75</v>
      </c>
      <c r="BW484" s="163">
        <v>-75</v>
      </c>
      <c r="BX484" s="423">
        <f>BX667</f>
        <v>-300</v>
      </c>
      <c r="BY484" s="163">
        <v>-75</v>
      </c>
      <c r="BZ484" s="163">
        <v>-75</v>
      </c>
      <c r="CA484" s="163">
        <v>-75</v>
      </c>
      <c r="CB484" s="163">
        <v>-75</v>
      </c>
      <c r="CC484" s="423">
        <f>CC667</f>
        <v>-300</v>
      </c>
      <c r="CD484" s="471">
        <v>-300</v>
      </c>
      <c r="CE484" s="471">
        <v>-300</v>
      </c>
      <c r="CF484" s="471">
        <v>-300</v>
      </c>
      <c r="CG484" s="109"/>
    </row>
    <row r="485" spans="1:85" ht="14.45" customHeight="1" x14ac:dyDescent="0.25">
      <c r="A485" s="220" t="str">
        <f>CONCATENATE("Consensus Estimates - ",IFERROR(LEFT(A484,FIND("(",A484)-1),A484))</f>
        <v>Consensus Estimates - Capex</v>
      </c>
      <c r="B485" s="221"/>
      <c r="C485" s="516"/>
      <c r="D485" s="516"/>
      <c r="E485" s="516"/>
      <c r="F485" s="516"/>
      <c r="G485" s="222"/>
      <c r="H485" s="222"/>
      <c r="I485" s="222"/>
      <c r="J485" s="222"/>
      <c r="K485" s="516"/>
      <c r="L485" s="222"/>
      <c r="M485" s="222"/>
      <c r="N485" s="222"/>
      <c r="O485" s="222"/>
      <c r="P485" s="516"/>
      <c r="Q485" s="222"/>
      <c r="R485" s="222"/>
      <c r="S485" s="222"/>
      <c r="T485" s="222"/>
      <c r="U485" s="516"/>
      <c r="V485" s="222"/>
      <c r="W485" s="222"/>
      <c r="X485" s="222"/>
      <c r="Y485" s="222"/>
      <c r="Z485" s="516"/>
      <c r="AA485" s="222"/>
      <c r="AB485" s="222"/>
      <c r="AC485" s="222"/>
      <c r="AD485" s="222"/>
      <c r="AE485" s="516"/>
      <c r="AF485" s="222"/>
      <c r="AG485" s="222"/>
      <c r="AH485" s="222"/>
      <c r="AI485" s="222"/>
      <c r="AJ485" s="516"/>
      <c r="AK485" s="222"/>
      <c r="AL485" s="222"/>
      <c r="AM485" s="222"/>
      <c r="AN485" s="222"/>
      <c r="AO485" s="516"/>
      <c r="AP485" s="222"/>
      <c r="AQ485" s="222"/>
      <c r="AR485" s="222"/>
      <c r="AS485" s="222"/>
      <c r="AT485" s="516"/>
      <c r="AU485" s="222"/>
      <c r="AV485" s="222"/>
      <c r="AW485" s="222"/>
      <c r="AX485" s="222"/>
      <c r="AY485" s="516"/>
      <c r="AZ485" s="222"/>
      <c r="BA485" s="222"/>
      <c r="BB485" s="222"/>
      <c r="BC485" s="222"/>
      <c r="BD485" s="516"/>
      <c r="BE485" s="222"/>
      <c r="BF485" s="222"/>
      <c r="BG485" s="222"/>
      <c r="BH485" s="222"/>
      <c r="BI485" s="516"/>
      <c r="BJ485" s="222"/>
      <c r="BK485" s="222"/>
      <c r="BL485" s="222"/>
      <c r="BM485" s="222"/>
      <c r="BN485" s="516"/>
      <c r="BO485" s="222"/>
      <c r="BP485" s="222"/>
      <c r="BQ485" s="222"/>
      <c r="BR485" s="222"/>
      <c r="BS485" s="517"/>
      <c r="BT485" s="518" t="str">
        <f ca="1">IFERROR(VLOOKUP($A485,tb_ConsensusEstimate,MATCH(BT$5,OFFSET(tb_ConsensusEstimate,0,0,1,COLUMNS(tb_ConsensusEstimate)),0),FALSE),"-")</f>
        <v>-</v>
      </c>
      <c r="BU485" s="518" t="str">
        <f ca="1">IFERROR(VLOOKUP($A485,tb_ConsensusEstimate,MATCH(BU$5,OFFSET(tb_ConsensusEstimate,0,0,1,COLUMNS(tb_ConsensusEstimate)),0),FALSE),"-")</f>
        <v>-</v>
      </c>
      <c r="BV485" s="518" t="str">
        <f ca="1">IFERROR(VLOOKUP($A485,tb_ConsensusEstimate,MATCH(BV$5,OFFSET(tb_ConsensusEstimate,0,0,1,COLUMNS(tb_ConsensusEstimate)),0),FALSE),"-")</f>
        <v>-</v>
      </c>
      <c r="BW485" s="518" t="str">
        <f ca="1">IFERROR(VLOOKUP($A485,tb_ConsensusEstimate,MATCH(BW$5,OFFSET(tb_ConsensusEstimate,0,0,1,COLUMNS(tb_ConsensusEstimate)),0),FALSE),"-")</f>
        <v>-</v>
      </c>
      <c r="BX485" s="564" t="str">
        <f ca="1">IFERROR(VLOOKUP($A485,tb_ConsensusEstimate,MATCH(BX$5,OFFSET(tb_ConsensusEstimate,0,0,1,COLUMNS(tb_ConsensusEstimate)),0),FALSE),"-")</f>
        <v>-</v>
      </c>
      <c r="BY485" s="518" t="str">
        <f ca="1">IFERROR(VLOOKUP($A485,tb_ConsensusEstimate,MATCH(BY$5,OFFSET(tb_ConsensusEstimate,0,0,1,COLUMNS(tb_ConsensusEstimate)),0),FALSE),"-")</f>
        <v>-</v>
      </c>
      <c r="BZ485" s="518" t="str">
        <f ca="1">IFERROR(VLOOKUP($A485,tb_ConsensusEstimate,MATCH(BZ$5,OFFSET(tb_ConsensusEstimate,0,0,1,COLUMNS(tb_ConsensusEstimate)),0),FALSE),"-")</f>
        <v>-</v>
      </c>
      <c r="CA485" s="518" t="str">
        <f ca="1">IFERROR(VLOOKUP($A485,tb_ConsensusEstimate,MATCH(CA$5,OFFSET(tb_ConsensusEstimate,0,0,1,COLUMNS(tb_ConsensusEstimate)),0),FALSE),"-")</f>
        <v>-</v>
      </c>
      <c r="CB485" s="518" t="str">
        <f ca="1">IFERROR(VLOOKUP($A485,tb_ConsensusEstimate,MATCH(CB$5,OFFSET(tb_ConsensusEstimate,0,0,1,COLUMNS(tb_ConsensusEstimate)),0),FALSE),"-")</f>
        <v>-</v>
      </c>
      <c r="CC485" s="564" t="str">
        <f ca="1">IFERROR(VLOOKUP($A485,tb_ConsensusEstimate,MATCH(CC$5,OFFSET(tb_ConsensusEstimate,0,0,1,COLUMNS(tb_ConsensusEstimate)),0),FALSE),"-")</f>
        <v>-</v>
      </c>
      <c r="CD485" s="564" t="str">
        <f ca="1">IFERROR(VLOOKUP($A485,tb_ConsensusEstimate,MATCH(CD5,OFFSET(tb_ConsensusEstimate,0,0,1,COLUMNS(tb_ConsensusEstimate)),0),FALSE),"-")</f>
        <v>-</v>
      </c>
      <c r="CE485" s="564" t="str">
        <f ca="1">IFERROR(VLOOKUP($A485,tb_ConsensusEstimate,MATCH(CE5,OFFSET(tb_ConsensusEstimate,0,0,1,COLUMNS(tb_ConsensusEstimate)),0),FALSE),"-")</f>
        <v>-</v>
      </c>
      <c r="CF485" s="564" t="str">
        <f ca="1">IFERROR(VLOOKUP($A485,tb_ConsensusEstimate,MATCH(CF5,OFFSET(tb_ConsensusEstimate,0,0,1,COLUMNS(tb_ConsensusEstimate)),0),FALSE),"-")</f>
        <v>-</v>
      </c>
      <c r="CG485" s="222"/>
    </row>
    <row r="486" spans="1:85" ht="14.45" customHeight="1" x14ac:dyDescent="0.25">
      <c r="A486" s="99" t="s">
        <v>90</v>
      </c>
      <c r="B486" s="180"/>
      <c r="C486" s="467">
        <f t="shared" ref="C486:AH486" si="357">C678+C679+C701+C676+C673</f>
        <v>0</v>
      </c>
      <c r="D486" s="467">
        <f t="shared" si="357"/>
        <v>-3.2000000000000001E-2</v>
      </c>
      <c r="E486" s="467">
        <f t="shared" si="357"/>
        <v>0</v>
      </c>
      <c r="F486" s="467">
        <f t="shared" si="357"/>
        <v>0</v>
      </c>
      <c r="G486" s="99">
        <f t="shared" si="357"/>
        <v>0</v>
      </c>
      <c r="H486" s="99">
        <f t="shared" si="357"/>
        <v>0</v>
      </c>
      <c r="I486" s="99">
        <f t="shared" si="357"/>
        <v>0</v>
      </c>
      <c r="J486" s="99">
        <f t="shared" si="357"/>
        <v>0</v>
      </c>
      <c r="K486" s="467">
        <f t="shared" si="357"/>
        <v>0</v>
      </c>
      <c r="L486" s="99">
        <f t="shared" si="357"/>
        <v>0</v>
      </c>
      <c r="M486" s="99">
        <f t="shared" si="357"/>
        <v>-12.163</v>
      </c>
      <c r="N486" s="99">
        <f t="shared" si="357"/>
        <v>0</v>
      </c>
      <c r="O486" s="99">
        <f t="shared" si="357"/>
        <v>-29.637</v>
      </c>
      <c r="P486" s="467">
        <f t="shared" si="357"/>
        <v>-41.800000000000004</v>
      </c>
      <c r="Q486" s="99">
        <f t="shared" si="357"/>
        <v>-33.389000000000003</v>
      </c>
      <c r="R486" s="99">
        <f t="shared" si="357"/>
        <v>-18.676000000000002</v>
      </c>
      <c r="S486" s="99">
        <f t="shared" si="357"/>
        <v>-3.0789999999999935</v>
      </c>
      <c r="T486" s="99">
        <f t="shared" si="357"/>
        <v>-30.601999999999997</v>
      </c>
      <c r="U486" s="467">
        <f t="shared" si="357"/>
        <v>-85.745999999999995</v>
      </c>
      <c r="V486" s="99">
        <f t="shared" si="357"/>
        <v>-107.07</v>
      </c>
      <c r="W486" s="99">
        <f t="shared" si="357"/>
        <v>-82.185000000000002</v>
      </c>
      <c r="X486" s="99">
        <f t="shared" si="357"/>
        <v>-3.0020000000000051</v>
      </c>
      <c r="Y486" s="99">
        <f t="shared" si="357"/>
        <v>-101.80500000000001</v>
      </c>
      <c r="Z486" s="467">
        <f t="shared" si="357"/>
        <v>-294.06200000000001</v>
      </c>
      <c r="AA486" s="99">
        <f t="shared" si="357"/>
        <v>-140.09199999999998</v>
      </c>
      <c r="AB486" s="99">
        <f t="shared" si="357"/>
        <v>-95.22399999999999</v>
      </c>
      <c r="AC486" s="99">
        <f t="shared" si="357"/>
        <v>-62.577000000000019</v>
      </c>
      <c r="AD486" s="99">
        <f t="shared" si="357"/>
        <v>-6.9130000000000038</v>
      </c>
      <c r="AE486" s="467">
        <f t="shared" si="357"/>
        <v>-304.80600000000004</v>
      </c>
      <c r="AF486" s="99">
        <f t="shared" si="357"/>
        <v>-6.952</v>
      </c>
      <c r="AG486" s="99">
        <f t="shared" si="357"/>
        <v>-1.625</v>
      </c>
      <c r="AH486" s="99">
        <f t="shared" si="357"/>
        <v>-10.022000000000002</v>
      </c>
      <c r="AI486" s="99">
        <f t="shared" ref="AI486:BS486" si="358">AI678+AI679+AI701+AI676+AI673</f>
        <v>-20.841999999999999</v>
      </c>
      <c r="AJ486" s="467">
        <f t="shared" si="358"/>
        <v>-39.441000000000003</v>
      </c>
      <c r="AK486" s="99">
        <f t="shared" si="358"/>
        <v>-6.7229999999999999</v>
      </c>
      <c r="AL486" s="99">
        <f t="shared" si="358"/>
        <v>-6.5990000000000002</v>
      </c>
      <c r="AM486" s="99">
        <f t="shared" si="358"/>
        <v>-7.1749999999999989</v>
      </c>
      <c r="AN486" s="99">
        <f t="shared" si="358"/>
        <v>-8.3979999999999997</v>
      </c>
      <c r="AO486" s="467">
        <f t="shared" si="358"/>
        <v>-28.895</v>
      </c>
      <c r="AP486" s="99">
        <f t="shared" si="358"/>
        <v>-11.345000000000001</v>
      </c>
      <c r="AQ486" s="99">
        <f t="shared" si="358"/>
        <v>-10.767999999999999</v>
      </c>
      <c r="AR486" s="99">
        <f t="shared" si="358"/>
        <v>-11.656000000000001</v>
      </c>
      <c r="AS486" s="99">
        <f t="shared" si="358"/>
        <v>-11.401</v>
      </c>
      <c r="AT486" s="467">
        <f t="shared" si="358"/>
        <v>-45.17</v>
      </c>
      <c r="AU486" s="99">
        <f t="shared" si="358"/>
        <v>-10.559999999999999</v>
      </c>
      <c r="AV486" s="99">
        <f t="shared" si="358"/>
        <v>-11.084000000000003</v>
      </c>
      <c r="AW486" s="99">
        <f t="shared" si="358"/>
        <v>-9.19</v>
      </c>
      <c r="AX486" s="99">
        <f t="shared" si="358"/>
        <v>-10.794</v>
      </c>
      <c r="AY486" s="467">
        <f t="shared" si="358"/>
        <v>-41.628</v>
      </c>
      <c r="AZ486" s="99">
        <f t="shared" si="358"/>
        <v>-10.018999999999998</v>
      </c>
      <c r="BA486" s="99">
        <f t="shared" si="358"/>
        <v>-10.229000000000001</v>
      </c>
      <c r="BB486" s="99">
        <f t="shared" si="358"/>
        <v>-9.7109999999999985</v>
      </c>
      <c r="BC486" s="99">
        <f t="shared" si="358"/>
        <v>-9.65</v>
      </c>
      <c r="BD486" s="467">
        <f t="shared" si="358"/>
        <v>-39.609000000000002</v>
      </c>
      <c r="BE486" s="99">
        <f t="shared" si="358"/>
        <v>-6.4989999999999997</v>
      </c>
      <c r="BF486" s="99">
        <f t="shared" si="358"/>
        <v>-12.91</v>
      </c>
      <c r="BG486" s="99">
        <f t="shared" si="358"/>
        <v>-10.614000000000001</v>
      </c>
      <c r="BH486" s="99">
        <f t="shared" si="358"/>
        <v>-11.925999999999998</v>
      </c>
      <c r="BI486" s="467">
        <f t="shared" si="358"/>
        <v>-41.948999999999998</v>
      </c>
      <c r="BJ486" s="99">
        <f t="shared" si="358"/>
        <v>-13.331999999999999</v>
      </c>
      <c r="BK486" s="99">
        <f t="shared" si="358"/>
        <v>-16.893000000000001</v>
      </c>
      <c r="BL486" s="99">
        <f t="shared" si="358"/>
        <v>-23.812000000000005</v>
      </c>
      <c r="BM486" s="99">
        <f t="shared" si="358"/>
        <v>-25.994999999999997</v>
      </c>
      <c r="BN486" s="467">
        <f t="shared" si="358"/>
        <v>-80.031999999999996</v>
      </c>
      <c r="BO486" s="99">
        <f t="shared" si="358"/>
        <v>-24.402999999999999</v>
      </c>
      <c r="BP486" s="99">
        <f t="shared" si="358"/>
        <v>-21.400000000000006</v>
      </c>
      <c r="BQ486" s="99">
        <f t="shared" si="358"/>
        <v>-20.545000000000002</v>
      </c>
      <c r="BR486" s="99">
        <f t="shared" si="358"/>
        <v>-22.135999999999999</v>
      </c>
      <c r="BS486" s="468">
        <f t="shared" si="358"/>
        <v>-88.484000000000009</v>
      </c>
      <c r="BT486" s="98">
        <v>0</v>
      </c>
      <c r="BU486" s="98">
        <v>0</v>
      </c>
      <c r="BV486" s="98">
        <v>0</v>
      </c>
      <c r="BW486" s="98">
        <v>0</v>
      </c>
      <c r="BX486" s="413">
        <f>BX678+BX679+BX701+BX676</f>
        <v>0</v>
      </c>
      <c r="BY486" s="98">
        <v>0</v>
      </c>
      <c r="BZ486" s="98">
        <v>0</v>
      </c>
      <c r="CA486" s="98">
        <v>0</v>
      </c>
      <c r="CB486" s="98">
        <v>0</v>
      </c>
      <c r="CC486" s="413">
        <f>CC678+CC679+CC701+CC676</f>
        <v>0</v>
      </c>
      <c r="CD486" s="410">
        <v>0</v>
      </c>
      <c r="CE486" s="410">
        <v>0</v>
      </c>
      <c r="CF486" s="410">
        <v>0</v>
      </c>
      <c r="CG486" s="99"/>
    </row>
    <row r="487" spans="1:85" ht="14.45" customHeight="1" x14ac:dyDescent="0.25">
      <c r="A487" s="99" t="s">
        <v>536</v>
      </c>
      <c r="B487" s="180"/>
      <c r="C487" s="467">
        <f t="shared" ref="C487:AH487" si="359">C671+C675+C672</f>
        <v>8.282</v>
      </c>
      <c r="D487" s="467">
        <f t="shared" si="359"/>
        <v>3.2130000000000001</v>
      </c>
      <c r="E487" s="467">
        <f t="shared" si="359"/>
        <v>1.772</v>
      </c>
      <c r="F487" s="467">
        <f t="shared" si="359"/>
        <v>0.70099999999999996</v>
      </c>
      <c r="G487" s="99">
        <f t="shared" si="359"/>
        <v>4.3019999999999996</v>
      </c>
      <c r="H487" s="99">
        <f t="shared" si="359"/>
        <v>1.367</v>
      </c>
      <c r="I487" s="99">
        <f t="shared" si="359"/>
        <v>0.38700000000000045</v>
      </c>
      <c r="J487" s="99">
        <f t="shared" si="359"/>
        <v>8.0000000000000071E-2</v>
      </c>
      <c r="K487" s="467">
        <f t="shared" si="359"/>
        <v>6.1360000000000001</v>
      </c>
      <c r="L487" s="99">
        <f t="shared" si="359"/>
        <v>0.95799999999999996</v>
      </c>
      <c r="M487" s="99">
        <f t="shared" si="359"/>
        <v>0.10299999999999998</v>
      </c>
      <c r="N487" s="99">
        <f t="shared" si="359"/>
        <v>0.15100000000000002</v>
      </c>
      <c r="O487" s="99">
        <f t="shared" si="359"/>
        <v>0.4890000000000001</v>
      </c>
      <c r="P487" s="467">
        <f t="shared" si="359"/>
        <v>1.7010000000000001</v>
      </c>
      <c r="Q487" s="99">
        <f t="shared" si="359"/>
        <v>0.11799999999999999</v>
      </c>
      <c r="R487" s="99">
        <f t="shared" si="359"/>
        <v>2.5999999999999995E-2</v>
      </c>
      <c r="S487" s="99">
        <f t="shared" si="359"/>
        <v>26.49</v>
      </c>
      <c r="T487" s="99">
        <f t="shared" si="359"/>
        <v>1.617</v>
      </c>
      <c r="U487" s="467">
        <f t="shared" si="359"/>
        <v>28.250999999999998</v>
      </c>
      <c r="V487" s="99">
        <f t="shared" si="359"/>
        <v>0.13100000000000001</v>
      </c>
      <c r="W487" s="99">
        <f t="shared" si="359"/>
        <v>0.15099999999999997</v>
      </c>
      <c r="X487" s="99">
        <f t="shared" si="359"/>
        <v>5.1000000000000045E-2</v>
      </c>
      <c r="Y487" s="99">
        <f t="shared" si="359"/>
        <v>0.7390000000000001</v>
      </c>
      <c r="Z487" s="467">
        <f t="shared" si="359"/>
        <v>1.0720000000000001</v>
      </c>
      <c r="AA487" s="99">
        <f t="shared" si="359"/>
        <v>0.21099999999999999</v>
      </c>
      <c r="AB487" s="99">
        <f t="shared" si="359"/>
        <v>8.5730000000000004</v>
      </c>
      <c r="AC487" s="99">
        <f t="shared" si="359"/>
        <v>0.10899999999999999</v>
      </c>
      <c r="AD487" s="99">
        <f t="shared" si="359"/>
        <v>0.11499999999999999</v>
      </c>
      <c r="AE487" s="467">
        <f t="shared" si="359"/>
        <v>9.0080000000000009</v>
      </c>
      <c r="AF487" s="99">
        <f t="shared" si="359"/>
        <v>2.8940000000000001</v>
      </c>
      <c r="AG487" s="99">
        <f t="shared" si="359"/>
        <v>3.9420000000000002</v>
      </c>
      <c r="AH487" s="99">
        <f t="shared" si="359"/>
        <v>0.50800000000000001</v>
      </c>
      <c r="AI487" s="99">
        <f t="shared" ref="AI487:BS487" si="360">AI671+AI675+AI672</f>
        <v>1.7040000000000002</v>
      </c>
      <c r="AJ487" s="467">
        <f t="shared" si="360"/>
        <v>9.048</v>
      </c>
      <c r="AK487" s="99">
        <f t="shared" si="360"/>
        <v>0.68100000000000005</v>
      </c>
      <c r="AL487" s="99">
        <f t="shared" si="360"/>
        <v>0.1419999999999999</v>
      </c>
      <c r="AM487" s="99">
        <f t="shared" si="360"/>
        <v>0.20500000000000007</v>
      </c>
      <c r="AN487" s="99">
        <f t="shared" si="360"/>
        <v>3.036</v>
      </c>
      <c r="AO487" s="467">
        <f t="shared" si="360"/>
        <v>4.0640000000000001</v>
      </c>
      <c r="AP487" s="99">
        <f t="shared" si="360"/>
        <v>1.6579999999999999</v>
      </c>
      <c r="AQ487" s="99">
        <f t="shared" si="360"/>
        <v>0.10600000000000009</v>
      </c>
      <c r="AR487" s="99">
        <f t="shared" si="360"/>
        <v>0.63299999999999979</v>
      </c>
      <c r="AS487" s="99">
        <f t="shared" si="360"/>
        <v>0.98799999999999999</v>
      </c>
      <c r="AT487" s="467">
        <f t="shared" si="360"/>
        <v>3.3849999999999998</v>
      </c>
      <c r="AU487" s="99">
        <f t="shared" si="360"/>
        <v>7.3999999999999996E-2</v>
      </c>
      <c r="AV487" s="99">
        <f t="shared" si="360"/>
        <v>1.6039999999999999</v>
      </c>
      <c r="AW487" s="99">
        <f t="shared" si="360"/>
        <v>2.5369999999999999</v>
      </c>
      <c r="AX487" s="99">
        <f t="shared" si="360"/>
        <v>1.0590000000000002</v>
      </c>
      <c r="AY487" s="467">
        <f t="shared" si="360"/>
        <v>5.274</v>
      </c>
      <c r="AZ487" s="99">
        <f t="shared" si="360"/>
        <v>2.1779999999999999</v>
      </c>
      <c r="BA487" s="99">
        <f t="shared" si="360"/>
        <v>3.077</v>
      </c>
      <c r="BB487" s="99">
        <f t="shared" si="360"/>
        <v>9.2999999999999972E-2</v>
      </c>
      <c r="BC487" s="99">
        <f t="shared" si="360"/>
        <v>2.0209999999999999</v>
      </c>
      <c r="BD487" s="467">
        <f t="shared" si="360"/>
        <v>7.3689999999999998</v>
      </c>
      <c r="BE487" s="99">
        <f t="shared" si="360"/>
        <v>0.158</v>
      </c>
      <c r="BF487" s="99">
        <f t="shared" si="360"/>
        <v>0.10900000000000001</v>
      </c>
      <c r="BG487" s="99">
        <f t="shared" si="360"/>
        <v>0.17399999999999999</v>
      </c>
      <c r="BH487" s="99">
        <f t="shared" si="360"/>
        <v>0.25399999999999995</v>
      </c>
      <c r="BI487" s="467">
        <f t="shared" si="360"/>
        <v>0.69499999999999995</v>
      </c>
      <c r="BJ487" s="99">
        <f t="shared" si="360"/>
        <v>0.1</v>
      </c>
      <c r="BK487" s="99">
        <f t="shared" si="360"/>
        <v>0.15</v>
      </c>
      <c r="BL487" s="99">
        <f t="shared" si="360"/>
        <v>0.17499999999999999</v>
      </c>
      <c r="BM487" s="99">
        <f t="shared" si="360"/>
        <v>0.14399999999999996</v>
      </c>
      <c r="BN487" s="467">
        <f t="shared" si="360"/>
        <v>0.56899999999999995</v>
      </c>
      <c r="BO487" s="99">
        <f t="shared" si="360"/>
        <v>0.157</v>
      </c>
      <c r="BP487" s="99">
        <f t="shared" si="360"/>
        <v>6.12</v>
      </c>
      <c r="BQ487" s="99">
        <f t="shared" si="360"/>
        <v>0.10799999999999965</v>
      </c>
      <c r="BR487" s="99">
        <f t="shared" si="360"/>
        <v>0.20900000000000052</v>
      </c>
      <c r="BS487" s="468">
        <f t="shared" si="360"/>
        <v>6.5940000000000003</v>
      </c>
      <c r="BT487" s="98">
        <v>0</v>
      </c>
      <c r="BU487" s="98">
        <v>0</v>
      </c>
      <c r="BV487" s="98">
        <v>0</v>
      </c>
      <c r="BW487" s="98">
        <v>0</v>
      </c>
      <c r="BX487" s="413">
        <f>BX671+BX675+BX672</f>
        <v>0</v>
      </c>
      <c r="BY487" s="98">
        <v>0</v>
      </c>
      <c r="BZ487" s="98">
        <v>0</v>
      </c>
      <c r="CA487" s="98">
        <v>0</v>
      </c>
      <c r="CB487" s="98">
        <v>0</v>
      </c>
      <c r="CC487" s="413">
        <f>CC671+CC675+CC672</f>
        <v>0</v>
      </c>
      <c r="CD487" s="410">
        <v>0</v>
      </c>
      <c r="CE487" s="410">
        <v>0</v>
      </c>
      <c r="CF487" s="410">
        <v>0</v>
      </c>
      <c r="CG487" s="99"/>
    </row>
    <row r="488" spans="1:85" ht="14.45" customHeight="1" x14ac:dyDescent="0.25">
      <c r="A488" s="99" t="s">
        <v>537</v>
      </c>
      <c r="B488" s="180"/>
      <c r="C488" s="467">
        <f t="shared" ref="C488:AH488" si="361">C699</f>
        <v>-9.1620000000000008</v>
      </c>
      <c r="D488" s="467">
        <f t="shared" si="361"/>
        <v>-9.18</v>
      </c>
      <c r="E488" s="467">
        <f t="shared" si="361"/>
        <v>-9.2029999999999994</v>
      </c>
      <c r="F488" s="467">
        <f t="shared" si="361"/>
        <v>-9.2240000000000002</v>
      </c>
      <c r="G488" s="99">
        <f t="shared" si="361"/>
        <v>-2.3069999999999999</v>
      </c>
      <c r="H488" s="99">
        <f t="shared" si="361"/>
        <v>-2.3130000000000002</v>
      </c>
      <c r="I488" s="99">
        <f t="shared" si="361"/>
        <v>-2.3129999999999997</v>
      </c>
      <c r="J488" s="99">
        <f t="shared" si="361"/>
        <v>-2.3119999999999994</v>
      </c>
      <c r="K488" s="467">
        <f t="shared" si="361"/>
        <v>-9.2449999999999992</v>
      </c>
      <c r="L488" s="99">
        <f t="shared" si="361"/>
        <v>-2.3119999999999998</v>
      </c>
      <c r="M488" s="99">
        <f t="shared" si="361"/>
        <v>-2.3190000000000004</v>
      </c>
      <c r="N488" s="99">
        <f t="shared" si="361"/>
        <v>-2.3170000000000002</v>
      </c>
      <c r="O488" s="99">
        <f t="shared" si="361"/>
        <v>-2.3179999999999996</v>
      </c>
      <c r="P488" s="467">
        <f t="shared" si="361"/>
        <v>-9.266</v>
      </c>
      <c r="Q488" s="99">
        <f t="shared" si="361"/>
        <v>-2.3170000000000002</v>
      </c>
      <c r="R488" s="99">
        <f t="shared" si="361"/>
        <v>-2.3239999999999998</v>
      </c>
      <c r="S488" s="99">
        <f t="shared" si="361"/>
        <v>-2.3230000000000004</v>
      </c>
      <c r="T488" s="99">
        <f t="shared" si="361"/>
        <v>-2.3230000000000004</v>
      </c>
      <c r="U488" s="467">
        <f t="shared" si="361"/>
        <v>-9.2870000000000008</v>
      </c>
      <c r="V488" s="99">
        <f t="shared" si="361"/>
        <v>-2.323</v>
      </c>
      <c r="W488" s="99">
        <f t="shared" si="361"/>
        <v>-2.3290000000000002</v>
      </c>
      <c r="X488" s="99">
        <f t="shared" si="361"/>
        <v>-2.3280000000000003</v>
      </c>
      <c r="Y488" s="99">
        <f t="shared" si="361"/>
        <v>-2.327</v>
      </c>
      <c r="Z488" s="467">
        <f t="shared" si="361"/>
        <v>-9.3070000000000004</v>
      </c>
      <c r="AA488" s="99">
        <f t="shared" si="361"/>
        <v>-2.3279999999999998</v>
      </c>
      <c r="AB488" s="99">
        <f t="shared" si="361"/>
        <v>-2.3340000000000001</v>
      </c>
      <c r="AC488" s="99">
        <f t="shared" si="361"/>
        <v>-2.3330000000000002</v>
      </c>
      <c r="AD488" s="99">
        <f t="shared" si="361"/>
        <v>-2.3329999999999993</v>
      </c>
      <c r="AE488" s="467">
        <f t="shared" si="361"/>
        <v>-9.3279999999999994</v>
      </c>
      <c r="AF488" s="99">
        <f t="shared" si="361"/>
        <v>-2.3330000000000002</v>
      </c>
      <c r="AG488" s="99">
        <f t="shared" si="361"/>
        <v>-2.3380000000000001</v>
      </c>
      <c r="AH488" s="99">
        <f t="shared" si="361"/>
        <v>-2.343</v>
      </c>
      <c r="AI488" s="99">
        <f t="shared" ref="AI488:BS488" si="362">AI699</f>
        <v>-2.3389999999999995</v>
      </c>
      <c r="AJ488" s="467">
        <f t="shared" si="362"/>
        <v>-9.3529999999999998</v>
      </c>
      <c r="AK488" s="99">
        <f t="shared" si="362"/>
        <v>-2.339</v>
      </c>
      <c r="AL488" s="99">
        <f t="shared" si="362"/>
        <v>-2.3430000000000004</v>
      </c>
      <c r="AM488" s="99">
        <f t="shared" si="362"/>
        <v>-2.3439999999999994</v>
      </c>
      <c r="AN488" s="99">
        <f t="shared" si="362"/>
        <v>-2.343</v>
      </c>
      <c r="AO488" s="467">
        <f t="shared" si="362"/>
        <v>-9.3689999999999998</v>
      </c>
      <c r="AP488" s="99">
        <f t="shared" si="362"/>
        <v>-2.3439999999999999</v>
      </c>
      <c r="AQ488" s="99">
        <f t="shared" si="362"/>
        <v>-2.3420000000000001</v>
      </c>
      <c r="AR488" s="99">
        <f t="shared" si="362"/>
        <v>-2.3440000000000003</v>
      </c>
      <c r="AS488" s="99">
        <f t="shared" si="362"/>
        <v>-2.3440000000000003</v>
      </c>
      <c r="AT488" s="467">
        <f t="shared" si="362"/>
        <v>-9.3740000000000006</v>
      </c>
      <c r="AU488" s="99">
        <f t="shared" si="362"/>
        <v>-2.343</v>
      </c>
      <c r="AV488" s="99">
        <f t="shared" si="362"/>
        <v>-2.3440000000000003</v>
      </c>
      <c r="AW488" s="99">
        <f t="shared" si="362"/>
        <v>-2.343</v>
      </c>
      <c r="AX488" s="99">
        <f t="shared" si="362"/>
        <v>-2.3440000000000003</v>
      </c>
      <c r="AY488" s="467">
        <f t="shared" si="362"/>
        <v>-9.3740000000000006</v>
      </c>
      <c r="AZ488" s="99">
        <f t="shared" si="362"/>
        <v>-2.3439999999999999</v>
      </c>
      <c r="BA488" s="99">
        <f t="shared" si="362"/>
        <v>-2.3430000000000004</v>
      </c>
      <c r="BB488" s="99">
        <f t="shared" si="362"/>
        <v>-2.343</v>
      </c>
      <c r="BC488" s="99">
        <f t="shared" si="362"/>
        <v>-2.3440000000000003</v>
      </c>
      <c r="BD488" s="467">
        <f t="shared" si="362"/>
        <v>-9.3740000000000006</v>
      </c>
      <c r="BE488" s="99">
        <f t="shared" si="362"/>
        <v>-32.808</v>
      </c>
      <c r="BF488" s="99">
        <f t="shared" si="362"/>
        <v>-4.6869999999999976</v>
      </c>
      <c r="BG488" s="99">
        <f t="shared" si="362"/>
        <v>-4.6870000000000047</v>
      </c>
      <c r="BH488" s="99">
        <f t="shared" si="362"/>
        <v>-4.6859999999999999</v>
      </c>
      <c r="BI488" s="467">
        <f t="shared" si="362"/>
        <v>-46.868000000000002</v>
      </c>
      <c r="BJ488" s="99">
        <f t="shared" si="362"/>
        <v>-154.666</v>
      </c>
      <c r="BK488" s="99">
        <f t="shared" si="362"/>
        <v>-4.6870000000000118</v>
      </c>
      <c r="BL488" s="99">
        <f t="shared" si="362"/>
        <v>-4.3799999999999955</v>
      </c>
      <c r="BM488" s="99">
        <f t="shared" si="362"/>
        <v>-21.901999999999987</v>
      </c>
      <c r="BN488" s="467">
        <f t="shared" si="362"/>
        <v>-185.63499999999999</v>
      </c>
      <c r="BO488" s="99">
        <f t="shared" si="362"/>
        <v>-21.794</v>
      </c>
      <c r="BP488" s="99">
        <f t="shared" si="362"/>
        <v>-21.794999999999998</v>
      </c>
      <c r="BQ488" s="99">
        <f t="shared" si="362"/>
        <v>-21.721000000000004</v>
      </c>
      <c r="BR488" s="99">
        <f t="shared" si="362"/>
        <v>-21.363</v>
      </c>
      <c r="BS488" s="468">
        <f t="shared" si="362"/>
        <v>-86.673000000000002</v>
      </c>
      <c r="BT488" s="63" t="e">
        <f>BT489*-BT447</f>
        <v>#NAME?</v>
      </c>
      <c r="BU488" s="63" t="e">
        <f>BU489*-BU447</f>
        <v>#NAME?</v>
      </c>
      <c r="BV488" s="63" t="e">
        <f>BV489*-BV447</f>
        <v>#NAME?</v>
      </c>
      <c r="BW488" s="63" t="e">
        <f>BW489*-BW447</f>
        <v>#NAME?</v>
      </c>
      <c r="BX488" s="413" t="e">
        <f>BX699</f>
        <v>#NAME?</v>
      </c>
      <c r="BY488" s="63" t="e">
        <f>BY489*-BY447</f>
        <v>#NAME?</v>
      </c>
      <c r="BZ488" s="63" t="e">
        <f>BZ489*-BZ447</f>
        <v>#NAME?</v>
      </c>
      <c r="CA488" s="63" t="e">
        <f>CA489*-CA447</f>
        <v>#NAME?</v>
      </c>
      <c r="CB488" s="63" t="e">
        <f>CB489*-CB447</f>
        <v>#NAME?</v>
      </c>
      <c r="CC488" s="413" t="e">
        <f>CC699</f>
        <v>#NAME?</v>
      </c>
      <c r="CD488" s="413" t="e">
        <f>CD489*-CD447</f>
        <v>#NAME?</v>
      </c>
      <c r="CE488" s="413" t="e">
        <f>CE489*-CE447</f>
        <v>#NAME?</v>
      </c>
      <c r="CF488" s="413" t="e">
        <f>CF489*-CF447</f>
        <v>#NAME?</v>
      </c>
      <c r="CG488" s="99"/>
    </row>
    <row r="489" spans="1:85" ht="14.45" customHeight="1" x14ac:dyDescent="0.25">
      <c r="A489" s="266" t="s">
        <v>538</v>
      </c>
      <c r="B489" s="267"/>
      <c r="C489" s="565">
        <f>1/10</f>
        <v>0.1</v>
      </c>
      <c r="D489" s="565">
        <f>1/10</f>
        <v>0.1</v>
      </c>
      <c r="E489" s="565">
        <f>1/10</f>
        <v>0.1</v>
      </c>
      <c r="F489" s="565">
        <f>1/10</f>
        <v>0.1</v>
      </c>
      <c r="G489" s="268">
        <f>0.25/10</f>
        <v>2.5000000000000001E-2</v>
      </c>
      <c r="H489" s="268">
        <f>0.25/10</f>
        <v>2.5000000000000001E-2</v>
      </c>
      <c r="I489" s="268">
        <f>0.25/10</f>
        <v>2.5000000000000001E-2</v>
      </c>
      <c r="J489" s="268">
        <f>0.25/10</f>
        <v>2.5000000000000001E-2</v>
      </c>
      <c r="K489" s="566">
        <f>SUM(G489,H489,I489,J489)</f>
        <v>0.1</v>
      </c>
      <c r="L489" s="268">
        <f>0.25/10</f>
        <v>2.5000000000000001E-2</v>
      </c>
      <c r="M489" s="268">
        <f>0.25/10</f>
        <v>2.5000000000000001E-2</v>
      </c>
      <c r="N489" s="268">
        <f>0.25/10</f>
        <v>2.5000000000000001E-2</v>
      </c>
      <c r="O489" s="268">
        <f>0.25/10</f>
        <v>2.5000000000000001E-2</v>
      </c>
      <c r="P489" s="566">
        <f>SUM(L489,M489,N489,O489)</f>
        <v>0.1</v>
      </c>
      <c r="Q489" s="268">
        <f>0.25/10</f>
        <v>2.5000000000000001E-2</v>
      </c>
      <c r="R489" s="268">
        <f>0.25/10</f>
        <v>2.5000000000000001E-2</v>
      </c>
      <c r="S489" s="268">
        <f>0.25/10</f>
        <v>2.5000000000000001E-2</v>
      </c>
      <c r="T489" s="268">
        <f>0.25/10</f>
        <v>2.5000000000000001E-2</v>
      </c>
      <c r="U489" s="566">
        <f>SUM(Q489,R489,S489,T489)</f>
        <v>0.1</v>
      </c>
      <c r="V489" s="268">
        <f>0.25/10</f>
        <v>2.5000000000000001E-2</v>
      </c>
      <c r="W489" s="268">
        <f>0.25/10</f>
        <v>2.5000000000000001E-2</v>
      </c>
      <c r="X489" s="268">
        <f>0.25/10</f>
        <v>2.5000000000000001E-2</v>
      </c>
      <c r="Y489" s="268">
        <f>0.25/10</f>
        <v>2.5000000000000001E-2</v>
      </c>
      <c r="Z489" s="566">
        <f>SUM(V489,W489,X489,Y489)</f>
        <v>0.1</v>
      </c>
      <c r="AA489" s="268">
        <f>0.25/10</f>
        <v>2.5000000000000001E-2</v>
      </c>
      <c r="AB489" s="268">
        <f>0.25/10</f>
        <v>2.5000000000000001E-2</v>
      </c>
      <c r="AC489" s="268">
        <f>0.25/10</f>
        <v>2.5000000000000001E-2</v>
      </c>
      <c r="AD489" s="268">
        <f>0.25/10</f>
        <v>2.5000000000000001E-2</v>
      </c>
      <c r="AE489" s="566">
        <f>SUM(AA489,AB489,AC489,AD489)</f>
        <v>0.1</v>
      </c>
      <c r="AF489" s="268">
        <f>0.25/10</f>
        <v>2.5000000000000001E-2</v>
      </c>
      <c r="AG489" s="268">
        <f>0.25/10</f>
        <v>2.5000000000000001E-2</v>
      </c>
      <c r="AH489" s="268">
        <f>0.25/10</f>
        <v>2.5000000000000001E-2</v>
      </c>
      <c r="AI489" s="268">
        <f>0.25/10</f>
        <v>2.5000000000000001E-2</v>
      </c>
      <c r="AJ489" s="566">
        <f>SUM(AF489,AG489,AH489,AI489)</f>
        <v>0.1</v>
      </c>
      <c r="AK489" s="268">
        <f>0.25/10</f>
        <v>2.5000000000000001E-2</v>
      </c>
      <c r="AL489" s="268">
        <f>0.25/10</f>
        <v>2.5000000000000001E-2</v>
      </c>
      <c r="AM489" s="268">
        <f>0.25/10</f>
        <v>2.5000000000000001E-2</v>
      </c>
      <c r="AN489" s="268">
        <f>0.25/10</f>
        <v>2.5000000000000001E-2</v>
      </c>
      <c r="AO489" s="566">
        <f>SUM(AK489,AL489,AM489,AN489)</f>
        <v>0.1</v>
      </c>
      <c r="AP489" s="268">
        <f>0.25/10</f>
        <v>2.5000000000000001E-2</v>
      </c>
      <c r="AQ489" s="268">
        <f>0.25/10</f>
        <v>2.5000000000000001E-2</v>
      </c>
      <c r="AR489" s="268">
        <f>0.25/10</f>
        <v>2.5000000000000001E-2</v>
      </c>
      <c r="AS489" s="268">
        <f>0.25/10</f>
        <v>2.5000000000000001E-2</v>
      </c>
      <c r="AT489" s="566">
        <f>SUM(AP489,AQ489,AR489,AS489)</f>
        <v>0.1</v>
      </c>
      <c r="AU489" s="268">
        <f>0.25/10</f>
        <v>2.5000000000000001E-2</v>
      </c>
      <c r="AV489" s="268">
        <f>0.25/10</f>
        <v>2.5000000000000001E-2</v>
      </c>
      <c r="AW489" s="268">
        <f>0.25/10</f>
        <v>2.5000000000000001E-2</v>
      </c>
      <c r="AX489" s="268">
        <f>0.25/10</f>
        <v>2.5000000000000001E-2</v>
      </c>
      <c r="AY489" s="566">
        <f>SUM(AU489,AV489,AW489,AX489)</f>
        <v>0.1</v>
      </c>
      <c r="AZ489" s="268">
        <f>0.25/10</f>
        <v>2.5000000000000001E-2</v>
      </c>
      <c r="BA489" s="268">
        <f>0.25/10</f>
        <v>2.5000000000000001E-2</v>
      </c>
      <c r="BB489" s="268">
        <f>0.25/10</f>
        <v>2.5000000000000001E-2</v>
      </c>
      <c r="BC489" s="268">
        <f>0.25/10</f>
        <v>2.5000000000000001E-2</v>
      </c>
      <c r="BD489" s="566">
        <f>SUM(AZ489,BA489,BB489,BC489)</f>
        <v>0.1</v>
      </c>
      <c r="BE489" s="268">
        <f>3.5/10</f>
        <v>0.35</v>
      </c>
      <c r="BF489" s="268">
        <f>0.5/10</f>
        <v>0.05</v>
      </c>
      <c r="BG489" s="268">
        <f>0.5/10</f>
        <v>0.05</v>
      </c>
      <c r="BH489" s="268">
        <f>0.5/10</f>
        <v>0.05</v>
      </c>
      <c r="BI489" s="566">
        <f>SUM(BE489,BF489,BG489,BH489)</f>
        <v>0.49999999999999994</v>
      </c>
      <c r="BJ489" s="268">
        <f>16.5/10</f>
        <v>1.65</v>
      </c>
      <c r="BK489" s="268">
        <f>0.5/10</f>
        <v>0.05</v>
      </c>
      <c r="BL489" s="268">
        <f>0.5/10</f>
        <v>0.05</v>
      </c>
      <c r="BM489" s="268">
        <f>2.5/10</f>
        <v>0.25</v>
      </c>
      <c r="BN489" s="566">
        <f>SUM(BJ489,BK489,BL489,BM489)</f>
        <v>2</v>
      </c>
      <c r="BO489" s="268">
        <f>2.5/10</f>
        <v>0.25</v>
      </c>
      <c r="BP489" s="268">
        <v>0.25</v>
      </c>
      <c r="BQ489" s="268">
        <v>0.25</v>
      </c>
      <c r="BR489" s="268">
        <v>0.25</v>
      </c>
      <c r="BS489" s="567">
        <f>SUM(BO489,BP489,BQ489,BR489)</f>
        <v>1</v>
      </c>
      <c r="BT489" s="268">
        <v>0.25</v>
      </c>
      <c r="BU489" s="268">
        <v>0.25</v>
      </c>
      <c r="BV489" s="268">
        <v>0.25</v>
      </c>
      <c r="BW489" s="268">
        <v>0.25</v>
      </c>
      <c r="BX489" s="568">
        <f>SUM(BT489,BU489,BV489,BW489)</f>
        <v>1</v>
      </c>
      <c r="BY489" s="268">
        <v>0.25</v>
      </c>
      <c r="BZ489" s="268">
        <v>0.25</v>
      </c>
      <c r="CA489" s="268">
        <v>0.25</v>
      </c>
      <c r="CB489" s="268">
        <v>0.25</v>
      </c>
      <c r="CC489" s="568">
        <f>SUM(BY489,BZ489,CA489,CB489)</f>
        <v>1</v>
      </c>
      <c r="CD489" s="565">
        <v>1</v>
      </c>
      <c r="CE489" s="565">
        <v>1</v>
      </c>
      <c r="CF489" s="565">
        <v>1</v>
      </c>
      <c r="CG489" s="569"/>
    </row>
    <row r="490" spans="1:85" ht="14.45" customHeight="1" x14ac:dyDescent="0.25">
      <c r="A490" s="269"/>
      <c r="B490" s="267"/>
      <c r="C490" s="568"/>
      <c r="D490" s="568"/>
      <c r="E490" s="568"/>
      <c r="F490" s="568"/>
      <c r="G490" s="270"/>
      <c r="H490" s="270"/>
      <c r="I490" s="270"/>
      <c r="J490" s="270"/>
      <c r="K490" s="568"/>
      <c r="L490" s="270"/>
      <c r="M490" s="270"/>
      <c r="N490" s="270"/>
      <c r="O490" s="270"/>
      <c r="P490" s="568"/>
      <c r="Q490" s="270"/>
      <c r="R490" s="270"/>
      <c r="S490" s="270"/>
      <c r="T490" s="270"/>
      <c r="U490" s="568"/>
      <c r="V490" s="270"/>
      <c r="W490" s="270"/>
      <c r="X490" s="270"/>
      <c r="Y490" s="270"/>
      <c r="Z490" s="568"/>
      <c r="AA490" s="270"/>
      <c r="AB490" s="270"/>
      <c r="AC490" s="270"/>
      <c r="AD490" s="270"/>
      <c r="AE490" s="568"/>
      <c r="AF490" s="270"/>
      <c r="AG490" s="270"/>
      <c r="AH490" s="270"/>
      <c r="AI490" s="270"/>
      <c r="AJ490" s="568"/>
      <c r="AK490" s="270"/>
      <c r="AL490" s="270"/>
      <c r="AM490" s="270"/>
      <c r="AN490" s="270"/>
      <c r="AO490" s="568"/>
      <c r="AP490" s="270"/>
      <c r="AQ490" s="270"/>
      <c r="AR490" s="270"/>
      <c r="AS490" s="270"/>
      <c r="AT490" s="568"/>
      <c r="AU490" s="270"/>
      <c r="AV490" s="270"/>
      <c r="AW490" s="270"/>
      <c r="AX490" s="270"/>
      <c r="AY490" s="568"/>
      <c r="AZ490" s="270"/>
      <c r="BA490" s="270"/>
      <c r="BB490" s="270"/>
      <c r="BC490" s="270"/>
      <c r="BD490" s="568"/>
      <c r="BE490" s="270"/>
      <c r="BF490" s="270"/>
      <c r="BG490" s="270"/>
      <c r="BH490" s="270"/>
      <c r="BI490" s="568"/>
      <c r="BJ490" s="270"/>
      <c r="BK490" s="270"/>
      <c r="BL490" s="270"/>
      <c r="BM490" s="270"/>
      <c r="BN490" s="568"/>
      <c r="BO490" s="270"/>
      <c r="BP490" s="270"/>
      <c r="BQ490" s="270"/>
      <c r="BR490" s="270"/>
      <c r="BS490" s="570"/>
      <c r="BT490" s="270"/>
      <c r="BU490" s="270"/>
      <c r="BV490" s="270"/>
      <c r="BW490" s="270"/>
      <c r="BX490" s="568"/>
      <c r="BY490" s="270"/>
      <c r="BZ490" s="270"/>
      <c r="CA490" s="270"/>
      <c r="CB490" s="270"/>
      <c r="CC490" s="568"/>
      <c r="CD490" s="568"/>
      <c r="CE490" s="568"/>
      <c r="CF490" s="568"/>
      <c r="CG490" s="569"/>
    </row>
    <row r="491" spans="1:85" ht="14.45" customHeight="1" x14ac:dyDescent="0.25">
      <c r="A491" s="266" t="s">
        <v>539</v>
      </c>
      <c r="B491" s="267"/>
      <c r="C491" s="467">
        <f t="shared" ref="C491:AH491" si="363">C684+C685+C686+C687+C688+C692+C693+C702+C703+C704+C691+C689+C698+C694+C695+C696+C697</f>
        <v>-58.178000000000019</v>
      </c>
      <c r="D491" s="467">
        <f t="shared" si="363"/>
        <v>-18.846</v>
      </c>
      <c r="E491" s="467">
        <f t="shared" si="363"/>
        <v>-4.5549999999999997</v>
      </c>
      <c r="F491" s="467">
        <f t="shared" si="363"/>
        <v>-104.682</v>
      </c>
      <c r="G491" s="99">
        <f t="shared" si="363"/>
        <v>33.725000000000001</v>
      </c>
      <c r="H491" s="99">
        <f t="shared" si="363"/>
        <v>-11.297000000000001</v>
      </c>
      <c r="I491" s="99">
        <f t="shared" si="363"/>
        <v>-36.353999999999999</v>
      </c>
      <c r="J491" s="99">
        <f t="shared" si="363"/>
        <v>-16.381</v>
      </c>
      <c r="K491" s="467">
        <f t="shared" si="363"/>
        <v>-30.307000000000002</v>
      </c>
      <c r="L491" s="99">
        <f t="shared" si="363"/>
        <v>33.551000000000002</v>
      </c>
      <c r="M491" s="99">
        <f t="shared" si="363"/>
        <v>18.524000000000001</v>
      </c>
      <c r="N491" s="99">
        <f t="shared" si="363"/>
        <v>-11.495000000000001</v>
      </c>
      <c r="O491" s="99">
        <f t="shared" si="363"/>
        <v>-1.3720000000000001</v>
      </c>
      <c r="P491" s="467">
        <f t="shared" si="363"/>
        <v>39.207999999999998</v>
      </c>
      <c r="Q491" s="99">
        <f t="shared" si="363"/>
        <v>80.381</v>
      </c>
      <c r="R491" s="99">
        <f t="shared" si="363"/>
        <v>35.146999999999998</v>
      </c>
      <c r="S491" s="99">
        <f t="shared" si="363"/>
        <v>-16.631</v>
      </c>
      <c r="T491" s="99">
        <f t="shared" si="363"/>
        <v>70.069000000000017</v>
      </c>
      <c r="U491" s="467">
        <f t="shared" si="363"/>
        <v>168.96600000000001</v>
      </c>
      <c r="V491" s="99">
        <f t="shared" si="363"/>
        <v>138.274</v>
      </c>
      <c r="W491" s="99">
        <f t="shared" si="363"/>
        <v>68.480999999999995</v>
      </c>
      <c r="X491" s="99">
        <f t="shared" si="363"/>
        <v>-11.791</v>
      </c>
      <c r="Y491" s="99">
        <f t="shared" si="363"/>
        <v>85.215999999999994</v>
      </c>
      <c r="Z491" s="467">
        <f t="shared" si="363"/>
        <v>280.18</v>
      </c>
      <c r="AA491" s="99">
        <f t="shared" si="363"/>
        <v>93.171999999999997</v>
      </c>
      <c r="AB491" s="99">
        <f t="shared" si="363"/>
        <v>76.132999999999996</v>
      </c>
      <c r="AC491" s="99">
        <f t="shared" si="363"/>
        <v>45.100999999999999</v>
      </c>
      <c r="AD491" s="99">
        <f t="shared" si="363"/>
        <v>-41.890999999999998</v>
      </c>
      <c r="AE491" s="467">
        <f t="shared" si="363"/>
        <v>172.51499999999999</v>
      </c>
      <c r="AF491" s="99">
        <f t="shared" si="363"/>
        <v>120.762</v>
      </c>
      <c r="AG491" s="99">
        <f t="shared" si="363"/>
        <v>-83.491</v>
      </c>
      <c r="AH491" s="99">
        <f t="shared" si="363"/>
        <v>60.507000000000005</v>
      </c>
      <c r="AI491" s="99">
        <f t="shared" ref="AI491:BS491" si="364">AI684+AI685+AI686+AI687+AI688+AI692+AI693+AI702+AI703+AI704+AI691+AI689+AI698+AI694+AI695+AI696+AI697</f>
        <v>-92.03</v>
      </c>
      <c r="AJ491" s="467">
        <f t="shared" si="364"/>
        <v>5.7479999999999905</v>
      </c>
      <c r="AK491" s="99">
        <f t="shared" si="364"/>
        <v>31.703000000000003</v>
      </c>
      <c r="AL491" s="99">
        <f t="shared" si="364"/>
        <v>-48.728999999999999</v>
      </c>
      <c r="AM491" s="99">
        <f t="shared" si="364"/>
        <v>-67.220000000000013</v>
      </c>
      <c r="AN491" s="99">
        <f t="shared" si="364"/>
        <v>0.16999999999999904</v>
      </c>
      <c r="AO491" s="467">
        <f t="shared" si="364"/>
        <v>-84.075999999999993</v>
      </c>
      <c r="AP491" s="99">
        <f t="shared" si="364"/>
        <v>50.969000000000001</v>
      </c>
      <c r="AQ491" s="99">
        <f t="shared" si="364"/>
        <v>-114.11500000000001</v>
      </c>
      <c r="AR491" s="99">
        <f t="shared" si="364"/>
        <v>-8.9269999999999996</v>
      </c>
      <c r="AS491" s="99">
        <f t="shared" si="364"/>
        <v>-24.015999999999998</v>
      </c>
      <c r="AT491" s="467">
        <f t="shared" si="364"/>
        <v>-96.088999999999999</v>
      </c>
      <c r="AU491" s="99">
        <f t="shared" si="364"/>
        <v>-32.844000000000001</v>
      </c>
      <c r="AV491" s="99">
        <f t="shared" si="364"/>
        <v>-132.17099999999999</v>
      </c>
      <c r="AW491" s="99">
        <f t="shared" si="364"/>
        <v>12.492000000000001</v>
      </c>
      <c r="AX491" s="99">
        <f t="shared" si="364"/>
        <v>-71.296999999999997</v>
      </c>
      <c r="AY491" s="467">
        <f t="shared" si="364"/>
        <v>-223.82</v>
      </c>
      <c r="AZ491" s="99">
        <f t="shared" si="364"/>
        <v>-1.423</v>
      </c>
      <c r="BA491" s="99">
        <f t="shared" si="364"/>
        <v>-0.61199999999999988</v>
      </c>
      <c r="BB491" s="99">
        <f t="shared" si="364"/>
        <v>-125.625</v>
      </c>
      <c r="BC491" s="99">
        <f t="shared" si="364"/>
        <v>-0.63800000000000012</v>
      </c>
      <c r="BD491" s="467">
        <f t="shared" si="364"/>
        <v>-128.298</v>
      </c>
      <c r="BE491" s="99">
        <f t="shared" si="364"/>
        <v>-0.71200000000000008</v>
      </c>
      <c r="BF491" s="99">
        <f t="shared" si="364"/>
        <v>-0.57199999999999984</v>
      </c>
      <c r="BG491" s="99">
        <f t="shared" si="364"/>
        <v>-0.67200000000000004</v>
      </c>
      <c r="BH491" s="99">
        <f t="shared" si="364"/>
        <v>-0.68700000000000006</v>
      </c>
      <c r="BI491" s="467">
        <f t="shared" si="364"/>
        <v>-2.6429999999999998</v>
      </c>
      <c r="BJ491" s="99">
        <f t="shared" si="364"/>
        <v>-0.65400000000000003</v>
      </c>
      <c r="BK491" s="99">
        <f t="shared" si="364"/>
        <v>1187.221</v>
      </c>
      <c r="BL491" s="99">
        <f t="shared" si="364"/>
        <v>-3.7800000000000002</v>
      </c>
      <c r="BM491" s="99">
        <f t="shared" si="364"/>
        <v>-0.78700000000000014</v>
      </c>
      <c r="BN491" s="467">
        <f t="shared" si="364"/>
        <v>1182</v>
      </c>
      <c r="BO491" s="99">
        <f t="shared" si="364"/>
        <v>-0.88200000000000001</v>
      </c>
      <c r="BP491" s="99">
        <f t="shared" si="364"/>
        <v>-0.67100000000000004</v>
      </c>
      <c r="BQ491" s="99">
        <f t="shared" si="364"/>
        <v>-0.38900000000000001</v>
      </c>
      <c r="BR491" s="99">
        <f t="shared" si="364"/>
        <v>996.73700000000008</v>
      </c>
      <c r="BS491" s="468">
        <f t="shared" si="364"/>
        <v>994.79500000000007</v>
      </c>
      <c r="BT491" s="98">
        <v>-150</v>
      </c>
      <c r="BU491" s="98">
        <v>0</v>
      </c>
      <c r="BV491" s="98">
        <v>0</v>
      </c>
      <c r="BW491" s="98">
        <v>0</v>
      </c>
      <c r="BX491" s="413">
        <f>BX684+BX685+BX686+BX687+BX688+BX692+BX693+BX702+BX703+BX704+BX691+BX689+BX698+BX694+BX695+BX696+BX697</f>
        <v>-150</v>
      </c>
      <c r="BY491" s="98">
        <v>0</v>
      </c>
      <c r="BZ491" s="98">
        <v>0</v>
      </c>
      <c r="CA491" s="98">
        <v>0</v>
      </c>
      <c r="CB491" s="98">
        <v>0</v>
      </c>
      <c r="CC491" s="413">
        <f>CC684+CC685+CC686+CC687+CC688+CC692+CC693+CC702+CC703+CC704+CC691+CC689+CC698+CC694+CC695+CC696+CC697</f>
        <v>0</v>
      </c>
      <c r="CD491" s="410">
        <v>0</v>
      </c>
      <c r="CE491" s="410">
        <v>0</v>
      </c>
      <c r="CF491" s="410">
        <v>0</v>
      </c>
      <c r="CG491" s="569"/>
    </row>
    <row r="492" spans="1:85" ht="14.45" customHeight="1" x14ac:dyDescent="0.25">
      <c r="A492" s="266" t="s">
        <v>540</v>
      </c>
      <c r="B492" s="267"/>
      <c r="C492" s="467">
        <f t="shared" ref="C492:AH492" si="365">C700+C706+C705</f>
        <v>-9.8000000000000004E-2</v>
      </c>
      <c r="D492" s="467">
        <f t="shared" si="365"/>
        <v>7.6999999999999999E-2</v>
      </c>
      <c r="E492" s="467">
        <f t="shared" si="365"/>
        <v>6.0999999999999999E-2</v>
      </c>
      <c r="F492" s="467">
        <f t="shared" si="365"/>
        <v>8.1000000000000003E-2</v>
      </c>
      <c r="G492" s="99">
        <f t="shared" si="365"/>
        <v>0</v>
      </c>
      <c r="H492" s="99">
        <f t="shared" si="365"/>
        <v>0</v>
      </c>
      <c r="I492" s="99">
        <f t="shared" si="365"/>
        <v>0</v>
      </c>
      <c r="J492" s="99">
        <f t="shared" si="365"/>
        <v>-1.7000000000000001E-2</v>
      </c>
      <c r="K492" s="467">
        <f t="shared" si="365"/>
        <v>-1.7000000000000001E-2</v>
      </c>
      <c r="L492" s="99">
        <f t="shared" si="365"/>
        <v>0</v>
      </c>
      <c r="M492" s="99">
        <f t="shared" si="365"/>
        <v>0.17599999999999999</v>
      </c>
      <c r="N492" s="99">
        <f t="shared" si="365"/>
        <v>0</v>
      </c>
      <c r="O492" s="99">
        <f t="shared" si="365"/>
        <v>0</v>
      </c>
      <c r="P492" s="467">
        <f t="shared" si="365"/>
        <v>0.17599999999999999</v>
      </c>
      <c r="Q492" s="99">
        <f t="shared" si="365"/>
        <v>0</v>
      </c>
      <c r="R492" s="99">
        <f t="shared" si="365"/>
        <v>0</v>
      </c>
      <c r="S492" s="99">
        <f t="shared" si="365"/>
        <v>0</v>
      </c>
      <c r="T492" s="99">
        <f t="shared" si="365"/>
        <v>0</v>
      </c>
      <c r="U492" s="467">
        <f t="shared" si="365"/>
        <v>0</v>
      </c>
      <c r="V492" s="99">
        <f t="shared" si="365"/>
        <v>0</v>
      </c>
      <c r="W492" s="99">
        <f t="shared" si="365"/>
        <v>0</v>
      </c>
      <c r="X492" s="99">
        <f t="shared" si="365"/>
        <v>0</v>
      </c>
      <c r="Y492" s="99">
        <f t="shared" si="365"/>
        <v>0</v>
      </c>
      <c r="Z492" s="467">
        <f t="shared" si="365"/>
        <v>0</v>
      </c>
      <c r="AA492" s="99">
        <f t="shared" si="365"/>
        <v>0</v>
      </c>
      <c r="AB492" s="99">
        <f t="shared" si="365"/>
        <v>0</v>
      </c>
      <c r="AC492" s="99">
        <f t="shared" si="365"/>
        <v>0</v>
      </c>
      <c r="AD492" s="99">
        <f t="shared" si="365"/>
        <v>0</v>
      </c>
      <c r="AE492" s="467">
        <f t="shared" si="365"/>
        <v>0</v>
      </c>
      <c r="AF492" s="99">
        <f t="shared" si="365"/>
        <v>0</v>
      </c>
      <c r="AG492" s="99">
        <f t="shared" si="365"/>
        <v>0</v>
      </c>
      <c r="AH492" s="99">
        <f t="shared" si="365"/>
        <v>0</v>
      </c>
      <c r="AI492" s="99">
        <f t="shared" ref="AI492:BS492" si="366">AI700+AI706+AI705</f>
        <v>0</v>
      </c>
      <c r="AJ492" s="467">
        <f t="shared" si="366"/>
        <v>0</v>
      </c>
      <c r="AK492" s="99">
        <f t="shared" si="366"/>
        <v>0</v>
      </c>
      <c r="AL492" s="99">
        <f t="shared" si="366"/>
        <v>0</v>
      </c>
      <c r="AM492" s="99">
        <f t="shared" si="366"/>
        <v>0</v>
      </c>
      <c r="AN492" s="99">
        <f t="shared" si="366"/>
        <v>0</v>
      </c>
      <c r="AO492" s="467">
        <f t="shared" si="366"/>
        <v>0</v>
      </c>
      <c r="AP492" s="99">
        <f t="shared" si="366"/>
        <v>0</v>
      </c>
      <c r="AQ492" s="99">
        <f t="shared" si="366"/>
        <v>0</v>
      </c>
      <c r="AR492" s="99">
        <f t="shared" si="366"/>
        <v>0</v>
      </c>
      <c r="AS492" s="99">
        <f t="shared" si="366"/>
        <v>0</v>
      </c>
      <c r="AT492" s="467">
        <f t="shared" si="366"/>
        <v>0</v>
      </c>
      <c r="AU492" s="99">
        <f t="shared" si="366"/>
        <v>0</v>
      </c>
      <c r="AV492" s="99">
        <f t="shared" si="366"/>
        <v>0</v>
      </c>
      <c r="AW492" s="99">
        <f t="shared" si="366"/>
        <v>0</v>
      </c>
      <c r="AX492" s="99">
        <f t="shared" si="366"/>
        <v>0</v>
      </c>
      <c r="AY492" s="467">
        <f t="shared" si="366"/>
        <v>0</v>
      </c>
      <c r="AZ492" s="99">
        <f t="shared" si="366"/>
        <v>0</v>
      </c>
      <c r="BA492" s="99">
        <f t="shared" si="366"/>
        <v>0</v>
      </c>
      <c r="BB492" s="99">
        <f t="shared" si="366"/>
        <v>0</v>
      </c>
      <c r="BC492" s="99">
        <f t="shared" si="366"/>
        <v>0</v>
      </c>
      <c r="BD492" s="467">
        <f t="shared" si="366"/>
        <v>0</v>
      </c>
      <c r="BE492" s="99">
        <f t="shared" si="366"/>
        <v>0</v>
      </c>
      <c r="BF492" s="99">
        <f t="shared" si="366"/>
        <v>0</v>
      </c>
      <c r="BG492" s="99">
        <f t="shared" si="366"/>
        <v>0</v>
      </c>
      <c r="BH492" s="99">
        <f t="shared" si="366"/>
        <v>0</v>
      </c>
      <c r="BI492" s="467">
        <f t="shared" si="366"/>
        <v>0</v>
      </c>
      <c r="BJ492" s="99">
        <f t="shared" si="366"/>
        <v>0</v>
      </c>
      <c r="BK492" s="99">
        <f t="shared" si="366"/>
        <v>-14.471</v>
      </c>
      <c r="BL492" s="99">
        <f t="shared" si="366"/>
        <v>-559.53800000000001</v>
      </c>
      <c r="BM492" s="99">
        <f t="shared" si="366"/>
        <v>-51.644999999999982</v>
      </c>
      <c r="BN492" s="467">
        <f t="shared" si="366"/>
        <v>-625.654</v>
      </c>
      <c r="BO492" s="99">
        <f t="shared" si="366"/>
        <v>0</v>
      </c>
      <c r="BP492" s="99">
        <f t="shared" si="366"/>
        <v>-34.409999999999997</v>
      </c>
      <c r="BQ492" s="99">
        <f t="shared" si="366"/>
        <v>-111.28800000000001</v>
      </c>
      <c r="BR492" s="99">
        <f t="shared" si="366"/>
        <v>-2460.3330000000001</v>
      </c>
      <c r="BS492" s="468">
        <f t="shared" si="366"/>
        <v>-2606.0309999999999</v>
      </c>
      <c r="BT492" s="98">
        <v>0</v>
      </c>
      <c r="BU492" s="98">
        <v>0</v>
      </c>
      <c r="BV492" s="98">
        <v>0</v>
      </c>
      <c r="BW492" s="98">
        <v>0</v>
      </c>
      <c r="BX492" s="413">
        <f>BX700+BX706+BX705</f>
        <v>0</v>
      </c>
      <c r="BY492" s="98">
        <v>0</v>
      </c>
      <c r="BZ492" s="98">
        <v>0</v>
      </c>
      <c r="CA492" s="98">
        <v>0</v>
      </c>
      <c r="CB492" s="98">
        <v>0</v>
      </c>
      <c r="CC492" s="413">
        <f>CC700+CC706+CC705</f>
        <v>0</v>
      </c>
      <c r="CD492" s="410">
        <v>0</v>
      </c>
      <c r="CE492" s="410">
        <v>0</v>
      </c>
      <c r="CF492" s="410">
        <v>0</v>
      </c>
      <c r="CG492" s="569"/>
    </row>
    <row r="493" spans="1:85" ht="14.45" customHeight="1" x14ac:dyDescent="0.25">
      <c r="A493" s="271" t="s">
        <v>541</v>
      </c>
      <c r="B493" s="272"/>
      <c r="C493" s="475"/>
      <c r="D493" s="475"/>
      <c r="E493" s="475"/>
      <c r="F493" s="475"/>
      <c r="G493" s="168"/>
      <c r="H493" s="168"/>
      <c r="I493" s="168"/>
      <c r="J493" s="168"/>
      <c r="K493" s="475"/>
      <c r="L493" s="168"/>
      <c r="M493" s="168"/>
      <c r="N493" s="168"/>
      <c r="O493" s="168"/>
      <c r="P493" s="475"/>
      <c r="Q493" s="168"/>
      <c r="R493" s="168"/>
      <c r="S493" s="168"/>
      <c r="T493" s="168"/>
      <c r="U493" s="475"/>
      <c r="V493" s="168"/>
      <c r="W493" s="168"/>
      <c r="X493" s="168"/>
      <c r="Y493" s="168"/>
      <c r="Z493" s="475"/>
      <c r="AA493" s="168"/>
      <c r="AB493" s="168"/>
      <c r="AC493" s="168"/>
      <c r="AD493" s="168"/>
      <c r="AE493" s="475"/>
      <c r="AF493" s="168"/>
      <c r="AG493" s="168"/>
      <c r="AH493" s="168"/>
      <c r="AI493" s="168"/>
      <c r="AJ493" s="475"/>
      <c r="AK493" s="168"/>
      <c r="AL493" s="168"/>
      <c r="AM493" s="168"/>
      <c r="AN493" s="168"/>
      <c r="AO493" s="475"/>
      <c r="AP493" s="168"/>
      <c r="AQ493" s="168"/>
      <c r="AR493" s="168"/>
      <c r="AS493" s="168"/>
      <c r="AT493" s="475"/>
      <c r="AU493" s="168"/>
      <c r="AV493" s="168"/>
      <c r="AW493" s="168"/>
      <c r="AX493" s="168"/>
      <c r="AY493" s="475"/>
      <c r="AZ493" s="168"/>
      <c r="BA493" s="168"/>
      <c r="BB493" s="168"/>
      <c r="BC493" s="168"/>
      <c r="BD493" s="475"/>
      <c r="BE493" s="168"/>
      <c r="BF493" s="168"/>
      <c r="BG493" s="168"/>
      <c r="BH493" s="168"/>
      <c r="BI493" s="475"/>
      <c r="BJ493" s="168"/>
      <c r="BK493" s="168"/>
      <c r="BL493" s="168"/>
      <c r="BM493" s="168"/>
      <c r="BN493" s="475"/>
      <c r="BO493" s="168"/>
      <c r="BP493" s="168"/>
      <c r="BQ493" s="168"/>
      <c r="BR493" s="168"/>
      <c r="BS493" s="561"/>
      <c r="BT493" s="571">
        <v>166</v>
      </c>
      <c r="BU493" s="571">
        <v>166</v>
      </c>
      <c r="BV493" s="571">
        <v>166</v>
      </c>
      <c r="BW493" s="571">
        <v>166</v>
      </c>
      <c r="BX493" s="475">
        <f>AVERAGE(BT493,BU493,BV493,BW493)</f>
        <v>166</v>
      </c>
      <c r="BY493" s="571">
        <v>183</v>
      </c>
      <c r="BZ493" s="571">
        <v>183</v>
      </c>
      <c r="CA493" s="571">
        <v>183</v>
      </c>
      <c r="CB493" s="571">
        <v>183</v>
      </c>
      <c r="CC493" s="475">
        <f>AVERAGE(BY493,BZ493,CA493,CB493)</f>
        <v>183</v>
      </c>
      <c r="CD493" s="572">
        <v>201</v>
      </c>
      <c r="CE493" s="572">
        <v>221</v>
      </c>
      <c r="CF493" s="572">
        <v>243</v>
      </c>
      <c r="CG493" s="569"/>
    </row>
    <row r="494" spans="1:85" ht="14.45" customHeight="1" x14ac:dyDescent="0.25">
      <c r="A494" s="220"/>
      <c r="B494" s="221"/>
      <c r="C494" s="516"/>
      <c r="D494" s="516"/>
      <c r="E494" s="516"/>
      <c r="F494" s="516"/>
      <c r="G494" s="222"/>
      <c r="H494" s="222"/>
      <c r="I494" s="222"/>
      <c r="J494" s="222"/>
      <c r="K494" s="516"/>
      <c r="L494" s="222"/>
      <c r="M494" s="222"/>
      <c r="N494" s="222"/>
      <c r="O494" s="222"/>
      <c r="P494" s="516"/>
      <c r="Q494" s="222"/>
      <c r="R494" s="222"/>
      <c r="S494" s="222"/>
      <c r="T494" s="222"/>
      <c r="U494" s="516"/>
      <c r="V494" s="222"/>
      <c r="W494" s="222"/>
      <c r="X494" s="222"/>
      <c r="Y494" s="222"/>
      <c r="Z494" s="516"/>
      <c r="AA494" s="222"/>
      <c r="AB494" s="222"/>
      <c r="AC494" s="222"/>
      <c r="AD494" s="222"/>
      <c r="AE494" s="516"/>
      <c r="AF494" s="222"/>
      <c r="AG494" s="222"/>
      <c r="AH494" s="222"/>
      <c r="AI494" s="222"/>
      <c r="AJ494" s="516"/>
      <c r="AK494" s="222"/>
      <c r="AL494" s="222"/>
      <c r="AM494" s="222"/>
      <c r="AN494" s="222"/>
      <c r="AO494" s="516"/>
      <c r="AP494" s="222"/>
      <c r="AQ494" s="222"/>
      <c r="AR494" s="222"/>
      <c r="AS494" s="222"/>
      <c r="AT494" s="516"/>
      <c r="AU494" s="222"/>
      <c r="AV494" s="222"/>
      <c r="AW494" s="222"/>
      <c r="AX494" s="222"/>
      <c r="AY494" s="516"/>
      <c r="AZ494" s="222"/>
      <c r="BA494" s="222"/>
      <c r="BB494" s="222"/>
      <c r="BC494" s="222"/>
      <c r="BD494" s="516"/>
      <c r="BE494" s="222"/>
      <c r="BF494" s="222"/>
      <c r="BG494" s="222"/>
      <c r="BH494" s="222"/>
      <c r="BI494" s="516"/>
      <c r="BJ494" s="222"/>
      <c r="BK494" s="222"/>
      <c r="BL494" s="222"/>
      <c r="BM494" s="222"/>
      <c r="BN494" s="516"/>
      <c r="BO494" s="222"/>
      <c r="BP494" s="222"/>
      <c r="BQ494" s="222"/>
      <c r="BR494" s="222"/>
      <c r="BS494" s="517"/>
      <c r="BT494" s="222"/>
      <c r="BU494" s="222"/>
      <c r="BV494" s="222"/>
      <c r="BW494" s="222"/>
      <c r="BX494" s="516"/>
      <c r="BY494" s="222"/>
      <c r="BZ494" s="222"/>
      <c r="CA494" s="222"/>
      <c r="CB494" s="222"/>
      <c r="CC494" s="516"/>
      <c r="CD494" s="516"/>
      <c r="CE494" s="516"/>
      <c r="CF494" s="516"/>
      <c r="CG494" s="523"/>
    </row>
    <row r="495" spans="1:85" ht="14.45" hidden="1" customHeight="1" x14ac:dyDescent="0.25">
      <c r="A495" s="63" t="s">
        <v>542</v>
      </c>
      <c r="B495" s="180"/>
      <c r="C495" s="413">
        <f t="shared" ref="C495:AH495" si="367">C478+C484</f>
        <v>69.86699999999999</v>
      </c>
      <c r="D495" s="413">
        <f t="shared" si="367"/>
        <v>48.975999999999999</v>
      </c>
      <c r="E495" s="413">
        <f t="shared" si="367"/>
        <v>52.875999999999998</v>
      </c>
      <c r="F495" s="413">
        <f t="shared" si="367"/>
        <v>51.537000000000006</v>
      </c>
      <c r="G495" s="63">
        <f t="shared" si="367"/>
        <v>4.1000000000000369E-2</v>
      </c>
      <c r="H495" s="63">
        <f t="shared" si="367"/>
        <v>15.428000000000001</v>
      </c>
      <c r="I495" s="63">
        <f t="shared" si="367"/>
        <v>20.442000000000007</v>
      </c>
      <c r="J495" s="63">
        <f t="shared" si="367"/>
        <v>-0.21100000000000207</v>
      </c>
      <c r="K495" s="413">
        <f t="shared" si="367"/>
        <v>35.700000000000003</v>
      </c>
      <c r="L495" s="63">
        <f t="shared" si="367"/>
        <v>1.0910000000000046</v>
      </c>
      <c r="M495" s="63">
        <f t="shared" si="367"/>
        <v>12.387</v>
      </c>
      <c r="N495" s="63">
        <f t="shared" si="367"/>
        <v>6.2079999999999913</v>
      </c>
      <c r="O495" s="63">
        <f t="shared" si="367"/>
        <v>4.0459999999999994</v>
      </c>
      <c r="P495" s="413">
        <f t="shared" si="367"/>
        <v>23.731999999999999</v>
      </c>
      <c r="Q495" s="63">
        <f t="shared" si="367"/>
        <v>-3.1999999999999957</v>
      </c>
      <c r="R495" s="63">
        <f t="shared" si="367"/>
        <v>8.4889999999999759</v>
      </c>
      <c r="S495" s="63">
        <f t="shared" si="367"/>
        <v>-15.956000000000003</v>
      </c>
      <c r="T495" s="63">
        <f t="shared" si="367"/>
        <v>-16.161999999999999</v>
      </c>
      <c r="U495" s="413">
        <f t="shared" si="367"/>
        <v>-26.829000000000036</v>
      </c>
      <c r="V495" s="63">
        <f t="shared" si="367"/>
        <v>-6.7099999999999973</v>
      </c>
      <c r="W495" s="63">
        <f t="shared" si="367"/>
        <v>26.171999999999983</v>
      </c>
      <c r="X495" s="63">
        <f t="shared" si="367"/>
        <v>13.684000000000005</v>
      </c>
      <c r="Y495" s="63">
        <f t="shared" si="367"/>
        <v>21.585999999999999</v>
      </c>
      <c r="Z495" s="413">
        <f t="shared" si="367"/>
        <v>54.731999999999999</v>
      </c>
      <c r="AA495" s="63">
        <f t="shared" si="367"/>
        <v>75.952000000000012</v>
      </c>
      <c r="AB495" s="63">
        <f t="shared" si="367"/>
        <v>22.297999999999988</v>
      </c>
      <c r="AC495" s="63">
        <f t="shared" si="367"/>
        <v>25.395000000000003</v>
      </c>
      <c r="AD495" s="63">
        <f t="shared" si="367"/>
        <v>26.326999999999998</v>
      </c>
      <c r="AE495" s="413">
        <f t="shared" si="367"/>
        <v>149.97200000000004</v>
      </c>
      <c r="AF495" s="63">
        <f t="shared" si="367"/>
        <v>-25.977</v>
      </c>
      <c r="AG495" s="63">
        <f t="shared" si="367"/>
        <v>12.730000000000004</v>
      </c>
      <c r="AH495" s="63">
        <f t="shared" si="367"/>
        <v>64.632000000000019</v>
      </c>
      <c r="AI495" s="63">
        <f t="shared" ref="AI495:BN495" si="368">AI478+AI484</f>
        <v>26.420999999999992</v>
      </c>
      <c r="AJ495" s="413">
        <f t="shared" si="368"/>
        <v>77.806000000000012</v>
      </c>
      <c r="AK495" s="63">
        <f t="shared" si="368"/>
        <v>26.20099999999999</v>
      </c>
      <c r="AL495" s="63">
        <f t="shared" si="368"/>
        <v>74.347000000000023</v>
      </c>
      <c r="AM495" s="63">
        <f t="shared" si="368"/>
        <v>46.358999999999995</v>
      </c>
      <c r="AN495" s="63">
        <f t="shared" si="368"/>
        <v>-4.2280000000000086</v>
      </c>
      <c r="AO495" s="413">
        <f t="shared" si="368"/>
        <v>142.679</v>
      </c>
      <c r="AP495" s="63">
        <f t="shared" si="368"/>
        <v>33.399999999999991</v>
      </c>
      <c r="AQ495" s="63">
        <f t="shared" si="368"/>
        <v>78.51400000000001</v>
      </c>
      <c r="AR495" s="63">
        <f t="shared" si="368"/>
        <v>78.88600000000001</v>
      </c>
      <c r="AS495" s="63">
        <f t="shared" si="368"/>
        <v>23.55900000000004</v>
      </c>
      <c r="AT495" s="413">
        <f t="shared" si="368"/>
        <v>214.35900000000004</v>
      </c>
      <c r="AU495" s="63">
        <f t="shared" si="368"/>
        <v>92.501000000000005</v>
      </c>
      <c r="AV495" s="63">
        <f t="shared" si="368"/>
        <v>82.097000000000008</v>
      </c>
      <c r="AW495" s="63">
        <f t="shared" si="368"/>
        <v>102.66100000000002</v>
      </c>
      <c r="AX495" s="63">
        <f t="shared" si="368"/>
        <v>65.932999999999979</v>
      </c>
      <c r="AY495" s="413">
        <f t="shared" si="368"/>
        <v>343.19199999999989</v>
      </c>
      <c r="AZ495" s="63">
        <f t="shared" si="368"/>
        <v>60.666999999999987</v>
      </c>
      <c r="BA495" s="63">
        <f t="shared" si="368"/>
        <v>84.539000000000016</v>
      </c>
      <c r="BB495" s="63">
        <f t="shared" si="368"/>
        <v>127.72600000000003</v>
      </c>
      <c r="BC495" s="63">
        <f t="shared" si="368"/>
        <v>59.398000000000025</v>
      </c>
      <c r="BD495" s="413">
        <f t="shared" si="368"/>
        <v>332.33000000000004</v>
      </c>
      <c r="BE495" s="63">
        <f t="shared" si="368"/>
        <v>193.96800000000002</v>
      </c>
      <c r="BF495" s="63">
        <f t="shared" si="368"/>
        <v>144.495</v>
      </c>
      <c r="BG495" s="63">
        <f t="shared" si="368"/>
        <v>147.96999999999994</v>
      </c>
      <c r="BH495" s="63">
        <f t="shared" si="368"/>
        <v>47.90500000000003</v>
      </c>
      <c r="BI495" s="413">
        <f t="shared" si="368"/>
        <v>534.33800000000019</v>
      </c>
      <c r="BJ495" s="63">
        <f t="shared" si="368"/>
        <v>187.44799999999998</v>
      </c>
      <c r="BK495" s="63">
        <f t="shared" si="368"/>
        <v>113.60899999999994</v>
      </c>
      <c r="BL495" s="63">
        <f t="shared" si="368"/>
        <v>87.389999999999958</v>
      </c>
      <c r="BM495" s="63">
        <f t="shared" si="368"/>
        <v>134.62700000000001</v>
      </c>
      <c r="BN495" s="413">
        <f t="shared" si="368"/>
        <v>523.07399999999996</v>
      </c>
      <c r="BO495" s="63">
        <f t="shared" ref="BO495:CF495" si="369">BO478+BO484</f>
        <v>139.32800000000003</v>
      </c>
      <c r="BP495" s="63">
        <f t="shared" si="369"/>
        <v>141.36500000000001</v>
      </c>
      <c r="BQ495" s="63">
        <f t="shared" si="369"/>
        <v>212.76500000000004</v>
      </c>
      <c r="BR495" s="63">
        <f t="shared" si="369"/>
        <v>132.934</v>
      </c>
      <c r="BS495" s="425">
        <f t="shared" si="369"/>
        <v>626.39199999999983</v>
      </c>
      <c r="BT495" s="63">
        <f t="shared" si="369"/>
        <v>114.81891324460264</v>
      </c>
      <c r="BU495" s="63">
        <f t="shared" si="369"/>
        <v>163.10049316385741</v>
      </c>
      <c r="BV495" s="63">
        <f t="shared" si="369"/>
        <v>170.58073820408799</v>
      </c>
      <c r="BW495" s="63">
        <f t="shared" si="369"/>
        <v>168.73683883042401</v>
      </c>
      <c r="BX495" s="413">
        <f t="shared" si="369"/>
        <v>617.23698344297202</v>
      </c>
      <c r="BY495" s="63">
        <f t="shared" si="369"/>
        <v>137.74475701871248</v>
      </c>
      <c r="BZ495" s="63">
        <f t="shared" si="369"/>
        <v>167.58268459810282</v>
      </c>
      <c r="CA495" s="63">
        <f t="shared" si="369"/>
        <v>175.07906845153417</v>
      </c>
      <c r="CB495" s="63">
        <f t="shared" si="369"/>
        <v>173.05218457202886</v>
      </c>
      <c r="CC495" s="413">
        <f t="shared" si="369"/>
        <v>653.45869464037833</v>
      </c>
      <c r="CD495" s="413">
        <f t="shared" si="369"/>
        <v>672.67618796854754</v>
      </c>
      <c r="CE495" s="413">
        <f t="shared" si="369"/>
        <v>689.60656396729996</v>
      </c>
      <c r="CF495" s="413">
        <f t="shared" si="369"/>
        <v>705.50975528929007</v>
      </c>
      <c r="CG495" s="63"/>
    </row>
    <row r="496" spans="1:85" ht="14.45" hidden="1" customHeight="1" x14ac:dyDescent="0.25">
      <c r="A496" s="63" t="s">
        <v>543</v>
      </c>
      <c r="B496" s="180"/>
      <c r="C496" s="413">
        <f t="shared" ref="C496:AH496" si="370">C495+C488</f>
        <v>60.704999999999991</v>
      </c>
      <c r="D496" s="413">
        <f t="shared" si="370"/>
        <v>39.795999999999999</v>
      </c>
      <c r="E496" s="413">
        <f t="shared" si="370"/>
        <v>43.673000000000002</v>
      </c>
      <c r="F496" s="413">
        <f t="shared" si="370"/>
        <v>42.313000000000002</v>
      </c>
      <c r="G496" s="63">
        <f t="shared" si="370"/>
        <v>-2.2659999999999996</v>
      </c>
      <c r="H496" s="63">
        <f t="shared" si="370"/>
        <v>13.115</v>
      </c>
      <c r="I496" s="63">
        <f t="shared" si="370"/>
        <v>18.129000000000008</v>
      </c>
      <c r="J496" s="63">
        <f t="shared" si="370"/>
        <v>-2.5230000000000015</v>
      </c>
      <c r="K496" s="413">
        <f t="shared" si="370"/>
        <v>26.455000000000005</v>
      </c>
      <c r="L496" s="63">
        <f t="shared" si="370"/>
        <v>-1.2209999999999952</v>
      </c>
      <c r="M496" s="63">
        <f t="shared" si="370"/>
        <v>10.068</v>
      </c>
      <c r="N496" s="63">
        <f t="shared" si="370"/>
        <v>3.8909999999999911</v>
      </c>
      <c r="O496" s="63">
        <f t="shared" si="370"/>
        <v>1.7279999999999998</v>
      </c>
      <c r="P496" s="413">
        <f t="shared" si="370"/>
        <v>14.465999999999999</v>
      </c>
      <c r="Q496" s="63">
        <f t="shared" si="370"/>
        <v>-5.5169999999999959</v>
      </c>
      <c r="R496" s="63">
        <f t="shared" si="370"/>
        <v>6.1649999999999761</v>
      </c>
      <c r="S496" s="63">
        <f t="shared" si="370"/>
        <v>-18.279000000000003</v>
      </c>
      <c r="T496" s="63">
        <f t="shared" si="370"/>
        <v>-18.484999999999999</v>
      </c>
      <c r="U496" s="413">
        <f t="shared" si="370"/>
        <v>-36.116000000000035</v>
      </c>
      <c r="V496" s="63">
        <f t="shared" si="370"/>
        <v>-9.0329999999999977</v>
      </c>
      <c r="W496" s="63">
        <f t="shared" si="370"/>
        <v>23.842999999999982</v>
      </c>
      <c r="X496" s="63">
        <f t="shared" si="370"/>
        <v>11.356000000000005</v>
      </c>
      <c r="Y496" s="63">
        <f t="shared" si="370"/>
        <v>19.259</v>
      </c>
      <c r="Z496" s="413">
        <f t="shared" si="370"/>
        <v>45.424999999999997</v>
      </c>
      <c r="AA496" s="63">
        <f t="shared" si="370"/>
        <v>73.624000000000009</v>
      </c>
      <c r="AB496" s="63">
        <f t="shared" si="370"/>
        <v>19.963999999999988</v>
      </c>
      <c r="AC496" s="63">
        <f t="shared" si="370"/>
        <v>23.062000000000005</v>
      </c>
      <c r="AD496" s="63">
        <f t="shared" si="370"/>
        <v>23.994</v>
      </c>
      <c r="AE496" s="413">
        <f t="shared" si="370"/>
        <v>140.64400000000003</v>
      </c>
      <c r="AF496" s="63">
        <f t="shared" si="370"/>
        <v>-28.310000000000002</v>
      </c>
      <c r="AG496" s="63">
        <f t="shared" si="370"/>
        <v>10.392000000000003</v>
      </c>
      <c r="AH496" s="63">
        <f t="shared" si="370"/>
        <v>62.289000000000016</v>
      </c>
      <c r="AI496" s="63">
        <f t="shared" ref="AI496:BN496" si="371">AI495+AI488</f>
        <v>24.081999999999994</v>
      </c>
      <c r="AJ496" s="413">
        <f t="shared" si="371"/>
        <v>68.453000000000017</v>
      </c>
      <c r="AK496" s="63">
        <f t="shared" si="371"/>
        <v>23.861999999999991</v>
      </c>
      <c r="AL496" s="63">
        <f t="shared" si="371"/>
        <v>72.004000000000019</v>
      </c>
      <c r="AM496" s="63">
        <f t="shared" si="371"/>
        <v>44.014999999999993</v>
      </c>
      <c r="AN496" s="63">
        <f t="shared" si="371"/>
        <v>-6.5710000000000086</v>
      </c>
      <c r="AO496" s="413">
        <f t="shared" si="371"/>
        <v>133.31</v>
      </c>
      <c r="AP496" s="63">
        <f t="shared" si="371"/>
        <v>31.05599999999999</v>
      </c>
      <c r="AQ496" s="63">
        <f t="shared" si="371"/>
        <v>76.172000000000011</v>
      </c>
      <c r="AR496" s="63">
        <f t="shared" si="371"/>
        <v>76.542000000000016</v>
      </c>
      <c r="AS496" s="63">
        <f t="shared" si="371"/>
        <v>21.215000000000039</v>
      </c>
      <c r="AT496" s="413">
        <f t="shared" si="371"/>
        <v>204.98500000000004</v>
      </c>
      <c r="AU496" s="63">
        <f t="shared" si="371"/>
        <v>90.158000000000001</v>
      </c>
      <c r="AV496" s="63">
        <f t="shared" si="371"/>
        <v>79.753000000000014</v>
      </c>
      <c r="AW496" s="63">
        <f t="shared" si="371"/>
        <v>100.31800000000001</v>
      </c>
      <c r="AX496" s="63">
        <f t="shared" si="371"/>
        <v>63.588999999999977</v>
      </c>
      <c r="AY496" s="413">
        <f t="shared" si="371"/>
        <v>333.81799999999987</v>
      </c>
      <c r="AZ496" s="63">
        <f t="shared" si="371"/>
        <v>58.322999999999986</v>
      </c>
      <c r="BA496" s="63">
        <f t="shared" si="371"/>
        <v>82.196000000000012</v>
      </c>
      <c r="BB496" s="63">
        <f t="shared" si="371"/>
        <v>125.38300000000002</v>
      </c>
      <c r="BC496" s="63">
        <f t="shared" si="371"/>
        <v>57.054000000000023</v>
      </c>
      <c r="BD496" s="413">
        <f t="shared" si="371"/>
        <v>322.95600000000002</v>
      </c>
      <c r="BE496" s="63">
        <f t="shared" si="371"/>
        <v>161.16000000000003</v>
      </c>
      <c r="BF496" s="63">
        <f t="shared" si="371"/>
        <v>139.80799999999999</v>
      </c>
      <c r="BG496" s="63">
        <f t="shared" si="371"/>
        <v>143.28299999999993</v>
      </c>
      <c r="BH496" s="63">
        <f t="shared" si="371"/>
        <v>43.21900000000003</v>
      </c>
      <c r="BI496" s="413">
        <f t="shared" si="371"/>
        <v>487.4700000000002</v>
      </c>
      <c r="BJ496" s="63">
        <f t="shared" si="371"/>
        <v>32.781999999999982</v>
      </c>
      <c r="BK496" s="63">
        <f t="shared" si="371"/>
        <v>108.92199999999993</v>
      </c>
      <c r="BL496" s="63">
        <f t="shared" si="371"/>
        <v>83.009999999999962</v>
      </c>
      <c r="BM496" s="63">
        <f t="shared" si="371"/>
        <v>112.72500000000002</v>
      </c>
      <c r="BN496" s="413">
        <f t="shared" si="371"/>
        <v>337.43899999999996</v>
      </c>
      <c r="BO496" s="63">
        <f t="shared" ref="BO496:CF496" si="372">BO495+BO488</f>
        <v>117.53400000000003</v>
      </c>
      <c r="BP496" s="63">
        <f t="shared" si="372"/>
        <v>119.57000000000001</v>
      </c>
      <c r="BQ496" s="63">
        <f t="shared" si="372"/>
        <v>191.04400000000004</v>
      </c>
      <c r="BR496" s="63">
        <f t="shared" si="372"/>
        <v>111.571</v>
      </c>
      <c r="BS496" s="425">
        <f t="shared" si="372"/>
        <v>539.71899999999982</v>
      </c>
      <c r="BT496" s="63" t="e">
        <f t="shared" si="372"/>
        <v>#NAME?</v>
      </c>
      <c r="BU496" s="63" t="e">
        <f t="shared" si="372"/>
        <v>#NAME?</v>
      </c>
      <c r="BV496" s="63" t="e">
        <f t="shared" si="372"/>
        <v>#NAME?</v>
      </c>
      <c r="BW496" s="63" t="e">
        <f t="shared" si="372"/>
        <v>#NAME?</v>
      </c>
      <c r="BX496" s="413" t="e">
        <f t="shared" si="372"/>
        <v>#NAME?</v>
      </c>
      <c r="BY496" s="63" t="e">
        <f t="shared" si="372"/>
        <v>#NAME?</v>
      </c>
      <c r="BZ496" s="63" t="e">
        <f t="shared" si="372"/>
        <v>#NAME?</v>
      </c>
      <c r="CA496" s="63" t="e">
        <f t="shared" si="372"/>
        <v>#NAME?</v>
      </c>
      <c r="CB496" s="63" t="e">
        <f t="shared" si="372"/>
        <v>#NAME?</v>
      </c>
      <c r="CC496" s="413" t="e">
        <f t="shared" si="372"/>
        <v>#NAME?</v>
      </c>
      <c r="CD496" s="413" t="e">
        <f t="shared" si="372"/>
        <v>#NAME?</v>
      </c>
      <c r="CE496" s="413" t="e">
        <f t="shared" si="372"/>
        <v>#NAME?</v>
      </c>
      <c r="CF496" s="413" t="e">
        <f t="shared" si="372"/>
        <v>#NAME?</v>
      </c>
      <c r="CG496" s="63"/>
    </row>
    <row r="497" spans="1:85" ht="14.45" hidden="1" customHeight="1" x14ac:dyDescent="0.25">
      <c r="A497" s="63" t="s">
        <v>544</v>
      </c>
      <c r="B497" s="180"/>
      <c r="C497" s="413">
        <f t="shared" ref="C497:AH497" si="373">C496+C486+C487</f>
        <v>68.986999999999995</v>
      </c>
      <c r="D497" s="413">
        <f t="shared" si="373"/>
        <v>42.977000000000004</v>
      </c>
      <c r="E497" s="413">
        <f t="shared" si="373"/>
        <v>45.445</v>
      </c>
      <c r="F497" s="413">
        <f t="shared" si="373"/>
        <v>43.014000000000003</v>
      </c>
      <c r="G497" s="63">
        <f t="shared" si="373"/>
        <v>2.036</v>
      </c>
      <c r="H497" s="63">
        <f t="shared" si="373"/>
        <v>14.481999999999999</v>
      </c>
      <c r="I497" s="63">
        <f t="shared" si="373"/>
        <v>18.516000000000009</v>
      </c>
      <c r="J497" s="63">
        <f t="shared" si="373"/>
        <v>-2.4430000000000014</v>
      </c>
      <c r="K497" s="413">
        <f t="shared" si="373"/>
        <v>32.591000000000008</v>
      </c>
      <c r="L497" s="63">
        <f t="shared" si="373"/>
        <v>-0.26299999999999524</v>
      </c>
      <c r="M497" s="63">
        <f t="shared" si="373"/>
        <v>-1.9920000000000007</v>
      </c>
      <c r="N497" s="63">
        <f t="shared" si="373"/>
        <v>4.0419999999999909</v>
      </c>
      <c r="O497" s="63">
        <f t="shared" si="373"/>
        <v>-27.419999999999998</v>
      </c>
      <c r="P497" s="413">
        <f t="shared" si="373"/>
        <v>-25.633000000000003</v>
      </c>
      <c r="Q497" s="63">
        <f t="shared" si="373"/>
        <v>-38.787999999999997</v>
      </c>
      <c r="R497" s="63">
        <f t="shared" si="373"/>
        <v>-12.485000000000026</v>
      </c>
      <c r="S497" s="63">
        <f t="shared" si="373"/>
        <v>5.1320000000000014</v>
      </c>
      <c r="T497" s="63">
        <f t="shared" si="373"/>
        <v>-47.47</v>
      </c>
      <c r="U497" s="413">
        <f t="shared" si="373"/>
        <v>-93.611000000000018</v>
      </c>
      <c r="V497" s="63">
        <f t="shared" si="373"/>
        <v>-115.97199999999999</v>
      </c>
      <c r="W497" s="63">
        <f t="shared" si="373"/>
        <v>-58.191000000000017</v>
      </c>
      <c r="X497" s="63">
        <f t="shared" si="373"/>
        <v>8.4049999999999994</v>
      </c>
      <c r="Y497" s="63">
        <f t="shared" si="373"/>
        <v>-81.807000000000002</v>
      </c>
      <c r="Z497" s="413">
        <f t="shared" si="373"/>
        <v>-247.565</v>
      </c>
      <c r="AA497" s="63">
        <f t="shared" si="373"/>
        <v>-66.256999999999977</v>
      </c>
      <c r="AB497" s="63">
        <f t="shared" si="373"/>
        <v>-66.687000000000012</v>
      </c>
      <c r="AC497" s="63">
        <f t="shared" si="373"/>
        <v>-39.406000000000013</v>
      </c>
      <c r="AD497" s="63">
        <f t="shared" si="373"/>
        <v>17.195999999999994</v>
      </c>
      <c r="AE497" s="413">
        <f t="shared" si="373"/>
        <v>-155.154</v>
      </c>
      <c r="AF497" s="63">
        <f t="shared" si="373"/>
        <v>-32.368000000000002</v>
      </c>
      <c r="AG497" s="63">
        <f t="shared" si="373"/>
        <v>12.709000000000003</v>
      </c>
      <c r="AH497" s="63">
        <f t="shared" si="373"/>
        <v>52.775000000000013</v>
      </c>
      <c r="AI497" s="63">
        <f t="shared" ref="AI497:BN497" si="374">AI496+AI486+AI487</f>
        <v>4.9439999999999955</v>
      </c>
      <c r="AJ497" s="413">
        <f t="shared" si="374"/>
        <v>38.060000000000016</v>
      </c>
      <c r="AK497" s="63">
        <f t="shared" si="374"/>
        <v>17.819999999999993</v>
      </c>
      <c r="AL497" s="63">
        <f t="shared" si="374"/>
        <v>65.547000000000011</v>
      </c>
      <c r="AM497" s="63">
        <f t="shared" si="374"/>
        <v>37.044999999999995</v>
      </c>
      <c r="AN497" s="63">
        <f t="shared" si="374"/>
        <v>-11.933000000000009</v>
      </c>
      <c r="AO497" s="413">
        <f t="shared" si="374"/>
        <v>108.47900000000001</v>
      </c>
      <c r="AP497" s="63">
        <f t="shared" si="374"/>
        <v>21.368999999999993</v>
      </c>
      <c r="AQ497" s="63">
        <f t="shared" si="374"/>
        <v>65.510000000000005</v>
      </c>
      <c r="AR497" s="63">
        <f t="shared" si="374"/>
        <v>65.519000000000005</v>
      </c>
      <c r="AS497" s="63">
        <f t="shared" si="374"/>
        <v>10.802000000000039</v>
      </c>
      <c r="AT497" s="413">
        <f t="shared" si="374"/>
        <v>163.20000000000005</v>
      </c>
      <c r="AU497" s="63">
        <f t="shared" si="374"/>
        <v>79.671999999999997</v>
      </c>
      <c r="AV497" s="63">
        <f t="shared" si="374"/>
        <v>70.27300000000001</v>
      </c>
      <c r="AW497" s="63">
        <f t="shared" si="374"/>
        <v>93.66500000000002</v>
      </c>
      <c r="AX497" s="63">
        <f t="shared" si="374"/>
        <v>53.853999999999971</v>
      </c>
      <c r="AY497" s="413">
        <f t="shared" si="374"/>
        <v>297.46399999999988</v>
      </c>
      <c r="AZ497" s="63">
        <f t="shared" si="374"/>
        <v>50.481999999999985</v>
      </c>
      <c r="BA497" s="63">
        <f t="shared" si="374"/>
        <v>75.044000000000011</v>
      </c>
      <c r="BB497" s="63">
        <f t="shared" si="374"/>
        <v>115.76500000000003</v>
      </c>
      <c r="BC497" s="63">
        <f t="shared" si="374"/>
        <v>49.425000000000026</v>
      </c>
      <c r="BD497" s="413">
        <f t="shared" si="374"/>
        <v>290.71600000000001</v>
      </c>
      <c r="BE497" s="63">
        <f t="shared" si="374"/>
        <v>154.81900000000002</v>
      </c>
      <c r="BF497" s="63">
        <f t="shared" si="374"/>
        <v>127.00699999999999</v>
      </c>
      <c r="BG497" s="63">
        <f t="shared" si="374"/>
        <v>132.84299999999993</v>
      </c>
      <c r="BH497" s="63">
        <f t="shared" si="374"/>
        <v>31.547000000000033</v>
      </c>
      <c r="BI497" s="413">
        <f t="shared" si="374"/>
        <v>446.21600000000018</v>
      </c>
      <c r="BJ497" s="63">
        <f t="shared" si="374"/>
        <v>19.549999999999983</v>
      </c>
      <c r="BK497" s="63">
        <f t="shared" si="374"/>
        <v>92.178999999999931</v>
      </c>
      <c r="BL497" s="63">
        <f t="shared" si="374"/>
        <v>59.372999999999955</v>
      </c>
      <c r="BM497" s="63">
        <f t="shared" si="374"/>
        <v>86.874000000000024</v>
      </c>
      <c r="BN497" s="413">
        <f t="shared" si="374"/>
        <v>257.976</v>
      </c>
      <c r="BO497" s="63">
        <f t="shared" ref="BO497:CF497" si="375">BO496+BO486+BO487</f>
        <v>93.288000000000025</v>
      </c>
      <c r="BP497" s="63">
        <f t="shared" si="375"/>
        <v>104.29</v>
      </c>
      <c r="BQ497" s="63">
        <f t="shared" si="375"/>
        <v>170.60700000000003</v>
      </c>
      <c r="BR497" s="63">
        <f t="shared" si="375"/>
        <v>89.644000000000005</v>
      </c>
      <c r="BS497" s="425">
        <f t="shared" si="375"/>
        <v>457.82899999999978</v>
      </c>
      <c r="BT497" s="63" t="e">
        <f t="shared" si="375"/>
        <v>#NAME?</v>
      </c>
      <c r="BU497" s="63" t="e">
        <f t="shared" si="375"/>
        <v>#NAME?</v>
      </c>
      <c r="BV497" s="63" t="e">
        <f t="shared" si="375"/>
        <v>#NAME?</v>
      </c>
      <c r="BW497" s="63" t="e">
        <f t="shared" si="375"/>
        <v>#NAME?</v>
      </c>
      <c r="BX497" s="413" t="e">
        <f t="shared" si="375"/>
        <v>#NAME?</v>
      </c>
      <c r="BY497" s="63" t="e">
        <f t="shared" si="375"/>
        <v>#NAME?</v>
      </c>
      <c r="BZ497" s="63" t="e">
        <f t="shared" si="375"/>
        <v>#NAME?</v>
      </c>
      <c r="CA497" s="63" t="e">
        <f t="shared" si="375"/>
        <v>#NAME?</v>
      </c>
      <c r="CB497" s="63" t="e">
        <f t="shared" si="375"/>
        <v>#NAME?</v>
      </c>
      <c r="CC497" s="413" t="e">
        <f t="shared" si="375"/>
        <v>#NAME?</v>
      </c>
      <c r="CD497" s="413" t="e">
        <f t="shared" si="375"/>
        <v>#NAME?</v>
      </c>
      <c r="CE497" s="413" t="e">
        <f t="shared" si="375"/>
        <v>#NAME?</v>
      </c>
      <c r="CF497" s="413" t="e">
        <f t="shared" si="375"/>
        <v>#NAME?</v>
      </c>
      <c r="CG497" s="63"/>
    </row>
    <row r="498" spans="1:85" ht="14.45" hidden="1" customHeight="1" x14ac:dyDescent="0.25">
      <c r="A498" s="112" t="s">
        <v>545</v>
      </c>
      <c r="B498" s="211"/>
      <c r="C498" s="423">
        <f t="shared" ref="C498:AH498" si="376">C497+C491+C492</f>
        <v>10.710999999999975</v>
      </c>
      <c r="D498" s="423">
        <f t="shared" si="376"/>
        <v>24.208000000000006</v>
      </c>
      <c r="E498" s="423">
        <f t="shared" si="376"/>
        <v>40.951000000000001</v>
      </c>
      <c r="F498" s="423">
        <f t="shared" si="376"/>
        <v>-61.586999999999996</v>
      </c>
      <c r="G498" s="112">
        <f t="shared" si="376"/>
        <v>35.761000000000003</v>
      </c>
      <c r="H498" s="112">
        <f t="shared" si="376"/>
        <v>3.1849999999999987</v>
      </c>
      <c r="I498" s="112">
        <f t="shared" si="376"/>
        <v>-17.83799999999999</v>
      </c>
      <c r="J498" s="112">
        <f t="shared" si="376"/>
        <v>-18.841000000000001</v>
      </c>
      <c r="K498" s="423">
        <f t="shared" si="376"/>
        <v>2.2670000000000061</v>
      </c>
      <c r="L498" s="112">
        <f t="shared" si="376"/>
        <v>33.288000000000004</v>
      </c>
      <c r="M498" s="112">
        <f t="shared" si="376"/>
        <v>16.707999999999998</v>
      </c>
      <c r="N498" s="112">
        <f t="shared" si="376"/>
        <v>-7.4530000000000101</v>
      </c>
      <c r="O498" s="112">
        <f t="shared" si="376"/>
        <v>-28.791999999999998</v>
      </c>
      <c r="P498" s="423">
        <f t="shared" si="376"/>
        <v>13.750999999999996</v>
      </c>
      <c r="Q498" s="112">
        <f t="shared" si="376"/>
        <v>41.593000000000004</v>
      </c>
      <c r="R498" s="112">
        <f t="shared" si="376"/>
        <v>22.661999999999971</v>
      </c>
      <c r="S498" s="112">
        <f t="shared" si="376"/>
        <v>-11.498999999999999</v>
      </c>
      <c r="T498" s="112">
        <f t="shared" si="376"/>
        <v>22.599000000000018</v>
      </c>
      <c r="U498" s="423">
        <f t="shared" si="376"/>
        <v>75.35499999999999</v>
      </c>
      <c r="V498" s="112">
        <f t="shared" si="376"/>
        <v>22.302000000000007</v>
      </c>
      <c r="W498" s="112">
        <f t="shared" si="376"/>
        <v>10.289999999999978</v>
      </c>
      <c r="X498" s="112">
        <f t="shared" si="376"/>
        <v>-3.386000000000001</v>
      </c>
      <c r="Y498" s="112">
        <f t="shared" si="376"/>
        <v>3.4089999999999918</v>
      </c>
      <c r="Z498" s="423">
        <f t="shared" si="376"/>
        <v>32.615000000000009</v>
      </c>
      <c r="AA498" s="112">
        <f t="shared" si="376"/>
        <v>26.91500000000002</v>
      </c>
      <c r="AB498" s="112">
        <f t="shared" si="376"/>
        <v>9.4459999999999837</v>
      </c>
      <c r="AC498" s="112">
        <f t="shared" si="376"/>
        <v>5.6949999999999861</v>
      </c>
      <c r="AD498" s="112">
        <f t="shared" si="376"/>
        <v>-24.695000000000004</v>
      </c>
      <c r="AE498" s="423">
        <f t="shared" si="376"/>
        <v>17.36099999999999</v>
      </c>
      <c r="AF498" s="112">
        <f t="shared" si="376"/>
        <v>88.394000000000005</v>
      </c>
      <c r="AG498" s="112">
        <f t="shared" si="376"/>
        <v>-70.781999999999996</v>
      </c>
      <c r="AH498" s="112">
        <f t="shared" si="376"/>
        <v>113.28200000000001</v>
      </c>
      <c r="AI498" s="112">
        <f t="shared" ref="AI498:BN498" si="377">AI497+AI491+AI492</f>
        <v>-87.086000000000013</v>
      </c>
      <c r="AJ498" s="423">
        <f t="shared" si="377"/>
        <v>43.808000000000007</v>
      </c>
      <c r="AK498" s="112">
        <f t="shared" si="377"/>
        <v>49.522999999999996</v>
      </c>
      <c r="AL498" s="112">
        <f t="shared" si="377"/>
        <v>16.818000000000012</v>
      </c>
      <c r="AM498" s="112">
        <f t="shared" si="377"/>
        <v>-30.175000000000018</v>
      </c>
      <c r="AN498" s="112">
        <f t="shared" si="377"/>
        <v>-11.763000000000009</v>
      </c>
      <c r="AO498" s="423">
        <f t="shared" si="377"/>
        <v>24.40300000000002</v>
      </c>
      <c r="AP498" s="112">
        <f t="shared" si="377"/>
        <v>72.337999999999994</v>
      </c>
      <c r="AQ498" s="112">
        <f t="shared" si="377"/>
        <v>-48.605000000000004</v>
      </c>
      <c r="AR498" s="112">
        <f t="shared" si="377"/>
        <v>56.592000000000006</v>
      </c>
      <c r="AS498" s="112">
        <f t="shared" si="377"/>
        <v>-13.21399999999996</v>
      </c>
      <c r="AT498" s="423">
        <f t="shared" si="377"/>
        <v>67.111000000000047</v>
      </c>
      <c r="AU498" s="112">
        <f t="shared" si="377"/>
        <v>46.827999999999996</v>
      </c>
      <c r="AV498" s="112">
        <f t="shared" si="377"/>
        <v>-61.897999999999982</v>
      </c>
      <c r="AW498" s="112">
        <f t="shared" si="377"/>
        <v>106.15700000000002</v>
      </c>
      <c r="AX498" s="112">
        <f t="shared" si="377"/>
        <v>-17.443000000000026</v>
      </c>
      <c r="AY498" s="423">
        <f t="shared" si="377"/>
        <v>73.643999999999892</v>
      </c>
      <c r="AZ498" s="112">
        <f t="shared" si="377"/>
        <v>49.058999999999983</v>
      </c>
      <c r="BA498" s="112">
        <f t="shared" si="377"/>
        <v>74.432000000000016</v>
      </c>
      <c r="BB498" s="112">
        <f t="shared" si="377"/>
        <v>-9.859999999999971</v>
      </c>
      <c r="BC498" s="112">
        <f t="shared" si="377"/>
        <v>48.787000000000027</v>
      </c>
      <c r="BD498" s="423">
        <f t="shared" si="377"/>
        <v>162.41800000000001</v>
      </c>
      <c r="BE498" s="112">
        <f t="shared" si="377"/>
        <v>154.10700000000003</v>
      </c>
      <c r="BF498" s="112">
        <f t="shared" si="377"/>
        <v>126.43499999999999</v>
      </c>
      <c r="BG498" s="112">
        <f t="shared" si="377"/>
        <v>132.17099999999994</v>
      </c>
      <c r="BH498" s="112">
        <f t="shared" si="377"/>
        <v>30.860000000000031</v>
      </c>
      <c r="BI498" s="423">
        <f t="shared" si="377"/>
        <v>443.57300000000021</v>
      </c>
      <c r="BJ498" s="112">
        <f t="shared" si="377"/>
        <v>18.895999999999983</v>
      </c>
      <c r="BK498" s="112">
        <f t="shared" si="377"/>
        <v>1264.9289999999999</v>
      </c>
      <c r="BL498" s="112">
        <f t="shared" si="377"/>
        <v>-503.94500000000005</v>
      </c>
      <c r="BM498" s="112">
        <f t="shared" si="377"/>
        <v>34.442000000000036</v>
      </c>
      <c r="BN498" s="423">
        <f t="shared" si="377"/>
        <v>814.32200000000012</v>
      </c>
      <c r="BO498" s="112">
        <f t="shared" ref="BO498:CF498" si="378">BO497+BO491+BO492</f>
        <v>92.40600000000002</v>
      </c>
      <c r="BP498" s="112">
        <f t="shared" si="378"/>
        <v>69.209000000000003</v>
      </c>
      <c r="BQ498" s="112">
        <f t="shared" si="378"/>
        <v>58.930000000000007</v>
      </c>
      <c r="BR498" s="112">
        <f t="shared" si="378"/>
        <v>-1373.952</v>
      </c>
      <c r="BS498" s="424">
        <f t="shared" si="378"/>
        <v>-1153.4070000000002</v>
      </c>
      <c r="BT498" s="112" t="e">
        <f t="shared" si="378"/>
        <v>#NAME?</v>
      </c>
      <c r="BU498" s="112" t="e">
        <f t="shared" si="378"/>
        <v>#NAME?</v>
      </c>
      <c r="BV498" s="112" t="e">
        <f t="shared" si="378"/>
        <v>#NAME?</v>
      </c>
      <c r="BW498" s="112" t="e">
        <f t="shared" si="378"/>
        <v>#NAME?</v>
      </c>
      <c r="BX498" s="423" t="e">
        <f t="shared" si="378"/>
        <v>#NAME?</v>
      </c>
      <c r="BY498" s="112" t="e">
        <f t="shared" si="378"/>
        <v>#NAME?</v>
      </c>
      <c r="BZ498" s="112" t="e">
        <f t="shared" si="378"/>
        <v>#NAME?</v>
      </c>
      <c r="CA498" s="112" t="e">
        <f t="shared" si="378"/>
        <v>#NAME?</v>
      </c>
      <c r="CB498" s="112" t="e">
        <f t="shared" si="378"/>
        <v>#NAME?</v>
      </c>
      <c r="CC498" s="423" t="e">
        <f t="shared" si="378"/>
        <v>#NAME?</v>
      </c>
      <c r="CD498" s="423" t="e">
        <f t="shared" si="378"/>
        <v>#NAME?</v>
      </c>
      <c r="CE498" s="423" t="e">
        <f t="shared" si="378"/>
        <v>#NAME?</v>
      </c>
      <c r="CF498" s="423" t="e">
        <f t="shared" si="378"/>
        <v>#NAME?</v>
      </c>
      <c r="CG498" s="63"/>
    </row>
    <row r="499" spans="1:85" ht="14.45" customHeight="1" x14ac:dyDescent="0.25">
      <c r="A499" s="63" t="s">
        <v>546</v>
      </c>
      <c r="B499" s="180"/>
      <c r="C499" s="413">
        <f t="shared" ref="C499:AH499" si="379">C480+C484</f>
        <v>36.163999999999987</v>
      </c>
      <c r="D499" s="413">
        <f t="shared" si="379"/>
        <v>51.957999999999998</v>
      </c>
      <c r="E499" s="413">
        <f t="shared" si="379"/>
        <v>56.493999999999993</v>
      </c>
      <c r="F499" s="413">
        <f t="shared" si="379"/>
        <v>29.90100000000001</v>
      </c>
      <c r="G499" s="63">
        <f t="shared" si="379"/>
        <v>-34.168999999999997</v>
      </c>
      <c r="H499" s="63">
        <f t="shared" si="379"/>
        <v>26.077999999999992</v>
      </c>
      <c r="I499" s="63">
        <f t="shared" si="379"/>
        <v>37.867000000000012</v>
      </c>
      <c r="J499" s="63">
        <f t="shared" si="379"/>
        <v>5.1659999999999968</v>
      </c>
      <c r="K499" s="413">
        <f t="shared" si="379"/>
        <v>34.942000000000007</v>
      </c>
      <c r="L499" s="63">
        <f t="shared" si="379"/>
        <v>-25.121999999999993</v>
      </c>
      <c r="M499" s="63">
        <f t="shared" si="379"/>
        <v>-0.15500000000000114</v>
      </c>
      <c r="N499" s="63">
        <f t="shared" si="379"/>
        <v>13.887999999999991</v>
      </c>
      <c r="O499" s="63">
        <f t="shared" si="379"/>
        <v>18.928000000000004</v>
      </c>
      <c r="P499" s="413">
        <f t="shared" si="379"/>
        <v>7.5390000000000015</v>
      </c>
      <c r="Q499" s="63">
        <f t="shared" si="379"/>
        <v>-32.636999999999993</v>
      </c>
      <c r="R499" s="63">
        <f t="shared" si="379"/>
        <v>8.464999999999975</v>
      </c>
      <c r="S499" s="63">
        <f t="shared" si="379"/>
        <v>-7.7670000000000101</v>
      </c>
      <c r="T499" s="63">
        <f t="shared" si="379"/>
        <v>-23.658000000000001</v>
      </c>
      <c r="U499" s="413">
        <f t="shared" si="379"/>
        <v>-55.597000000000037</v>
      </c>
      <c r="V499" s="63">
        <f t="shared" si="379"/>
        <v>-52.001999999999995</v>
      </c>
      <c r="W499" s="63">
        <f t="shared" si="379"/>
        <v>33.573999999999984</v>
      </c>
      <c r="X499" s="63">
        <f t="shared" si="379"/>
        <v>21.953999999999994</v>
      </c>
      <c r="Y499" s="63">
        <f t="shared" si="379"/>
        <v>-14.117000000000004</v>
      </c>
      <c r="Z499" s="413">
        <f t="shared" si="379"/>
        <v>-10.59099999999998</v>
      </c>
      <c r="AA499" s="63">
        <f t="shared" si="379"/>
        <v>74.938000000000002</v>
      </c>
      <c r="AB499" s="63">
        <f t="shared" si="379"/>
        <v>24.425999999999995</v>
      </c>
      <c r="AC499" s="63">
        <f t="shared" si="379"/>
        <v>-11.891999999999996</v>
      </c>
      <c r="AD499" s="63">
        <f t="shared" si="379"/>
        <v>43.742999999999995</v>
      </c>
      <c r="AE499" s="413">
        <f t="shared" si="379"/>
        <v>131.21500000000003</v>
      </c>
      <c r="AF499" s="63">
        <f t="shared" si="379"/>
        <v>-122.79400000000001</v>
      </c>
      <c r="AG499" s="63">
        <f t="shared" si="379"/>
        <v>94.757000000000005</v>
      </c>
      <c r="AH499" s="63">
        <f t="shared" si="379"/>
        <v>-59.036999999999992</v>
      </c>
      <c r="AI499" s="63">
        <f t="shared" ref="AI499:BN499" si="380">AI480+AI484</f>
        <v>117.71799999999998</v>
      </c>
      <c r="AJ499" s="413">
        <f t="shared" si="380"/>
        <v>30.644000000000005</v>
      </c>
      <c r="AK499" s="63">
        <f t="shared" si="380"/>
        <v>-23.719000000000015</v>
      </c>
      <c r="AL499" s="63">
        <f t="shared" si="380"/>
        <v>54.724000000000018</v>
      </c>
      <c r="AM499" s="63">
        <f t="shared" si="380"/>
        <v>76.830999999999989</v>
      </c>
      <c r="AN499" s="63">
        <f t="shared" si="380"/>
        <v>11.159999999999982</v>
      </c>
      <c r="AO499" s="413">
        <f t="shared" si="380"/>
        <v>118.99600000000007</v>
      </c>
      <c r="AP499" s="63">
        <f t="shared" si="380"/>
        <v>-0.80400000000000915</v>
      </c>
      <c r="AQ499" s="63">
        <f t="shared" si="380"/>
        <v>156.92100000000005</v>
      </c>
      <c r="AR499" s="63">
        <f t="shared" si="380"/>
        <v>109.56699999999999</v>
      </c>
      <c r="AS499" s="63">
        <f t="shared" si="380"/>
        <v>26.743000000000023</v>
      </c>
      <c r="AT499" s="413">
        <f t="shared" si="380"/>
        <v>292.42700000000002</v>
      </c>
      <c r="AU499" s="63">
        <f t="shared" si="380"/>
        <v>44.70600000000001</v>
      </c>
      <c r="AV499" s="63">
        <f t="shared" si="380"/>
        <v>146.37100000000001</v>
      </c>
      <c r="AW499" s="63">
        <f t="shared" si="380"/>
        <v>129.178</v>
      </c>
      <c r="AX499" s="63">
        <f t="shared" si="380"/>
        <v>45.80699999999996</v>
      </c>
      <c r="AY499" s="413">
        <f t="shared" si="380"/>
        <v>366.06200000000001</v>
      </c>
      <c r="AZ499" s="63">
        <f t="shared" si="380"/>
        <v>26.527999999999977</v>
      </c>
      <c r="BA499" s="63">
        <f t="shared" si="380"/>
        <v>71.825000000000017</v>
      </c>
      <c r="BB499" s="63">
        <f t="shared" si="380"/>
        <v>112.02700000000002</v>
      </c>
      <c r="BC499" s="63">
        <f t="shared" si="380"/>
        <v>45.515000000000015</v>
      </c>
      <c r="BD499" s="413">
        <f t="shared" si="380"/>
        <v>255.8950000000001</v>
      </c>
      <c r="BE499" s="63">
        <f t="shared" si="380"/>
        <v>131.99399999999997</v>
      </c>
      <c r="BF499" s="63">
        <f t="shared" si="380"/>
        <v>158.45099999999996</v>
      </c>
      <c r="BG499" s="63">
        <f t="shared" si="380"/>
        <v>201.84399999999997</v>
      </c>
      <c r="BH499" s="63">
        <f t="shared" si="380"/>
        <v>36.097000000000037</v>
      </c>
      <c r="BI499" s="413">
        <f t="shared" si="380"/>
        <v>528.38600000000019</v>
      </c>
      <c r="BJ499" s="63">
        <f t="shared" si="380"/>
        <v>117.23299999999999</v>
      </c>
      <c r="BK499" s="63">
        <f t="shared" si="380"/>
        <v>160.49799999999993</v>
      </c>
      <c r="BL499" s="63">
        <f t="shared" si="380"/>
        <v>142.82899999999992</v>
      </c>
      <c r="BM499" s="63">
        <f t="shared" si="380"/>
        <v>84.782000000000011</v>
      </c>
      <c r="BN499" s="413">
        <f t="shared" si="380"/>
        <v>505.34199999999998</v>
      </c>
      <c r="BO499" s="63">
        <f t="shared" ref="BO499:CF499" si="381">BO480+BO484</f>
        <v>100.30500000000002</v>
      </c>
      <c r="BP499" s="63">
        <f t="shared" si="381"/>
        <v>148.53300000000002</v>
      </c>
      <c r="BQ499" s="63">
        <f t="shared" si="381"/>
        <v>264.08100000000002</v>
      </c>
      <c r="BR499" s="63">
        <f t="shared" si="381"/>
        <v>106.66999999999999</v>
      </c>
      <c r="BS499" s="425">
        <f t="shared" si="381"/>
        <v>619.58899999999994</v>
      </c>
      <c r="BT499" s="63">
        <f t="shared" si="381"/>
        <v>123.49119456552438</v>
      </c>
      <c r="BU499" s="63">
        <f t="shared" si="381"/>
        <v>177.50940989588835</v>
      </c>
      <c r="BV499" s="63">
        <f t="shared" si="381"/>
        <v>146.8889998330248</v>
      </c>
      <c r="BW499" s="63">
        <f t="shared" si="381"/>
        <v>158.34141662015895</v>
      </c>
      <c r="BX499" s="413">
        <f t="shared" si="381"/>
        <v>606.23102091459646</v>
      </c>
      <c r="BY499" s="63">
        <f t="shared" si="381"/>
        <v>146.59013735529803</v>
      </c>
      <c r="BZ499" s="63">
        <f t="shared" si="381"/>
        <v>183.76569348537816</v>
      </c>
      <c r="CA499" s="63">
        <f t="shared" si="381"/>
        <v>154.94191077900575</v>
      </c>
      <c r="CB499" s="63">
        <f t="shared" si="381"/>
        <v>163.27948900005828</v>
      </c>
      <c r="CC499" s="413">
        <f t="shared" si="381"/>
        <v>648.57723061974013</v>
      </c>
      <c r="CD499" s="413">
        <f t="shared" si="381"/>
        <v>666.86415657320288</v>
      </c>
      <c r="CE499" s="413">
        <f t="shared" si="381"/>
        <v>683.70027402972642</v>
      </c>
      <c r="CF499" s="413">
        <f t="shared" si="381"/>
        <v>699.50743154907161</v>
      </c>
      <c r="CG499" s="63"/>
    </row>
    <row r="500" spans="1:85" ht="14.45" customHeight="1" x14ac:dyDescent="0.25">
      <c r="A500" s="63" t="s">
        <v>547</v>
      </c>
      <c r="B500" s="180"/>
      <c r="C500" s="413">
        <f t="shared" ref="C500:AH500" si="382">C499+C488</f>
        <v>27.001999999999988</v>
      </c>
      <c r="D500" s="413">
        <f t="shared" si="382"/>
        <v>42.777999999999999</v>
      </c>
      <c r="E500" s="413">
        <f t="shared" si="382"/>
        <v>47.290999999999997</v>
      </c>
      <c r="F500" s="413">
        <f t="shared" si="382"/>
        <v>20.67700000000001</v>
      </c>
      <c r="G500" s="63">
        <f t="shared" si="382"/>
        <v>-36.475999999999999</v>
      </c>
      <c r="H500" s="63">
        <f t="shared" si="382"/>
        <v>23.764999999999993</v>
      </c>
      <c r="I500" s="63">
        <f t="shared" si="382"/>
        <v>35.554000000000009</v>
      </c>
      <c r="J500" s="63">
        <f t="shared" si="382"/>
        <v>2.8539999999999974</v>
      </c>
      <c r="K500" s="413">
        <f t="shared" si="382"/>
        <v>25.69700000000001</v>
      </c>
      <c r="L500" s="63">
        <f t="shared" si="382"/>
        <v>-27.433999999999994</v>
      </c>
      <c r="M500" s="63">
        <f t="shared" si="382"/>
        <v>-2.4740000000000015</v>
      </c>
      <c r="N500" s="63">
        <f t="shared" si="382"/>
        <v>11.570999999999991</v>
      </c>
      <c r="O500" s="63">
        <f t="shared" si="382"/>
        <v>16.610000000000007</v>
      </c>
      <c r="P500" s="413">
        <f t="shared" si="382"/>
        <v>-1.7269999999999985</v>
      </c>
      <c r="Q500" s="63">
        <f t="shared" si="382"/>
        <v>-34.953999999999994</v>
      </c>
      <c r="R500" s="63">
        <f t="shared" si="382"/>
        <v>6.1409999999999751</v>
      </c>
      <c r="S500" s="63">
        <f t="shared" si="382"/>
        <v>-10.090000000000011</v>
      </c>
      <c r="T500" s="63">
        <f t="shared" si="382"/>
        <v>-25.981000000000002</v>
      </c>
      <c r="U500" s="413">
        <f t="shared" si="382"/>
        <v>-64.884000000000043</v>
      </c>
      <c r="V500" s="63">
        <f t="shared" si="382"/>
        <v>-54.324999999999996</v>
      </c>
      <c r="W500" s="63">
        <f t="shared" si="382"/>
        <v>31.244999999999983</v>
      </c>
      <c r="X500" s="63">
        <f t="shared" si="382"/>
        <v>19.625999999999994</v>
      </c>
      <c r="Y500" s="63">
        <f t="shared" si="382"/>
        <v>-16.444000000000003</v>
      </c>
      <c r="Z500" s="413">
        <f t="shared" si="382"/>
        <v>-19.897999999999982</v>
      </c>
      <c r="AA500" s="63">
        <f t="shared" si="382"/>
        <v>72.61</v>
      </c>
      <c r="AB500" s="63">
        <f t="shared" si="382"/>
        <v>22.091999999999995</v>
      </c>
      <c r="AC500" s="63">
        <f t="shared" si="382"/>
        <v>-14.224999999999996</v>
      </c>
      <c r="AD500" s="63">
        <f t="shared" si="382"/>
        <v>41.41</v>
      </c>
      <c r="AE500" s="413">
        <f t="shared" si="382"/>
        <v>121.88700000000003</v>
      </c>
      <c r="AF500" s="63">
        <f t="shared" si="382"/>
        <v>-125.12700000000001</v>
      </c>
      <c r="AG500" s="63">
        <f t="shared" si="382"/>
        <v>92.419000000000011</v>
      </c>
      <c r="AH500" s="63">
        <f t="shared" si="382"/>
        <v>-61.379999999999995</v>
      </c>
      <c r="AI500" s="63">
        <f t="shared" ref="AI500:BN500" si="383">AI499+AI488</f>
        <v>115.37899999999998</v>
      </c>
      <c r="AJ500" s="413">
        <f t="shared" si="383"/>
        <v>21.291000000000004</v>
      </c>
      <c r="AK500" s="63">
        <f t="shared" si="383"/>
        <v>-26.058000000000014</v>
      </c>
      <c r="AL500" s="63">
        <f t="shared" si="383"/>
        <v>52.381000000000014</v>
      </c>
      <c r="AM500" s="63">
        <f t="shared" si="383"/>
        <v>74.486999999999995</v>
      </c>
      <c r="AN500" s="63">
        <f t="shared" si="383"/>
        <v>8.8169999999999824</v>
      </c>
      <c r="AO500" s="413">
        <f t="shared" si="383"/>
        <v>109.62700000000007</v>
      </c>
      <c r="AP500" s="63">
        <f t="shared" si="383"/>
        <v>-3.148000000000009</v>
      </c>
      <c r="AQ500" s="63">
        <f t="shared" si="383"/>
        <v>154.57900000000004</v>
      </c>
      <c r="AR500" s="63">
        <f t="shared" si="383"/>
        <v>107.223</v>
      </c>
      <c r="AS500" s="63">
        <f t="shared" si="383"/>
        <v>24.399000000000022</v>
      </c>
      <c r="AT500" s="413">
        <f t="shared" si="383"/>
        <v>283.053</v>
      </c>
      <c r="AU500" s="63">
        <f t="shared" si="383"/>
        <v>42.363000000000014</v>
      </c>
      <c r="AV500" s="63">
        <f t="shared" si="383"/>
        <v>144.02700000000002</v>
      </c>
      <c r="AW500" s="63">
        <f t="shared" si="383"/>
        <v>126.83499999999999</v>
      </c>
      <c r="AX500" s="63">
        <f t="shared" si="383"/>
        <v>43.462999999999958</v>
      </c>
      <c r="AY500" s="413">
        <f t="shared" si="383"/>
        <v>356.68799999999999</v>
      </c>
      <c r="AZ500" s="63">
        <f t="shared" si="383"/>
        <v>24.183999999999976</v>
      </c>
      <c r="BA500" s="63">
        <f t="shared" si="383"/>
        <v>69.482000000000014</v>
      </c>
      <c r="BB500" s="63">
        <f t="shared" si="383"/>
        <v>109.68400000000001</v>
      </c>
      <c r="BC500" s="63">
        <f t="shared" si="383"/>
        <v>43.171000000000014</v>
      </c>
      <c r="BD500" s="413">
        <f t="shared" si="383"/>
        <v>246.5210000000001</v>
      </c>
      <c r="BE500" s="63">
        <f t="shared" si="383"/>
        <v>99.185999999999979</v>
      </c>
      <c r="BF500" s="63">
        <f t="shared" si="383"/>
        <v>153.76399999999995</v>
      </c>
      <c r="BG500" s="63">
        <f t="shared" si="383"/>
        <v>197.15699999999995</v>
      </c>
      <c r="BH500" s="63">
        <f t="shared" si="383"/>
        <v>31.411000000000037</v>
      </c>
      <c r="BI500" s="413">
        <f t="shared" si="383"/>
        <v>481.5180000000002</v>
      </c>
      <c r="BJ500" s="63">
        <f t="shared" si="383"/>
        <v>-37.433000000000007</v>
      </c>
      <c r="BK500" s="63">
        <f t="shared" si="383"/>
        <v>155.81099999999992</v>
      </c>
      <c r="BL500" s="63">
        <f t="shared" si="383"/>
        <v>138.44899999999993</v>
      </c>
      <c r="BM500" s="63">
        <f t="shared" si="383"/>
        <v>62.880000000000024</v>
      </c>
      <c r="BN500" s="413">
        <f t="shared" si="383"/>
        <v>319.70699999999999</v>
      </c>
      <c r="BO500" s="63">
        <f t="shared" ref="BO500:CF500" si="384">BO499+BO488</f>
        <v>78.511000000000024</v>
      </c>
      <c r="BP500" s="63">
        <f t="shared" si="384"/>
        <v>126.73800000000001</v>
      </c>
      <c r="BQ500" s="63">
        <f t="shared" si="384"/>
        <v>242.36</v>
      </c>
      <c r="BR500" s="63">
        <f t="shared" si="384"/>
        <v>85.306999999999988</v>
      </c>
      <c r="BS500" s="425">
        <f t="shared" si="384"/>
        <v>532.91599999999994</v>
      </c>
      <c r="BT500" s="63" t="e">
        <f t="shared" si="384"/>
        <v>#NAME?</v>
      </c>
      <c r="BU500" s="63" t="e">
        <f t="shared" si="384"/>
        <v>#NAME?</v>
      </c>
      <c r="BV500" s="63" t="e">
        <f t="shared" si="384"/>
        <v>#NAME?</v>
      </c>
      <c r="BW500" s="63" t="e">
        <f t="shared" si="384"/>
        <v>#NAME?</v>
      </c>
      <c r="BX500" s="413" t="e">
        <f t="shared" si="384"/>
        <v>#NAME?</v>
      </c>
      <c r="BY500" s="63" t="e">
        <f t="shared" si="384"/>
        <v>#NAME?</v>
      </c>
      <c r="BZ500" s="63" t="e">
        <f t="shared" si="384"/>
        <v>#NAME?</v>
      </c>
      <c r="CA500" s="63" t="e">
        <f t="shared" si="384"/>
        <v>#NAME?</v>
      </c>
      <c r="CB500" s="63" t="e">
        <f t="shared" si="384"/>
        <v>#NAME?</v>
      </c>
      <c r="CC500" s="413" t="e">
        <f t="shared" si="384"/>
        <v>#NAME?</v>
      </c>
      <c r="CD500" s="413" t="e">
        <f t="shared" si="384"/>
        <v>#NAME?</v>
      </c>
      <c r="CE500" s="413" t="e">
        <f t="shared" si="384"/>
        <v>#NAME?</v>
      </c>
      <c r="CF500" s="413" t="e">
        <f t="shared" si="384"/>
        <v>#NAME?</v>
      </c>
      <c r="CG500" s="63"/>
    </row>
    <row r="501" spans="1:85" ht="14.45" customHeight="1" x14ac:dyDescent="0.25">
      <c r="A501" s="63" t="s">
        <v>548</v>
      </c>
      <c r="B501" s="180"/>
      <c r="C501" s="413">
        <f t="shared" ref="C501:AH501" si="385">C500+C486+C487</f>
        <v>35.283999999999992</v>
      </c>
      <c r="D501" s="413">
        <f t="shared" si="385"/>
        <v>45.959000000000003</v>
      </c>
      <c r="E501" s="413">
        <f t="shared" si="385"/>
        <v>49.062999999999995</v>
      </c>
      <c r="F501" s="413">
        <f t="shared" si="385"/>
        <v>21.378000000000011</v>
      </c>
      <c r="G501" s="63">
        <f t="shared" si="385"/>
        <v>-32.173999999999999</v>
      </c>
      <c r="H501" s="63">
        <f t="shared" si="385"/>
        <v>25.131999999999994</v>
      </c>
      <c r="I501" s="63">
        <f t="shared" si="385"/>
        <v>35.94100000000001</v>
      </c>
      <c r="J501" s="63">
        <f t="shared" si="385"/>
        <v>2.9339999999999975</v>
      </c>
      <c r="K501" s="413">
        <f t="shared" si="385"/>
        <v>31.833000000000009</v>
      </c>
      <c r="L501" s="63">
        <f t="shared" si="385"/>
        <v>-26.475999999999996</v>
      </c>
      <c r="M501" s="63">
        <f t="shared" si="385"/>
        <v>-14.534000000000002</v>
      </c>
      <c r="N501" s="63">
        <f t="shared" si="385"/>
        <v>11.721999999999991</v>
      </c>
      <c r="O501" s="63">
        <f t="shared" si="385"/>
        <v>-12.537999999999993</v>
      </c>
      <c r="P501" s="413">
        <f t="shared" si="385"/>
        <v>-41.826000000000001</v>
      </c>
      <c r="Q501" s="63">
        <f t="shared" si="385"/>
        <v>-68.224999999999994</v>
      </c>
      <c r="R501" s="63">
        <f t="shared" si="385"/>
        <v>-12.509000000000027</v>
      </c>
      <c r="S501" s="63">
        <f t="shared" si="385"/>
        <v>13.320999999999994</v>
      </c>
      <c r="T501" s="63">
        <f t="shared" si="385"/>
        <v>-54.966000000000001</v>
      </c>
      <c r="U501" s="413">
        <f t="shared" si="385"/>
        <v>-122.37900000000005</v>
      </c>
      <c r="V501" s="63">
        <f t="shared" si="385"/>
        <v>-161.26399999999998</v>
      </c>
      <c r="W501" s="63">
        <f t="shared" si="385"/>
        <v>-50.789000000000016</v>
      </c>
      <c r="X501" s="63">
        <f t="shared" si="385"/>
        <v>16.674999999999986</v>
      </c>
      <c r="Y501" s="63">
        <f t="shared" si="385"/>
        <v>-117.51</v>
      </c>
      <c r="Z501" s="413">
        <f t="shared" si="385"/>
        <v>-312.88799999999998</v>
      </c>
      <c r="AA501" s="63">
        <f t="shared" si="385"/>
        <v>-67.270999999999987</v>
      </c>
      <c r="AB501" s="63">
        <f t="shared" si="385"/>
        <v>-64.558999999999997</v>
      </c>
      <c r="AC501" s="63">
        <f t="shared" si="385"/>
        <v>-76.693000000000026</v>
      </c>
      <c r="AD501" s="63">
        <f t="shared" si="385"/>
        <v>34.611999999999995</v>
      </c>
      <c r="AE501" s="413">
        <f t="shared" si="385"/>
        <v>-173.911</v>
      </c>
      <c r="AF501" s="63">
        <f t="shared" si="385"/>
        <v>-129.185</v>
      </c>
      <c r="AG501" s="63">
        <f t="shared" si="385"/>
        <v>94.736000000000018</v>
      </c>
      <c r="AH501" s="63">
        <f t="shared" si="385"/>
        <v>-70.894000000000005</v>
      </c>
      <c r="AI501" s="63">
        <f t="shared" ref="AI501:BN501" si="386">AI500+AI486+AI487</f>
        <v>96.240999999999971</v>
      </c>
      <c r="AJ501" s="413">
        <f t="shared" si="386"/>
        <v>-9.1019999999999985</v>
      </c>
      <c r="AK501" s="63">
        <f t="shared" si="386"/>
        <v>-32.100000000000016</v>
      </c>
      <c r="AL501" s="63">
        <f t="shared" si="386"/>
        <v>45.924000000000014</v>
      </c>
      <c r="AM501" s="63">
        <f t="shared" si="386"/>
        <v>67.516999999999996</v>
      </c>
      <c r="AN501" s="63">
        <f t="shared" si="386"/>
        <v>3.4549999999999828</v>
      </c>
      <c r="AO501" s="413">
        <f t="shared" si="386"/>
        <v>84.796000000000078</v>
      </c>
      <c r="AP501" s="63">
        <f t="shared" si="386"/>
        <v>-12.83500000000001</v>
      </c>
      <c r="AQ501" s="63">
        <f t="shared" si="386"/>
        <v>143.91700000000003</v>
      </c>
      <c r="AR501" s="63">
        <f t="shared" si="386"/>
        <v>96.199999999999989</v>
      </c>
      <c r="AS501" s="63">
        <f t="shared" si="386"/>
        <v>13.986000000000022</v>
      </c>
      <c r="AT501" s="413">
        <f t="shared" si="386"/>
        <v>241.26799999999997</v>
      </c>
      <c r="AU501" s="63">
        <f t="shared" si="386"/>
        <v>31.877000000000017</v>
      </c>
      <c r="AV501" s="63">
        <f t="shared" si="386"/>
        <v>134.54700000000003</v>
      </c>
      <c r="AW501" s="63">
        <f t="shared" si="386"/>
        <v>120.182</v>
      </c>
      <c r="AX501" s="63">
        <f t="shared" si="386"/>
        <v>33.727999999999952</v>
      </c>
      <c r="AY501" s="413">
        <f t="shared" si="386"/>
        <v>320.334</v>
      </c>
      <c r="AZ501" s="63">
        <f t="shared" si="386"/>
        <v>16.342999999999979</v>
      </c>
      <c r="BA501" s="63">
        <f t="shared" si="386"/>
        <v>62.330000000000013</v>
      </c>
      <c r="BB501" s="63">
        <f t="shared" si="386"/>
        <v>100.06600000000002</v>
      </c>
      <c r="BC501" s="63">
        <f t="shared" si="386"/>
        <v>35.542000000000016</v>
      </c>
      <c r="BD501" s="413">
        <f t="shared" si="386"/>
        <v>214.28100000000009</v>
      </c>
      <c r="BE501" s="63">
        <f t="shared" si="386"/>
        <v>92.844999999999985</v>
      </c>
      <c r="BF501" s="63">
        <f t="shared" si="386"/>
        <v>140.96299999999997</v>
      </c>
      <c r="BG501" s="63">
        <f t="shared" si="386"/>
        <v>186.71699999999996</v>
      </c>
      <c r="BH501" s="63">
        <f t="shared" si="386"/>
        <v>19.73900000000004</v>
      </c>
      <c r="BI501" s="413">
        <f t="shared" si="386"/>
        <v>440.26400000000018</v>
      </c>
      <c r="BJ501" s="63">
        <f t="shared" si="386"/>
        <v>-50.665000000000006</v>
      </c>
      <c r="BK501" s="63">
        <f t="shared" si="386"/>
        <v>139.06799999999993</v>
      </c>
      <c r="BL501" s="63">
        <f t="shared" si="386"/>
        <v>114.81199999999991</v>
      </c>
      <c r="BM501" s="63">
        <f t="shared" si="386"/>
        <v>37.029000000000025</v>
      </c>
      <c r="BN501" s="413">
        <f t="shared" si="386"/>
        <v>240.244</v>
      </c>
      <c r="BO501" s="63">
        <f t="shared" ref="BO501:CF501" si="387">BO500+BO486+BO487</f>
        <v>54.265000000000022</v>
      </c>
      <c r="BP501" s="63">
        <f t="shared" si="387"/>
        <v>111.45800000000001</v>
      </c>
      <c r="BQ501" s="63">
        <f t="shared" si="387"/>
        <v>221.923</v>
      </c>
      <c r="BR501" s="63">
        <f t="shared" si="387"/>
        <v>63.379999999999995</v>
      </c>
      <c r="BS501" s="425">
        <f t="shared" si="387"/>
        <v>451.0259999999999</v>
      </c>
      <c r="BT501" s="63" t="e">
        <f t="shared" si="387"/>
        <v>#NAME?</v>
      </c>
      <c r="BU501" s="63" t="e">
        <f t="shared" si="387"/>
        <v>#NAME?</v>
      </c>
      <c r="BV501" s="63" t="e">
        <f t="shared" si="387"/>
        <v>#NAME?</v>
      </c>
      <c r="BW501" s="63" t="e">
        <f t="shared" si="387"/>
        <v>#NAME?</v>
      </c>
      <c r="BX501" s="413" t="e">
        <f t="shared" si="387"/>
        <v>#NAME?</v>
      </c>
      <c r="BY501" s="63" t="e">
        <f t="shared" si="387"/>
        <v>#NAME?</v>
      </c>
      <c r="BZ501" s="63" t="e">
        <f t="shared" si="387"/>
        <v>#NAME?</v>
      </c>
      <c r="CA501" s="63" t="e">
        <f t="shared" si="387"/>
        <v>#NAME?</v>
      </c>
      <c r="CB501" s="63" t="e">
        <f t="shared" si="387"/>
        <v>#NAME?</v>
      </c>
      <c r="CC501" s="413" t="e">
        <f t="shared" si="387"/>
        <v>#NAME?</v>
      </c>
      <c r="CD501" s="413" t="e">
        <f t="shared" si="387"/>
        <v>#NAME?</v>
      </c>
      <c r="CE501" s="413" t="e">
        <f t="shared" si="387"/>
        <v>#NAME?</v>
      </c>
      <c r="CF501" s="413" t="e">
        <f t="shared" si="387"/>
        <v>#NAME?</v>
      </c>
      <c r="CG501" s="63"/>
    </row>
    <row r="502" spans="1:85" ht="14.45" customHeight="1" x14ac:dyDescent="0.25">
      <c r="A502" s="112" t="s">
        <v>549</v>
      </c>
      <c r="B502" s="211"/>
      <c r="C502" s="423">
        <f t="shared" ref="C502:AH502" si="388">C501+C491+C492</f>
        <v>-22.992000000000026</v>
      </c>
      <c r="D502" s="423">
        <f t="shared" si="388"/>
        <v>27.190000000000005</v>
      </c>
      <c r="E502" s="423">
        <f t="shared" si="388"/>
        <v>44.568999999999996</v>
      </c>
      <c r="F502" s="423">
        <f t="shared" si="388"/>
        <v>-83.222999999999985</v>
      </c>
      <c r="G502" s="112">
        <f t="shared" si="388"/>
        <v>1.5510000000000019</v>
      </c>
      <c r="H502" s="112">
        <f t="shared" si="388"/>
        <v>13.834999999999994</v>
      </c>
      <c r="I502" s="112">
        <f t="shared" si="388"/>
        <v>-0.4129999999999896</v>
      </c>
      <c r="J502" s="112">
        <f t="shared" si="388"/>
        <v>-13.464000000000002</v>
      </c>
      <c r="K502" s="423">
        <f t="shared" si="388"/>
        <v>1.509000000000007</v>
      </c>
      <c r="L502" s="112">
        <f t="shared" si="388"/>
        <v>7.0750000000000064</v>
      </c>
      <c r="M502" s="112">
        <f t="shared" si="388"/>
        <v>4.1659999999999986</v>
      </c>
      <c r="N502" s="112">
        <f t="shared" si="388"/>
        <v>0.22699999999998965</v>
      </c>
      <c r="O502" s="112">
        <f t="shared" si="388"/>
        <v>-13.909999999999993</v>
      </c>
      <c r="P502" s="423">
        <f t="shared" si="388"/>
        <v>-2.4420000000000019</v>
      </c>
      <c r="Q502" s="112">
        <f t="shared" si="388"/>
        <v>12.156000000000006</v>
      </c>
      <c r="R502" s="112">
        <f t="shared" si="388"/>
        <v>22.63799999999997</v>
      </c>
      <c r="S502" s="112">
        <f t="shared" si="388"/>
        <v>-3.3100000000000058</v>
      </c>
      <c r="T502" s="112">
        <f t="shared" si="388"/>
        <v>15.103000000000016</v>
      </c>
      <c r="U502" s="423">
        <f t="shared" si="388"/>
        <v>46.586999999999961</v>
      </c>
      <c r="V502" s="112">
        <f t="shared" si="388"/>
        <v>-22.989999999999981</v>
      </c>
      <c r="W502" s="112">
        <f t="shared" si="388"/>
        <v>17.691999999999979</v>
      </c>
      <c r="X502" s="112">
        <f t="shared" si="388"/>
        <v>4.8839999999999861</v>
      </c>
      <c r="Y502" s="112">
        <f t="shared" si="388"/>
        <v>-32.294000000000011</v>
      </c>
      <c r="Z502" s="423">
        <f t="shared" si="388"/>
        <v>-32.70799999999997</v>
      </c>
      <c r="AA502" s="112">
        <f t="shared" si="388"/>
        <v>25.90100000000001</v>
      </c>
      <c r="AB502" s="112">
        <f t="shared" si="388"/>
        <v>11.573999999999998</v>
      </c>
      <c r="AC502" s="112">
        <f t="shared" si="388"/>
        <v>-31.592000000000027</v>
      </c>
      <c r="AD502" s="112">
        <f t="shared" si="388"/>
        <v>-7.2790000000000035</v>
      </c>
      <c r="AE502" s="423">
        <f t="shared" si="388"/>
        <v>-1.396000000000015</v>
      </c>
      <c r="AF502" s="112">
        <f t="shared" si="388"/>
        <v>-8.4230000000000018</v>
      </c>
      <c r="AG502" s="112">
        <f t="shared" si="388"/>
        <v>11.245000000000019</v>
      </c>
      <c r="AH502" s="112">
        <f t="shared" si="388"/>
        <v>-10.387</v>
      </c>
      <c r="AI502" s="112">
        <f t="shared" ref="AI502:BN502" si="389">AI501+AI491+AI492</f>
        <v>4.2109999999999701</v>
      </c>
      <c r="AJ502" s="423">
        <f t="shared" si="389"/>
        <v>-3.3540000000000081</v>
      </c>
      <c r="AK502" s="112">
        <f t="shared" si="389"/>
        <v>-0.39700000000001268</v>
      </c>
      <c r="AL502" s="112">
        <f t="shared" si="389"/>
        <v>-2.8049999999999855</v>
      </c>
      <c r="AM502" s="112">
        <f t="shared" si="389"/>
        <v>0.29699999999998283</v>
      </c>
      <c r="AN502" s="112">
        <f t="shared" si="389"/>
        <v>3.6249999999999818</v>
      </c>
      <c r="AO502" s="423">
        <f t="shared" si="389"/>
        <v>0.72000000000008413</v>
      </c>
      <c r="AP502" s="112">
        <f t="shared" si="389"/>
        <v>38.133999999999993</v>
      </c>
      <c r="AQ502" s="112">
        <f t="shared" si="389"/>
        <v>29.802000000000021</v>
      </c>
      <c r="AR502" s="112">
        <f t="shared" si="389"/>
        <v>87.272999999999996</v>
      </c>
      <c r="AS502" s="112">
        <f t="shared" si="389"/>
        <v>-10.029999999999976</v>
      </c>
      <c r="AT502" s="423">
        <f t="shared" si="389"/>
        <v>145.17899999999997</v>
      </c>
      <c r="AU502" s="112">
        <f t="shared" si="389"/>
        <v>-0.96699999999998454</v>
      </c>
      <c r="AV502" s="112">
        <f t="shared" si="389"/>
        <v>2.3760000000000332</v>
      </c>
      <c r="AW502" s="112">
        <f t="shared" si="389"/>
        <v>132.67400000000001</v>
      </c>
      <c r="AX502" s="112">
        <f t="shared" si="389"/>
        <v>-37.569000000000045</v>
      </c>
      <c r="AY502" s="423">
        <f t="shared" si="389"/>
        <v>96.51400000000001</v>
      </c>
      <c r="AZ502" s="112">
        <f t="shared" si="389"/>
        <v>14.919999999999979</v>
      </c>
      <c r="BA502" s="112">
        <f t="shared" si="389"/>
        <v>61.718000000000011</v>
      </c>
      <c r="BB502" s="112">
        <f t="shared" si="389"/>
        <v>-25.558999999999983</v>
      </c>
      <c r="BC502" s="112">
        <f t="shared" si="389"/>
        <v>34.904000000000018</v>
      </c>
      <c r="BD502" s="423">
        <f t="shared" si="389"/>
        <v>85.983000000000089</v>
      </c>
      <c r="BE502" s="112">
        <f t="shared" si="389"/>
        <v>92.132999999999981</v>
      </c>
      <c r="BF502" s="112">
        <f t="shared" si="389"/>
        <v>140.39099999999996</v>
      </c>
      <c r="BG502" s="112">
        <f t="shared" si="389"/>
        <v>186.04499999999996</v>
      </c>
      <c r="BH502" s="112">
        <f t="shared" si="389"/>
        <v>19.052000000000039</v>
      </c>
      <c r="BI502" s="423">
        <f t="shared" si="389"/>
        <v>437.62100000000021</v>
      </c>
      <c r="BJ502" s="112">
        <f t="shared" si="389"/>
        <v>-51.31900000000001</v>
      </c>
      <c r="BK502" s="112">
        <f t="shared" si="389"/>
        <v>1311.818</v>
      </c>
      <c r="BL502" s="112">
        <f t="shared" si="389"/>
        <v>-448.50600000000009</v>
      </c>
      <c r="BM502" s="112">
        <f t="shared" si="389"/>
        <v>-15.402999999999956</v>
      </c>
      <c r="BN502" s="423">
        <f t="shared" si="389"/>
        <v>796.58999999999992</v>
      </c>
      <c r="BO502" s="112">
        <f t="shared" ref="BO502:CF502" si="390">BO501+BO491+BO492</f>
        <v>53.383000000000024</v>
      </c>
      <c r="BP502" s="112">
        <f t="shared" si="390"/>
        <v>76.37700000000001</v>
      </c>
      <c r="BQ502" s="112">
        <f t="shared" si="390"/>
        <v>110.24599999999998</v>
      </c>
      <c r="BR502" s="112">
        <f t="shared" si="390"/>
        <v>-1400.2159999999999</v>
      </c>
      <c r="BS502" s="424">
        <f t="shared" si="390"/>
        <v>-1160.21</v>
      </c>
      <c r="BT502" s="112" t="e">
        <f t="shared" si="390"/>
        <v>#NAME?</v>
      </c>
      <c r="BU502" s="112" t="e">
        <f t="shared" si="390"/>
        <v>#NAME?</v>
      </c>
      <c r="BV502" s="112" t="e">
        <f t="shared" si="390"/>
        <v>#NAME?</v>
      </c>
      <c r="BW502" s="112" t="e">
        <f t="shared" si="390"/>
        <v>#NAME?</v>
      </c>
      <c r="BX502" s="423" t="e">
        <f t="shared" si="390"/>
        <v>#NAME?</v>
      </c>
      <c r="BY502" s="112" t="e">
        <f t="shared" si="390"/>
        <v>#NAME?</v>
      </c>
      <c r="BZ502" s="112" t="e">
        <f t="shared" si="390"/>
        <v>#NAME?</v>
      </c>
      <c r="CA502" s="112" t="e">
        <f t="shared" si="390"/>
        <v>#NAME?</v>
      </c>
      <c r="CB502" s="112" t="e">
        <f t="shared" si="390"/>
        <v>#NAME?</v>
      </c>
      <c r="CC502" s="423" t="e">
        <f t="shared" si="390"/>
        <v>#NAME?</v>
      </c>
      <c r="CD502" s="423" t="e">
        <f t="shared" si="390"/>
        <v>#NAME?</v>
      </c>
      <c r="CE502" s="423" t="e">
        <f t="shared" si="390"/>
        <v>#NAME?</v>
      </c>
      <c r="CF502" s="423" t="e">
        <f t="shared" si="390"/>
        <v>#NAME?</v>
      </c>
      <c r="CG502" s="63"/>
    </row>
    <row r="503" spans="1:85" ht="14.45" customHeight="1" x14ac:dyDescent="0.25">
      <c r="A503" s="63"/>
      <c r="B503" s="180"/>
      <c r="C503" s="413"/>
      <c r="D503" s="413"/>
      <c r="E503" s="413"/>
      <c r="F503" s="413"/>
      <c r="G503" s="63"/>
      <c r="H503" s="63"/>
      <c r="I503" s="63"/>
      <c r="J503" s="63"/>
      <c r="K503" s="413"/>
      <c r="L503" s="63"/>
      <c r="M503" s="63"/>
      <c r="N503" s="63"/>
      <c r="O503" s="63"/>
      <c r="P503" s="413"/>
      <c r="Q503" s="63"/>
      <c r="R503" s="63"/>
      <c r="S503" s="63"/>
      <c r="T503" s="63"/>
      <c r="U503" s="413"/>
      <c r="V503" s="63"/>
      <c r="W503" s="63"/>
      <c r="X503" s="63"/>
      <c r="Y503" s="63"/>
      <c r="Z503" s="413"/>
      <c r="AA503" s="63"/>
      <c r="AB503" s="63"/>
      <c r="AC503" s="63"/>
      <c r="AD503" s="63"/>
      <c r="AE503" s="413"/>
      <c r="AF503" s="63"/>
      <c r="AG503" s="63"/>
      <c r="AH503" s="63"/>
      <c r="AI503" s="63"/>
      <c r="AJ503" s="413"/>
      <c r="AK503" s="63"/>
      <c r="AL503" s="63"/>
      <c r="AM503" s="63"/>
      <c r="AN503" s="63"/>
      <c r="AO503" s="413"/>
      <c r="AP503" s="63"/>
      <c r="AQ503" s="63"/>
      <c r="AR503" s="63"/>
      <c r="AS503" s="63"/>
      <c r="AT503" s="413"/>
      <c r="AU503" s="63"/>
      <c r="AV503" s="63"/>
      <c r="AW503" s="63"/>
      <c r="AX503" s="63"/>
      <c r="AY503" s="413"/>
      <c r="AZ503" s="63"/>
      <c r="BA503" s="63"/>
      <c r="BB503" s="63"/>
      <c r="BC503" s="63"/>
      <c r="BD503" s="413"/>
      <c r="BE503" s="63"/>
      <c r="BF503" s="63"/>
      <c r="BG503" s="63"/>
      <c r="BH503" s="63"/>
      <c r="BI503" s="413"/>
      <c r="BJ503" s="63"/>
      <c r="BK503" s="63"/>
      <c r="BL503" s="63"/>
      <c r="BM503" s="63"/>
      <c r="BN503" s="413"/>
      <c r="BO503" s="63"/>
      <c r="BP503" s="63"/>
      <c r="BQ503" s="63"/>
      <c r="BR503" s="63"/>
      <c r="BS503" s="425"/>
      <c r="BT503" s="63"/>
      <c r="BU503" s="63"/>
      <c r="BV503" s="63"/>
      <c r="BW503" s="63"/>
      <c r="BX503" s="413"/>
      <c r="BY503" s="63"/>
      <c r="BZ503" s="63"/>
      <c r="CA503" s="63"/>
      <c r="CB503" s="63"/>
      <c r="CC503" s="413"/>
      <c r="CD503" s="413"/>
      <c r="CE503" s="413"/>
      <c r="CF503" s="413"/>
      <c r="CG503" s="99"/>
    </row>
    <row r="504" spans="1:85" ht="14.45" customHeight="1" x14ac:dyDescent="0.25">
      <c r="A504" s="95" t="s">
        <v>550</v>
      </c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409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109"/>
    </row>
    <row r="505" spans="1:85" ht="14.45" customHeight="1" x14ac:dyDescent="0.25">
      <c r="A505" s="99" t="s">
        <v>24</v>
      </c>
      <c r="B505" s="180"/>
      <c r="C505" s="467">
        <f t="shared" ref="C505:AH505" si="391">C754+C756</f>
        <v>22.27</v>
      </c>
      <c r="D505" s="467">
        <f t="shared" si="391"/>
        <v>49.372</v>
      </c>
      <c r="E505" s="467">
        <f t="shared" si="391"/>
        <v>93.757999999999996</v>
      </c>
      <c r="F505" s="467">
        <f t="shared" si="391"/>
        <v>10.398999999999999</v>
      </c>
      <c r="G505" s="99">
        <f t="shared" si="391"/>
        <v>11.89</v>
      </c>
      <c r="H505" s="99">
        <f t="shared" si="391"/>
        <v>25.725000000000001</v>
      </c>
      <c r="I505" s="99">
        <f t="shared" si="391"/>
        <v>25.283000000000001</v>
      </c>
      <c r="J505" s="99">
        <f t="shared" si="391"/>
        <v>11.760999999999999</v>
      </c>
      <c r="K505" s="467">
        <f t="shared" si="391"/>
        <v>11.760999999999999</v>
      </c>
      <c r="L505" s="99">
        <f t="shared" si="391"/>
        <v>18.774000000000001</v>
      </c>
      <c r="M505" s="99">
        <f t="shared" si="391"/>
        <v>22.873999999999999</v>
      </c>
      <c r="N505" s="99">
        <f t="shared" si="391"/>
        <v>23.067</v>
      </c>
      <c r="O505" s="99">
        <f t="shared" si="391"/>
        <v>9.0950000000000006</v>
      </c>
      <c r="P505" s="467">
        <f t="shared" si="391"/>
        <v>9.0950000000000006</v>
      </c>
      <c r="Q505" s="99">
        <f t="shared" si="391"/>
        <v>21.163</v>
      </c>
      <c r="R505" s="99">
        <f t="shared" si="391"/>
        <v>43.801000000000002</v>
      </c>
      <c r="S505" s="99">
        <f t="shared" si="391"/>
        <v>40.491</v>
      </c>
      <c r="T505" s="99">
        <f t="shared" si="391"/>
        <v>55.497999999999998</v>
      </c>
      <c r="U505" s="467">
        <f t="shared" si="391"/>
        <v>55.497999999999998</v>
      </c>
      <c r="V505" s="99">
        <f t="shared" si="391"/>
        <v>32.6</v>
      </c>
      <c r="W505" s="99">
        <f t="shared" si="391"/>
        <v>49.323</v>
      </c>
      <c r="X505" s="99">
        <f t="shared" si="391"/>
        <v>54.216999999999999</v>
      </c>
      <c r="Y505" s="63">
        <f t="shared" si="391"/>
        <v>21.85</v>
      </c>
      <c r="Z505" s="413">
        <f t="shared" si="391"/>
        <v>21.85</v>
      </c>
      <c r="AA505" s="99">
        <f t="shared" si="391"/>
        <v>31.94</v>
      </c>
      <c r="AB505" s="99">
        <f t="shared" si="391"/>
        <v>43.514000000000003</v>
      </c>
      <c r="AC505" s="99">
        <f t="shared" si="391"/>
        <v>11.922000000000001</v>
      </c>
      <c r="AD505" s="63">
        <f t="shared" si="391"/>
        <v>16.902000000000001</v>
      </c>
      <c r="AE505" s="413">
        <f t="shared" si="391"/>
        <v>16.902000000000001</v>
      </c>
      <c r="AF505" s="99">
        <f t="shared" si="391"/>
        <v>8.4789999999999992</v>
      </c>
      <c r="AG505" s="99">
        <f t="shared" si="391"/>
        <v>19.724</v>
      </c>
      <c r="AH505" s="99">
        <f t="shared" si="391"/>
        <v>9.3369999999999997</v>
      </c>
      <c r="AI505" s="63">
        <f t="shared" ref="AI505:BN505" si="392">AI754+AI756</f>
        <v>13.548</v>
      </c>
      <c r="AJ505" s="413">
        <f t="shared" si="392"/>
        <v>13.548</v>
      </c>
      <c r="AK505" s="99">
        <f t="shared" si="392"/>
        <v>8.4969999999999999</v>
      </c>
      <c r="AL505" s="99">
        <f t="shared" si="392"/>
        <v>5.6920000000000002</v>
      </c>
      <c r="AM505" s="99">
        <f t="shared" si="392"/>
        <v>5.9889999999999999</v>
      </c>
      <c r="AN505" s="63">
        <f t="shared" si="392"/>
        <v>9.6140000000000008</v>
      </c>
      <c r="AO505" s="413">
        <f t="shared" si="392"/>
        <v>9.6140000000000008</v>
      </c>
      <c r="AP505" s="99">
        <f t="shared" si="392"/>
        <v>47.747999999999998</v>
      </c>
      <c r="AQ505" s="99">
        <f t="shared" si="392"/>
        <v>77.55</v>
      </c>
      <c r="AR505" s="99">
        <f t="shared" si="392"/>
        <v>164.82300000000001</v>
      </c>
      <c r="AS505" s="63">
        <f t="shared" si="392"/>
        <v>54.792999999999999</v>
      </c>
      <c r="AT505" s="413">
        <f t="shared" si="392"/>
        <v>54.792999999999999</v>
      </c>
      <c r="AU505" s="99">
        <f t="shared" si="392"/>
        <v>51.828000000000003</v>
      </c>
      <c r="AV505" s="99">
        <f t="shared" si="392"/>
        <v>54.204000000000001</v>
      </c>
      <c r="AW505" s="99">
        <f t="shared" si="392"/>
        <v>186.87799999999999</v>
      </c>
      <c r="AX505" s="63">
        <f t="shared" si="392"/>
        <v>142.31399999999999</v>
      </c>
      <c r="AY505" s="413">
        <f t="shared" si="392"/>
        <v>142.31399999999999</v>
      </c>
      <c r="AZ505" s="99">
        <f t="shared" si="392"/>
        <v>127.08499999999999</v>
      </c>
      <c r="BA505" s="99">
        <f t="shared" si="392"/>
        <v>188.803</v>
      </c>
      <c r="BB505" s="99">
        <f t="shared" si="392"/>
        <v>163.244</v>
      </c>
      <c r="BC505" s="63">
        <f t="shared" si="392"/>
        <v>197.648</v>
      </c>
      <c r="BD505" s="413">
        <f t="shared" si="392"/>
        <v>197.648</v>
      </c>
      <c r="BE505" s="99">
        <f t="shared" si="392"/>
        <v>289.78100000000001</v>
      </c>
      <c r="BF505" s="99">
        <f t="shared" si="392"/>
        <v>430.17200000000003</v>
      </c>
      <c r="BG505" s="99">
        <f t="shared" si="392"/>
        <v>616.21699999999998</v>
      </c>
      <c r="BH505" s="63">
        <f t="shared" si="392"/>
        <v>635.26900000000001</v>
      </c>
      <c r="BI505" s="413">
        <f t="shared" si="392"/>
        <v>635.26900000000001</v>
      </c>
      <c r="BJ505" s="99">
        <f t="shared" si="392"/>
        <v>401.26</v>
      </c>
      <c r="BK505" s="99">
        <f t="shared" si="392"/>
        <v>1699.288</v>
      </c>
      <c r="BL505" s="99">
        <f t="shared" si="392"/>
        <v>1236.0060000000001</v>
      </c>
      <c r="BM505" s="63">
        <f t="shared" si="392"/>
        <v>1135.8240000000001</v>
      </c>
      <c r="BN505" s="413">
        <f t="shared" si="392"/>
        <v>1135.8240000000001</v>
      </c>
      <c r="BO505" s="99">
        <f t="shared" ref="BO505:CF505" si="393">BO754+BO756</f>
        <v>1151.8050000000001</v>
      </c>
      <c r="BP505" s="99">
        <f t="shared" si="393"/>
        <v>1219.925</v>
      </c>
      <c r="BQ505" s="99">
        <f t="shared" si="393"/>
        <v>1532.473</v>
      </c>
      <c r="BR505" s="63">
        <f t="shared" si="393"/>
        <v>281.91800000000001</v>
      </c>
      <c r="BS505" s="425">
        <f t="shared" si="393"/>
        <v>281.91800000000001</v>
      </c>
      <c r="BT505" s="63" t="e">
        <f t="shared" si="393"/>
        <v>#NAME?</v>
      </c>
      <c r="BU505" s="63" t="e">
        <f t="shared" si="393"/>
        <v>#NAME?</v>
      </c>
      <c r="BV505" s="63" t="e">
        <f t="shared" si="393"/>
        <v>#NAME?</v>
      </c>
      <c r="BW505" s="63" t="e">
        <f t="shared" si="393"/>
        <v>#NAME?</v>
      </c>
      <c r="BX505" s="413" t="e">
        <f t="shared" si="393"/>
        <v>#NAME?</v>
      </c>
      <c r="BY505" s="63" t="e">
        <f t="shared" si="393"/>
        <v>#NAME?</v>
      </c>
      <c r="BZ505" s="63" t="e">
        <f t="shared" si="393"/>
        <v>#NAME?</v>
      </c>
      <c r="CA505" s="63" t="e">
        <f t="shared" si="393"/>
        <v>#NAME?</v>
      </c>
      <c r="CB505" s="63" t="e">
        <f t="shared" si="393"/>
        <v>#NAME?</v>
      </c>
      <c r="CC505" s="413" t="e">
        <f t="shared" si="393"/>
        <v>#NAME?</v>
      </c>
      <c r="CD505" s="413" t="e">
        <f t="shared" si="393"/>
        <v>#NAME?</v>
      </c>
      <c r="CE505" s="413" t="e">
        <f t="shared" si="393"/>
        <v>#NAME?</v>
      </c>
      <c r="CF505" s="413" t="e">
        <f t="shared" si="393"/>
        <v>#NAME?</v>
      </c>
      <c r="CG505" s="99"/>
    </row>
    <row r="506" spans="1:85" ht="14.45" customHeight="1" x14ac:dyDescent="0.25">
      <c r="A506" s="125" t="s">
        <v>551</v>
      </c>
      <c r="B506" s="180"/>
      <c r="C506" s="467">
        <f t="shared" ref="C506:AH506" si="394">C782+C784</f>
        <v>3.8460000000000001</v>
      </c>
      <c r="D506" s="467">
        <f t="shared" si="394"/>
        <v>3.8660000000000001</v>
      </c>
      <c r="E506" s="467">
        <f t="shared" si="394"/>
        <v>124.574</v>
      </c>
      <c r="F506" s="467">
        <f t="shared" si="394"/>
        <v>25.23</v>
      </c>
      <c r="G506" s="99">
        <f t="shared" si="394"/>
        <v>25.352</v>
      </c>
      <c r="H506" s="99">
        <f t="shared" si="394"/>
        <v>25.612000000000002</v>
      </c>
      <c r="I506" s="99">
        <f t="shared" si="394"/>
        <v>25.731999999999999</v>
      </c>
      <c r="J506" s="99">
        <f t="shared" si="394"/>
        <v>25.939</v>
      </c>
      <c r="K506" s="467">
        <f t="shared" si="394"/>
        <v>25.939</v>
      </c>
      <c r="L506" s="99">
        <f t="shared" si="394"/>
        <v>26.062000000000001</v>
      </c>
      <c r="M506" s="99">
        <f t="shared" si="394"/>
        <v>26.19</v>
      </c>
      <c r="N506" s="99">
        <f t="shared" si="394"/>
        <v>6.3250000000000002</v>
      </c>
      <c r="O506" s="99">
        <f t="shared" si="394"/>
        <v>6.4459999999999997</v>
      </c>
      <c r="P506" s="467">
        <f t="shared" si="394"/>
        <v>6.4459999999999997</v>
      </c>
      <c r="Q506" s="99">
        <f t="shared" si="394"/>
        <v>6.6790000000000003</v>
      </c>
      <c r="R506" s="99">
        <f t="shared" si="394"/>
        <v>6.859</v>
      </c>
      <c r="S506" s="99">
        <f t="shared" si="394"/>
        <v>171.702</v>
      </c>
      <c r="T506" s="99">
        <f t="shared" si="394"/>
        <v>7.0629999999999997</v>
      </c>
      <c r="U506" s="467">
        <f t="shared" si="394"/>
        <v>7.0629999999999997</v>
      </c>
      <c r="V506" s="99">
        <f t="shared" si="394"/>
        <v>7.165</v>
      </c>
      <c r="W506" s="99">
        <f t="shared" si="394"/>
        <v>7.27</v>
      </c>
      <c r="X506" s="99">
        <f t="shared" si="394"/>
        <v>7.3780000000000001</v>
      </c>
      <c r="Y506" s="63">
        <f t="shared" si="394"/>
        <v>7.5270000000000001</v>
      </c>
      <c r="Z506" s="413">
        <f t="shared" si="394"/>
        <v>7.5270000000000001</v>
      </c>
      <c r="AA506" s="99">
        <f t="shared" si="394"/>
        <v>7.6989999999999998</v>
      </c>
      <c r="AB506" s="99">
        <f t="shared" si="394"/>
        <v>7.875</v>
      </c>
      <c r="AC506" s="99">
        <f t="shared" si="394"/>
        <v>7.9630000000000001</v>
      </c>
      <c r="AD506" s="63">
        <f t="shared" si="394"/>
        <v>8.2210000000000001</v>
      </c>
      <c r="AE506" s="413">
        <f t="shared" si="394"/>
        <v>8.2210000000000001</v>
      </c>
      <c r="AF506" s="99">
        <f t="shared" si="394"/>
        <v>8.2650000000000006</v>
      </c>
      <c r="AG506" s="99">
        <f t="shared" si="394"/>
        <v>8.2629999999999999</v>
      </c>
      <c r="AH506" s="99">
        <f t="shared" si="394"/>
        <v>8.4380000000000006</v>
      </c>
      <c r="AI506" s="63">
        <f t="shared" ref="AI506:BS506" si="395">AI782+AI784</f>
        <v>8.6170000000000009</v>
      </c>
      <c r="AJ506" s="413">
        <f t="shared" si="395"/>
        <v>8.6170000000000009</v>
      </c>
      <c r="AK506" s="99">
        <f t="shared" si="395"/>
        <v>8.8330000000000002</v>
      </c>
      <c r="AL506" s="99">
        <f t="shared" si="395"/>
        <v>9.0190000000000001</v>
      </c>
      <c r="AM506" s="99">
        <f t="shared" si="395"/>
        <v>9.2089999999999996</v>
      </c>
      <c r="AN506" s="63">
        <f t="shared" si="395"/>
        <v>9.4030000000000005</v>
      </c>
      <c r="AO506" s="413">
        <f t="shared" si="395"/>
        <v>9.4030000000000005</v>
      </c>
      <c r="AP506" s="99">
        <f t="shared" si="395"/>
        <v>5.0990000000000002</v>
      </c>
      <c r="AQ506" s="99">
        <f t="shared" si="395"/>
        <v>4.07</v>
      </c>
      <c r="AR506" s="99">
        <f t="shared" si="395"/>
        <v>5.8140000000000001</v>
      </c>
      <c r="AS506" s="63">
        <f t="shared" si="395"/>
        <v>5.86</v>
      </c>
      <c r="AT506" s="413">
        <f t="shared" si="395"/>
        <v>5.86</v>
      </c>
      <c r="AU506" s="99">
        <f t="shared" si="395"/>
        <v>5.9089999999999998</v>
      </c>
      <c r="AV506" s="99">
        <f t="shared" si="395"/>
        <v>5.9589999999999996</v>
      </c>
      <c r="AW506" s="99">
        <f t="shared" si="395"/>
        <v>6.0090000000000003</v>
      </c>
      <c r="AX506" s="63">
        <f t="shared" si="395"/>
        <v>6.06</v>
      </c>
      <c r="AY506" s="413">
        <f t="shared" si="395"/>
        <v>6.06</v>
      </c>
      <c r="AZ506" s="99">
        <f t="shared" si="395"/>
        <v>127.17100000000001</v>
      </c>
      <c r="BA506" s="99">
        <f t="shared" si="395"/>
        <v>127.214</v>
      </c>
      <c r="BB506" s="99">
        <f t="shared" si="395"/>
        <v>2.2589999999999999</v>
      </c>
      <c r="BC506" s="63">
        <f t="shared" si="395"/>
        <v>2.3029999999999999</v>
      </c>
      <c r="BD506" s="413">
        <f t="shared" si="395"/>
        <v>2.3029999999999999</v>
      </c>
      <c r="BE506" s="99">
        <f t="shared" si="395"/>
        <v>2.347</v>
      </c>
      <c r="BF506" s="99">
        <f t="shared" si="395"/>
        <v>2.3929999999999998</v>
      </c>
      <c r="BG506" s="99">
        <f t="shared" si="395"/>
        <v>2.44</v>
      </c>
      <c r="BH506" s="63">
        <f t="shared" si="395"/>
        <v>2.4870000000000001</v>
      </c>
      <c r="BI506" s="413">
        <f t="shared" si="395"/>
        <v>2.4870000000000001</v>
      </c>
      <c r="BJ506" s="99">
        <f t="shared" si="395"/>
        <v>2.536</v>
      </c>
      <c r="BK506" s="99">
        <f t="shared" si="395"/>
        <v>2.5840000000000001</v>
      </c>
      <c r="BL506" s="99">
        <f t="shared" si="395"/>
        <v>2.6349999999999998</v>
      </c>
      <c r="BM506" s="63">
        <f t="shared" si="395"/>
        <v>352.38400000000001</v>
      </c>
      <c r="BN506" s="413">
        <f t="shared" si="395"/>
        <v>352.38400000000001</v>
      </c>
      <c r="BO506" s="99">
        <f t="shared" si="395"/>
        <v>352.44100000000003</v>
      </c>
      <c r="BP506" s="99">
        <f t="shared" si="395"/>
        <v>351.52300000000002</v>
      </c>
      <c r="BQ506" s="99">
        <f t="shared" si="395"/>
        <v>350.49299999999999</v>
      </c>
      <c r="BR506" s="63">
        <f t="shared" si="395"/>
        <v>100.556</v>
      </c>
      <c r="BS506" s="425">
        <f t="shared" si="395"/>
        <v>100.556</v>
      </c>
      <c r="BT506" s="63">
        <f>BT508-BT507</f>
        <v>100.55600000000004</v>
      </c>
      <c r="BU506" s="63">
        <f>BU508-BU507</f>
        <v>100.55600000000004</v>
      </c>
      <c r="BV506" s="63">
        <f>BV508-BV507</f>
        <v>100.55600000000004</v>
      </c>
      <c r="BW506" s="63">
        <f>BW508-BW507</f>
        <v>100.55600000000004</v>
      </c>
      <c r="BX506" s="413">
        <f>BX782+BX784</f>
        <v>100.55600000000004</v>
      </c>
      <c r="BY506" s="63">
        <f>BY508-BY507</f>
        <v>100.55600000000004</v>
      </c>
      <c r="BZ506" s="63">
        <f>BZ508-BZ507</f>
        <v>100.55600000000004</v>
      </c>
      <c r="CA506" s="63">
        <f>CA508-CA507</f>
        <v>100.55600000000004</v>
      </c>
      <c r="CB506" s="63">
        <f>CB508-CB507</f>
        <v>100.55600000000004</v>
      </c>
      <c r="CC506" s="413">
        <f>CC782+CC784</f>
        <v>100.55600000000004</v>
      </c>
      <c r="CD506" s="413">
        <f>CD508-CD507</f>
        <v>100.55600000000004</v>
      </c>
      <c r="CE506" s="413">
        <f>CE508-CE507</f>
        <v>100.55600000000004</v>
      </c>
      <c r="CF506" s="413">
        <f>CF508-CF507</f>
        <v>100.55600000000004</v>
      </c>
      <c r="CG506" s="99"/>
    </row>
    <row r="507" spans="1:85" ht="14.45" customHeight="1" x14ac:dyDescent="0.25">
      <c r="A507" s="273" t="s">
        <v>552</v>
      </c>
      <c r="B507" s="250"/>
      <c r="C507" s="573">
        <f t="shared" ref="C507:AH507" si="396">C801+C802</f>
        <v>597.178</v>
      </c>
      <c r="D507" s="573">
        <f t="shared" si="396"/>
        <v>578.45799999999997</v>
      </c>
      <c r="E507" s="573">
        <f t="shared" si="396"/>
        <v>472.69900000000001</v>
      </c>
      <c r="F507" s="573">
        <f t="shared" si="396"/>
        <v>467.73700000000002</v>
      </c>
      <c r="G507" s="274">
        <f t="shared" si="396"/>
        <v>501.38400000000001</v>
      </c>
      <c r="H507" s="274">
        <f t="shared" si="396"/>
        <v>490.32600000000002</v>
      </c>
      <c r="I507" s="274">
        <f t="shared" si="396"/>
        <v>453.89799999999997</v>
      </c>
      <c r="J507" s="274">
        <f t="shared" si="396"/>
        <v>437.61599999999999</v>
      </c>
      <c r="K507" s="573">
        <f t="shared" si="396"/>
        <v>437.61599999999999</v>
      </c>
      <c r="L507" s="274">
        <f t="shared" si="396"/>
        <v>471.09</v>
      </c>
      <c r="M507" s="274">
        <f t="shared" si="396"/>
        <v>489.53399999999999</v>
      </c>
      <c r="N507" s="274">
        <f t="shared" si="396"/>
        <v>497.952</v>
      </c>
      <c r="O507" s="274">
        <f t="shared" si="396"/>
        <v>497.363</v>
      </c>
      <c r="P507" s="573">
        <f t="shared" si="396"/>
        <v>497.363</v>
      </c>
      <c r="Q507" s="274">
        <f t="shared" si="396"/>
        <v>575.601</v>
      </c>
      <c r="R507" s="274">
        <f t="shared" si="396"/>
        <v>616.154</v>
      </c>
      <c r="S507" s="274">
        <f t="shared" si="396"/>
        <v>434.65999999999997</v>
      </c>
      <c r="T507" s="274">
        <f t="shared" si="396"/>
        <v>668.34900000000005</v>
      </c>
      <c r="U507" s="573">
        <f t="shared" si="396"/>
        <v>668.34900000000005</v>
      </c>
      <c r="V507" s="274">
        <f t="shared" si="396"/>
        <v>806.92899999999997</v>
      </c>
      <c r="W507" s="274">
        <f t="shared" si="396"/>
        <v>874.84399999999994</v>
      </c>
      <c r="X507" s="274">
        <f t="shared" si="396"/>
        <v>863.18999999999994</v>
      </c>
      <c r="Y507" s="251">
        <f t="shared" si="396"/>
        <v>948.44799999999998</v>
      </c>
      <c r="Z507" s="544">
        <f t="shared" si="396"/>
        <v>948.44799999999998</v>
      </c>
      <c r="AA507" s="274">
        <f t="shared" si="396"/>
        <v>1041.5029999999999</v>
      </c>
      <c r="AB507" s="274">
        <f t="shared" si="396"/>
        <v>1117.729</v>
      </c>
      <c r="AC507" s="274">
        <f t="shared" si="396"/>
        <v>1163.011</v>
      </c>
      <c r="AD507" s="251">
        <f t="shared" si="396"/>
        <v>1123.2660000000001</v>
      </c>
      <c r="AE507" s="544">
        <f t="shared" si="396"/>
        <v>1123.2660000000001</v>
      </c>
      <c r="AF507" s="274">
        <f t="shared" si="396"/>
        <v>1244.26</v>
      </c>
      <c r="AG507" s="274">
        <f t="shared" si="396"/>
        <v>1162.325</v>
      </c>
      <c r="AH507" s="274">
        <f t="shared" si="396"/>
        <v>1222.9489999999998</v>
      </c>
      <c r="AI507" s="251">
        <f t="shared" ref="AI507:BS507" si="397">AI801+AI802</f>
        <v>1131.0340000000001</v>
      </c>
      <c r="AJ507" s="544">
        <f t="shared" si="397"/>
        <v>1131.0340000000001</v>
      </c>
      <c r="AK507" s="274">
        <f t="shared" si="397"/>
        <v>1163.0150000000001</v>
      </c>
      <c r="AL507" s="274">
        <f t="shared" si="397"/>
        <v>1114.3340000000001</v>
      </c>
      <c r="AM507" s="274">
        <f t="shared" si="397"/>
        <v>1047.155</v>
      </c>
      <c r="AN507" s="251">
        <f t="shared" si="397"/>
        <v>1047.3230000000001</v>
      </c>
      <c r="AO507" s="544">
        <f t="shared" si="397"/>
        <v>1047.3230000000001</v>
      </c>
      <c r="AP507" s="274">
        <f t="shared" si="397"/>
        <v>1096.0249999999999</v>
      </c>
      <c r="AQ507" s="274">
        <f t="shared" si="397"/>
        <v>983.12299999999993</v>
      </c>
      <c r="AR507" s="274">
        <f t="shared" si="397"/>
        <v>1034.0500000000002</v>
      </c>
      <c r="AS507" s="251">
        <f t="shared" si="397"/>
        <v>1010.4490000000001</v>
      </c>
      <c r="AT507" s="544">
        <f t="shared" si="397"/>
        <v>1010.4490000000001</v>
      </c>
      <c r="AU507" s="274">
        <f t="shared" si="397"/>
        <v>978.06</v>
      </c>
      <c r="AV507" s="274">
        <f t="shared" si="397"/>
        <v>845.75299999999993</v>
      </c>
      <c r="AW507" s="274">
        <f t="shared" si="397"/>
        <v>859.44500000000005</v>
      </c>
      <c r="AX507" s="251">
        <f t="shared" si="397"/>
        <v>788.44899999999996</v>
      </c>
      <c r="AY507" s="544">
        <f t="shared" si="397"/>
        <v>788.44899999999996</v>
      </c>
      <c r="AZ507" s="274">
        <f t="shared" si="397"/>
        <v>607.83799999999997</v>
      </c>
      <c r="BA507" s="274">
        <f t="shared" si="397"/>
        <v>607.32500000000005</v>
      </c>
      <c r="BB507" s="274">
        <f t="shared" si="397"/>
        <v>606.88800000000003</v>
      </c>
      <c r="BC507" s="251">
        <f t="shared" si="397"/>
        <v>606.33600000000001</v>
      </c>
      <c r="BD507" s="544">
        <f t="shared" si="397"/>
        <v>606.33600000000001</v>
      </c>
      <c r="BE507" s="274">
        <f t="shared" si="397"/>
        <v>605.77700000000004</v>
      </c>
      <c r="BF507" s="274">
        <f t="shared" si="397"/>
        <v>605.29099999999994</v>
      </c>
      <c r="BG507" s="274">
        <f t="shared" si="397"/>
        <v>604.79300000000001</v>
      </c>
      <c r="BH507" s="251">
        <f t="shared" si="397"/>
        <v>604.19100000000003</v>
      </c>
      <c r="BI507" s="544">
        <f t="shared" si="397"/>
        <v>604.19100000000003</v>
      </c>
      <c r="BJ507" s="274">
        <f t="shared" si="397"/>
        <v>603.67499999999995</v>
      </c>
      <c r="BK507" s="274">
        <f t="shared" si="397"/>
        <v>1788.816</v>
      </c>
      <c r="BL507" s="274">
        <f t="shared" si="397"/>
        <v>1788.818</v>
      </c>
      <c r="BM507" s="251">
        <f t="shared" si="397"/>
        <v>1438.9949999999999</v>
      </c>
      <c r="BN507" s="544">
        <f t="shared" si="397"/>
        <v>1438.9949999999999</v>
      </c>
      <c r="BO507" s="274">
        <f t="shared" si="397"/>
        <v>1438.8889999999999</v>
      </c>
      <c r="BP507" s="274">
        <f t="shared" si="397"/>
        <v>1439.2750000000001</v>
      </c>
      <c r="BQ507" s="274">
        <f t="shared" si="397"/>
        <v>1439.769</v>
      </c>
      <c r="BR507" s="251">
        <f t="shared" si="397"/>
        <v>2687.1970000000001</v>
      </c>
      <c r="BS507" s="545">
        <f t="shared" si="397"/>
        <v>2687.1970000000001</v>
      </c>
      <c r="BT507" s="251">
        <f>MAX(0,BS507+BT491)</f>
        <v>2537.1970000000001</v>
      </c>
      <c r="BU507" s="251">
        <f>MAX(0,BT507+BU491)</f>
        <v>2537.1970000000001</v>
      </c>
      <c r="BV507" s="251">
        <f>MAX(0,BU507+BV491)</f>
        <v>2537.1970000000001</v>
      </c>
      <c r="BW507" s="251">
        <f>MAX(0,BV507+BW491)</f>
        <v>2537.1970000000001</v>
      </c>
      <c r="BX507" s="544">
        <f>BX801+BX802</f>
        <v>2537.1970000000001</v>
      </c>
      <c r="BY507" s="251">
        <f>MAX(0,BX507+BY491)</f>
        <v>2537.1970000000001</v>
      </c>
      <c r="BZ507" s="251">
        <f>MAX(0,BY507+BZ491)</f>
        <v>2537.1970000000001</v>
      </c>
      <c r="CA507" s="251">
        <f>MAX(0,BZ507+CA491)</f>
        <v>2537.1970000000001</v>
      </c>
      <c r="CB507" s="251">
        <f>MAX(0,CA507+CB491)</f>
        <v>2537.1970000000001</v>
      </c>
      <c r="CC507" s="544">
        <f>CC801+CC802</f>
        <v>2537.1970000000001</v>
      </c>
      <c r="CD507" s="544">
        <f>MAX(0,CC507+CD491)</f>
        <v>2537.1970000000001</v>
      </c>
      <c r="CE507" s="544">
        <f>MAX(0,CD507+CE491)</f>
        <v>2537.1970000000001</v>
      </c>
      <c r="CF507" s="544">
        <f>MAX(0,CE507+CF491)</f>
        <v>2537.1970000000001</v>
      </c>
      <c r="CG507" s="99"/>
    </row>
    <row r="508" spans="1:85" ht="14.45" customHeight="1" x14ac:dyDescent="0.25">
      <c r="A508" s="99" t="s">
        <v>83</v>
      </c>
      <c r="B508" s="180"/>
      <c r="C508" s="467">
        <f t="shared" ref="C508:AH508" si="398">C782+C784+C801+C802</f>
        <v>601.024</v>
      </c>
      <c r="D508" s="467">
        <f t="shared" si="398"/>
        <v>582.32399999999996</v>
      </c>
      <c r="E508" s="467">
        <f t="shared" si="398"/>
        <v>597.27300000000002</v>
      </c>
      <c r="F508" s="467">
        <f t="shared" si="398"/>
        <v>492.96700000000004</v>
      </c>
      <c r="G508" s="99">
        <f t="shared" si="398"/>
        <v>526.73599999999999</v>
      </c>
      <c r="H508" s="99">
        <f t="shared" si="398"/>
        <v>515.93799999999999</v>
      </c>
      <c r="I508" s="99">
        <f t="shared" si="398"/>
        <v>479.63</v>
      </c>
      <c r="J508" s="99">
        <f t="shared" si="398"/>
        <v>463.55499999999995</v>
      </c>
      <c r="K508" s="467">
        <f t="shared" si="398"/>
        <v>463.55499999999995</v>
      </c>
      <c r="L508" s="99">
        <f t="shared" si="398"/>
        <v>497.15199999999999</v>
      </c>
      <c r="M508" s="99">
        <f t="shared" si="398"/>
        <v>515.72400000000005</v>
      </c>
      <c r="N508" s="99">
        <f t="shared" si="398"/>
        <v>504.27699999999999</v>
      </c>
      <c r="O508" s="99">
        <f t="shared" si="398"/>
        <v>503.80900000000003</v>
      </c>
      <c r="P508" s="467">
        <f t="shared" si="398"/>
        <v>503.80900000000003</v>
      </c>
      <c r="Q508" s="99">
        <f t="shared" si="398"/>
        <v>582.28</v>
      </c>
      <c r="R508" s="99">
        <f t="shared" si="398"/>
        <v>623.01300000000003</v>
      </c>
      <c r="S508" s="99">
        <f t="shared" si="398"/>
        <v>606.36199999999997</v>
      </c>
      <c r="T508" s="99">
        <f t="shared" si="398"/>
        <v>675.41200000000003</v>
      </c>
      <c r="U508" s="467">
        <f t="shared" si="398"/>
        <v>675.41200000000003</v>
      </c>
      <c r="V508" s="99">
        <f t="shared" si="398"/>
        <v>814.09399999999994</v>
      </c>
      <c r="W508" s="99">
        <f t="shared" si="398"/>
        <v>882.11400000000003</v>
      </c>
      <c r="X508" s="99">
        <f t="shared" si="398"/>
        <v>870.56799999999998</v>
      </c>
      <c r="Y508" s="63">
        <f t="shared" si="398"/>
        <v>955.97500000000002</v>
      </c>
      <c r="Z508" s="413">
        <f t="shared" si="398"/>
        <v>955.97500000000002</v>
      </c>
      <c r="AA508" s="99">
        <f t="shared" si="398"/>
        <v>1049.202</v>
      </c>
      <c r="AB508" s="99">
        <f t="shared" si="398"/>
        <v>1125.604</v>
      </c>
      <c r="AC508" s="99">
        <f t="shared" si="398"/>
        <v>1170.9739999999999</v>
      </c>
      <c r="AD508" s="63">
        <f t="shared" si="398"/>
        <v>1131.4870000000001</v>
      </c>
      <c r="AE508" s="413">
        <f t="shared" si="398"/>
        <v>1131.4870000000001</v>
      </c>
      <c r="AF508" s="99">
        <f t="shared" si="398"/>
        <v>1252.5249999999999</v>
      </c>
      <c r="AG508" s="99">
        <f t="shared" si="398"/>
        <v>1170.5880000000002</v>
      </c>
      <c r="AH508" s="99">
        <f t="shared" si="398"/>
        <v>1231.3869999999999</v>
      </c>
      <c r="AI508" s="63">
        <f t="shared" ref="AI508:BS508" si="399">AI782+AI784+AI801+AI802</f>
        <v>1139.6510000000001</v>
      </c>
      <c r="AJ508" s="413">
        <f t="shared" si="399"/>
        <v>1139.6510000000001</v>
      </c>
      <c r="AK508" s="99">
        <f t="shared" si="399"/>
        <v>1171.848</v>
      </c>
      <c r="AL508" s="99">
        <f t="shared" si="399"/>
        <v>1123.3530000000001</v>
      </c>
      <c r="AM508" s="99">
        <f t="shared" si="399"/>
        <v>1056.364</v>
      </c>
      <c r="AN508" s="63">
        <f t="shared" si="399"/>
        <v>1056.7260000000001</v>
      </c>
      <c r="AO508" s="413">
        <f t="shared" si="399"/>
        <v>1056.7260000000001</v>
      </c>
      <c r="AP508" s="99">
        <f t="shared" si="399"/>
        <v>1101.124</v>
      </c>
      <c r="AQ508" s="99">
        <f t="shared" si="399"/>
        <v>987.19299999999998</v>
      </c>
      <c r="AR508" s="99">
        <f t="shared" si="399"/>
        <v>1039.864</v>
      </c>
      <c r="AS508" s="63">
        <f t="shared" si="399"/>
        <v>1016.309</v>
      </c>
      <c r="AT508" s="413">
        <f t="shared" si="399"/>
        <v>1016.309</v>
      </c>
      <c r="AU508" s="99">
        <f t="shared" si="399"/>
        <v>983.96899999999994</v>
      </c>
      <c r="AV508" s="99">
        <f t="shared" si="399"/>
        <v>851.71199999999999</v>
      </c>
      <c r="AW508" s="99">
        <f t="shared" si="399"/>
        <v>865.45400000000006</v>
      </c>
      <c r="AX508" s="63">
        <f t="shared" si="399"/>
        <v>794.50900000000001</v>
      </c>
      <c r="AY508" s="413">
        <f t="shared" si="399"/>
        <v>794.50900000000001</v>
      </c>
      <c r="AZ508" s="99">
        <f t="shared" si="399"/>
        <v>735.00900000000001</v>
      </c>
      <c r="BA508" s="99">
        <f t="shared" si="399"/>
        <v>734.53899999999999</v>
      </c>
      <c r="BB508" s="99">
        <f t="shared" si="399"/>
        <v>609.14700000000005</v>
      </c>
      <c r="BC508" s="63">
        <f t="shared" si="399"/>
        <v>608.63900000000001</v>
      </c>
      <c r="BD508" s="413">
        <f t="shared" si="399"/>
        <v>608.63900000000001</v>
      </c>
      <c r="BE508" s="99">
        <f t="shared" si="399"/>
        <v>608.12400000000002</v>
      </c>
      <c r="BF508" s="99">
        <f t="shared" si="399"/>
        <v>607.68399999999997</v>
      </c>
      <c r="BG508" s="99">
        <f t="shared" si="399"/>
        <v>607.23300000000006</v>
      </c>
      <c r="BH508" s="63">
        <f t="shared" si="399"/>
        <v>606.678</v>
      </c>
      <c r="BI508" s="413">
        <f t="shared" si="399"/>
        <v>606.678</v>
      </c>
      <c r="BJ508" s="99">
        <f t="shared" si="399"/>
        <v>606.21100000000001</v>
      </c>
      <c r="BK508" s="99">
        <f t="shared" si="399"/>
        <v>1791.4</v>
      </c>
      <c r="BL508" s="99">
        <f t="shared" si="399"/>
        <v>1791.453</v>
      </c>
      <c r="BM508" s="63">
        <f t="shared" si="399"/>
        <v>1791.3789999999999</v>
      </c>
      <c r="BN508" s="413">
        <f t="shared" si="399"/>
        <v>1791.3789999999999</v>
      </c>
      <c r="BO508" s="99">
        <f t="shared" si="399"/>
        <v>1791.33</v>
      </c>
      <c r="BP508" s="99">
        <f t="shared" si="399"/>
        <v>1790.798</v>
      </c>
      <c r="BQ508" s="99">
        <f t="shared" si="399"/>
        <v>1790.2620000000002</v>
      </c>
      <c r="BR508" s="63">
        <f t="shared" si="399"/>
        <v>2787.7530000000002</v>
      </c>
      <c r="BS508" s="425">
        <f t="shared" si="399"/>
        <v>2787.7530000000002</v>
      </c>
      <c r="BT508" s="63">
        <f>BS508+BT491</f>
        <v>2637.7530000000002</v>
      </c>
      <c r="BU508" s="63">
        <f>BT508+BU491</f>
        <v>2637.7530000000002</v>
      </c>
      <c r="BV508" s="63">
        <f>BU508+BV491</f>
        <v>2637.7530000000002</v>
      </c>
      <c r="BW508" s="63">
        <f>BV508+BW491</f>
        <v>2637.7530000000002</v>
      </c>
      <c r="BX508" s="413">
        <f>BX782+BX784+BX801+BX802</f>
        <v>2637.7530000000002</v>
      </c>
      <c r="BY508" s="63">
        <f>BX508+BY491</f>
        <v>2637.7530000000002</v>
      </c>
      <c r="BZ508" s="63">
        <f>BY508+BZ491</f>
        <v>2637.7530000000002</v>
      </c>
      <c r="CA508" s="63">
        <f>BZ508+CA491</f>
        <v>2637.7530000000002</v>
      </c>
      <c r="CB508" s="63">
        <f>CA508+CB491</f>
        <v>2637.7530000000002</v>
      </c>
      <c r="CC508" s="413">
        <f>CC782+CC784+CC801+CC802</f>
        <v>2637.7530000000002</v>
      </c>
      <c r="CD508" s="413">
        <f>CC508+CD491</f>
        <v>2637.7530000000002</v>
      </c>
      <c r="CE508" s="413">
        <f>CD508+CE491</f>
        <v>2637.7530000000002</v>
      </c>
      <c r="CF508" s="413">
        <f>CE508+CF491</f>
        <v>2637.7530000000002</v>
      </c>
      <c r="CG508" s="99"/>
    </row>
    <row r="509" spans="1:85" ht="14.45" customHeight="1" x14ac:dyDescent="0.25">
      <c r="A509" s="99" t="s">
        <v>84</v>
      </c>
      <c r="B509" s="180"/>
      <c r="C509" s="467">
        <f t="shared" ref="C509:AH509" si="400">C800+C783</f>
        <v>0</v>
      </c>
      <c r="D509" s="467">
        <f t="shared" si="400"/>
        <v>0</v>
      </c>
      <c r="E509" s="467">
        <f t="shared" si="400"/>
        <v>0</v>
      </c>
      <c r="F509" s="467">
        <f t="shared" si="400"/>
        <v>0</v>
      </c>
      <c r="G509" s="99">
        <f t="shared" si="400"/>
        <v>0</v>
      </c>
      <c r="H509" s="99">
        <f t="shared" si="400"/>
        <v>0</v>
      </c>
      <c r="I509" s="99">
        <f t="shared" si="400"/>
        <v>0</v>
      </c>
      <c r="J509" s="99">
        <f t="shared" si="400"/>
        <v>0</v>
      </c>
      <c r="K509" s="467">
        <f t="shared" si="400"/>
        <v>0</v>
      </c>
      <c r="L509" s="99">
        <f t="shared" si="400"/>
        <v>0</v>
      </c>
      <c r="M509" s="99">
        <f t="shared" si="400"/>
        <v>0</v>
      </c>
      <c r="N509" s="99">
        <f t="shared" si="400"/>
        <v>0</v>
      </c>
      <c r="O509" s="99">
        <f t="shared" si="400"/>
        <v>0</v>
      </c>
      <c r="P509" s="467">
        <f t="shared" si="400"/>
        <v>0</v>
      </c>
      <c r="Q509" s="99">
        <f t="shared" si="400"/>
        <v>0</v>
      </c>
      <c r="R509" s="99">
        <f t="shared" si="400"/>
        <v>0</v>
      </c>
      <c r="S509" s="99">
        <f t="shared" si="400"/>
        <v>0</v>
      </c>
      <c r="T509" s="99">
        <f t="shared" si="400"/>
        <v>0</v>
      </c>
      <c r="U509" s="467">
        <f t="shared" si="400"/>
        <v>0</v>
      </c>
      <c r="V509" s="99">
        <f t="shared" si="400"/>
        <v>0</v>
      </c>
      <c r="W509" s="99">
        <f t="shared" si="400"/>
        <v>0</v>
      </c>
      <c r="X509" s="99">
        <f t="shared" si="400"/>
        <v>0</v>
      </c>
      <c r="Y509" s="63">
        <f t="shared" si="400"/>
        <v>0</v>
      </c>
      <c r="Z509" s="413">
        <f t="shared" si="400"/>
        <v>0</v>
      </c>
      <c r="AA509" s="99">
        <f t="shared" si="400"/>
        <v>0</v>
      </c>
      <c r="AB509" s="99">
        <f t="shared" si="400"/>
        <v>0</v>
      </c>
      <c r="AC509" s="99">
        <f t="shared" si="400"/>
        <v>0</v>
      </c>
      <c r="AD509" s="63">
        <f t="shared" si="400"/>
        <v>0</v>
      </c>
      <c r="AE509" s="413">
        <f t="shared" si="400"/>
        <v>0</v>
      </c>
      <c r="AF509" s="99">
        <f t="shared" si="400"/>
        <v>0</v>
      </c>
      <c r="AG509" s="99">
        <f t="shared" si="400"/>
        <v>0</v>
      </c>
      <c r="AH509" s="99">
        <f t="shared" si="400"/>
        <v>0</v>
      </c>
      <c r="AI509" s="63">
        <f t="shared" ref="AI509:BN509" si="401">AI800+AI783</f>
        <v>0</v>
      </c>
      <c r="AJ509" s="413">
        <f t="shared" si="401"/>
        <v>0</v>
      </c>
      <c r="AK509" s="99">
        <f t="shared" si="401"/>
        <v>84.9</v>
      </c>
      <c r="AL509" s="99">
        <f t="shared" si="401"/>
        <v>102.575</v>
      </c>
      <c r="AM509" s="99">
        <f t="shared" si="401"/>
        <v>116.813</v>
      </c>
      <c r="AN509" s="63">
        <f t="shared" si="401"/>
        <v>112.789</v>
      </c>
      <c r="AO509" s="413">
        <f t="shared" si="401"/>
        <v>112.789</v>
      </c>
      <c r="AP509" s="99">
        <f t="shared" si="401"/>
        <v>142.535</v>
      </c>
      <c r="AQ509" s="99">
        <f t="shared" si="401"/>
        <v>139.655</v>
      </c>
      <c r="AR509" s="99">
        <f t="shared" si="401"/>
        <v>140.1</v>
      </c>
      <c r="AS509" s="63">
        <f t="shared" si="401"/>
        <v>139.68899999999999</v>
      </c>
      <c r="AT509" s="413">
        <f t="shared" si="401"/>
        <v>139.68899999999999</v>
      </c>
      <c r="AU509" s="99">
        <f t="shared" si="401"/>
        <v>134.875</v>
      </c>
      <c r="AV509" s="99">
        <f t="shared" si="401"/>
        <v>135.995</v>
      </c>
      <c r="AW509" s="99">
        <f t="shared" si="401"/>
        <v>144.27699999999999</v>
      </c>
      <c r="AX509" s="63">
        <f t="shared" si="401"/>
        <v>144.09399999999999</v>
      </c>
      <c r="AY509" s="413">
        <f t="shared" si="401"/>
        <v>144.09399999999999</v>
      </c>
      <c r="AZ509" s="99">
        <f t="shared" si="401"/>
        <v>143.37</v>
      </c>
      <c r="BA509" s="99">
        <f t="shared" si="401"/>
        <v>141.827</v>
      </c>
      <c r="BB509" s="99">
        <f t="shared" si="401"/>
        <v>146.08199999999999</v>
      </c>
      <c r="BC509" s="63">
        <f t="shared" si="401"/>
        <v>146.398</v>
      </c>
      <c r="BD509" s="413">
        <f t="shared" si="401"/>
        <v>146.398</v>
      </c>
      <c r="BE509" s="99">
        <f t="shared" si="401"/>
        <v>140.36100000000002</v>
      </c>
      <c r="BF509" s="99">
        <f t="shared" si="401"/>
        <v>134.94</v>
      </c>
      <c r="BG509" s="99">
        <f t="shared" si="401"/>
        <v>129.65200000000002</v>
      </c>
      <c r="BH509" s="63">
        <f t="shared" si="401"/>
        <v>128.465</v>
      </c>
      <c r="BI509" s="413">
        <f t="shared" si="401"/>
        <v>128.465</v>
      </c>
      <c r="BJ509" s="99">
        <f t="shared" si="401"/>
        <v>122.06399999999999</v>
      </c>
      <c r="BK509" s="99">
        <f t="shared" si="401"/>
        <v>116.17100000000001</v>
      </c>
      <c r="BL509" s="99">
        <f t="shared" si="401"/>
        <v>108.18600000000001</v>
      </c>
      <c r="BM509" s="63">
        <f t="shared" si="401"/>
        <v>115.619</v>
      </c>
      <c r="BN509" s="413">
        <f t="shared" si="401"/>
        <v>115.619</v>
      </c>
      <c r="BO509" s="99">
        <f t="shared" ref="BO509:CF509" si="402">BO800+BO783</f>
        <v>110.71899999999999</v>
      </c>
      <c r="BP509" s="99">
        <f t="shared" si="402"/>
        <v>111.75099999999999</v>
      </c>
      <c r="BQ509" s="99">
        <f t="shared" si="402"/>
        <v>126.158</v>
      </c>
      <c r="BR509" s="63">
        <f t="shared" si="402"/>
        <v>119.488</v>
      </c>
      <c r="BS509" s="425">
        <f t="shared" si="402"/>
        <v>119.488</v>
      </c>
      <c r="BT509" s="63">
        <f t="shared" si="402"/>
        <v>119.488</v>
      </c>
      <c r="BU509" s="63">
        <f t="shared" si="402"/>
        <v>119.488</v>
      </c>
      <c r="BV509" s="63">
        <f t="shared" si="402"/>
        <v>119.488</v>
      </c>
      <c r="BW509" s="63">
        <f t="shared" si="402"/>
        <v>119.488</v>
      </c>
      <c r="BX509" s="413">
        <f t="shared" si="402"/>
        <v>119.488</v>
      </c>
      <c r="BY509" s="63">
        <f t="shared" si="402"/>
        <v>119.488</v>
      </c>
      <c r="BZ509" s="63">
        <f t="shared" si="402"/>
        <v>119.488</v>
      </c>
      <c r="CA509" s="63">
        <f t="shared" si="402"/>
        <v>119.488</v>
      </c>
      <c r="CB509" s="63">
        <f t="shared" si="402"/>
        <v>119.488</v>
      </c>
      <c r="CC509" s="413">
        <f t="shared" si="402"/>
        <v>119.488</v>
      </c>
      <c r="CD509" s="413">
        <f t="shared" si="402"/>
        <v>119.488</v>
      </c>
      <c r="CE509" s="413">
        <f t="shared" si="402"/>
        <v>119.488</v>
      </c>
      <c r="CF509" s="413">
        <f t="shared" si="402"/>
        <v>119.488</v>
      </c>
      <c r="CG509" s="99"/>
    </row>
    <row r="510" spans="1:85" ht="14.45" customHeight="1" x14ac:dyDescent="0.25">
      <c r="A510" s="99" t="s">
        <v>25</v>
      </c>
      <c r="B510" s="180"/>
      <c r="C510" s="467">
        <f t="shared" ref="C510:AH510" si="403">C508+C509-C505</f>
        <v>578.75400000000002</v>
      </c>
      <c r="D510" s="467">
        <f t="shared" si="403"/>
        <v>532.952</v>
      </c>
      <c r="E510" s="467">
        <f t="shared" si="403"/>
        <v>503.51500000000004</v>
      </c>
      <c r="F510" s="467">
        <f t="shared" si="403"/>
        <v>482.56800000000004</v>
      </c>
      <c r="G510" s="99">
        <f t="shared" si="403"/>
        <v>514.846</v>
      </c>
      <c r="H510" s="99">
        <f t="shared" si="403"/>
        <v>490.21299999999997</v>
      </c>
      <c r="I510" s="99">
        <f t="shared" si="403"/>
        <v>454.34699999999998</v>
      </c>
      <c r="J510" s="99">
        <f t="shared" si="403"/>
        <v>451.79399999999993</v>
      </c>
      <c r="K510" s="467">
        <f t="shared" si="403"/>
        <v>451.79399999999993</v>
      </c>
      <c r="L510" s="99">
        <f t="shared" si="403"/>
        <v>478.37799999999999</v>
      </c>
      <c r="M510" s="99">
        <f t="shared" si="403"/>
        <v>492.85</v>
      </c>
      <c r="N510" s="99">
        <f t="shared" si="403"/>
        <v>481.21</v>
      </c>
      <c r="O510" s="99">
        <f t="shared" si="403"/>
        <v>494.714</v>
      </c>
      <c r="P510" s="467">
        <f t="shared" si="403"/>
        <v>494.714</v>
      </c>
      <c r="Q510" s="99">
        <f t="shared" si="403"/>
        <v>561.11699999999996</v>
      </c>
      <c r="R510" s="99">
        <f t="shared" si="403"/>
        <v>579.21199999999999</v>
      </c>
      <c r="S510" s="99">
        <f t="shared" si="403"/>
        <v>565.87099999999998</v>
      </c>
      <c r="T510" s="99">
        <f t="shared" si="403"/>
        <v>619.91399999999999</v>
      </c>
      <c r="U510" s="467">
        <f t="shared" si="403"/>
        <v>619.91399999999999</v>
      </c>
      <c r="V510" s="99">
        <f t="shared" si="403"/>
        <v>781.49399999999991</v>
      </c>
      <c r="W510" s="99">
        <f t="shared" si="403"/>
        <v>832.79100000000005</v>
      </c>
      <c r="X510" s="99">
        <f t="shared" si="403"/>
        <v>816.351</v>
      </c>
      <c r="Y510" s="63">
        <f t="shared" si="403"/>
        <v>934.125</v>
      </c>
      <c r="Z510" s="413">
        <f t="shared" si="403"/>
        <v>934.125</v>
      </c>
      <c r="AA510" s="99">
        <f t="shared" si="403"/>
        <v>1017.2619999999999</v>
      </c>
      <c r="AB510" s="99">
        <f t="shared" si="403"/>
        <v>1082.0900000000001</v>
      </c>
      <c r="AC510" s="99">
        <f t="shared" si="403"/>
        <v>1159.0519999999999</v>
      </c>
      <c r="AD510" s="63">
        <f t="shared" si="403"/>
        <v>1114.585</v>
      </c>
      <c r="AE510" s="413">
        <f t="shared" si="403"/>
        <v>1114.585</v>
      </c>
      <c r="AF510" s="99">
        <f t="shared" si="403"/>
        <v>1244.0459999999998</v>
      </c>
      <c r="AG510" s="99">
        <f t="shared" si="403"/>
        <v>1150.8640000000003</v>
      </c>
      <c r="AH510" s="99">
        <f t="shared" si="403"/>
        <v>1222.05</v>
      </c>
      <c r="AI510" s="63">
        <f t="shared" ref="AI510:BN510" si="404">AI508+AI509-AI505</f>
        <v>1126.1030000000001</v>
      </c>
      <c r="AJ510" s="413">
        <f t="shared" si="404"/>
        <v>1126.1030000000001</v>
      </c>
      <c r="AK510" s="99">
        <f t="shared" si="404"/>
        <v>1248.251</v>
      </c>
      <c r="AL510" s="99">
        <f t="shared" si="404"/>
        <v>1220.2360000000001</v>
      </c>
      <c r="AM510" s="99">
        <f t="shared" si="404"/>
        <v>1167.1880000000001</v>
      </c>
      <c r="AN510" s="63">
        <f t="shared" si="404"/>
        <v>1159.9010000000001</v>
      </c>
      <c r="AO510" s="413">
        <f t="shared" si="404"/>
        <v>1159.9010000000001</v>
      </c>
      <c r="AP510" s="99">
        <f t="shared" si="404"/>
        <v>1195.9110000000001</v>
      </c>
      <c r="AQ510" s="99">
        <f t="shared" si="404"/>
        <v>1049.298</v>
      </c>
      <c r="AR510" s="99">
        <f t="shared" si="404"/>
        <v>1015.141</v>
      </c>
      <c r="AS510" s="63">
        <f t="shared" si="404"/>
        <v>1101.2050000000002</v>
      </c>
      <c r="AT510" s="413">
        <f t="shared" si="404"/>
        <v>1101.2050000000002</v>
      </c>
      <c r="AU510" s="99">
        <f t="shared" si="404"/>
        <v>1067.0160000000001</v>
      </c>
      <c r="AV510" s="99">
        <f t="shared" si="404"/>
        <v>933.50300000000004</v>
      </c>
      <c r="AW510" s="99">
        <f t="shared" si="404"/>
        <v>822.85300000000007</v>
      </c>
      <c r="AX510" s="63">
        <f t="shared" si="404"/>
        <v>796.2890000000001</v>
      </c>
      <c r="AY510" s="413">
        <f t="shared" si="404"/>
        <v>796.2890000000001</v>
      </c>
      <c r="AZ510" s="99">
        <f t="shared" si="404"/>
        <v>751.29399999999998</v>
      </c>
      <c r="BA510" s="99">
        <f t="shared" si="404"/>
        <v>687.56299999999999</v>
      </c>
      <c r="BB510" s="99">
        <f t="shared" si="404"/>
        <v>591.98500000000001</v>
      </c>
      <c r="BC510" s="63">
        <f t="shared" si="404"/>
        <v>557.38900000000001</v>
      </c>
      <c r="BD510" s="413">
        <f t="shared" si="404"/>
        <v>557.38900000000001</v>
      </c>
      <c r="BE510" s="99">
        <f t="shared" si="404"/>
        <v>458.70400000000001</v>
      </c>
      <c r="BF510" s="99">
        <f t="shared" si="404"/>
        <v>312.452</v>
      </c>
      <c r="BG510" s="99">
        <f t="shared" si="404"/>
        <v>120.66800000000012</v>
      </c>
      <c r="BH510" s="63">
        <f t="shared" si="404"/>
        <v>99.874000000000024</v>
      </c>
      <c r="BI510" s="413">
        <f t="shared" si="404"/>
        <v>99.874000000000024</v>
      </c>
      <c r="BJ510" s="99">
        <f t="shared" si="404"/>
        <v>327.01499999999999</v>
      </c>
      <c r="BK510" s="99">
        <f t="shared" si="404"/>
        <v>208.28300000000013</v>
      </c>
      <c r="BL510" s="99">
        <f t="shared" si="404"/>
        <v>663.63299999999981</v>
      </c>
      <c r="BM510" s="63">
        <f t="shared" si="404"/>
        <v>771.17399999999975</v>
      </c>
      <c r="BN510" s="413">
        <f t="shared" si="404"/>
        <v>771.17399999999975</v>
      </c>
      <c r="BO510" s="99">
        <f t="shared" ref="BO510:CF510" si="405">BO508+BO509-BO505</f>
        <v>750.24399999999991</v>
      </c>
      <c r="BP510" s="99">
        <f t="shared" si="405"/>
        <v>682.62400000000002</v>
      </c>
      <c r="BQ510" s="99">
        <f t="shared" si="405"/>
        <v>383.94700000000012</v>
      </c>
      <c r="BR510" s="63">
        <f t="shared" si="405"/>
        <v>2625.3229999999999</v>
      </c>
      <c r="BS510" s="425">
        <f t="shared" si="405"/>
        <v>2625.3229999999999</v>
      </c>
      <c r="BT510" s="63" t="e">
        <f t="shared" si="405"/>
        <v>#NAME?</v>
      </c>
      <c r="BU510" s="63" t="e">
        <f t="shared" si="405"/>
        <v>#NAME?</v>
      </c>
      <c r="BV510" s="63" t="e">
        <f t="shared" si="405"/>
        <v>#NAME?</v>
      </c>
      <c r="BW510" s="63" t="e">
        <f t="shared" si="405"/>
        <v>#NAME?</v>
      </c>
      <c r="BX510" s="413" t="e">
        <f t="shared" si="405"/>
        <v>#NAME?</v>
      </c>
      <c r="BY510" s="63" t="e">
        <f t="shared" si="405"/>
        <v>#NAME?</v>
      </c>
      <c r="BZ510" s="63" t="e">
        <f t="shared" si="405"/>
        <v>#NAME?</v>
      </c>
      <c r="CA510" s="63" t="e">
        <f t="shared" si="405"/>
        <v>#NAME?</v>
      </c>
      <c r="CB510" s="63" t="e">
        <f t="shared" si="405"/>
        <v>#NAME?</v>
      </c>
      <c r="CC510" s="413" t="e">
        <f t="shared" si="405"/>
        <v>#NAME?</v>
      </c>
      <c r="CD510" s="413" t="e">
        <f t="shared" si="405"/>
        <v>#NAME?</v>
      </c>
      <c r="CE510" s="413" t="e">
        <f t="shared" si="405"/>
        <v>#NAME?</v>
      </c>
      <c r="CF510" s="413" t="e">
        <f t="shared" si="405"/>
        <v>#NAME?</v>
      </c>
      <c r="CG510" s="99"/>
    </row>
    <row r="511" spans="1:85" ht="14.45" customHeight="1" x14ac:dyDescent="0.25">
      <c r="A511" s="63"/>
      <c r="B511" s="180"/>
      <c r="C511" s="413"/>
      <c r="D511" s="413"/>
      <c r="E511" s="413"/>
      <c r="F511" s="413"/>
      <c r="G511" s="63"/>
      <c r="H511" s="63"/>
      <c r="I511" s="63"/>
      <c r="J511" s="63"/>
      <c r="K511" s="413"/>
      <c r="L511" s="63"/>
      <c r="M511" s="63"/>
      <c r="N511" s="63"/>
      <c r="O511" s="63"/>
      <c r="P511" s="413"/>
      <c r="Q511" s="63"/>
      <c r="R511" s="63"/>
      <c r="S511" s="63"/>
      <c r="T511" s="63"/>
      <c r="U511" s="413"/>
      <c r="V511" s="63"/>
      <c r="W511" s="63"/>
      <c r="X511" s="63"/>
      <c r="Y511" s="63"/>
      <c r="Z511" s="413"/>
      <c r="AA511" s="63"/>
      <c r="AB511" s="63"/>
      <c r="AC511" s="63"/>
      <c r="AD511" s="63"/>
      <c r="AE511" s="413"/>
      <c r="AF511" s="63"/>
      <c r="AG511" s="63"/>
      <c r="AH511" s="63"/>
      <c r="AI511" s="63"/>
      <c r="AJ511" s="413"/>
      <c r="AK511" s="63"/>
      <c r="AL511" s="63"/>
      <c r="AM511" s="63"/>
      <c r="AN511" s="63"/>
      <c r="AO511" s="413"/>
      <c r="AP511" s="63"/>
      <c r="AQ511" s="63"/>
      <c r="AR511" s="63"/>
      <c r="AS511" s="63"/>
      <c r="AT511" s="413"/>
      <c r="AU511" s="63"/>
      <c r="AV511" s="63"/>
      <c r="AW511" s="63"/>
      <c r="AX511" s="63"/>
      <c r="AY511" s="413"/>
      <c r="AZ511" s="63"/>
      <c r="BA511" s="63"/>
      <c r="BB511" s="63"/>
      <c r="BC511" s="63"/>
      <c r="BD511" s="413"/>
      <c r="BE511" s="63"/>
      <c r="BF511" s="63"/>
      <c r="BG511" s="63"/>
      <c r="BH511" s="63"/>
      <c r="BI511" s="413"/>
      <c r="BJ511" s="63"/>
      <c r="BK511" s="63"/>
      <c r="BL511" s="63"/>
      <c r="BM511" s="63"/>
      <c r="BN511" s="413"/>
      <c r="BO511" s="63"/>
      <c r="BP511" s="63"/>
      <c r="BQ511" s="63"/>
      <c r="BR511" s="63"/>
      <c r="BS511" s="425"/>
      <c r="BT511" s="63"/>
      <c r="BU511" s="63"/>
      <c r="BV511" s="63"/>
      <c r="BW511" s="63"/>
      <c r="BX511" s="413"/>
      <c r="BY511" s="63"/>
      <c r="BZ511" s="63"/>
      <c r="CA511" s="63"/>
      <c r="CB511" s="63"/>
      <c r="CC511" s="413"/>
      <c r="CD511" s="413"/>
      <c r="CE511" s="413"/>
      <c r="CF511" s="413"/>
      <c r="CG511" s="99"/>
    </row>
    <row r="512" spans="1:85" ht="14.45" customHeight="1" x14ac:dyDescent="0.25">
      <c r="A512" s="99" t="s">
        <v>553</v>
      </c>
      <c r="B512" s="180"/>
      <c r="C512" s="438"/>
      <c r="D512" s="438"/>
      <c r="E512" s="438"/>
      <c r="F512" s="438"/>
      <c r="G512" s="127"/>
      <c r="H512" s="127"/>
      <c r="I512" s="127"/>
      <c r="J512" s="127"/>
      <c r="K512" s="438"/>
      <c r="L512" s="127"/>
      <c r="M512" s="127"/>
      <c r="N512" s="127"/>
      <c r="O512" s="127"/>
      <c r="P512" s="438"/>
      <c r="Q512" s="127"/>
      <c r="R512" s="127"/>
      <c r="S512" s="127"/>
      <c r="T512" s="127"/>
      <c r="U512" s="438"/>
      <c r="V512" s="127"/>
      <c r="W512" s="127"/>
      <c r="X512" s="127"/>
      <c r="Y512" s="127"/>
      <c r="Z512" s="438"/>
      <c r="AA512" s="127"/>
      <c r="AB512" s="127"/>
      <c r="AC512" s="127"/>
      <c r="AD512" s="127"/>
      <c r="AE512" s="438"/>
      <c r="AF512" s="127"/>
      <c r="AG512" s="127"/>
      <c r="AH512" s="127"/>
      <c r="AI512" s="127"/>
      <c r="AJ512" s="438"/>
      <c r="AK512" s="127"/>
      <c r="AL512" s="127"/>
      <c r="AM512" s="127"/>
      <c r="AN512" s="127"/>
      <c r="AO512" s="438"/>
      <c r="AP512" s="127"/>
      <c r="AQ512" s="127"/>
      <c r="AR512" s="127"/>
      <c r="AS512" s="127"/>
      <c r="AT512" s="438"/>
      <c r="AU512" s="127"/>
      <c r="AV512" s="127"/>
      <c r="AW512" s="127"/>
      <c r="AX512" s="127"/>
      <c r="AY512" s="438"/>
      <c r="AZ512" s="127"/>
      <c r="BA512" s="127"/>
      <c r="BB512" s="127"/>
      <c r="BC512" s="127"/>
      <c r="BD512" s="438"/>
      <c r="BE512" s="127"/>
      <c r="BF512" s="127"/>
      <c r="BG512" s="127"/>
      <c r="BH512" s="127"/>
      <c r="BI512" s="438"/>
      <c r="BJ512" s="127"/>
      <c r="BK512" s="127"/>
      <c r="BL512" s="127"/>
      <c r="BM512" s="127"/>
      <c r="BN512" s="438"/>
      <c r="BO512" s="127"/>
      <c r="BP512" s="127"/>
      <c r="BQ512" s="127"/>
      <c r="BR512" s="127"/>
      <c r="BS512" s="448"/>
      <c r="BT512" s="127">
        <f>MAX(0,BT513*AVERAGE(BS508,BT508)*BT3/BX3)</f>
        <v>23.671557000000004</v>
      </c>
      <c r="BU512" s="127">
        <f>MAX(0,BU513*AVERAGE(BT508,BU508)*BU3/BX3)</f>
        <v>23.017104945205485</v>
      </c>
      <c r="BV512" s="127">
        <f>MAX(0,BV513*AVERAGE(BU508,BV508)*BV3/BX3)</f>
        <v>23.017104945205485</v>
      </c>
      <c r="BW512" s="127">
        <f>MAX(0,BW513*AVERAGE(BV508,BW508)*BW3/BX3)</f>
        <v>23.270040164383566</v>
      </c>
      <c r="BX512" s="438">
        <f>IF(OR(ISBLANK(BT512),ISBLANK(BU512),ISBLANK(BV512),ISBLANK(BW512)),"n/a",SUM(BT512,BU512,BV512,BW512))</f>
        <v>92.975807054794529</v>
      </c>
      <c r="BY512" s="127">
        <f>MAX(0,BY513*AVERAGE(BX508,BY508)*BY3/CC3)</f>
        <v>23.017104945205485</v>
      </c>
      <c r="BZ512" s="127">
        <f>MAX(0,BZ513*AVERAGE(BY508,BZ508)*BZ3/CC3)</f>
        <v>23.017104945205485</v>
      </c>
      <c r="CA512" s="127">
        <f>MAX(0,CA513*AVERAGE(BZ508,CA508)*CA3/CC3)</f>
        <v>23.017104945205485</v>
      </c>
      <c r="CB512" s="127">
        <f>MAX(0,CB513*AVERAGE(CA508,CB508)*CB3/CC3)</f>
        <v>23.270040164383566</v>
      </c>
      <c r="CC512" s="438">
        <f>IF(OR(ISBLANK(BY512),ISBLANK(BZ512),ISBLANK(CA512),ISBLANK(CB512)),"n/a",SUM(BY512,BZ512,CA512,CB512))</f>
        <v>92.321355000000011</v>
      </c>
      <c r="CD512" s="438">
        <f>CD513*AVERAGE(CC508,CD508)</f>
        <v>92.321355000000011</v>
      </c>
      <c r="CE512" s="438">
        <f>CE513*AVERAGE(CD508,CE508)</f>
        <v>92.321355000000011</v>
      </c>
      <c r="CF512" s="438">
        <f>CF513*AVERAGE(CE508,CF508)</f>
        <v>92.321355000000011</v>
      </c>
      <c r="CG512" s="99"/>
    </row>
    <row r="513" spans="1:85" ht="14.45" customHeight="1" x14ac:dyDescent="0.25">
      <c r="A513" s="109" t="s">
        <v>554</v>
      </c>
      <c r="B513" s="211"/>
      <c r="C513" s="406"/>
      <c r="D513" s="406"/>
      <c r="E513" s="406"/>
      <c r="F513" s="406"/>
      <c r="G513" s="90"/>
      <c r="H513" s="90"/>
      <c r="I513" s="90"/>
      <c r="J513" s="90"/>
      <c r="K513" s="406"/>
      <c r="L513" s="90"/>
      <c r="M513" s="90"/>
      <c r="N513" s="90"/>
      <c r="O513" s="90"/>
      <c r="P513" s="406"/>
      <c r="Q513" s="90"/>
      <c r="R513" s="90"/>
      <c r="S513" s="90"/>
      <c r="T513" s="90"/>
      <c r="U513" s="406"/>
      <c r="V513" s="90"/>
      <c r="W513" s="90"/>
      <c r="X513" s="90"/>
      <c r="Y513" s="90"/>
      <c r="Z513" s="406"/>
      <c r="AA513" s="90"/>
      <c r="AB513" s="90"/>
      <c r="AC513" s="90"/>
      <c r="AD513" s="90"/>
      <c r="AE513" s="406"/>
      <c r="AF513" s="90"/>
      <c r="AG513" s="90"/>
      <c r="AH513" s="90"/>
      <c r="AI513" s="90"/>
      <c r="AJ513" s="406"/>
      <c r="AK513" s="90"/>
      <c r="AL513" s="90"/>
      <c r="AM513" s="90"/>
      <c r="AN513" s="90"/>
      <c r="AO513" s="406"/>
      <c r="AP513" s="90"/>
      <c r="AQ513" s="90"/>
      <c r="AR513" s="90"/>
      <c r="AS513" s="90"/>
      <c r="AT513" s="406"/>
      <c r="AU513" s="90"/>
      <c r="AV513" s="90"/>
      <c r="AW513" s="90"/>
      <c r="AX513" s="90"/>
      <c r="AY513" s="406"/>
      <c r="AZ513" s="90"/>
      <c r="BA513" s="90"/>
      <c r="BB513" s="90"/>
      <c r="BC513" s="90"/>
      <c r="BD513" s="406"/>
      <c r="BE513" s="90"/>
      <c r="BF513" s="90"/>
      <c r="BG513" s="90"/>
      <c r="BH513" s="90"/>
      <c r="BI513" s="406"/>
      <c r="BJ513" s="90"/>
      <c r="BK513" s="90"/>
      <c r="BL513" s="90"/>
      <c r="BM513" s="90"/>
      <c r="BN513" s="406"/>
      <c r="BO513" s="90"/>
      <c r="BP513" s="90"/>
      <c r="BQ513" s="90"/>
      <c r="BR513" s="90"/>
      <c r="BS513" s="407"/>
      <c r="BT513" s="94">
        <v>3.5000000000000003E-2</v>
      </c>
      <c r="BU513" s="94">
        <v>3.5000000000000003E-2</v>
      </c>
      <c r="BV513" s="94">
        <v>3.5000000000000003E-2</v>
      </c>
      <c r="BW513" s="94">
        <v>3.5000000000000003E-2</v>
      </c>
      <c r="BX513" s="406">
        <f>IFERROR(BX512/AVERAGE(BT508,BU508,BV508,BW508),"n/a")</f>
        <v>3.5248109680775463E-2</v>
      </c>
      <c r="BY513" s="94">
        <v>3.5000000000000003E-2</v>
      </c>
      <c r="BZ513" s="94">
        <v>3.5000000000000003E-2</v>
      </c>
      <c r="CA513" s="94">
        <v>3.5000000000000003E-2</v>
      </c>
      <c r="CB513" s="94">
        <v>3.5000000000000003E-2</v>
      </c>
      <c r="CC513" s="406">
        <f>IFERROR(CC512/AVERAGE(BY508,BZ508,CA508,CB508),"n/a")</f>
        <v>3.5000000000000003E-2</v>
      </c>
      <c r="CD513" s="408">
        <v>3.5000000000000003E-2</v>
      </c>
      <c r="CE513" s="408">
        <v>3.5000000000000003E-2</v>
      </c>
      <c r="CF513" s="408">
        <v>3.5000000000000003E-2</v>
      </c>
      <c r="CG513" s="99"/>
    </row>
    <row r="514" spans="1:85" ht="14.45" customHeight="1" x14ac:dyDescent="0.25">
      <c r="A514" s="63" t="s">
        <v>555</v>
      </c>
      <c r="B514" s="180"/>
      <c r="C514" s="438"/>
      <c r="D514" s="438"/>
      <c r="E514" s="438"/>
      <c r="F514" s="438"/>
      <c r="G514" s="127"/>
      <c r="H514" s="127"/>
      <c r="I514" s="127"/>
      <c r="J514" s="127"/>
      <c r="K514" s="438"/>
      <c r="L514" s="127"/>
      <c r="M514" s="127"/>
      <c r="N514" s="127"/>
      <c r="O514" s="127"/>
      <c r="P514" s="438"/>
      <c r="Q514" s="127"/>
      <c r="R514" s="127"/>
      <c r="S514" s="127"/>
      <c r="T514" s="127"/>
      <c r="U514" s="438"/>
      <c r="V514" s="127"/>
      <c r="W514" s="127"/>
      <c r="X514" s="127"/>
      <c r="Y514" s="127"/>
      <c r="Z514" s="438"/>
      <c r="AA514" s="127"/>
      <c r="AB514" s="127"/>
      <c r="AC514" s="127"/>
      <c r="AD514" s="127"/>
      <c r="AE514" s="438"/>
      <c r="AF514" s="127"/>
      <c r="AG514" s="127"/>
      <c r="AH514" s="127"/>
      <c r="AI514" s="127"/>
      <c r="AJ514" s="438"/>
      <c r="AK514" s="127"/>
      <c r="AL514" s="127"/>
      <c r="AM514" s="127"/>
      <c r="AN514" s="127"/>
      <c r="AO514" s="438"/>
      <c r="AP514" s="127"/>
      <c r="AQ514" s="127"/>
      <c r="AR514" s="127"/>
      <c r="AS514" s="127"/>
      <c r="AT514" s="438"/>
      <c r="AU514" s="127"/>
      <c r="AV514" s="127"/>
      <c r="AW514" s="127"/>
      <c r="AX514" s="127"/>
      <c r="AY514" s="438"/>
      <c r="AZ514" s="127"/>
      <c r="BA514" s="127"/>
      <c r="BB514" s="127"/>
      <c r="BC514" s="127"/>
      <c r="BD514" s="438"/>
      <c r="BE514" s="127"/>
      <c r="BF514" s="127"/>
      <c r="BG514" s="127"/>
      <c r="BH514" s="127"/>
      <c r="BI514" s="438"/>
      <c r="BJ514" s="127"/>
      <c r="BK514" s="127"/>
      <c r="BL514" s="127"/>
      <c r="BM514" s="127"/>
      <c r="BN514" s="438"/>
      <c r="BO514" s="127"/>
      <c r="BP514" s="127"/>
      <c r="BQ514" s="127"/>
      <c r="BR514" s="127"/>
      <c r="BS514" s="448"/>
      <c r="BT514" s="127">
        <f>MAX(0,BT515*BS505*BT3/BX3)</f>
        <v>0.35143202739726032</v>
      </c>
      <c r="BU514" s="127" t="e">
        <f>MAX(0,BU515*BT505*BU3/BX3)</f>
        <v>#NAME?</v>
      </c>
      <c r="BV514" s="127" t="e">
        <f>MAX(0,BV515*BU505*BV3/BX3)</f>
        <v>#NAME?</v>
      </c>
      <c r="BW514" s="127" t="e">
        <f>MAX(0,BW515*BV505*BW3/BX3)</f>
        <v>#NAME?</v>
      </c>
      <c r="BX514" s="438" t="e">
        <f>IF(OR(ISBLANK(BT514),ISBLANK(BU514),ISBLANK(BV514),ISBLANK(BW514)),"n/a",SUM(BT514,BU514,BV514,BW514))</f>
        <v>#NAME?</v>
      </c>
      <c r="BY514" s="127" t="e">
        <f>MAX(0,BY515*BX505*BY3/CC3)</f>
        <v>#NAME?</v>
      </c>
      <c r="BZ514" s="127" t="e">
        <f>MAX(0,BZ515*BY505*BZ3/CC3)</f>
        <v>#NAME?</v>
      </c>
      <c r="CA514" s="127" t="e">
        <f>MAX(0,CA515*BZ505*CA3/CC3)</f>
        <v>#NAME?</v>
      </c>
      <c r="CB514" s="127" t="e">
        <f>MAX(0,CB515*CA505*CB3/CC3)</f>
        <v>#NAME?</v>
      </c>
      <c r="CC514" s="438" t="e">
        <f>IF(OR(ISBLANK(BY514),ISBLANK(BZ514),ISBLANK(CA514),ISBLANK(CB514)),"n/a",SUM(BY514,BZ514,CA514,CB514))</f>
        <v>#NAME?</v>
      </c>
      <c r="CD514" s="438" t="e">
        <f>CD515*CC505</f>
        <v>#NAME?</v>
      </c>
      <c r="CE514" s="438" t="e">
        <f>CE515*CD505</f>
        <v>#NAME?</v>
      </c>
      <c r="CF514" s="438" t="e">
        <f>CF515*CE505</f>
        <v>#NAME?</v>
      </c>
      <c r="CG514" s="99"/>
    </row>
    <row r="515" spans="1:85" ht="14.45" customHeight="1" x14ac:dyDescent="0.25">
      <c r="A515" s="112" t="s">
        <v>556</v>
      </c>
      <c r="B515" s="211"/>
      <c r="C515" s="406"/>
      <c r="D515" s="406"/>
      <c r="E515" s="406"/>
      <c r="F515" s="406"/>
      <c r="G515" s="90"/>
      <c r="H515" s="90"/>
      <c r="I515" s="90"/>
      <c r="J515" s="90"/>
      <c r="K515" s="406"/>
      <c r="L515" s="90"/>
      <c r="M515" s="90"/>
      <c r="N515" s="90"/>
      <c r="O515" s="90"/>
      <c r="P515" s="406"/>
      <c r="Q515" s="90"/>
      <c r="R515" s="90"/>
      <c r="S515" s="90"/>
      <c r="T515" s="90"/>
      <c r="U515" s="406"/>
      <c r="V515" s="90"/>
      <c r="W515" s="90"/>
      <c r="X515" s="90"/>
      <c r="Y515" s="90"/>
      <c r="Z515" s="406"/>
      <c r="AA515" s="90"/>
      <c r="AB515" s="90"/>
      <c r="AC515" s="90"/>
      <c r="AD515" s="90"/>
      <c r="AE515" s="406"/>
      <c r="AF515" s="90"/>
      <c r="AG515" s="90"/>
      <c r="AH515" s="90"/>
      <c r="AI515" s="90"/>
      <c r="AJ515" s="406"/>
      <c r="AK515" s="90"/>
      <c r="AL515" s="90"/>
      <c r="AM515" s="90"/>
      <c r="AN515" s="90"/>
      <c r="AO515" s="406"/>
      <c r="AP515" s="90"/>
      <c r="AQ515" s="90"/>
      <c r="AR515" s="90"/>
      <c r="AS515" s="90"/>
      <c r="AT515" s="406"/>
      <c r="AU515" s="90"/>
      <c r="AV515" s="90"/>
      <c r="AW515" s="90"/>
      <c r="AX515" s="90"/>
      <c r="AY515" s="406"/>
      <c r="AZ515" s="90"/>
      <c r="BA515" s="90"/>
      <c r="BB515" s="90"/>
      <c r="BC515" s="90"/>
      <c r="BD515" s="406"/>
      <c r="BE515" s="90"/>
      <c r="BF515" s="90"/>
      <c r="BG515" s="90"/>
      <c r="BH515" s="90"/>
      <c r="BI515" s="406"/>
      <c r="BJ515" s="90"/>
      <c r="BK515" s="90"/>
      <c r="BL515" s="90"/>
      <c r="BM515" s="90"/>
      <c r="BN515" s="406"/>
      <c r="BO515" s="90"/>
      <c r="BP515" s="90"/>
      <c r="BQ515" s="90"/>
      <c r="BR515" s="90"/>
      <c r="BS515" s="407"/>
      <c r="BT515" s="94">
        <v>5.0000000000000001E-3</v>
      </c>
      <c r="BU515" s="94">
        <v>5.0000000000000001E-3</v>
      </c>
      <c r="BV515" s="94">
        <v>5.0000000000000001E-3</v>
      </c>
      <c r="BW515" s="94">
        <v>5.0000000000000001E-3</v>
      </c>
      <c r="BX515" s="406" t="str">
        <f>IFERROR(BX514/AVERAGE(BT505,BU505,BV505,BW505),"n/a")</f>
        <v>n/a</v>
      </c>
      <c r="BY515" s="94">
        <v>5.0000000000000001E-3</v>
      </c>
      <c r="BZ515" s="94">
        <v>5.0000000000000001E-3</v>
      </c>
      <c r="CA515" s="94">
        <v>5.0000000000000001E-3</v>
      </c>
      <c r="CB515" s="94">
        <v>5.0000000000000001E-3</v>
      </c>
      <c r="CC515" s="406" t="str">
        <f>IFERROR(CC514/AVERAGE(BY505,BZ505,CA505,CB505),"n/a")</f>
        <v>n/a</v>
      </c>
      <c r="CD515" s="408">
        <v>4.3177559554866546E-3</v>
      </c>
      <c r="CE515" s="408">
        <v>4.3177559554866546E-3</v>
      </c>
      <c r="CF515" s="408">
        <v>4.3177559554866546E-3</v>
      </c>
      <c r="CG515" s="99"/>
    </row>
    <row r="516" spans="1:85" ht="14.45" customHeight="1" x14ac:dyDescent="0.25">
      <c r="A516" s="63" t="s">
        <v>557</v>
      </c>
      <c r="B516" s="180"/>
      <c r="C516" s="438">
        <f t="shared" ref="C516:AH516" si="406">C419</f>
        <v>37.378999999999998</v>
      </c>
      <c r="D516" s="438">
        <f t="shared" si="406"/>
        <v>35.127000000000002</v>
      </c>
      <c r="E516" s="438">
        <f t="shared" si="406"/>
        <v>35.978999999999999</v>
      </c>
      <c r="F516" s="438">
        <f t="shared" si="406"/>
        <v>35.338000000000001</v>
      </c>
      <c r="G516" s="127">
        <f t="shared" si="406"/>
        <v>7.3789999999999996</v>
      </c>
      <c r="H516" s="127">
        <f t="shared" si="406"/>
        <v>7.4089999999999998</v>
      </c>
      <c r="I516" s="127">
        <f t="shared" si="406"/>
        <v>7.3609999999999998</v>
      </c>
      <c r="J516" s="127">
        <f t="shared" si="406"/>
        <v>7.2540000000000022</v>
      </c>
      <c r="K516" s="438">
        <f t="shared" si="406"/>
        <v>29.402999999999999</v>
      </c>
      <c r="L516" s="127">
        <f t="shared" si="406"/>
        <v>7.2229999999999999</v>
      </c>
      <c r="M516" s="127">
        <f t="shared" si="406"/>
        <v>7.343</v>
      </c>
      <c r="N516" s="127">
        <f t="shared" si="406"/>
        <v>7.3330000000000002</v>
      </c>
      <c r="O516" s="127">
        <f t="shared" si="406"/>
        <v>7.3729999999999993</v>
      </c>
      <c r="P516" s="438">
        <f t="shared" si="406"/>
        <v>29.271999999999998</v>
      </c>
      <c r="Q516" s="127">
        <f t="shared" si="406"/>
        <v>7.3470000000000004</v>
      </c>
      <c r="R516" s="127">
        <f t="shared" si="406"/>
        <v>6.718</v>
      </c>
      <c r="S516" s="127">
        <f t="shared" si="406"/>
        <v>6.6859999999999999</v>
      </c>
      <c r="T516" s="127">
        <f t="shared" si="406"/>
        <v>8.1639999999999979</v>
      </c>
      <c r="U516" s="438">
        <f t="shared" si="406"/>
        <v>28.914999999999999</v>
      </c>
      <c r="V516" s="127">
        <f t="shared" si="406"/>
        <v>9.3610000000000007</v>
      </c>
      <c r="W516" s="127">
        <f t="shared" si="406"/>
        <v>9.8079999999999998</v>
      </c>
      <c r="X516" s="127">
        <f t="shared" si="406"/>
        <v>8.452</v>
      </c>
      <c r="Y516" s="127">
        <f t="shared" si="406"/>
        <v>8.7040000000000024</v>
      </c>
      <c r="Z516" s="438">
        <f t="shared" si="406"/>
        <v>36.325000000000003</v>
      </c>
      <c r="AA516" s="127">
        <f t="shared" si="406"/>
        <v>9.4700000000000006</v>
      </c>
      <c r="AB516" s="127">
        <f t="shared" si="406"/>
        <v>10.44</v>
      </c>
      <c r="AC516" s="127">
        <f t="shared" si="406"/>
        <v>10.696999999999999</v>
      </c>
      <c r="AD516" s="127">
        <f t="shared" si="406"/>
        <v>11.262</v>
      </c>
      <c r="AE516" s="438">
        <f t="shared" si="406"/>
        <v>41.869</v>
      </c>
      <c r="AF516" s="127">
        <f t="shared" si="406"/>
        <v>12.045999999999999</v>
      </c>
      <c r="AG516" s="127">
        <f t="shared" si="406"/>
        <v>12.744</v>
      </c>
      <c r="AH516" s="127">
        <f t="shared" si="406"/>
        <v>12.827</v>
      </c>
      <c r="AI516" s="127">
        <f t="shared" ref="AI516:BS516" si="407">AI419</f>
        <v>12.889000000000003</v>
      </c>
      <c r="AJ516" s="438">
        <f t="shared" si="407"/>
        <v>50.506</v>
      </c>
      <c r="AK516" s="127">
        <f t="shared" si="407"/>
        <v>12.885999999999999</v>
      </c>
      <c r="AL516" s="127">
        <f t="shared" si="407"/>
        <v>11.994999999999999</v>
      </c>
      <c r="AM516" s="127">
        <f t="shared" si="407"/>
        <v>10.965</v>
      </c>
      <c r="AN516" s="127">
        <f t="shared" si="407"/>
        <v>10.143999999999998</v>
      </c>
      <c r="AO516" s="438">
        <f t="shared" si="407"/>
        <v>45.99</v>
      </c>
      <c r="AP516" s="127">
        <f t="shared" si="407"/>
        <v>9.5609999999999999</v>
      </c>
      <c r="AQ516" s="127">
        <f t="shared" si="407"/>
        <v>9.1839999999999993</v>
      </c>
      <c r="AR516" s="127">
        <f t="shared" si="407"/>
        <v>9.0329999999999995</v>
      </c>
      <c r="AS516" s="127">
        <f t="shared" si="407"/>
        <v>8.9570000000000007</v>
      </c>
      <c r="AT516" s="438">
        <f t="shared" si="407"/>
        <v>36.734999999999999</v>
      </c>
      <c r="AU516" s="127">
        <f t="shared" si="407"/>
        <v>8.7460000000000004</v>
      </c>
      <c r="AV516" s="127">
        <f t="shared" si="407"/>
        <v>8.3650000000000002</v>
      </c>
      <c r="AW516" s="127">
        <f t="shared" si="407"/>
        <v>8.0969999999999995</v>
      </c>
      <c r="AX516" s="127">
        <f t="shared" si="407"/>
        <v>8.2409999999999997</v>
      </c>
      <c r="AY516" s="438">
        <f t="shared" si="407"/>
        <v>33.448999999999998</v>
      </c>
      <c r="AZ516" s="127">
        <f t="shared" si="407"/>
        <v>7.6989999999999998</v>
      </c>
      <c r="BA516" s="127">
        <f t="shared" si="407"/>
        <v>7.1459999999999999</v>
      </c>
      <c r="BB516" s="127">
        <f t="shared" si="407"/>
        <v>6.0830000000000002</v>
      </c>
      <c r="BC516" s="127">
        <f t="shared" si="407"/>
        <v>3.8640000000000043</v>
      </c>
      <c r="BD516" s="438">
        <f t="shared" si="407"/>
        <v>24.792000000000002</v>
      </c>
      <c r="BE516" s="127">
        <f t="shared" si="407"/>
        <v>2.9289999999999998</v>
      </c>
      <c r="BF516" s="127">
        <f t="shared" si="407"/>
        <v>1.353</v>
      </c>
      <c r="BG516" s="127">
        <f t="shared" si="407"/>
        <v>-1.516</v>
      </c>
      <c r="BH516" s="127">
        <f t="shared" si="407"/>
        <v>-3.6840000000000002</v>
      </c>
      <c r="BI516" s="438">
        <f t="shared" si="407"/>
        <v>-0.91800000000000004</v>
      </c>
      <c r="BJ516" s="127">
        <f t="shared" si="407"/>
        <v>-2.7160000000000002</v>
      </c>
      <c r="BK516" s="127">
        <f t="shared" si="407"/>
        <v>-1.62</v>
      </c>
      <c r="BL516" s="127">
        <f t="shared" si="407"/>
        <v>2.1869999999999998</v>
      </c>
      <c r="BM516" s="127">
        <f t="shared" si="407"/>
        <v>3.9970000000000008</v>
      </c>
      <c r="BN516" s="438">
        <f t="shared" si="407"/>
        <v>1.8480000000000001</v>
      </c>
      <c r="BO516" s="127">
        <f t="shared" si="407"/>
        <v>6.8739999999999997</v>
      </c>
      <c r="BP516" s="127">
        <f t="shared" si="407"/>
        <v>5.9480000000000004</v>
      </c>
      <c r="BQ516" s="127">
        <f t="shared" si="407"/>
        <v>4.6870000000000003</v>
      </c>
      <c r="BR516" s="127">
        <f t="shared" si="407"/>
        <v>25.168999999999997</v>
      </c>
      <c r="BS516" s="448">
        <f t="shared" si="407"/>
        <v>42.677999999999997</v>
      </c>
      <c r="BT516" s="127">
        <f>IFERROR(BT512-BT514,"n/a")</f>
        <v>23.320124972602745</v>
      </c>
      <c r="BU516" s="127" t="str">
        <f>IFERROR(BU512-BU514,"n/a")</f>
        <v>n/a</v>
      </c>
      <c r="BV516" s="127" t="str">
        <f>IFERROR(BV512-BV514,"n/a")</f>
        <v>n/a</v>
      </c>
      <c r="BW516" s="127" t="str">
        <f>IFERROR(BW512-BW514,"n/a")</f>
        <v>n/a</v>
      </c>
      <c r="BX516" s="438">
        <f>SUM(BT516,BU516,BV516,BW516)</f>
        <v>23.320124972602745</v>
      </c>
      <c r="BY516" s="127" t="str">
        <f>IFERROR(BY512-BY514,"n/a")</f>
        <v>n/a</v>
      </c>
      <c r="BZ516" s="127" t="str">
        <f>IFERROR(BZ512-BZ514,"n/a")</f>
        <v>n/a</v>
      </c>
      <c r="CA516" s="127" t="str">
        <f>IFERROR(CA512-CA514,"n/a")</f>
        <v>n/a</v>
      </c>
      <c r="CB516" s="127" t="str">
        <f>IFERROR(CB512-CB514,"n/a")</f>
        <v>n/a</v>
      </c>
      <c r="CC516" s="438">
        <f>SUM(BY516,BZ516,CA516,CB516)</f>
        <v>0</v>
      </c>
      <c r="CD516" s="438" t="str">
        <f>IFERROR(CD512-CD514,"n/a")</f>
        <v>n/a</v>
      </c>
      <c r="CE516" s="438" t="str">
        <f>IFERROR(CE512-CE514,"n/a")</f>
        <v>n/a</v>
      </c>
      <c r="CF516" s="438" t="str">
        <f>IFERROR(CF512-CF514,"n/a")</f>
        <v>n/a</v>
      </c>
      <c r="CG516" s="99"/>
    </row>
    <row r="517" spans="1:85" ht="14.45" customHeight="1" x14ac:dyDescent="0.25">
      <c r="A517" s="112" t="s">
        <v>558</v>
      </c>
      <c r="B517" s="211"/>
      <c r="C517" s="406"/>
      <c r="D517" s="406">
        <f>IFERROR(IF(D516/AVERAGE(C508,D508)&lt;0,"n/a",D516/AVERAGE(C508,D508)),"n/a")</f>
        <v>5.9368841625624925E-2</v>
      </c>
      <c r="E517" s="406">
        <f>IFERROR(IF(E516/AVERAGE(D508,E508)&lt;0,"n/a",E516/AVERAGE(D508,E508)),"n/a")</f>
        <v>6.1002189730899624E-2</v>
      </c>
      <c r="F517" s="406">
        <f>IFERROR(IF(F516/AVERAGE(E508,F508)&lt;0,"n/a",F516/AVERAGE(E508,F508)),"n/a")</f>
        <v>6.4826093337246843E-2</v>
      </c>
      <c r="G517" s="90">
        <f>IFERROR(IF(G516/AVERAGE(F508,G508)&lt;0,"n/a",G516/AVERAGE(F508,G508)*K3/G3),"n/a")</f>
        <v>5.7891366407669682E-2</v>
      </c>
      <c r="H517" s="90">
        <f>IFERROR(IF(H516/AVERAGE(G508,H508)&lt;0,"n/a",H516/AVERAGE(G508,H508)*K3/H3),"n/a")</f>
        <v>5.6846147501520138E-2</v>
      </c>
      <c r="I517" s="90">
        <f>IFERROR(IF(I516/AVERAGE(H508,I508)&lt;0,"n/a",I516/AVERAGE(H508,I508)*K3/I3),"n/a")</f>
        <v>5.915015348022435E-2</v>
      </c>
      <c r="J517" s="90">
        <f>IFERROR(IF(J516/AVERAGE(I508,J508)&lt;0,"n/a",J516/AVERAGE(I508,J508)*K3/J3),"n/a")</f>
        <v>6.1527696051145865E-2</v>
      </c>
      <c r="K517" s="406">
        <f>IFERROR(IF(K516/AVERAGE(G508,H508,I508,J508)&lt;0,"n/a",K516/AVERAGE(G508,H508,I508,J508)),"n/a")</f>
        <v>5.922474858486932E-2</v>
      </c>
      <c r="L517" s="90">
        <f>IFERROR(IF(L516/AVERAGE(K508,L508)&lt;0,"n/a",L516/AVERAGE(K508,L508)*P3/L3),"n/a")</f>
        <v>6.0147370634334923E-2</v>
      </c>
      <c r="M517" s="90">
        <f>IFERROR(IF(M516/AVERAGE(L508,M508)&lt;0,"n/a",M516/AVERAGE(L508,M508)*P3/M3),"n/a")</f>
        <v>5.7997227696183935E-2</v>
      </c>
      <c r="N517" s="90">
        <f>IFERROR(IF(N516/AVERAGE(M508,N508)&lt;0,"n/a",N516/AVERAGE(M508,N508)*P3/N3),"n/a")</f>
        <v>5.7513669104245976E-2</v>
      </c>
      <c r="O517" s="90">
        <f>IFERROR(IF(O516/AVERAGE(N508,O508)&lt;0,"n/a",O516/AVERAGE(N508,O508)*P3/O3),"n/a")</f>
        <v>5.8510881016103779E-2</v>
      </c>
      <c r="P517" s="406">
        <f>IFERROR(IF(P516/AVERAGE(L508,M508,N508,O508)&lt;0,"n/a",P516/AVERAGE(L508,M508,N508,O508)),"n/a")</f>
        <v>5.7936764768461747E-2</v>
      </c>
      <c r="Q517" s="90">
        <f>IFERROR(IF(Q516/AVERAGE(P508,Q508)&lt;0,"n/a",Q516/AVERAGE(P508,Q508)*U3/Q3),"n/a")</f>
        <v>5.5157825640723454E-2</v>
      </c>
      <c r="R517" s="90">
        <f>IFERROR(IF(R516/AVERAGE(Q508,R508)&lt;0,"n/a",R516/AVERAGE(Q508,R508)*U3/R3),"n/a")</f>
        <v>4.5447487425496091E-2</v>
      </c>
      <c r="S517" s="90">
        <f>IFERROR(IF(S516/AVERAGE(R508,S508)&lt;0,"n/a",S516/AVERAGE(R508,S508)*U3/S3),"n/a")</f>
        <v>4.4344984552813736E-2</v>
      </c>
      <c r="T517" s="90">
        <f>IFERROR(IF(T516/AVERAGE(S508,T508)&lt;0,"n/a",T516/AVERAGE(S508,T508)*U3/T3),"n/a")</f>
        <v>4.8224681462678172E-2</v>
      </c>
      <c r="U517" s="406">
        <f>IFERROR(IF(U516/AVERAGE(Q508,R508,S508,T508)&lt;0,"n/a",U516/AVERAGE(Q508,R508,S508,T508)),"n/a")</f>
        <v>4.6504577480220674E-2</v>
      </c>
      <c r="V517" s="90">
        <f>IFERROR(IF(V516/AVERAGE(U508,V508)&lt;0,"n/a",V516/AVERAGE(U508,V508)*Z3/V3),"n/a")</f>
        <v>5.0277071727136385E-2</v>
      </c>
      <c r="W517" s="90">
        <f>IFERROR(IF(W516/AVERAGE(V508,W508)&lt;0,"n/a",W516/AVERAGE(V508,W508)*Z3/W3),"n/a")</f>
        <v>4.6258477733862824E-2</v>
      </c>
      <c r="X517" s="90">
        <f>IFERROR(IF(X516/AVERAGE(W508,X508)&lt;0,"n/a",X516/AVERAGE(W508,X508)*Z3/X3),"n/a")</f>
        <v>3.8578589841169131E-2</v>
      </c>
      <c r="Y517" s="90">
        <f>IFERROR(IF(Y516/AVERAGE(X508,Y508)&lt;0,"n/a",Y516/AVERAGE(X508,Y508)*Z3/Y3),"n/a")</f>
        <v>3.8122288935984544E-2</v>
      </c>
      <c r="Z517" s="406">
        <f>IFERROR(IF(Z516/AVERAGE(V508,W508,X508,Y508)&lt;0,"n/a",Z516/AVERAGE(V508,W508,X508,Y508)),"n/a")</f>
        <v>4.1246173799964862E-2</v>
      </c>
      <c r="AA517" s="90">
        <f>IFERROR(IF(AA516/AVERAGE(Z508,AA508)&lt;0,"n/a",AA516/AVERAGE(Z508,AA508)*AE3/AA3),"n/a")</f>
        <v>3.7782200773298316E-2</v>
      </c>
      <c r="AB517" s="90">
        <f>IFERROR(IF(AB516/AVERAGE(AA508,AB508)&lt;0,"n/a",AB516/AVERAGE(AA508,AB508)*AE3/AB3),"n/a")</f>
        <v>3.8403425408979008E-2</v>
      </c>
      <c r="AC517" s="90">
        <f>IFERROR(IF(AC516/AVERAGE(AB508,AC508)&lt;0,"n/a",AC516/AVERAGE(AB508,AC508)*AE3/AC3),"n/a")</f>
        <v>3.7262396487295443E-2</v>
      </c>
      <c r="AD517" s="90">
        <f>IFERROR(IF(AD516/AVERAGE(AC508,AD508)&lt;0,"n/a",AD516/AVERAGE(AC508,AD508)*AE3/AD3),"n/a")</f>
        <v>3.9130304487242126E-2</v>
      </c>
      <c r="AE517" s="406">
        <f>IFERROR(IF(AE516/AVERAGE(AA508,AB508,AC508,AD508)&lt;0,"n/a",AE516/AVERAGE(AA508,AB508,AC508,AD508)),"n/a")</f>
        <v>3.7405854955712942E-2</v>
      </c>
      <c r="AF517" s="90">
        <f>IFERROR(IF(AF516/AVERAGE(AE508,AF508)&lt;0,"n/a",AF516/AVERAGE(AE508,AF508)*AJ3/AF3),"n/a")</f>
        <v>4.0422615322406097E-2</v>
      </c>
      <c r="AG517" s="90">
        <f>IFERROR(IF(AG516/AVERAGE(AF508,AG508)&lt;0,"n/a",AG516/AVERAGE(AF508,AG508)*AJ3/AG3),"n/a")</f>
        <v>4.2074802124374713E-2</v>
      </c>
      <c r="AH517" s="90">
        <f>IFERROR(IF(AH516/AVERAGE(AG508,AH508)&lt;0,"n/a",AH516/AVERAGE(AG508,AH508)*AJ3/AH3),"n/a")</f>
        <v>4.2721510423713811E-2</v>
      </c>
      <c r="AI517" s="90">
        <f>IFERROR(IF(AI516/AVERAGE(AH508,AI508)&lt;0,"n/a",AI516/AVERAGE(AH508,AI508)*AJ3/AI3),"n/a")</f>
        <v>4.348812629742755E-2</v>
      </c>
      <c r="AJ517" s="406">
        <f>IFERROR(IF(AJ516/AVERAGE(AF508,AG508,AH508,AI508)&lt;0,"n/a",AJ516/AVERAGE(AF508,AG508,AH508,AI508)),"n/a")</f>
        <v>4.2139682292026262E-2</v>
      </c>
      <c r="AK517" s="90">
        <f>IFERROR(IF(AK516/AVERAGE(AJ508,AK508)&lt;0,"n/a",AK516/AVERAGE(AJ508,AK508)*AO3/AK3),"n/a")</f>
        <v>4.4597899458316874E-2</v>
      </c>
      <c r="AL517" s="90">
        <f>IFERROR(IF(AL516/AVERAGE(AK508,AL508)&lt;0,"n/a",AL516/AVERAGE(AK508,AL508)*AO3/AL3),"n/a")</f>
        <v>4.1808974464545803E-2</v>
      </c>
      <c r="AM517" s="90">
        <f>IFERROR(IF(AM516/AVERAGE(AL508,AM508)&lt;0,"n/a",AM516/AVERAGE(AL508,AM508)*AO3/AM3),"n/a")</f>
        <v>4.0243756414250105E-2</v>
      </c>
      <c r="AN517" s="90">
        <f>IFERROR(IF(AN516/AVERAGE(AM508,AN508)&lt;0,"n/a",AN516/AVERAGE(AM508,AN508)*AO3/AN3),"n/a")</f>
        <v>3.8404421960257243E-2</v>
      </c>
      <c r="AO517" s="406">
        <f>IFERROR(IF(AO516/AVERAGE(AK508,AL508,AM508,AN508)&lt;0,"n/a",AO516/AVERAGE(AK508,AL508,AM508,AN508)),"n/a")</f>
        <v>4.1730457449383446E-2</v>
      </c>
      <c r="AP517" s="90">
        <f>IFERROR(IF(AP516/AVERAGE(AO508,AP508)&lt;0,"n/a",AP516/AVERAGE(AO508,AP508)*AT3/AP3),"n/a")</f>
        <v>3.5835914207441415E-2</v>
      </c>
      <c r="AQ517" s="90">
        <f>IFERROR(IF(AQ516/AVERAGE(AP508,AQ508)&lt;0,"n/a",AQ516/AVERAGE(AP508,AQ508)*AT3/AQ3),"n/a")</f>
        <v>3.5569017833683596E-2</v>
      </c>
      <c r="AR517" s="90">
        <f>IFERROR(IF(AR516/AVERAGE(AQ508,AR508)&lt;0,"n/a",AR516/AVERAGE(AQ508,AR508)*AT3/AR3),"n/a")</f>
        <v>3.6041467945948182E-2</v>
      </c>
      <c r="AS517" s="90">
        <f>IFERROR(IF(AS516/AVERAGE(AR508,AS508)&lt;0,"n/a",AS516/AVERAGE(AR508,AS508)*AT3/AS3),"n/a")</f>
        <v>3.3748706430523322E-2</v>
      </c>
      <c r="AT517" s="406">
        <f>IFERROR(IF(AT516/AVERAGE(AP508,AQ508,AR508,AS508)&lt;0,"n/a",AT516/AVERAGE(AP508,AQ508,AR508,AS508)),"n/a")</f>
        <v>3.5454301976841546E-2</v>
      </c>
      <c r="AU517" s="90">
        <f>IFERROR(IF(AU516/AVERAGE(AT508,AU508)&lt;0,"n/a",AU516/AVERAGE(AT508,AU508)*AY3/AU3),"n/a")</f>
        <v>3.4693981884344173E-2</v>
      </c>
      <c r="AV517" s="90">
        <f>IFERROR(IF(AV516/AVERAGE(AU508,AV508)&lt;0,"n/a",AV516/AVERAGE(AU508,AV508)*AY3/AV3),"n/a")</f>
        <v>3.6555287195240427E-2</v>
      </c>
      <c r="AW517" s="90">
        <f>IFERROR(IF(AW516/AVERAGE(AV508,AW508)&lt;0,"n/a",AW516/AVERAGE(AV508,AW508)*AY3/AW3),"n/a")</f>
        <v>3.7826253282417677E-2</v>
      </c>
      <c r="AX517" s="90">
        <f>IFERROR(IF(AX516/AVERAGE(AW508,AX508)&lt;0,"n/a",AX516/AVERAGE(AW508,AX508)*AY3/AX3),"n/a")</f>
        <v>3.9825659294286005E-2</v>
      </c>
      <c r="AY517" s="406">
        <f>IFERROR(IF(AY516/AVERAGE(AU508,AV508,AW508,AX508)&lt;0,"n/a",AY516/AVERAGE(AU508,AV508,AW508,AX508)),"n/a")</f>
        <v>3.8275064623285435E-2</v>
      </c>
      <c r="AZ517" s="90">
        <f>IFERROR(IF(AZ516/AVERAGE(AY508,AZ508)&lt;0,"n/a",AZ516/AVERAGE(AY508,AZ508)*BD3/AZ3),"n/a")</f>
        <v>4.0379524001161661E-2</v>
      </c>
      <c r="BA517" s="90">
        <f>IFERROR(IF(BA516/AVERAGE(AZ508,BA508)&lt;0,"n/a",BA516/AVERAGE(AZ508,BA508)*BD3/BA3),"n/a")</f>
        <v>3.8584623654170619E-2</v>
      </c>
      <c r="BB517" s="90">
        <f>IFERROR(IF(BB516/AVERAGE(BA508,BB508)&lt;0,"n/a",BB516/AVERAGE(BA508,BB508)*BD3/BB3),"n/a")</f>
        <v>3.671980573503697E-2</v>
      </c>
      <c r="BC517" s="90">
        <f>IFERROR(IF(BC516/AVERAGE(BB508,BC508)&lt;0,"n/a",BC516/AVERAGE(BB508,BC508)*BD3/BC3),"n/a")</f>
        <v>2.5176837309675126E-2</v>
      </c>
      <c r="BD517" s="406">
        <f>IFERROR(IF(BD516/AVERAGE(AZ508,BA508,BB508,BC508)&lt;0,"n/a",BD516/AVERAGE(AZ508,BA508,BB508,BC508)),"n/a")</f>
        <v>3.6902000272388914E-2</v>
      </c>
      <c r="BE517" s="90">
        <f>IFERROR(IF(BE516/AVERAGE(BD508,BE508)&lt;0,"n/a",BE516/AVERAGE(BD508,BE508)*BI3/BE3),"n/a")</f>
        <v>1.9525120705054678E-2</v>
      </c>
      <c r="BF517" s="90">
        <f>IFERROR(IF(BF516/AVERAGE(BE508,BF508)&lt;0,"n/a",BF516/AVERAGE(BE508,BF508)*BI3/BF3),"n/a")</f>
        <v>8.9271795083897005E-3</v>
      </c>
      <c r="BG517" s="90" t="str">
        <f>IFERROR(IF(BG516/AVERAGE(BF508,BG508)&lt;0,"n/a",BG516/AVERAGE(BF508,BG508)*BI3/BG3),"n/a")</f>
        <v>n/a</v>
      </c>
      <c r="BH517" s="90" t="str">
        <f>IFERROR(IF(BH516/AVERAGE(BG508,BH508)&lt;0,"n/a",BH516/AVERAGE(BG508,BH508)*BI3/BH3),"n/a")</f>
        <v>n/a</v>
      </c>
      <c r="BI517" s="406" t="str">
        <f>IFERROR(IF(BI516/AVERAGE(BE508,BF508,BG508,BH508)&lt;0,"n/a",BI516/AVERAGE(BE508,BF508,BG508,BH508)),"n/a")</f>
        <v>n/a</v>
      </c>
      <c r="BJ517" s="90" t="str">
        <f>IFERROR(IF(BJ516/AVERAGE(BI508,BJ508)&lt;0,"n/a",BJ516/AVERAGE(BI508,BJ508)*BN3/BJ3),"n/a")</f>
        <v>n/a</v>
      </c>
      <c r="BK517" s="90" t="str">
        <f>IFERROR(IF(BK516/AVERAGE(BJ508,BK508)&lt;0,"n/a",BK516/AVERAGE(BJ508,BK508)*BN3/BK3),"n/a")</f>
        <v>n/a</v>
      </c>
      <c r="BL517" s="90">
        <f>IFERROR(IF(BL516/AVERAGE(BK508,BL508)&lt;0,"n/a",BL516/AVERAGE(BK508,BL508)*BN3/BL3),"n/a")</f>
        <v>4.91009032972658E-3</v>
      </c>
      <c r="BM517" s="90">
        <f>IFERROR(IF(BM516/AVERAGE(BL508,BM508)&lt;0,"n/a",BM516/AVERAGE(BL508,BM508)*BN3/BM3),"n/a")</f>
        <v>8.5959757091890639E-3</v>
      </c>
      <c r="BN517" s="406">
        <f>IFERROR(IF(BN516/AVERAGE(BJ508,BK508,BL508,BM508)&lt;0,"n/a",BN516/AVERAGE(BJ508,BK508,BL508,BM508)),"n/a")</f>
        <v>1.2360288359909125E-3</v>
      </c>
      <c r="BO517" s="90">
        <f>IFERROR(IF(BO516/AVERAGE(BN508,BO508)&lt;0,"n/a",BO516/AVERAGE(BN508,BO508)*BS3/BO3),"n/a")</f>
        <v>1.6099100095653233E-2</v>
      </c>
      <c r="BP517" s="90">
        <f>IFERROR(IF(BP516/AVERAGE(BO508,BP508)&lt;0,"n/a",BP516/AVERAGE(BO508,BP508)*BS3/BP3),"n/a")</f>
        <v>1.3320217835522705E-2</v>
      </c>
      <c r="BQ517" s="90">
        <f>IFERROR(IF(BQ516/AVERAGE(BP508,BQ508)&lt;0,"n/a",BQ516/AVERAGE(BP508,BQ508)*BS3/BQ3),"n/a")</f>
        <v>1.0499408272693278E-2</v>
      </c>
      <c r="BR517" s="90">
        <f>IFERROR(IF(BR516/AVERAGE(BQ508,BR508)&lt;0,"n/a",BR516/AVERAGE(BQ508,BR508)*BS3/BR3),"n/a")</f>
        <v>4.1806169449714187E-2</v>
      </c>
      <c r="BS517" s="407">
        <f>IFERROR(IF(BS516/AVERAGE(BO508,BP508,BQ508,BR508)&lt;0,"n/a",BS516/AVERAGE(BO508,BP508,BQ508,BR508)),"n/a")</f>
        <v>2.0920221618665261E-2</v>
      </c>
      <c r="BT517" s="90">
        <f>IFERROR(IF(BT516/AVERAGE(BS508,BT508)&lt;0,"n/a",BT516/AVERAGE(BS508,BT508)*BX3/BT3),"n/a")</f>
        <v>3.4480383949441772E-2</v>
      </c>
      <c r="BU517" s="90" t="str">
        <f>IFERROR(IF(BU516/AVERAGE(BT508,BU508)&lt;0,"n/a",BU516/AVERAGE(BT508,BU508)*BX3/BU3),"n/a")</f>
        <v>n/a</v>
      </c>
      <c r="BV517" s="90" t="str">
        <f>IFERROR(IF(BV516/AVERAGE(BU508,BV508)&lt;0,"n/a",BV516/AVERAGE(BU508,BV508)*BX3/BV3),"n/a")</f>
        <v>n/a</v>
      </c>
      <c r="BW517" s="90" t="str">
        <f>IFERROR(IF(BW516/AVERAGE(BV508,BW508)&lt;0,"n/a",BW516/AVERAGE(BV508,BW508)*BX3/BW3),"n/a")</f>
        <v>n/a</v>
      </c>
      <c r="BX517" s="406">
        <f>IFERROR(IF(BX516/AVERAGE(BT508,BU508,BV508,BW508)&lt;0,"n/a",BX516/AVERAGE(BT508,BU508,BV508,BW508)),"n/a")</f>
        <v>8.8409054875883911E-3</v>
      </c>
      <c r="BY517" s="90" t="str">
        <f>IFERROR(IF(BY516/AVERAGE(BX508,BY508)&lt;0,"n/a",BY516/AVERAGE(BX508,BY508)*CC3/BY3),"n/a")</f>
        <v>n/a</v>
      </c>
      <c r="BZ517" s="90" t="str">
        <f>IFERROR(IF(BZ516/AVERAGE(BY508,BZ508)&lt;0,"n/a",BZ516/AVERAGE(BY508,BZ508)*CC3/BZ3),"n/a")</f>
        <v>n/a</v>
      </c>
      <c r="CA517" s="90" t="str">
        <f>IFERROR(IF(CA516/AVERAGE(BZ508,CA508)&lt;0,"n/a",CA516/AVERAGE(BZ508,CA508)*CC3/CA3),"n/a")</f>
        <v>n/a</v>
      </c>
      <c r="CB517" s="90" t="str">
        <f>IFERROR(IF(CB516/AVERAGE(CA508,CB508)&lt;0,"n/a",CB516/AVERAGE(CA508,CB508)*CC3/CB3),"n/a")</f>
        <v>n/a</v>
      </c>
      <c r="CC517" s="406">
        <f>IFERROR(IF(CC516/AVERAGE(BY508,BZ508,CA508,CB508)&lt;0,"n/a",CC516/AVERAGE(BY508,BZ508,CA508,CB508)),"n/a")</f>
        <v>0</v>
      </c>
      <c r="CD517" s="406" t="str">
        <f>IFERROR(IF(CD516/AVERAGE(CC508,CD508)&lt;0,"n/a",CD516/AVERAGE(CC508,CD508)),"n/a")</f>
        <v>n/a</v>
      </c>
      <c r="CE517" s="406" t="str">
        <f>IFERROR(IF(CE516/AVERAGE(CD508,CE508)&lt;0,"n/a",CE516/AVERAGE(CD508,CE508)),"n/a")</f>
        <v>n/a</v>
      </c>
      <c r="CF517" s="406" t="str">
        <f>IFERROR(IF(CF516/AVERAGE(CE508,CF508)&lt;0,"n/a",CF516/AVERAGE(CE508,CF508)),"n/a")</f>
        <v>n/a</v>
      </c>
      <c r="CG517" s="99"/>
    </row>
    <row r="518" spans="1:85" ht="14.45" customHeight="1" x14ac:dyDescent="0.25">
      <c r="A518" s="112"/>
      <c r="B518" s="211"/>
      <c r="C518" s="406"/>
      <c r="D518" s="406"/>
      <c r="E518" s="406"/>
      <c r="F518" s="406"/>
      <c r="G518" s="90"/>
      <c r="H518" s="90"/>
      <c r="I518" s="90"/>
      <c r="J518" s="90"/>
      <c r="K518" s="406"/>
      <c r="L518" s="90"/>
      <c r="M518" s="90"/>
      <c r="N518" s="90"/>
      <c r="O518" s="90"/>
      <c r="P518" s="406"/>
      <c r="Q518" s="90"/>
      <c r="R518" s="90"/>
      <c r="S518" s="90"/>
      <c r="T518" s="90"/>
      <c r="U518" s="406"/>
      <c r="V518" s="90"/>
      <c r="W518" s="90"/>
      <c r="X518" s="90"/>
      <c r="Y518" s="90"/>
      <c r="Z518" s="406"/>
      <c r="AA518" s="90"/>
      <c r="AB518" s="90"/>
      <c r="AC518" s="90"/>
      <c r="AD518" s="90"/>
      <c r="AE518" s="406"/>
      <c r="AF518" s="90"/>
      <c r="AG518" s="90"/>
      <c r="AH518" s="90"/>
      <c r="AI518" s="90"/>
      <c r="AJ518" s="406"/>
      <c r="AK518" s="90"/>
      <c r="AL518" s="90"/>
      <c r="AM518" s="90"/>
      <c r="AN518" s="90"/>
      <c r="AO518" s="406"/>
      <c r="AP518" s="90"/>
      <c r="AQ518" s="90"/>
      <c r="AR518" s="90"/>
      <c r="AS518" s="90"/>
      <c r="AT518" s="406"/>
      <c r="AU518" s="90"/>
      <c r="AV518" s="90"/>
      <c r="AW518" s="90"/>
      <c r="AX518" s="90"/>
      <c r="AY518" s="406"/>
      <c r="AZ518" s="90"/>
      <c r="BA518" s="90"/>
      <c r="BB518" s="90"/>
      <c r="BC518" s="90"/>
      <c r="BD518" s="406"/>
      <c r="BE518" s="90"/>
      <c r="BF518" s="90"/>
      <c r="BG518" s="90"/>
      <c r="BH518" s="90"/>
      <c r="BI518" s="406"/>
      <c r="BJ518" s="90"/>
      <c r="BK518" s="90"/>
      <c r="BL518" s="90"/>
      <c r="BM518" s="90"/>
      <c r="BN518" s="406"/>
      <c r="BO518" s="90"/>
      <c r="BP518" s="90"/>
      <c r="BQ518" s="90"/>
      <c r="BR518" s="90"/>
      <c r="BS518" s="407"/>
      <c r="BT518" s="90"/>
      <c r="BU518" s="90"/>
      <c r="BV518" s="90"/>
      <c r="BW518" s="90"/>
      <c r="BX518" s="406"/>
      <c r="BY518" s="90"/>
      <c r="BZ518" s="90"/>
      <c r="CA518" s="90"/>
      <c r="CB518" s="90"/>
      <c r="CC518" s="406"/>
      <c r="CD518" s="406"/>
      <c r="CE518" s="406"/>
      <c r="CF518" s="406"/>
      <c r="CG518" s="99"/>
    </row>
    <row r="519" spans="1:85" ht="14.45" customHeight="1" x14ac:dyDescent="0.25">
      <c r="A519" s="112" t="s">
        <v>560</v>
      </c>
      <c r="B519" s="211"/>
      <c r="C519" s="574">
        <f t="shared" ref="C519:AH519" si="408">IFERROR(IF(OR(C416&lt;0,C516&lt;0),"n/a",C416/C516),"n/a")</f>
        <v>4.2183846544851429</v>
      </c>
      <c r="D519" s="574">
        <f t="shared" si="408"/>
        <v>4.489481025991398</v>
      </c>
      <c r="E519" s="574">
        <f t="shared" si="408"/>
        <v>4.224408682842772</v>
      </c>
      <c r="F519" s="574">
        <f t="shared" si="408"/>
        <v>4.3265889410832505</v>
      </c>
      <c r="G519" s="275">
        <f t="shared" si="408"/>
        <v>4.1646564575145648</v>
      </c>
      <c r="H519" s="275">
        <f t="shared" si="408"/>
        <v>5.6598731272776348</v>
      </c>
      <c r="I519" s="275">
        <f t="shared" si="408"/>
        <v>6.2121994294253531</v>
      </c>
      <c r="J519" s="275">
        <f t="shared" si="408"/>
        <v>2.3220292252550037</v>
      </c>
      <c r="K519" s="574">
        <f t="shared" si="408"/>
        <v>4.599428629731654</v>
      </c>
      <c r="L519" s="275">
        <f t="shared" si="408"/>
        <v>3.8125432645715058</v>
      </c>
      <c r="M519" s="275">
        <f t="shared" si="408"/>
        <v>6.3701484406918203</v>
      </c>
      <c r="N519" s="275">
        <f t="shared" si="408"/>
        <v>6.0710486840310907</v>
      </c>
      <c r="O519" s="275">
        <f t="shared" si="408"/>
        <v>4.3138478231384312</v>
      </c>
      <c r="P519" s="574">
        <f t="shared" si="408"/>
        <v>5.1461806504509351</v>
      </c>
      <c r="Q519" s="275">
        <f t="shared" si="408"/>
        <v>4.8557234245270156</v>
      </c>
      <c r="R519" s="275">
        <f t="shared" si="408"/>
        <v>8.9158975885680274</v>
      </c>
      <c r="S519" s="275">
        <f t="shared" si="408"/>
        <v>7.689799581214487</v>
      </c>
      <c r="T519" s="275">
        <f t="shared" si="408"/>
        <v>4.8204311611955202</v>
      </c>
      <c r="U519" s="574">
        <f t="shared" si="408"/>
        <v>6.4444060176379088</v>
      </c>
      <c r="V519" s="275">
        <f t="shared" si="408"/>
        <v>4.103941886550583</v>
      </c>
      <c r="W519" s="275">
        <f t="shared" si="408"/>
        <v>8.5588295269168029</v>
      </c>
      <c r="X519" s="275">
        <f t="shared" si="408"/>
        <v>8.5668480832939</v>
      </c>
      <c r="Y519" s="275">
        <f t="shared" si="408"/>
        <v>6.533432904411729</v>
      </c>
      <c r="Z519" s="574">
        <f t="shared" si="408"/>
        <v>6.9273503097040576</v>
      </c>
      <c r="AA519" s="275">
        <f t="shared" si="408"/>
        <v>5.3483632523759184</v>
      </c>
      <c r="AB519" s="275">
        <f t="shared" si="408"/>
        <v>8.8022988505747009</v>
      </c>
      <c r="AC519" s="275">
        <f t="shared" si="408"/>
        <v>7.5976441993082222</v>
      </c>
      <c r="AD519" s="275">
        <f t="shared" si="408"/>
        <v>4.3620138518912688</v>
      </c>
      <c r="AE519" s="574">
        <f t="shared" si="408"/>
        <v>6.5189519692373752</v>
      </c>
      <c r="AF519" s="275">
        <f t="shared" si="408"/>
        <v>2.4053627760252452</v>
      </c>
      <c r="AG519" s="275">
        <f t="shared" si="408"/>
        <v>5.2842121782799722</v>
      </c>
      <c r="AH519" s="275">
        <f t="shared" si="408"/>
        <v>7.3095033912840002</v>
      </c>
      <c r="AI519" s="275">
        <f t="shared" ref="AI519:BN519" si="409">IFERROR(IF(OR(AI416&lt;0,AI516&lt;0),"n/a",AI416/AI516),"n/a")</f>
        <v>4.7085111335246603</v>
      </c>
      <c r="AJ519" s="574">
        <f t="shared" si="409"/>
        <v>4.9650338573634736</v>
      </c>
      <c r="AK519" s="275">
        <f t="shared" si="409"/>
        <v>5.2747943504578618</v>
      </c>
      <c r="AL519" s="275">
        <f t="shared" si="409"/>
        <v>9.3597332221759171</v>
      </c>
      <c r="AM519" s="275">
        <f t="shared" si="409"/>
        <v>9.0683082535339761</v>
      </c>
      <c r="AN519" s="275">
        <f t="shared" si="409"/>
        <v>8.1861198738170096</v>
      </c>
      <c r="AO519" s="574">
        <f t="shared" si="409"/>
        <v>7.8868232224396584</v>
      </c>
      <c r="AP519" s="275">
        <f t="shared" si="409"/>
        <v>7.988704110448694</v>
      </c>
      <c r="AQ519" s="275">
        <f t="shared" si="409"/>
        <v>13.714612369337974</v>
      </c>
      <c r="AR519" s="275">
        <f t="shared" si="409"/>
        <v>16.820214768072614</v>
      </c>
      <c r="AS519" s="275">
        <f t="shared" si="409"/>
        <v>15.420676565814452</v>
      </c>
      <c r="AT519" s="574">
        <f t="shared" si="409"/>
        <v>13.403974411324354</v>
      </c>
      <c r="AU519" s="275">
        <f t="shared" si="409"/>
        <v>15.745483649668417</v>
      </c>
      <c r="AV519" s="275">
        <f t="shared" si="409"/>
        <v>19.751105797967728</v>
      </c>
      <c r="AW519" s="275">
        <f t="shared" si="409"/>
        <v>22.78485858960109</v>
      </c>
      <c r="AX519" s="275">
        <f t="shared" si="409"/>
        <v>16.056182502123505</v>
      </c>
      <c r="AY519" s="574">
        <f t="shared" si="409"/>
        <v>18.527788573649435</v>
      </c>
      <c r="AZ519" s="275">
        <f t="shared" si="409"/>
        <v>22.633329003766711</v>
      </c>
      <c r="BA519" s="275">
        <f t="shared" si="409"/>
        <v>26.57094878253567</v>
      </c>
      <c r="BB519" s="275">
        <f t="shared" si="409"/>
        <v>38.214861088278802</v>
      </c>
      <c r="BC519" s="275">
        <f t="shared" si="409"/>
        <v>55.912525879917162</v>
      </c>
      <c r="BD519" s="574">
        <f t="shared" si="409"/>
        <v>32.778194578896425</v>
      </c>
      <c r="BE519" s="275">
        <f t="shared" si="409"/>
        <v>85.204165244110655</v>
      </c>
      <c r="BF519" s="275">
        <f t="shared" si="409"/>
        <v>204.98595713229861</v>
      </c>
      <c r="BG519" s="275" t="str">
        <f t="shared" si="409"/>
        <v>n/a</v>
      </c>
      <c r="BH519" s="275" t="str">
        <f t="shared" si="409"/>
        <v>n/a</v>
      </c>
      <c r="BI519" s="574" t="str">
        <f t="shared" si="409"/>
        <v>n/a</v>
      </c>
      <c r="BJ519" s="275" t="str">
        <f t="shared" si="409"/>
        <v>n/a</v>
      </c>
      <c r="BK519" s="275" t="str">
        <f t="shared" si="409"/>
        <v>n/a</v>
      </c>
      <c r="BL519" s="275">
        <f t="shared" si="409"/>
        <v>126.12025605852769</v>
      </c>
      <c r="BM519" s="275">
        <f t="shared" si="409"/>
        <v>67.390793094821277</v>
      </c>
      <c r="BN519" s="574">
        <f t="shared" si="409"/>
        <v>602.8901515151515</v>
      </c>
      <c r="BO519" s="275">
        <f t="shared" ref="BO519:CF519" si="410">IFERROR(IF(OR(BO416&lt;0,BO516&lt;0),"n/a",BO416/BO516),"n/a")</f>
        <v>35.378673261565325</v>
      </c>
      <c r="BP519" s="275">
        <f t="shared" si="410"/>
        <v>54.951075991930075</v>
      </c>
      <c r="BQ519" s="275">
        <f t="shared" si="410"/>
        <v>64.373799871986364</v>
      </c>
      <c r="BR519" s="275">
        <f t="shared" si="410"/>
        <v>11.81707656243791</v>
      </c>
      <c r="BS519" s="575">
        <f t="shared" si="410"/>
        <v>27.395519940015937</v>
      </c>
      <c r="BT519" s="275">
        <f t="shared" si="410"/>
        <v>10.580796851670803</v>
      </c>
      <c r="BU519" s="275" t="str">
        <f t="shared" si="410"/>
        <v>n/a</v>
      </c>
      <c r="BV519" s="275" t="str">
        <f t="shared" si="410"/>
        <v>n/a</v>
      </c>
      <c r="BW519" s="275" t="str">
        <f t="shared" si="410"/>
        <v>n/a</v>
      </c>
      <c r="BX519" s="574">
        <f t="shared" si="410"/>
        <v>47.736754570093872</v>
      </c>
      <c r="BY519" s="275" t="str">
        <f t="shared" si="410"/>
        <v>n/a</v>
      </c>
      <c r="BZ519" s="275" t="str">
        <f t="shared" si="410"/>
        <v>n/a</v>
      </c>
      <c r="CA519" s="275" t="str">
        <f t="shared" si="410"/>
        <v>n/a</v>
      </c>
      <c r="CB519" s="275" t="str">
        <f t="shared" si="410"/>
        <v>n/a</v>
      </c>
      <c r="CC519" s="574" t="str">
        <f t="shared" si="410"/>
        <v>n/a</v>
      </c>
      <c r="CD519" s="574" t="str">
        <f t="shared" si="410"/>
        <v>n/a</v>
      </c>
      <c r="CE519" s="574" t="str">
        <f t="shared" si="410"/>
        <v>n/a</v>
      </c>
      <c r="CF519" s="574" t="str">
        <f t="shared" si="410"/>
        <v>n/a</v>
      </c>
      <c r="CG519" s="99"/>
    </row>
    <row r="520" spans="1:85" ht="14.45" customHeight="1" x14ac:dyDescent="0.25">
      <c r="A520" s="276" t="s">
        <v>561</v>
      </c>
      <c r="B520" s="277"/>
      <c r="C520" s="576">
        <f>IF(C510&lt;0,"n/a",C510/C416)</f>
        <v>3.6704570678403559</v>
      </c>
      <c r="D520" s="576">
        <f>IF(D510&lt;0,"n/a",D510/D416)</f>
        <v>3.3794878948903659</v>
      </c>
      <c r="E520" s="576">
        <f>IF(E510&lt;0,"n/a",E510/E416)</f>
        <v>3.3128166326732003</v>
      </c>
      <c r="F520" s="576">
        <f>IF(F510&lt;0,"n/a",F510/F416)</f>
        <v>3.156246525347794</v>
      </c>
      <c r="G520" s="275"/>
      <c r="H520" s="275"/>
      <c r="I520" s="275"/>
      <c r="J520" s="275"/>
      <c r="K520" s="576">
        <f>IF(K510&lt;0,"n/a",K510/K416)</f>
        <v>3.3407573371192831</v>
      </c>
      <c r="L520" s="275"/>
      <c r="M520" s="275"/>
      <c r="N520" s="275"/>
      <c r="O520" s="275"/>
      <c r="P520" s="576">
        <f>IF(P510&lt;0,"n/a",P510/P416)</f>
        <v>3.2841030543219274</v>
      </c>
      <c r="Q520" s="275"/>
      <c r="R520" s="275"/>
      <c r="S520" s="275"/>
      <c r="T520" s="275"/>
      <c r="U520" s="576">
        <f>IF(U510&lt;0,"n/a",U510/U416)</f>
        <v>3.3267897391864314</v>
      </c>
      <c r="V520" s="275"/>
      <c r="W520" s="275"/>
      <c r="X520" s="275"/>
      <c r="Y520" s="278"/>
      <c r="Z520" s="574">
        <f>IF(Z510&lt;0,"n/a",Z510/Z416)</f>
        <v>3.7122073153284916</v>
      </c>
      <c r="AA520" s="278"/>
      <c r="AB520" s="275"/>
      <c r="AC520" s="275"/>
      <c r="AD520" s="278"/>
      <c r="AE520" s="574">
        <f>IF(AE510&lt;0,"n/a",AE510/AE416)</f>
        <v>4.0835965150105205</v>
      </c>
      <c r="AF520" s="278"/>
      <c r="AG520" s="275"/>
      <c r="AH520" s="275"/>
      <c r="AI520" s="278"/>
      <c r="AJ520" s="574">
        <f>IF(AJ510&lt;0,"n/a",AJ510/AJ416)</f>
        <v>4.4906884560782325</v>
      </c>
      <c r="AK520" s="278"/>
      <c r="AL520" s="275"/>
      <c r="AM520" s="275"/>
      <c r="AN520" s="278"/>
      <c r="AO520" s="574">
        <f>IF(AO510&lt;0,"n/a",AO510/AO416)</f>
        <v>3.1978302524020243</v>
      </c>
      <c r="AP520" s="278"/>
      <c r="AQ520" s="275"/>
      <c r="AR520" s="275"/>
      <c r="AS520" s="278"/>
      <c r="AT520" s="574">
        <f>IF(AT510&lt;0,"n/a",AT510/AT416)</f>
        <v>2.236426040069456</v>
      </c>
      <c r="AU520" s="278"/>
      <c r="AV520" s="275"/>
      <c r="AW520" s="275"/>
      <c r="AX520" s="278"/>
      <c r="AY520" s="574">
        <f>IF(AY510&lt;0,"n/a",AY510/AY416)</f>
        <v>1.2848842087598595</v>
      </c>
      <c r="AZ520" s="278"/>
      <c r="BA520" s="275"/>
      <c r="BB520" s="275"/>
      <c r="BC520" s="278"/>
      <c r="BD520" s="574">
        <f>IF(BD510&lt;0,"n/a",BD510/BD416)</f>
        <v>0.68590157721098088</v>
      </c>
      <c r="BE520" s="278"/>
      <c r="BF520" s="275"/>
      <c r="BG520" s="275"/>
      <c r="BH520" s="278"/>
      <c r="BI520" s="574">
        <f>IF(BI510&lt;0,"n/a",BI510/BI416)</f>
        <v>9.8746609954153422E-2</v>
      </c>
      <c r="BJ520" s="278"/>
      <c r="BK520" s="275"/>
      <c r="BL520" s="275"/>
      <c r="BM520" s="278"/>
      <c r="BN520" s="574">
        <f>IF(BN510&lt;0,"n/a",BN510/BN416)</f>
        <v>0.69216912401572128</v>
      </c>
      <c r="BO520" s="278"/>
      <c r="BP520" s="275"/>
      <c r="BQ520" s="275"/>
      <c r="BR520" s="278"/>
      <c r="BS520" s="575">
        <f>IF(BS510&lt;0,"n/a",BS510/BS416)</f>
        <v>2.2454280157306021</v>
      </c>
      <c r="BT520" s="278"/>
      <c r="BU520" s="278"/>
      <c r="BV520" s="278"/>
      <c r="BW520" s="278"/>
      <c r="BX520" s="574" t="e">
        <f>IF(BX510&lt;0,"n/a",BX510/BX416)</f>
        <v>#NAME?</v>
      </c>
      <c r="BY520" s="278"/>
      <c r="BZ520" s="278"/>
      <c r="CA520" s="278"/>
      <c r="CB520" s="278"/>
      <c r="CC520" s="574" t="e">
        <f>IF(CC510&lt;0,"n/a",CC510/CC416)</f>
        <v>#NAME?</v>
      </c>
      <c r="CD520" s="574" t="e">
        <f>IF(CD510&lt;0,"n/a",CD510/CD416)</f>
        <v>#NAME?</v>
      </c>
      <c r="CE520" s="574" t="e">
        <f>IF(CE510&lt;0,"n/a",CE510/CE416)</f>
        <v>#NAME?</v>
      </c>
      <c r="CF520" s="574" t="e">
        <f>IF(CF510&lt;0,"n/a",CF510/CF416)</f>
        <v>#NAME?</v>
      </c>
      <c r="CG520" s="577"/>
    </row>
    <row r="521" spans="1:85" ht="14.45" customHeight="1" x14ac:dyDescent="0.25">
      <c r="A521" s="276" t="s">
        <v>562</v>
      </c>
      <c r="B521" s="277"/>
      <c r="C521" s="576">
        <f>IF(C510&lt;0,"n/a",C510/C480)</f>
        <v>7.2796498245349248</v>
      </c>
      <c r="D521" s="576">
        <f>IF(D510&lt;0,"n/a",D510/D480)</f>
        <v>4.8557892051459604</v>
      </c>
      <c r="E521" s="576">
        <f>IF(E510&lt;0,"n/a",E510/E480)</f>
        <v>4.5920200638394899</v>
      </c>
      <c r="F521" s="576">
        <f>IF(F510&lt;0,"n/a",F510/F480)</f>
        <v>5.8020487664117733</v>
      </c>
      <c r="G521" s="275"/>
      <c r="H521" s="275"/>
      <c r="I521" s="275"/>
      <c r="J521" s="275"/>
      <c r="K521" s="576">
        <f>IF(K510&lt;0,"n/a",K510/K480)</f>
        <v>4.6879241289144362</v>
      </c>
      <c r="L521" s="275"/>
      <c r="M521" s="275"/>
      <c r="N521" s="275"/>
      <c r="O521" s="275"/>
      <c r="P521" s="576">
        <f>IF(P510&lt;0,"n/a",P510/P480)</f>
        <v>5.3830016430366801</v>
      </c>
      <c r="Q521" s="275"/>
      <c r="R521" s="275"/>
      <c r="S521" s="275"/>
      <c r="T521" s="275"/>
      <c r="U521" s="576">
        <f>IF(U510&lt;0,"n/a",U510/U480)</f>
        <v>5.7245729060855126</v>
      </c>
      <c r="V521" s="275"/>
      <c r="W521" s="275"/>
      <c r="X521" s="275"/>
      <c r="Y521" s="278"/>
      <c r="Z521" s="574">
        <f>IF(Z510&lt;0,"n/a",Z510/Z480)</f>
        <v>5.7663816784468649</v>
      </c>
      <c r="AA521" s="278"/>
      <c r="AB521" s="275"/>
      <c r="AC521" s="275"/>
      <c r="AD521" s="278"/>
      <c r="AE521" s="574">
        <f>IF(AE510&lt;0,"n/a",AE510/AE480)</f>
        <v>3.6209456298567972</v>
      </c>
      <c r="AF521" s="278"/>
      <c r="AG521" s="275"/>
      <c r="AH521" s="275"/>
      <c r="AI521" s="278"/>
      <c r="AJ521" s="574">
        <f>IF(AJ510&lt;0,"n/a",AJ510/AJ480)</f>
        <v>6.6681055667075242</v>
      </c>
      <c r="AK521" s="278"/>
      <c r="AL521" s="275"/>
      <c r="AM521" s="275"/>
      <c r="AN521" s="278"/>
      <c r="AO521" s="574">
        <f>IF(AO510&lt;0,"n/a",AO510/AO480)</f>
        <v>3.9945621104108544</v>
      </c>
      <c r="AP521" s="278"/>
      <c r="AQ521" s="275"/>
      <c r="AR521" s="275"/>
      <c r="AS521" s="278"/>
      <c r="AT521" s="574">
        <f>IF(AT510&lt;0,"n/a",AT510/AT480)</f>
        <v>2.2270816100764268</v>
      </c>
      <c r="AU521" s="278"/>
      <c r="AV521" s="275"/>
      <c r="AW521" s="275"/>
      <c r="AX521" s="278"/>
      <c r="AY521" s="574">
        <f>IF(AY510&lt;0,"n/a",AY510/AY480)</f>
        <v>1.5261741622025666</v>
      </c>
      <c r="AZ521" s="278"/>
      <c r="BA521" s="275"/>
      <c r="BB521" s="275"/>
      <c r="BC521" s="278"/>
      <c r="BD521" s="574">
        <f>IF(BD510&lt;0,"n/a",BD510/BD480)</f>
        <v>1.005199222370903</v>
      </c>
      <c r="BE521" s="278"/>
      <c r="BF521" s="275"/>
      <c r="BG521" s="275"/>
      <c r="BH521" s="278"/>
      <c r="BI521" s="574">
        <f>IF(BI510&lt;0,"n/a",BI510/BI480)</f>
        <v>0.12319628958048083</v>
      </c>
      <c r="BJ521" s="278"/>
      <c r="BK521" s="275"/>
      <c r="BL521" s="275"/>
      <c r="BM521" s="278"/>
      <c r="BN521" s="574">
        <f>IF(BN510&lt;0,"n/a",BN510/BN480)</f>
        <v>0.87997699567641929</v>
      </c>
      <c r="BO521" s="278"/>
      <c r="BP521" s="275"/>
      <c r="BQ521" s="275"/>
      <c r="BR521" s="278"/>
      <c r="BS521" s="575">
        <f>IF(BS510&lt;0,"n/a",BS510/BS480)</f>
        <v>2.817160351280819</v>
      </c>
      <c r="BT521" s="278"/>
      <c r="BU521" s="278"/>
      <c r="BV521" s="278"/>
      <c r="BW521" s="278"/>
      <c r="BX521" s="574" t="e">
        <f>IF(BX510&lt;0,"n/a",BX510/BX480)</f>
        <v>#NAME?</v>
      </c>
      <c r="BY521" s="278"/>
      <c r="BZ521" s="278"/>
      <c r="CA521" s="278"/>
      <c r="CB521" s="278"/>
      <c r="CC521" s="574" t="e">
        <f>IF(CC510&lt;0,"n/a",CC510/CC480)</f>
        <v>#NAME?</v>
      </c>
      <c r="CD521" s="574" t="e">
        <f>IF(CD510&lt;0,"n/a",CD510/CD480)</f>
        <v>#NAME?</v>
      </c>
      <c r="CE521" s="574" t="e">
        <f>IF(CE510&lt;0,"n/a",CE510/CE480)</f>
        <v>#NAME?</v>
      </c>
      <c r="CF521" s="574" t="e">
        <f>IF(CF510&lt;0,"n/a",CF510/CF480)</f>
        <v>#NAME?</v>
      </c>
      <c r="CG521" s="577"/>
    </row>
    <row r="522" spans="1:85" ht="14.45" customHeight="1" x14ac:dyDescent="0.25">
      <c r="A522" s="279"/>
      <c r="B522" s="279"/>
      <c r="C522" s="578"/>
      <c r="D522" s="578"/>
      <c r="E522" s="578"/>
      <c r="F522" s="578"/>
      <c r="G522" s="66"/>
      <c r="H522" s="66"/>
      <c r="I522" s="66"/>
      <c r="J522" s="66"/>
      <c r="K522" s="578"/>
      <c r="L522" s="66"/>
      <c r="M522" s="66"/>
      <c r="N522" s="66"/>
      <c r="O522" s="66"/>
      <c r="P522" s="578"/>
      <c r="Q522" s="66"/>
      <c r="R522" s="66"/>
      <c r="S522" s="66"/>
      <c r="T522" s="66"/>
      <c r="U522" s="578"/>
      <c r="V522" s="66"/>
      <c r="W522" s="66"/>
      <c r="X522" s="66"/>
      <c r="Y522" s="66"/>
      <c r="Z522" s="578"/>
      <c r="AA522" s="66"/>
      <c r="AB522" s="66"/>
      <c r="AC522" s="66"/>
      <c r="AD522" s="66"/>
      <c r="AE522" s="578"/>
      <c r="AF522" s="66"/>
      <c r="AG522" s="66"/>
      <c r="AH522" s="66"/>
      <c r="AI522" s="66"/>
      <c r="AJ522" s="578"/>
      <c r="AK522" s="66"/>
      <c r="AL522" s="66"/>
      <c r="AM522" s="66"/>
      <c r="AN522" s="66"/>
      <c r="AO522" s="578"/>
      <c r="AP522" s="66"/>
      <c r="AQ522" s="66"/>
      <c r="AR522" s="66"/>
      <c r="AS522" s="66"/>
      <c r="AT522" s="578"/>
      <c r="AU522" s="66"/>
      <c r="AV522" s="66"/>
      <c r="AW522" s="66"/>
      <c r="AX522" s="66"/>
      <c r="AY522" s="578"/>
      <c r="AZ522" s="66"/>
      <c r="BA522" s="66"/>
      <c r="BB522" s="66"/>
      <c r="BC522" s="66"/>
      <c r="BD522" s="578"/>
      <c r="BE522" s="66"/>
      <c r="BF522" s="66"/>
      <c r="BG522" s="66"/>
      <c r="BH522" s="66"/>
      <c r="BI522" s="578"/>
      <c r="BJ522" s="66"/>
      <c r="BK522" s="66"/>
      <c r="BL522" s="66"/>
      <c r="BM522" s="66"/>
      <c r="BN522" s="578"/>
      <c r="BO522" s="66"/>
      <c r="BP522" s="66"/>
      <c r="BQ522" s="66"/>
      <c r="BR522" s="66"/>
      <c r="BS522" s="579"/>
      <c r="BT522" s="66"/>
      <c r="BU522" s="66"/>
      <c r="BV522" s="66"/>
      <c r="BW522" s="66"/>
      <c r="BX522" s="578"/>
      <c r="BY522" s="66"/>
      <c r="BZ522" s="66"/>
      <c r="CA522" s="66"/>
      <c r="CB522" s="66"/>
      <c r="CC522" s="578"/>
      <c r="CD522" s="578"/>
      <c r="CE522" s="578"/>
      <c r="CF522" s="578"/>
      <c r="CG522" s="367"/>
    </row>
    <row r="523" spans="1:85" ht="14.45" customHeight="1" x14ac:dyDescent="0.25">
      <c r="A523" s="95" t="s">
        <v>37</v>
      </c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409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109"/>
    </row>
    <row r="524" spans="1:85" ht="14.45" customHeight="1" x14ac:dyDescent="0.25">
      <c r="A524" s="280" t="e">
        <f>"Stock Price (Reporting Cur.) - "&amp;MO.ValuationToggle&amp;", "&amp;MO.ReportCurrency</f>
        <v>#NAME?</v>
      </c>
      <c r="B524" s="281" t="s">
        <v>771</v>
      </c>
      <c r="C524" s="580" t="e">
        <f>IF(MO.ValuationToggle="EoP",INDEX(MO_VA_StockPrice_TradingCurrency,1,COLUMN())/INDEX(MO_VA_FX_EoP,1,COLUMN()),INDEX(MO_VA_StockPrice_TradingCurrency,1,COLUMN())/INDEX(MO_VA_FX_Average,1,COLUMN()))</f>
        <v>#NAME?</v>
      </c>
      <c r="D524" s="580" t="e">
        <f>IF(MO.ValuationToggle="EoP",INDEX(MO_VA_StockPrice_TradingCurrency,1,COLUMN())/INDEX(MO_VA_FX_EoP,1,COLUMN()),INDEX(MO_VA_StockPrice_TradingCurrency,1,COLUMN())/INDEX(MO_VA_FX_Average,1,COLUMN()))</f>
        <v>#NAME?</v>
      </c>
      <c r="E524" s="580" t="e">
        <f>IF(MO.ValuationToggle="EoP",INDEX(MO_VA_StockPrice_TradingCurrency,1,COLUMN())/INDEX(MO_VA_FX_EoP,1,COLUMN()),INDEX(MO_VA_StockPrice_TradingCurrency,1,COLUMN())/INDEX(MO_VA_FX_Average,1,COLUMN()))</f>
        <v>#NAME?</v>
      </c>
      <c r="F524" s="580" t="e">
        <f>IF(MO.ValuationToggle="EoP",INDEX(MO_VA_StockPrice_TradingCurrency,1,COLUMN())/INDEX(MO_VA_FX_EoP,1,COLUMN()),INDEX(MO_VA_StockPrice_TradingCurrency,1,COLUMN())/INDEX(MO_VA_FX_Average,1,COLUMN()))</f>
        <v>#NAME?</v>
      </c>
      <c r="G524" s="282" t="e">
        <f>IF(MO.ValuationToggle="EoP",INDEX(MO_VA_StockPrice_TradingCurrency,1,COLUMN())/INDEX(MO_VA_FX_EoP,1,COLUMN()),INDEX(MO_VA_StockPrice_TradingCurrency,1,COLUMN())/INDEX(MO_VA_FX_Average,1,COLUMN()))</f>
        <v>#NAME?</v>
      </c>
      <c r="H524" s="282" t="e">
        <f>IF(MO.ValuationToggle="EoP",INDEX(MO_VA_StockPrice_TradingCurrency,1,COLUMN())/INDEX(MO_VA_FX_EoP,1,COLUMN()),INDEX(MO_VA_StockPrice_TradingCurrency,1,COLUMN())/INDEX(MO_VA_FX_Average,1,COLUMN()))</f>
        <v>#NAME?</v>
      </c>
      <c r="I524" s="282" t="e">
        <f>IF(MO.ValuationToggle="EoP",INDEX(MO_VA_StockPrice_TradingCurrency,1,COLUMN())/INDEX(MO_VA_FX_EoP,1,COLUMN()),INDEX(MO_VA_StockPrice_TradingCurrency,1,COLUMN())/INDEX(MO_VA_FX_Average,1,COLUMN()))</f>
        <v>#NAME?</v>
      </c>
      <c r="J524" s="282" t="e">
        <f>IF(MO.ValuationToggle="EoP",INDEX(MO_VA_StockPrice_TradingCurrency,1,COLUMN())/INDEX(MO_VA_FX_EoP,1,COLUMN()),INDEX(MO_VA_StockPrice_TradingCurrency,1,COLUMN())/INDEX(MO_VA_FX_Average,1,COLUMN()))</f>
        <v>#NAME?</v>
      </c>
      <c r="K524" s="580" t="e">
        <f>IF(MO.ValuationToggle="EoP",INDEX(MO_VA_StockPrice_TradingCurrency,1,COLUMN())/INDEX(MO_VA_FX_EoP,1,COLUMN()),INDEX(MO_VA_StockPrice_TradingCurrency,1,COLUMN())/INDEX(MO_VA_FX_Average,1,COLUMN()))</f>
        <v>#NAME?</v>
      </c>
      <c r="L524" s="282" t="e">
        <f>IF(MO.ValuationToggle="EoP",INDEX(MO_VA_StockPrice_TradingCurrency,1,COLUMN())/INDEX(MO_VA_FX_EoP,1,COLUMN()),INDEX(MO_VA_StockPrice_TradingCurrency,1,COLUMN())/INDEX(MO_VA_FX_Average,1,COLUMN()))</f>
        <v>#NAME?</v>
      </c>
      <c r="M524" s="282" t="e">
        <f>IF(MO.ValuationToggle="EoP",INDEX(MO_VA_StockPrice_TradingCurrency,1,COLUMN())/INDEX(MO_VA_FX_EoP,1,COLUMN()),INDEX(MO_VA_StockPrice_TradingCurrency,1,COLUMN())/INDEX(MO_VA_FX_Average,1,COLUMN()))</f>
        <v>#NAME?</v>
      </c>
      <c r="N524" s="282" t="e">
        <f>IF(MO.ValuationToggle="EoP",INDEX(MO_VA_StockPrice_TradingCurrency,1,COLUMN())/INDEX(MO_VA_FX_EoP,1,COLUMN()),INDEX(MO_VA_StockPrice_TradingCurrency,1,COLUMN())/INDEX(MO_VA_FX_Average,1,COLUMN()))</f>
        <v>#NAME?</v>
      </c>
      <c r="O524" s="282" t="e">
        <f>IF(MO.ValuationToggle="EoP",INDEX(MO_VA_StockPrice_TradingCurrency,1,COLUMN())/INDEX(MO_VA_FX_EoP,1,COLUMN()),INDEX(MO_VA_StockPrice_TradingCurrency,1,COLUMN())/INDEX(MO_VA_FX_Average,1,COLUMN()))</f>
        <v>#NAME?</v>
      </c>
      <c r="P524" s="580" t="e">
        <f>IF(MO.ValuationToggle="EoP",INDEX(MO_VA_StockPrice_TradingCurrency,1,COLUMN())/INDEX(MO_VA_FX_EoP,1,COLUMN()),INDEX(MO_VA_StockPrice_TradingCurrency,1,COLUMN())/INDEX(MO_VA_FX_Average,1,COLUMN()))</f>
        <v>#NAME?</v>
      </c>
      <c r="Q524" s="282" t="e">
        <f>IF(MO.ValuationToggle="EoP",INDEX(MO_VA_StockPrice_TradingCurrency,1,COLUMN())/INDEX(MO_VA_FX_EoP,1,COLUMN()),INDEX(MO_VA_StockPrice_TradingCurrency,1,COLUMN())/INDEX(MO_VA_FX_Average,1,COLUMN()))</f>
        <v>#NAME?</v>
      </c>
      <c r="R524" s="282" t="e">
        <f>IF(MO.ValuationToggle="EoP",INDEX(MO_VA_StockPrice_TradingCurrency,1,COLUMN())/INDEX(MO_VA_FX_EoP,1,COLUMN()),INDEX(MO_VA_StockPrice_TradingCurrency,1,COLUMN())/INDEX(MO_VA_FX_Average,1,COLUMN()))</f>
        <v>#NAME?</v>
      </c>
      <c r="S524" s="282" t="e">
        <f>IF(MO.ValuationToggle="EoP",INDEX(MO_VA_StockPrice_TradingCurrency,1,COLUMN())/INDEX(MO_VA_FX_EoP,1,COLUMN()),INDEX(MO_VA_StockPrice_TradingCurrency,1,COLUMN())/INDEX(MO_VA_FX_Average,1,COLUMN()))</f>
        <v>#NAME?</v>
      </c>
      <c r="T524" s="282" t="e">
        <f>IF(MO.ValuationToggle="EoP",INDEX(MO_VA_StockPrice_TradingCurrency,1,COLUMN())/INDEX(MO_VA_FX_EoP,1,COLUMN()),INDEX(MO_VA_StockPrice_TradingCurrency,1,COLUMN())/INDEX(MO_VA_FX_Average,1,COLUMN()))</f>
        <v>#NAME?</v>
      </c>
      <c r="U524" s="580" t="e">
        <f>IF(MO.ValuationToggle="EoP",INDEX(MO_VA_StockPrice_TradingCurrency,1,COLUMN())/INDEX(MO_VA_FX_EoP,1,COLUMN()),INDEX(MO_VA_StockPrice_TradingCurrency,1,COLUMN())/INDEX(MO_VA_FX_Average,1,COLUMN()))</f>
        <v>#NAME?</v>
      </c>
      <c r="V524" s="282" t="e">
        <f>IF(MO.ValuationToggle="EoP",INDEX(MO_VA_StockPrice_TradingCurrency,1,COLUMN())/INDEX(MO_VA_FX_EoP,1,COLUMN()),INDEX(MO_VA_StockPrice_TradingCurrency,1,COLUMN())/INDEX(MO_VA_FX_Average,1,COLUMN()))</f>
        <v>#NAME?</v>
      </c>
      <c r="W524" s="282" t="e">
        <f>IF(MO.ValuationToggle="EoP",INDEX(MO_VA_StockPrice_TradingCurrency,1,COLUMN())/INDEX(MO_VA_FX_EoP,1,COLUMN()),INDEX(MO_VA_StockPrice_TradingCurrency,1,COLUMN())/INDEX(MO_VA_FX_Average,1,COLUMN()))</f>
        <v>#NAME?</v>
      </c>
      <c r="X524" s="282" t="e">
        <f>IF(MO.ValuationToggle="EoP",INDEX(MO_VA_StockPrice_TradingCurrency,1,COLUMN())/INDEX(MO_VA_FX_EoP,1,COLUMN()),INDEX(MO_VA_StockPrice_TradingCurrency,1,COLUMN())/INDEX(MO_VA_FX_Average,1,COLUMN()))</f>
        <v>#NAME?</v>
      </c>
      <c r="Y524" s="282" t="e">
        <f>IF(MO.ValuationToggle="EoP",INDEX(MO_VA_StockPrice_TradingCurrency,1,COLUMN())/INDEX(MO_VA_FX_EoP,1,COLUMN()),INDEX(MO_VA_StockPrice_TradingCurrency,1,COLUMN())/INDEX(MO_VA_FX_Average,1,COLUMN()))</f>
        <v>#NAME?</v>
      </c>
      <c r="Z524" s="581" t="e">
        <f>IF(MO.ValuationToggle="EoP",INDEX(MO_VA_StockPrice_TradingCurrency,1,COLUMN())/INDEX(MO_VA_FX_EoP,1,COLUMN()),INDEX(MO_VA_StockPrice_TradingCurrency,1,COLUMN())/INDEX(MO_VA_FX_Average,1,COLUMN()))</f>
        <v>#NAME?</v>
      </c>
      <c r="AA524" s="282" t="e">
        <f>IF(MO.ValuationToggle="EoP",INDEX(MO_VA_StockPrice_TradingCurrency,1,COLUMN())/INDEX(MO_VA_FX_EoP,1,COLUMN()),INDEX(MO_VA_StockPrice_TradingCurrency,1,COLUMN())/INDEX(MO_VA_FX_Average,1,COLUMN()))</f>
        <v>#NAME?</v>
      </c>
      <c r="AB524" s="282" t="e">
        <f>IF(MO.ValuationToggle="EoP",INDEX(MO_VA_StockPrice_TradingCurrency,1,COLUMN())/INDEX(MO_VA_FX_EoP,1,COLUMN()),INDEX(MO_VA_StockPrice_TradingCurrency,1,COLUMN())/INDEX(MO_VA_FX_Average,1,COLUMN()))</f>
        <v>#NAME?</v>
      </c>
      <c r="AC524" s="282" t="e">
        <f>IF(MO.ValuationToggle="EoP",INDEX(MO_VA_StockPrice_TradingCurrency,1,COLUMN())/INDEX(MO_VA_FX_EoP,1,COLUMN()),INDEX(MO_VA_StockPrice_TradingCurrency,1,COLUMN())/INDEX(MO_VA_FX_Average,1,COLUMN()))</f>
        <v>#NAME?</v>
      </c>
      <c r="AD524" s="282" t="e">
        <f>IF(MO.ValuationToggle="EoP",INDEX(MO_VA_StockPrice_TradingCurrency,1,COLUMN())/INDEX(MO_VA_FX_EoP,1,COLUMN()),INDEX(MO_VA_StockPrice_TradingCurrency,1,COLUMN())/INDEX(MO_VA_FX_Average,1,COLUMN()))</f>
        <v>#NAME?</v>
      </c>
      <c r="AE524" s="581" t="e">
        <f>IF(MO.ValuationToggle="EoP",INDEX(MO_VA_StockPrice_TradingCurrency,1,COLUMN())/INDEX(MO_VA_FX_EoP,1,COLUMN()),INDEX(MO_VA_StockPrice_TradingCurrency,1,COLUMN())/INDEX(MO_VA_FX_Average,1,COLUMN()))</f>
        <v>#NAME?</v>
      </c>
      <c r="AF524" s="282" t="e">
        <f>IF(MO.ValuationToggle="EoP",INDEX(MO_VA_StockPrice_TradingCurrency,1,COLUMN())/INDEX(MO_VA_FX_EoP,1,COLUMN()),INDEX(MO_VA_StockPrice_TradingCurrency,1,COLUMN())/INDEX(MO_VA_FX_Average,1,COLUMN()))</f>
        <v>#NAME?</v>
      </c>
      <c r="AG524" s="282" t="e">
        <f>IF(MO.ValuationToggle="EoP",INDEX(MO_VA_StockPrice_TradingCurrency,1,COLUMN())/INDEX(MO_VA_FX_EoP,1,COLUMN()),INDEX(MO_VA_StockPrice_TradingCurrency,1,COLUMN())/INDEX(MO_VA_FX_Average,1,COLUMN()))</f>
        <v>#NAME?</v>
      </c>
      <c r="AH524" s="282" t="e">
        <f>IF(MO.ValuationToggle="EoP",INDEX(MO_VA_StockPrice_TradingCurrency,1,COLUMN())/INDEX(MO_VA_FX_EoP,1,COLUMN()),INDEX(MO_VA_StockPrice_TradingCurrency,1,COLUMN())/INDEX(MO_VA_FX_Average,1,COLUMN()))</f>
        <v>#NAME?</v>
      </c>
      <c r="AI524" s="282" t="e">
        <f>IF(MO.ValuationToggle="EoP",INDEX(MO_VA_StockPrice_TradingCurrency,1,COLUMN())/INDEX(MO_VA_FX_EoP,1,COLUMN()),INDEX(MO_VA_StockPrice_TradingCurrency,1,COLUMN())/INDEX(MO_VA_FX_Average,1,COLUMN()))</f>
        <v>#NAME?</v>
      </c>
      <c r="AJ524" s="581" t="e">
        <f>IF(MO.ValuationToggle="EoP",INDEX(MO_VA_StockPrice_TradingCurrency,1,COLUMN())/INDEX(MO_VA_FX_EoP,1,COLUMN()),INDEX(MO_VA_StockPrice_TradingCurrency,1,COLUMN())/INDEX(MO_VA_FX_Average,1,COLUMN()))</f>
        <v>#NAME?</v>
      </c>
      <c r="AK524" s="282" t="e">
        <f>IF(MO.ValuationToggle="EoP",INDEX(MO_VA_StockPrice_TradingCurrency,1,COLUMN())/INDEX(MO_VA_FX_EoP,1,COLUMN()),INDEX(MO_VA_StockPrice_TradingCurrency,1,COLUMN())/INDEX(MO_VA_FX_Average,1,COLUMN()))</f>
        <v>#NAME?</v>
      </c>
      <c r="AL524" s="282" t="e">
        <f>IF(MO.ValuationToggle="EoP",INDEX(MO_VA_StockPrice_TradingCurrency,1,COLUMN())/INDEX(MO_VA_FX_EoP,1,COLUMN()),INDEX(MO_VA_StockPrice_TradingCurrency,1,COLUMN())/INDEX(MO_VA_FX_Average,1,COLUMN()))</f>
        <v>#NAME?</v>
      </c>
      <c r="AM524" s="282" t="e">
        <f>IF(MO.ValuationToggle="EoP",INDEX(MO_VA_StockPrice_TradingCurrency,1,COLUMN())/INDEX(MO_VA_FX_EoP,1,COLUMN()),INDEX(MO_VA_StockPrice_TradingCurrency,1,COLUMN())/INDEX(MO_VA_FX_Average,1,COLUMN()))</f>
        <v>#NAME?</v>
      </c>
      <c r="AN524" s="282" t="e">
        <f>IF(MO.ValuationToggle="EoP",INDEX(MO_VA_StockPrice_TradingCurrency,1,COLUMN())/INDEX(MO_VA_FX_EoP,1,COLUMN()),INDEX(MO_VA_StockPrice_TradingCurrency,1,COLUMN())/INDEX(MO_VA_FX_Average,1,COLUMN()))</f>
        <v>#NAME?</v>
      </c>
      <c r="AO524" s="581" t="e">
        <f>IF(MO.ValuationToggle="EoP",INDEX(MO_VA_StockPrice_TradingCurrency,1,COLUMN())/INDEX(MO_VA_FX_EoP,1,COLUMN()),INDEX(MO_VA_StockPrice_TradingCurrency,1,COLUMN())/INDEX(MO_VA_FX_Average,1,COLUMN()))</f>
        <v>#NAME?</v>
      </c>
      <c r="AP524" s="282" t="e">
        <f>IF(MO.ValuationToggle="EoP",INDEX(MO_VA_StockPrice_TradingCurrency,1,COLUMN())/INDEX(MO_VA_FX_EoP,1,COLUMN()),INDEX(MO_VA_StockPrice_TradingCurrency,1,COLUMN())/INDEX(MO_VA_FX_Average,1,COLUMN()))</f>
        <v>#NAME?</v>
      </c>
      <c r="AQ524" s="282" t="e">
        <f>IF(MO.ValuationToggle="EoP",INDEX(MO_VA_StockPrice_TradingCurrency,1,COLUMN())/INDEX(MO_VA_FX_EoP,1,COLUMN()),INDEX(MO_VA_StockPrice_TradingCurrency,1,COLUMN())/INDEX(MO_VA_FX_Average,1,COLUMN()))</f>
        <v>#NAME?</v>
      </c>
      <c r="AR524" s="282" t="e">
        <f>IF(MO.ValuationToggle="EoP",INDEX(MO_VA_StockPrice_TradingCurrency,1,COLUMN())/INDEX(MO_VA_FX_EoP,1,COLUMN()),INDEX(MO_VA_StockPrice_TradingCurrency,1,COLUMN())/INDEX(MO_VA_FX_Average,1,COLUMN()))</f>
        <v>#NAME?</v>
      </c>
      <c r="AS524" s="282" t="e">
        <f>IF(MO.ValuationToggle="EoP",INDEX(MO_VA_StockPrice_TradingCurrency,1,COLUMN())/INDEX(MO_VA_FX_EoP,1,COLUMN()),INDEX(MO_VA_StockPrice_TradingCurrency,1,COLUMN())/INDEX(MO_VA_FX_Average,1,COLUMN()))</f>
        <v>#NAME?</v>
      </c>
      <c r="AT524" s="581" t="e">
        <f>IF(MO.ValuationToggle="EoP",INDEX(MO_VA_StockPrice_TradingCurrency,1,COLUMN())/INDEX(MO_VA_FX_EoP,1,COLUMN()),INDEX(MO_VA_StockPrice_TradingCurrency,1,COLUMN())/INDEX(MO_VA_FX_Average,1,COLUMN()))</f>
        <v>#NAME?</v>
      </c>
      <c r="AU524" s="282" t="e">
        <f>IF(MO.ValuationToggle="EoP",INDEX(MO_VA_StockPrice_TradingCurrency,1,COLUMN())/INDEX(MO_VA_FX_EoP,1,COLUMN()),INDEX(MO_VA_StockPrice_TradingCurrency,1,COLUMN())/INDEX(MO_VA_FX_Average,1,COLUMN()))</f>
        <v>#NAME?</v>
      </c>
      <c r="AV524" s="282" t="e">
        <f>IF(MO.ValuationToggle="EoP",INDEX(MO_VA_StockPrice_TradingCurrency,1,COLUMN())/INDEX(MO_VA_FX_EoP,1,COLUMN()),INDEX(MO_VA_StockPrice_TradingCurrency,1,COLUMN())/INDEX(MO_VA_FX_Average,1,COLUMN()))</f>
        <v>#NAME?</v>
      </c>
      <c r="AW524" s="282" t="e">
        <f>IF(MO.ValuationToggle="EoP",INDEX(MO_VA_StockPrice_TradingCurrency,1,COLUMN())/INDEX(MO_VA_FX_EoP,1,COLUMN()),INDEX(MO_VA_StockPrice_TradingCurrency,1,COLUMN())/INDEX(MO_VA_FX_Average,1,COLUMN()))</f>
        <v>#NAME?</v>
      </c>
      <c r="AX524" s="282" t="e">
        <f>IF(MO.ValuationToggle="EoP",INDEX(MO_VA_StockPrice_TradingCurrency,1,COLUMN())/INDEX(MO_VA_FX_EoP,1,COLUMN()),INDEX(MO_VA_StockPrice_TradingCurrency,1,COLUMN())/INDEX(MO_VA_FX_Average,1,COLUMN()))</f>
        <v>#NAME?</v>
      </c>
      <c r="AY524" s="581" t="e">
        <f>IF(MO.ValuationToggle="EoP",INDEX(MO_VA_StockPrice_TradingCurrency,1,COLUMN())/INDEX(MO_VA_FX_EoP,1,COLUMN()),INDEX(MO_VA_StockPrice_TradingCurrency,1,COLUMN())/INDEX(MO_VA_FX_Average,1,COLUMN()))</f>
        <v>#NAME?</v>
      </c>
      <c r="AZ524" s="282" t="e">
        <f>IF(MO.ValuationToggle="EoP",INDEX(MO_VA_StockPrice_TradingCurrency,1,COLUMN())/INDEX(MO_VA_FX_EoP,1,COLUMN()),INDEX(MO_VA_StockPrice_TradingCurrency,1,COLUMN())/INDEX(MO_VA_FX_Average,1,COLUMN()))</f>
        <v>#NAME?</v>
      </c>
      <c r="BA524" s="282" t="e">
        <f>IF(MO.ValuationToggle="EoP",INDEX(MO_VA_StockPrice_TradingCurrency,1,COLUMN())/INDEX(MO_VA_FX_EoP,1,COLUMN()),INDEX(MO_VA_StockPrice_TradingCurrency,1,COLUMN())/INDEX(MO_VA_FX_Average,1,COLUMN()))</f>
        <v>#NAME?</v>
      </c>
      <c r="BB524" s="282" t="e">
        <f>IF(MO.ValuationToggle="EoP",INDEX(MO_VA_StockPrice_TradingCurrency,1,COLUMN())/INDEX(MO_VA_FX_EoP,1,COLUMN()),INDEX(MO_VA_StockPrice_TradingCurrency,1,COLUMN())/INDEX(MO_VA_FX_Average,1,COLUMN()))</f>
        <v>#NAME?</v>
      </c>
      <c r="BC524" s="282" t="e">
        <f>IF(MO.ValuationToggle="EoP",INDEX(MO_VA_StockPrice_TradingCurrency,1,COLUMN())/INDEX(MO_VA_FX_EoP,1,COLUMN()),INDEX(MO_VA_StockPrice_TradingCurrency,1,COLUMN())/INDEX(MO_VA_FX_Average,1,COLUMN()))</f>
        <v>#NAME?</v>
      </c>
      <c r="BD524" s="581" t="e">
        <f>IF(MO.ValuationToggle="EoP",INDEX(MO_VA_StockPrice_TradingCurrency,1,COLUMN())/INDEX(MO_VA_FX_EoP,1,COLUMN()),INDEX(MO_VA_StockPrice_TradingCurrency,1,COLUMN())/INDEX(MO_VA_FX_Average,1,COLUMN()))</f>
        <v>#NAME?</v>
      </c>
      <c r="BE524" s="282" t="e">
        <f>IF(MO.ValuationToggle="EoP",INDEX(MO_VA_StockPrice_TradingCurrency,1,COLUMN())/INDEX(MO_VA_FX_EoP,1,COLUMN()),INDEX(MO_VA_StockPrice_TradingCurrency,1,COLUMN())/INDEX(MO_VA_FX_Average,1,COLUMN()))</f>
        <v>#NAME?</v>
      </c>
      <c r="BF524" s="282" t="e">
        <f>IF(MO.ValuationToggle="EoP",INDEX(MO_VA_StockPrice_TradingCurrency,1,COLUMN())/INDEX(MO_VA_FX_EoP,1,COLUMN()),INDEX(MO_VA_StockPrice_TradingCurrency,1,COLUMN())/INDEX(MO_VA_FX_Average,1,COLUMN()))</f>
        <v>#NAME?</v>
      </c>
      <c r="BG524" s="282" t="e">
        <f>IF(MO.ValuationToggle="EoP",INDEX(MO_VA_StockPrice_TradingCurrency,1,COLUMN())/INDEX(MO_VA_FX_EoP,1,COLUMN()),INDEX(MO_VA_StockPrice_TradingCurrency,1,COLUMN())/INDEX(MO_VA_FX_Average,1,COLUMN()))</f>
        <v>#NAME?</v>
      </c>
      <c r="BH524" s="282" t="e">
        <f>IF(MO.ValuationToggle="EoP",INDEX(MO_VA_StockPrice_TradingCurrency,1,COLUMN())/INDEX(MO_VA_FX_EoP,1,COLUMN()),INDEX(MO_VA_StockPrice_TradingCurrency,1,COLUMN())/INDEX(MO_VA_FX_Average,1,COLUMN()))</f>
        <v>#NAME?</v>
      </c>
      <c r="BI524" s="581" t="e">
        <f>IF(MO.ValuationToggle="EoP",INDEX(MO_VA_StockPrice_TradingCurrency,1,COLUMN())/INDEX(MO_VA_FX_EoP,1,COLUMN()),INDEX(MO_VA_StockPrice_TradingCurrency,1,COLUMN())/INDEX(MO_VA_FX_Average,1,COLUMN()))</f>
        <v>#NAME?</v>
      </c>
      <c r="BJ524" s="282" t="e">
        <f>IF(MO.ValuationToggle="EoP",INDEX(MO_VA_StockPrice_TradingCurrency,1,COLUMN())/INDEX(MO_VA_FX_EoP,1,COLUMN()),INDEX(MO_VA_StockPrice_TradingCurrency,1,COLUMN())/INDEX(MO_VA_FX_Average,1,COLUMN()))</f>
        <v>#NAME?</v>
      </c>
      <c r="BK524" s="282" t="e">
        <f>IF(MO.ValuationToggle="EoP",INDEX(MO_VA_StockPrice_TradingCurrency,1,COLUMN())/INDEX(MO_VA_FX_EoP,1,COLUMN()),INDEX(MO_VA_StockPrice_TradingCurrency,1,COLUMN())/INDEX(MO_VA_FX_Average,1,COLUMN()))</f>
        <v>#NAME?</v>
      </c>
      <c r="BL524" s="282" t="e">
        <f>IF(MO.ValuationToggle="EoP",INDEX(MO_VA_StockPrice_TradingCurrency,1,COLUMN())/INDEX(MO_VA_FX_EoP,1,COLUMN()),INDEX(MO_VA_StockPrice_TradingCurrency,1,COLUMN())/INDEX(MO_VA_FX_Average,1,COLUMN()))</f>
        <v>#NAME?</v>
      </c>
      <c r="BM524" s="282" t="e">
        <f>IF(MO.ValuationToggle="EoP",INDEX(MO_VA_StockPrice_TradingCurrency,1,COLUMN())/INDEX(MO_VA_FX_EoP,1,COLUMN()),INDEX(MO_VA_StockPrice_TradingCurrency,1,COLUMN())/INDEX(MO_VA_FX_Average,1,COLUMN()))</f>
        <v>#NAME?</v>
      </c>
      <c r="BN524" s="581" t="e">
        <f>IF(MO.ValuationToggle="EoP",INDEX(MO_VA_StockPrice_TradingCurrency,1,COLUMN())/INDEX(MO_VA_FX_EoP,1,COLUMN()),INDEX(MO_VA_StockPrice_TradingCurrency,1,COLUMN())/INDEX(MO_VA_FX_Average,1,COLUMN()))</f>
        <v>#NAME?</v>
      </c>
      <c r="BO524" s="282" t="e">
        <f>IF(MO.ValuationToggle="EoP",INDEX(MO_VA_StockPrice_TradingCurrency,1,COLUMN())/INDEX(MO_VA_FX_EoP,1,COLUMN()),INDEX(MO_VA_StockPrice_TradingCurrency,1,COLUMN())/INDEX(MO_VA_FX_Average,1,COLUMN()))</f>
        <v>#NAME?</v>
      </c>
      <c r="BP524" s="282" t="e">
        <f>IF(MO.ValuationToggle="EoP",INDEX(MO_VA_StockPrice_TradingCurrency,1,COLUMN())/INDEX(MO_VA_FX_EoP,1,COLUMN()),INDEX(MO_VA_StockPrice_TradingCurrency,1,COLUMN())/INDEX(MO_VA_FX_Average,1,COLUMN()))</f>
        <v>#NAME?</v>
      </c>
      <c r="BQ524" s="282" t="e">
        <f>IF(MO.ValuationToggle="EoP",INDEX(MO_VA_StockPrice_TradingCurrency,1,COLUMN())/INDEX(MO_VA_FX_EoP,1,COLUMN()),INDEX(MO_VA_StockPrice_TradingCurrency,1,COLUMN())/INDEX(MO_VA_FX_Average,1,COLUMN()))</f>
        <v>#NAME?</v>
      </c>
      <c r="BR524" s="282" t="e">
        <f>IF(MO.ValuationToggle="EoP",INDEX(MO_VA_StockPrice_TradingCurrency,1,COLUMN())/INDEX(MO_VA_FX_EoP,1,COLUMN()),INDEX(MO_VA_StockPrice_TradingCurrency,1,COLUMN())/INDEX(MO_VA_FX_Average,1,COLUMN()))</f>
        <v>#NAME?</v>
      </c>
      <c r="BS524" s="582" t="e">
        <f>IF(MO.ValuationToggle="EoP",INDEX(MO_VA_StockPrice_TradingCurrency,1,COLUMN())/INDEX(MO_VA_FX_EoP,1,COLUMN()),INDEX(MO_VA_StockPrice_TradingCurrency,1,COLUMN())/INDEX(MO_VA_FX_Average,1,COLUMN()))</f>
        <v>#NAME?</v>
      </c>
      <c r="BT524" s="583" t="e">
        <f>IF(MO.ValuationToggle="EoP",INDEX(MO_VA_StockPrice_TradingCurrency,1,COLUMN())/INDEX(MO_VA_FX_EoP,1,COLUMN()),INDEX(MO_VA_StockPrice_TradingCurrency,1,COLUMN())/INDEX(MO_VA_FX_Average,1,COLUMN()))</f>
        <v>#NAME?</v>
      </c>
      <c r="BU524" s="583" t="e">
        <f>IF(MO.ValuationToggle="EoP",INDEX(MO_VA_StockPrice_TradingCurrency,1,COLUMN())/INDEX(MO_VA_FX_EoP,1,COLUMN()),INDEX(MO_VA_StockPrice_TradingCurrency,1,COLUMN())/INDEX(MO_VA_FX_Average,1,COLUMN()))</f>
        <v>#NAME?</v>
      </c>
      <c r="BV524" s="583" t="e">
        <f>IF(MO.ValuationToggle="EoP",INDEX(MO_VA_StockPrice_TradingCurrency,1,COLUMN())/INDEX(MO_VA_FX_EoP,1,COLUMN()),INDEX(MO_VA_StockPrice_TradingCurrency,1,COLUMN())/INDEX(MO_VA_FX_Average,1,COLUMN()))</f>
        <v>#NAME?</v>
      </c>
      <c r="BW524" s="583" t="e">
        <f>IF(MO.ValuationToggle="EoP",INDEX(MO_VA_StockPrice_TradingCurrency,1,COLUMN())/INDEX(MO_VA_FX_EoP,1,COLUMN()),INDEX(MO_VA_StockPrice_TradingCurrency,1,COLUMN())/INDEX(MO_VA_FX_Average,1,COLUMN()))</f>
        <v>#NAME?</v>
      </c>
      <c r="BX524" s="581" t="e">
        <f>IF(MO.ValuationToggle="EoP",INDEX(MO_VA_StockPrice_TradingCurrency,1,COLUMN())/INDEX(MO_VA_FX_EoP,1,COLUMN()),INDEX(MO_VA_StockPrice_TradingCurrency,1,COLUMN())/INDEX(MO_VA_FX_Average,1,COLUMN()))</f>
        <v>#NAME?</v>
      </c>
      <c r="BY524" s="583" t="e">
        <f>IF(MO.ValuationToggle="EoP",INDEX(MO_VA_StockPrice_TradingCurrency,1,COLUMN())/INDEX(MO_VA_FX_EoP,1,COLUMN()),INDEX(MO_VA_StockPrice_TradingCurrency,1,COLUMN())/INDEX(MO_VA_FX_Average,1,COLUMN()))</f>
        <v>#NAME?</v>
      </c>
      <c r="BZ524" s="583" t="e">
        <f>IF(MO.ValuationToggle="EoP",INDEX(MO_VA_StockPrice_TradingCurrency,1,COLUMN())/INDEX(MO_VA_FX_EoP,1,COLUMN()),INDEX(MO_VA_StockPrice_TradingCurrency,1,COLUMN())/INDEX(MO_VA_FX_Average,1,COLUMN()))</f>
        <v>#NAME?</v>
      </c>
      <c r="CA524" s="583" t="e">
        <f>IF(MO.ValuationToggle="EoP",INDEX(MO_VA_StockPrice_TradingCurrency,1,COLUMN())/INDEX(MO_VA_FX_EoP,1,COLUMN()),INDEX(MO_VA_StockPrice_TradingCurrency,1,COLUMN())/INDEX(MO_VA_FX_Average,1,COLUMN()))</f>
        <v>#NAME?</v>
      </c>
      <c r="CB524" s="583" t="e">
        <f>IF(MO.ValuationToggle="EoP",INDEX(MO_VA_StockPrice_TradingCurrency,1,COLUMN())/INDEX(MO_VA_FX_EoP,1,COLUMN()),INDEX(MO_VA_StockPrice_TradingCurrency,1,COLUMN())/INDEX(MO_VA_FX_Average,1,COLUMN()))</f>
        <v>#NAME?</v>
      </c>
      <c r="CC524" s="581" t="e">
        <f>IF(MO.ValuationToggle="EoP",INDEX(MO_VA_StockPrice_TradingCurrency,1,COLUMN())/INDEX(MO_VA_FX_EoP,1,COLUMN()),INDEX(MO_VA_StockPrice_TradingCurrency,1,COLUMN())/INDEX(MO_VA_FX_Average,1,COLUMN()))</f>
        <v>#NAME?</v>
      </c>
      <c r="CD524" s="581" t="e">
        <f>IF(MO.ValuationToggle="EoP",INDEX(MO_VA_StockPrice_TradingCurrency,1,COLUMN())/INDEX(MO_VA_FX_EoP,1,COLUMN()),INDEX(MO_VA_StockPrice_TradingCurrency,1,COLUMN())/INDEX(MO_VA_FX_Average,1,COLUMN()))</f>
        <v>#NAME?</v>
      </c>
      <c r="CE524" s="581" t="e">
        <f>IF(MO.ValuationToggle="EoP",INDEX(MO_VA_StockPrice_TradingCurrency,1,COLUMN())/INDEX(MO_VA_FX_EoP,1,COLUMN()),INDEX(MO_VA_StockPrice_TradingCurrency,1,COLUMN())/INDEX(MO_VA_FX_Average,1,COLUMN()))</f>
        <v>#NAME?</v>
      </c>
      <c r="CF524" s="581" t="e">
        <f>IF(MO.ValuationToggle="EoP",INDEX(MO_VA_StockPrice_TradingCurrency,1,COLUMN())/INDEX(MO_VA_FX_EoP,1,COLUMN()),INDEX(MO_VA_StockPrice_TradingCurrency,1,COLUMN())/INDEX(MO_VA_FX_Average,1,COLUMN()))</f>
        <v>#NAME?</v>
      </c>
      <c r="CG524" s="584"/>
    </row>
    <row r="525" spans="1:85" ht="14.45" customHeight="1" x14ac:dyDescent="0.25">
      <c r="A525" s="99" t="e">
        <f>"Market Cap - "&amp;MO.ValuationToggle</f>
        <v>#NAME?</v>
      </c>
      <c r="B525" s="180"/>
      <c r="C525" s="467" t="e">
        <f>INDEX(MO_VA_StockPrice,0,COLUMN())*INDEX(MO_SCA_ShareCount_EoP_Diluted,0,COLUMN())</f>
        <v>#NAME?</v>
      </c>
      <c r="D525" s="467" t="e">
        <f>INDEX(MO_VA_StockPrice,0,COLUMN())*INDEX(MO_SCA_ShareCount_EoP_Diluted,0,COLUMN())</f>
        <v>#NAME?</v>
      </c>
      <c r="E525" s="467" t="e">
        <f>INDEX(MO_VA_StockPrice,0,COLUMN())*INDEX(MO_SCA_ShareCount_EoP_Diluted,0,COLUMN())</f>
        <v>#NAME?</v>
      </c>
      <c r="F525" s="467" t="e">
        <f>INDEX(MO_VA_StockPrice,0,COLUMN())*INDEX(MO_SCA_ShareCount_EoP_Diluted,0,COLUMN())</f>
        <v>#NAME?</v>
      </c>
      <c r="G525" s="99" t="e">
        <f>INDEX(MO_VA_StockPrice,0,COLUMN())*INDEX(MO_SCA_ShareCount_EoP_Diluted,0,COLUMN())</f>
        <v>#NAME?</v>
      </c>
      <c r="H525" s="99" t="e">
        <f>INDEX(MO_VA_StockPrice,0,COLUMN())*INDEX(MO_SCA_ShareCount_EoP_Diluted,0,COLUMN())</f>
        <v>#NAME?</v>
      </c>
      <c r="I525" s="99" t="e">
        <f>INDEX(MO_VA_StockPrice,0,COLUMN())*INDEX(MO_SCA_ShareCount_EoP_Diluted,0,COLUMN())</f>
        <v>#NAME?</v>
      </c>
      <c r="J525" s="99" t="e">
        <f>INDEX(MO_VA_StockPrice,0,COLUMN())*INDEX(MO_SCA_ShareCount_EoP_Diluted,0,COLUMN())</f>
        <v>#NAME?</v>
      </c>
      <c r="K525" s="467" t="e">
        <f>INDEX(MO_VA_StockPrice,0,COLUMN())*INDEX(MO_SCA_ShareCount_EoP_Diluted,0,COLUMN())</f>
        <v>#NAME?</v>
      </c>
      <c r="L525" s="99" t="e">
        <f>INDEX(MO_VA_StockPrice,0,COLUMN())*INDEX(MO_SCA_ShareCount_EoP_Diluted,0,COLUMN())</f>
        <v>#NAME?</v>
      </c>
      <c r="M525" s="99" t="e">
        <f>INDEX(MO_VA_StockPrice,0,COLUMN())*INDEX(MO_SCA_ShareCount_EoP_Diluted,0,COLUMN())</f>
        <v>#NAME?</v>
      </c>
      <c r="N525" s="99" t="e">
        <f>INDEX(MO_VA_StockPrice,0,COLUMN())*INDEX(MO_SCA_ShareCount_EoP_Diluted,0,COLUMN())</f>
        <v>#NAME?</v>
      </c>
      <c r="O525" s="99" t="e">
        <f>INDEX(MO_VA_StockPrice,0,COLUMN())*INDEX(MO_SCA_ShareCount_EoP_Diluted,0,COLUMN())</f>
        <v>#NAME?</v>
      </c>
      <c r="P525" s="467" t="e">
        <f>INDEX(MO_VA_StockPrice,0,COLUMN())*INDEX(MO_SCA_ShareCount_EoP_Diluted,0,COLUMN())</f>
        <v>#NAME?</v>
      </c>
      <c r="Q525" s="99" t="e">
        <f>INDEX(MO_VA_StockPrice,0,COLUMN())*INDEX(MO_SCA_ShareCount_EoP_Diluted,0,COLUMN())</f>
        <v>#NAME?</v>
      </c>
      <c r="R525" s="99" t="e">
        <f>INDEX(MO_VA_StockPrice,0,COLUMN())*INDEX(MO_SCA_ShareCount_EoP_Diluted,0,COLUMN())</f>
        <v>#NAME?</v>
      </c>
      <c r="S525" s="99" t="e">
        <f>INDEX(MO_VA_StockPrice,0,COLUMN())*INDEX(MO_SCA_ShareCount_EoP_Diluted,0,COLUMN())</f>
        <v>#NAME?</v>
      </c>
      <c r="T525" s="99" t="e">
        <f>INDEX(MO_VA_StockPrice,0,COLUMN())*INDEX(MO_SCA_ShareCount_EoP_Diluted,0,COLUMN())</f>
        <v>#NAME?</v>
      </c>
      <c r="U525" s="467" t="e">
        <f>INDEX(MO_VA_StockPrice,0,COLUMN())*INDEX(MO_SCA_ShareCount_EoP_Diluted,0,COLUMN())</f>
        <v>#NAME?</v>
      </c>
      <c r="V525" s="99" t="e">
        <f>INDEX(MO_VA_StockPrice,0,COLUMN())*INDEX(MO_SCA_ShareCount_EoP_Diluted,0,COLUMN())</f>
        <v>#NAME?</v>
      </c>
      <c r="W525" s="99" t="e">
        <f>INDEX(MO_VA_StockPrice,0,COLUMN())*INDEX(MO_SCA_ShareCount_EoP_Diluted,0,COLUMN())</f>
        <v>#NAME?</v>
      </c>
      <c r="X525" s="99" t="e">
        <f>INDEX(MO_VA_StockPrice,0,COLUMN())*INDEX(MO_SCA_ShareCount_EoP_Diluted,0,COLUMN())</f>
        <v>#NAME?</v>
      </c>
      <c r="Y525" s="99" t="e">
        <f>INDEX(MO_VA_StockPrice,0,COLUMN())*INDEX(MO_SCA_ShareCount_EoP_Diluted,0,COLUMN())</f>
        <v>#NAME?</v>
      </c>
      <c r="Z525" s="413" t="e">
        <f>INDEX(MO_VA_StockPrice,0,COLUMN())*INDEX(MO_SCA_ShareCount_EoP_Diluted,0,COLUMN())</f>
        <v>#NAME?</v>
      </c>
      <c r="AA525" s="99" t="e">
        <f>INDEX(MO_VA_StockPrice,0,COLUMN())*INDEX(MO_SCA_ShareCount_EoP_Diluted,0,COLUMN())</f>
        <v>#NAME?</v>
      </c>
      <c r="AB525" s="99" t="e">
        <f>INDEX(MO_VA_StockPrice,0,COLUMN())*INDEX(MO_SCA_ShareCount_EoP_Diluted,0,COLUMN())</f>
        <v>#NAME?</v>
      </c>
      <c r="AC525" s="99" t="e">
        <f>INDEX(MO_VA_StockPrice,0,COLUMN())*INDEX(MO_SCA_ShareCount_EoP_Diluted,0,COLUMN())</f>
        <v>#NAME?</v>
      </c>
      <c r="AD525" s="99" t="e">
        <f>INDEX(MO_VA_StockPrice,0,COLUMN())*INDEX(MO_SCA_ShareCount_EoP_Diluted,0,COLUMN())</f>
        <v>#NAME?</v>
      </c>
      <c r="AE525" s="413" t="e">
        <f>INDEX(MO_VA_StockPrice,0,COLUMN())*INDEX(MO_SCA_ShareCount_EoP_Diluted,0,COLUMN())</f>
        <v>#NAME?</v>
      </c>
      <c r="AF525" s="99" t="e">
        <f>INDEX(MO_VA_StockPrice,0,COLUMN())*INDEX(MO_SCA_ShareCount_EoP_Diluted,0,COLUMN())</f>
        <v>#NAME?</v>
      </c>
      <c r="AG525" s="99" t="e">
        <f>INDEX(MO_VA_StockPrice,0,COLUMN())*INDEX(MO_SCA_ShareCount_EoP_Diluted,0,COLUMN())</f>
        <v>#NAME?</v>
      </c>
      <c r="AH525" s="99" t="e">
        <f>INDEX(MO_VA_StockPrice,0,COLUMN())*INDEX(MO_SCA_ShareCount_EoP_Diluted,0,COLUMN())</f>
        <v>#NAME?</v>
      </c>
      <c r="AI525" s="99" t="e">
        <f>INDEX(MO_VA_StockPrice,0,COLUMN())*INDEX(MO_SCA_ShareCount_EoP_Diluted,0,COLUMN())</f>
        <v>#NAME?</v>
      </c>
      <c r="AJ525" s="413" t="e">
        <f>INDEX(MO_VA_StockPrice,0,COLUMN())*INDEX(MO_SCA_ShareCount_EoP_Diluted,0,COLUMN())</f>
        <v>#NAME?</v>
      </c>
      <c r="AK525" s="99" t="e">
        <f>INDEX(MO_VA_StockPrice,0,COLUMN())*INDEX(MO_SCA_ShareCount_EoP_Diluted,0,COLUMN())</f>
        <v>#NAME?</v>
      </c>
      <c r="AL525" s="99" t="e">
        <f>INDEX(MO_VA_StockPrice,0,COLUMN())*INDEX(MO_SCA_ShareCount_EoP_Diluted,0,COLUMN())</f>
        <v>#NAME?</v>
      </c>
      <c r="AM525" s="99" t="e">
        <f>INDEX(MO_VA_StockPrice,0,COLUMN())*INDEX(MO_SCA_ShareCount_EoP_Diluted,0,COLUMN())</f>
        <v>#NAME?</v>
      </c>
      <c r="AN525" s="99" t="e">
        <f>INDEX(MO_VA_StockPrice,0,COLUMN())*INDEX(MO_SCA_ShareCount_EoP_Diluted,0,COLUMN())</f>
        <v>#NAME?</v>
      </c>
      <c r="AO525" s="413" t="e">
        <f>INDEX(MO_VA_StockPrice,0,COLUMN())*INDEX(MO_SCA_ShareCount_EoP_Diluted,0,COLUMN())</f>
        <v>#NAME?</v>
      </c>
      <c r="AP525" s="99" t="e">
        <f>INDEX(MO_VA_StockPrice,0,COLUMN())*INDEX(MO_SCA_ShareCount_EoP_Diluted,0,COLUMN())</f>
        <v>#NAME?</v>
      </c>
      <c r="AQ525" s="99" t="e">
        <f>INDEX(MO_VA_StockPrice,0,COLUMN())*INDEX(MO_SCA_ShareCount_EoP_Diluted,0,COLUMN())</f>
        <v>#NAME?</v>
      </c>
      <c r="AR525" s="99" t="e">
        <f>INDEX(MO_VA_StockPrice,0,COLUMN())*INDEX(MO_SCA_ShareCount_EoP_Diluted,0,COLUMN())</f>
        <v>#NAME?</v>
      </c>
      <c r="AS525" s="99" t="e">
        <f>INDEX(MO_VA_StockPrice,0,COLUMN())*INDEX(MO_SCA_ShareCount_EoP_Diluted,0,COLUMN())</f>
        <v>#NAME?</v>
      </c>
      <c r="AT525" s="413" t="e">
        <f>INDEX(MO_VA_StockPrice,0,COLUMN())*INDEX(MO_SCA_ShareCount_EoP_Diluted,0,COLUMN())</f>
        <v>#NAME?</v>
      </c>
      <c r="AU525" s="99" t="e">
        <f>INDEX(MO_VA_StockPrice,0,COLUMN())*INDEX(MO_SCA_ShareCount_EoP_Diluted,0,COLUMN())</f>
        <v>#NAME?</v>
      </c>
      <c r="AV525" s="99" t="e">
        <f>INDEX(MO_VA_StockPrice,0,COLUMN())*INDEX(MO_SCA_ShareCount_EoP_Diluted,0,COLUMN())</f>
        <v>#NAME?</v>
      </c>
      <c r="AW525" s="99" t="e">
        <f>INDEX(MO_VA_StockPrice,0,COLUMN())*INDEX(MO_SCA_ShareCount_EoP_Diluted,0,COLUMN())</f>
        <v>#NAME?</v>
      </c>
      <c r="AX525" s="99" t="e">
        <f>INDEX(MO_VA_StockPrice,0,COLUMN())*INDEX(MO_SCA_ShareCount_EoP_Diluted,0,COLUMN())</f>
        <v>#NAME?</v>
      </c>
      <c r="AY525" s="413" t="e">
        <f>INDEX(MO_VA_StockPrice,0,COLUMN())*INDEX(MO_SCA_ShareCount_EoP_Diluted,0,COLUMN())</f>
        <v>#NAME?</v>
      </c>
      <c r="AZ525" s="99" t="e">
        <f>INDEX(MO_VA_StockPrice,0,COLUMN())*INDEX(MO_SCA_ShareCount_EoP_Diluted,0,COLUMN())</f>
        <v>#NAME?</v>
      </c>
      <c r="BA525" s="99" t="e">
        <f>INDEX(MO_VA_StockPrice,0,COLUMN())*INDEX(MO_SCA_ShareCount_EoP_Diluted,0,COLUMN())</f>
        <v>#NAME?</v>
      </c>
      <c r="BB525" s="99" t="e">
        <f>INDEX(MO_VA_StockPrice,0,COLUMN())*INDEX(MO_SCA_ShareCount_EoP_Diluted,0,COLUMN())</f>
        <v>#NAME?</v>
      </c>
      <c r="BC525" s="99" t="e">
        <f>INDEX(MO_VA_StockPrice,0,COLUMN())*INDEX(MO_SCA_ShareCount_EoP_Diluted,0,COLUMN())</f>
        <v>#NAME?</v>
      </c>
      <c r="BD525" s="413" t="e">
        <f>INDEX(MO_VA_StockPrice,0,COLUMN())*INDEX(MO_SCA_ShareCount_EoP_Diluted,0,COLUMN())</f>
        <v>#NAME?</v>
      </c>
      <c r="BE525" s="99" t="e">
        <f>INDEX(MO_VA_StockPrice,0,COLUMN())*INDEX(MO_SCA_ShareCount_EoP_Diluted,0,COLUMN())</f>
        <v>#NAME?</v>
      </c>
      <c r="BF525" s="99" t="e">
        <f>INDEX(MO_VA_StockPrice,0,COLUMN())*INDEX(MO_SCA_ShareCount_EoP_Diluted,0,COLUMN())</f>
        <v>#NAME?</v>
      </c>
      <c r="BG525" s="99" t="e">
        <f>INDEX(MO_VA_StockPrice,0,COLUMN())*INDEX(MO_SCA_ShareCount_EoP_Diluted,0,COLUMN())</f>
        <v>#NAME?</v>
      </c>
      <c r="BH525" s="99" t="e">
        <f>INDEX(MO_VA_StockPrice,0,COLUMN())*INDEX(MO_SCA_ShareCount_EoP_Diluted,0,COLUMN())</f>
        <v>#NAME?</v>
      </c>
      <c r="BI525" s="413" t="e">
        <f>INDEX(MO_VA_StockPrice,0,COLUMN())*INDEX(MO_SCA_ShareCount_EoP_Diluted,0,COLUMN())</f>
        <v>#NAME?</v>
      </c>
      <c r="BJ525" s="99" t="e">
        <f>INDEX(MO_VA_StockPrice,0,COLUMN())*INDEX(MO_SCA_ShareCount_EoP_Diluted,0,COLUMN())</f>
        <v>#NAME?</v>
      </c>
      <c r="BK525" s="99" t="e">
        <f>INDEX(MO_VA_StockPrice,0,COLUMN())*INDEX(MO_SCA_ShareCount_EoP_Diluted,0,COLUMN())</f>
        <v>#NAME?</v>
      </c>
      <c r="BL525" s="99" t="e">
        <f>INDEX(MO_VA_StockPrice,0,COLUMN())*INDEX(MO_SCA_ShareCount_EoP_Diluted,0,COLUMN())</f>
        <v>#NAME?</v>
      </c>
      <c r="BM525" s="99" t="e">
        <f>INDEX(MO_VA_StockPrice,0,COLUMN())*INDEX(MO_SCA_ShareCount_EoP_Diluted,0,COLUMN())</f>
        <v>#NAME?</v>
      </c>
      <c r="BN525" s="413" t="e">
        <f>INDEX(MO_VA_StockPrice,0,COLUMN())*INDEX(MO_SCA_ShareCount_EoP_Diluted,0,COLUMN())</f>
        <v>#NAME?</v>
      </c>
      <c r="BO525" s="99" t="e">
        <f>INDEX(MO_VA_StockPrice,0,COLUMN())*INDEX(MO_SCA_ShareCount_EoP_Diluted,0,COLUMN())</f>
        <v>#NAME?</v>
      </c>
      <c r="BP525" s="99" t="e">
        <f>INDEX(MO_VA_StockPrice,0,COLUMN())*INDEX(MO_SCA_ShareCount_EoP_Diluted,0,COLUMN())</f>
        <v>#NAME?</v>
      </c>
      <c r="BQ525" s="99" t="e">
        <f>INDEX(MO_VA_StockPrice,0,COLUMN())*INDEX(MO_SCA_ShareCount_EoP_Diluted,0,COLUMN())</f>
        <v>#NAME?</v>
      </c>
      <c r="BR525" s="99" t="e">
        <f>INDEX(MO_VA_StockPrice,0,COLUMN())*INDEX(MO_SCA_ShareCount_EoP_Diluted,0,COLUMN())</f>
        <v>#NAME?</v>
      </c>
      <c r="BS525" s="425" t="e">
        <f>INDEX(MO_VA_StockPrice,0,COLUMN())*INDEX(MO_SCA_ShareCount_EoP_Diluted,0,COLUMN())</f>
        <v>#NAME?</v>
      </c>
      <c r="BT525" s="63" t="e">
        <f>INDEX(MO_VA_StockPrice,0,COLUMN())*INDEX(MO_SCA_ShareCount_EoP_Diluted,0,COLUMN())</f>
        <v>#NAME?</v>
      </c>
      <c r="BU525" s="63" t="e">
        <f>INDEX(MO_VA_StockPrice,0,COLUMN())*INDEX(MO_SCA_ShareCount_EoP_Diluted,0,COLUMN())</f>
        <v>#NAME?</v>
      </c>
      <c r="BV525" s="63" t="e">
        <f>INDEX(MO_VA_StockPrice,0,COLUMN())*INDEX(MO_SCA_ShareCount_EoP_Diluted,0,COLUMN())</f>
        <v>#NAME?</v>
      </c>
      <c r="BW525" s="63" t="e">
        <f>INDEX(MO_VA_StockPrice,0,COLUMN())*INDEX(MO_SCA_ShareCount_EoP_Diluted,0,COLUMN())</f>
        <v>#NAME?</v>
      </c>
      <c r="BX525" s="413" t="e">
        <f>INDEX(MO_VA_StockPrice,0,COLUMN())*INDEX(MO_SCA_ShareCount_EoP_Diluted,0,COLUMN())</f>
        <v>#NAME?</v>
      </c>
      <c r="BY525" s="63" t="e">
        <f>INDEX(MO_VA_StockPrice,0,COLUMN())*INDEX(MO_SCA_ShareCount_EoP_Diluted,0,COLUMN())</f>
        <v>#NAME?</v>
      </c>
      <c r="BZ525" s="63" t="e">
        <f>INDEX(MO_VA_StockPrice,0,COLUMN())*INDEX(MO_SCA_ShareCount_EoP_Diluted,0,COLUMN())</f>
        <v>#NAME?</v>
      </c>
      <c r="CA525" s="63" t="e">
        <f>INDEX(MO_VA_StockPrice,0,COLUMN())*INDEX(MO_SCA_ShareCount_EoP_Diluted,0,COLUMN())</f>
        <v>#NAME?</v>
      </c>
      <c r="CB525" s="63" t="e">
        <f>INDEX(MO_VA_StockPrice,0,COLUMN())*INDEX(MO_SCA_ShareCount_EoP_Diluted,0,COLUMN())</f>
        <v>#NAME?</v>
      </c>
      <c r="CC525" s="413" t="e">
        <f>INDEX(MO_VA_StockPrice,0,COLUMN())*INDEX(MO_SCA_ShareCount_EoP_Diluted,0,COLUMN())</f>
        <v>#NAME?</v>
      </c>
      <c r="CD525" s="413" t="e">
        <f>INDEX(MO_VA_StockPrice,0,COLUMN())*INDEX(MO_SCA_ShareCount_EoP_Diluted,0,COLUMN())</f>
        <v>#NAME?</v>
      </c>
      <c r="CE525" s="413" t="e">
        <f>INDEX(MO_VA_StockPrice,0,COLUMN())*INDEX(MO_SCA_ShareCount_EoP_Diluted,0,COLUMN())</f>
        <v>#NAME?</v>
      </c>
      <c r="CF525" s="413" t="e">
        <f>INDEX(MO_VA_StockPrice,0,COLUMN())*INDEX(MO_SCA_ShareCount_EoP_Diluted,0,COLUMN())</f>
        <v>#NAME?</v>
      </c>
      <c r="CG525" s="99"/>
    </row>
    <row r="526" spans="1:85" ht="14.45" customHeight="1" x14ac:dyDescent="0.25">
      <c r="A526" s="99" t="e">
        <f>"Enterprise Value - "&amp;MO.ValuationToggle</f>
        <v>#NAME?</v>
      </c>
      <c r="B526" s="180"/>
      <c r="C526" s="467" t="e">
        <f t="shared" ref="C526:AH526" si="411">C510+C525+C543+C544+C545</f>
        <v>#NAME?</v>
      </c>
      <c r="D526" s="467" t="e">
        <f t="shared" si="411"/>
        <v>#NAME?</v>
      </c>
      <c r="E526" s="467" t="e">
        <f t="shared" si="411"/>
        <v>#NAME?</v>
      </c>
      <c r="F526" s="467" t="e">
        <f t="shared" si="411"/>
        <v>#NAME?</v>
      </c>
      <c r="G526" s="99" t="e">
        <f t="shared" si="411"/>
        <v>#NAME?</v>
      </c>
      <c r="H526" s="99" t="e">
        <f t="shared" si="411"/>
        <v>#NAME?</v>
      </c>
      <c r="I526" s="99" t="e">
        <f t="shared" si="411"/>
        <v>#NAME?</v>
      </c>
      <c r="J526" s="99" t="e">
        <f t="shared" si="411"/>
        <v>#NAME?</v>
      </c>
      <c r="K526" s="467" t="e">
        <f t="shared" si="411"/>
        <v>#NAME?</v>
      </c>
      <c r="L526" s="99" t="e">
        <f t="shared" si="411"/>
        <v>#NAME?</v>
      </c>
      <c r="M526" s="99" t="e">
        <f t="shared" si="411"/>
        <v>#NAME?</v>
      </c>
      <c r="N526" s="99" t="e">
        <f t="shared" si="411"/>
        <v>#NAME?</v>
      </c>
      <c r="O526" s="99" t="e">
        <f t="shared" si="411"/>
        <v>#NAME?</v>
      </c>
      <c r="P526" s="467" t="e">
        <f t="shared" si="411"/>
        <v>#NAME?</v>
      </c>
      <c r="Q526" s="99" t="e">
        <f t="shared" si="411"/>
        <v>#NAME?</v>
      </c>
      <c r="R526" s="99" t="e">
        <f t="shared" si="411"/>
        <v>#NAME?</v>
      </c>
      <c r="S526" s="99" t="e">
        <f t="shared" si="411"/>
        <v>#NAME?</v>
      </c>
      <c r="T526" s="99" t="e">
        <f t="shared" si="411"/>
        <v>#NAME?</v>
      </c>
      <c r="U526" s="467" t="e">
        <f t="shared" si="411"/>
        <v>#NAME?</v>
      </c>
      <c r="V526" s="99" t="e">
        <f t="shared" si="411"/>
        <v>#NAME?</v>
      </c>
      <c r="W526" s="99" t="e">
        <f t="shared" si="411"/>
        <v>#NAME?</v>
      </c>
      <c r="X526" s="99" t="e">
        <f t="shared" si="411"/>
        <v>#NAME?</v>
      </c>
      <c r="Y526" s="99" t="e">
        <f t="shared" si="411"/>
        <v>#NAME?</v>
      </c>
      <c r="Z526" s="413" t="e">
        <f t="shared" si="411"/>
        <v>#NAME?</v>
      </c>
      <c r="AA526" s="99" t="e">
        <f t="shared" si="411"/>
        <v>#NAME?</v>
      </c>
      <c r="AB526" s="99" t="e">
        <f t="shared" si="411"/>
        <v>#NAME?</v>
      </c>
      <c r="AC526" s="99" t="e">
        <f t="shared" si="411"/>
        <v>#NAME?</v>
      </c>
      <c r="AD526" s="99" t="e">
        <f t="shared" si="411"/>
        <v>#NAME?</v>
      </c>
      <c r="AE526" s="413" t="e">
        <f t="shared" si="411"/>
        <v>#NAME?</v>
      </c>
      <c r="AF526" s="99" t="e">
        <f t="shared" si="411"/>
        <v>#NAME?</v>
      </c>
      <c r="AG526" s="99" t="e">
        <f t="shared" si="411"/>
        <v>#NAME?</v>
      </c>
      <c r="AH526" s="99" t="e">
        <f t="shared" si="411"/>
        <v>#NAME?</v>
      </c>
      <c r="AI526" s="99" t="e">
        <f t="shared" ref="AI526:BN526" si="412">AI510+AI525+AI543+AI544+AI545</f>
        <v>#NAME?</v>
      </c>
      <c r="AJ526" s="413" t="e">
        <f t="shared" si="412"/>
        <v>#NAME?</v>
      </c>
      <c r="AK526" s="99" t="e">
        <f t="shared" si="412"/>
        <v>#NAME?</v>
      </c>
      <c r="AL526" s="99" t="e">
        <f t="shared" si="412"/>
        <v>#NAME?</v>
      </c>
      <c r="AM526" s="99" t="e">
        <f t="shared" si="412"/>
        <v>#NAME?</v>
      </c>
      <c r="AN526" s="99" t="e">
        <f t="shared" si="412"/>
        <v>#NAME?</v>
      </c>
      <c r="AO526" s="413" t="e">
        <f t="shared" si="412"/>
        <v>#NAME?</v>
      </c>
      <c r="AP526" s="99" t="e">
        <f t="shared" si="412"/>
        <v>#NAME?</v>
      </c>
      <c r="AQ526" s="99" t="e">
        <f t="shared" si="412"/>
        <v>#NAME?</v>
      </c>
      <c r="AR526" s="99" t="e">
        <f t="shared" si="412"/>
        <v>#NAME?</v>
      </c>
      <c r="AS526" s="99" t="e">
        <f t="shared" si="412"/>
        <v>#NAME?</v>
      </c>
      <c r="AT526" s="413" t="e">
        <f t="shared" si="412"/>
        <v>#NAME?</v>
      </c>
      <c r="AU526" s="99" t="e">
        <f t="shared" si="412"/>
        <v>#NAME?</v>
      </c>
      <c r="AV526" s="99" t="e">
        <f t="shared" si="412"/>
        <v>#NAME?</v>
      </c>
      <c r="AW526" s="99" t="e">
        <f t="shared" si="412"/>
        <v>#NAME?</v>
      </c>
      <c r="AX526" s="99" t="e">
        <f t="shared" si="412"/>
        <v>#NAME?</v>
      </c>
      <c r="AY526" s="413" t="e">
        <f t="shared" si="412"/>
        <v>#NAME?</v>
      </c>
      <c r="AZ526" s="99" t="e">
        <f t="shared" si="412"/>
        <v>#NAME?</v>
      </c>
      <c r="BA526" s="99" t="e">
        <f t="shared" si="412"/>
        <v>#NAME?</v>
      </c>
      <c r="BB526" s="99" t="e">
        <f t="shared" si="412"/>
        <v>#NAME?</v>
      </c>
      <c r="BC526" s="99" t="e">
        <f t="shared" si="412"/>
        <v>#NAME?</v>
      </c>
      <c r="BD526" s="413" t="e">
        <f t="shared" si="412"/>
        <v>#NAME?</v>
      </c>
      <c r="BE526" s="99" t="e">
        <f t="shared" si="412"/>
        <v>#NAME?</v>
      </c>
      <c r="BF526" s="99" t="e">
        <f t="shared" si="412"/>
        <v>#NAME?</v>
      </c>
      <c r="BG526" s="99" t="e">
        <f t="shared" si="412"/>
        <v>#NAME?</v>
      </c>
      <c r="BH526" s="99" t="e">
        <f t="shared" si="412"/>
        <v>#NAME?</v>
      </c>
      <c r="BI526" s="413" t="e">
        <f t="shared" si="412"/>
        <v>#NAME?</v>
      </c>
      <c r="BJ526" s="99" t="e">
        <f t="shared" si="412"/>
        <v>#NAME?</v>
      </c>
      <c r="BK526" s="99" t="e">
        <f t="shared" si="412"/>
        <v>#NAME?</v>
      </c>
      <c r="BL526" s="99" t="e">
        <f t="shared" si="412"/>
        <v>#NAME?</v>
      </c>
      <c r="BM526" s="99" t="e">
        <f t="shared" si="412"/>
        <v>#NAME?</v>
      </c>
      <c r="BN526" s="413" t="e">
        <f t="shared" si="412"/>
        <v>#NAME?</v>
      </c>
      <c r="BO526" s="99" t="e">
        <f t="shared" ref="BO526:CF526" si="413">BO510+BO525+BO543+BO544+BO545</f>
        <v>#NAME?</v>
      </c>
      <c r="BP526" s="99" t="e">
        <f t="shared" si="413"/>
        <v>#NAME?</v>
      </c>
      <c r="BQ526" s="99" t="e">
        <f t="shared" si="413"/>
        <v>#NAME?</v>
      </c>
      <c r="BR526" s="99" t="e">
        <f t="shared" si="413"/>
        <v>#NAME?</v>
      </c>
      <c r="BS526" s="425" t="e">
        <f t="shared" si="413"/>
        <v>#NAME?</v>
      </c>
      <c r="BT526" s="63" t="e">
        <f t="shared" si="413"/>
        <v>#NAME?</v>
      </c>
      <c r="BU526" s="63" t="e">
        <f t="shared" si="413"/>
        <v>#NAME?</v>
      </c>
      <c r="BV526" s="63" t="e">
        <f t="shared" si="413"/>
        <v>#NAME?</v>
      </c>
      <c r="BW526" s="63" t="e">
        <f t="shared" si="413"/>
        <v>#NAME?</v>
      </c>
      <c r="BX526" s="413" t="e">
        <f t="shared" si="413"/>
        <v>#NAME?</v>
      </c>
      <c r="BY526" s="63" t="e">
        <f t="shared" si="413"/>
        <v>#NAME?</v>
      </c>
      <c r="BZ526" s="63" t="e">
        <f t="shared" si="413"/>
        <v>#NAME?</v>
      </c>
      <c r="CA526" s="63" t="e">
        <f t="shared" si="413"/>
        <v>#NAME?</v>
      </c>
      <c r="CB526" s="63" t="e">
        <f t="shared" si="413"/>
        <v>#NAME?</v>
      </c>
      <c r="CC526" s="413" t="e">
        <f t="shared" si="413"/>
        <v>#NAME?</v>
      </c>
      <c r="CD526" s="413" t="e">
        <f t="shared" si="413"/>
        <v>#NAME?</v>
      </c>
      <c r="CE526" s="413" t="e">
        <f t="shared" si="413"/>
        <v>#NAME?</v>
      </c>
      <c r="CF526" s="413" t="e">
        <f t="shared" si="413"/>
        <v>#NAME?</v>
      </c>
      <c r="CG526" s="99"/>
    </row>
    <row r="527" spans="1:85" ht="14.45" customHeight="1" x14ac:dyDescent="0.25">
      <c r="A527" s="283"/>
      <c r="B527" s="284"/>
      <c r="C527" s="585"/>
      <c r="D527" s="585"/>
      <c r="E527" s="585"/>
      <c r="F527" s="585"/>
      <c r="G527" s="285"/>
      <c r="H527" s="285"/>
      <c r="I527" s="285"/>
      <c r="J527" s="285"/>
      <c r="K527" s="585"/>
      <c r="L527" s="285"/>
      <c r="M527" s="285"/>
      <c r="N527" s="285"/>
      <c r="O527" s="285"/>
      <c r="P527" s="585"/>
      <c r="Q527" s="285"/>
      <c r="R527" s="285"/>
      <c r="S527" s="285"/>
      <c r="T527" s="285"/>
      <c r="U527" s="585"/>
      <c r="V527" s="285"/>
      <c r="W527" s="285"/>
      <c r="X527" s="285"/>
      <c r="Y527" s="286"/>
      <c r="Z527" s="585"/>
      <c r="AA527" s="286"/>
      <c r="AB527" s="285"/>
      <c r="AC527" s="285"/>
      <c r="AD527" s="286"/>
      <c r="AE527" s="585"/>
      <c r="AF527" s="286"/>
      <c r="AG527" s="285"/>
      <c r="AH527" s="285"/>
      <c r="AI527" s="286"/>
      <c r="AJ527" s="585"/>
      <c r="AK527" s="286"/>
      <c r="AL527" s="285"/>
      <c r="AM527" s="285"/>
      <c r="AN527" s="286"/>
      <c r="AO527" s="585"/>
      <c r="AP527" s="286"/>
      <c r="AQ527" s="285"/>
      <c r="AR527" s="285"/>
      <c r="AS527" s="286"/>
      <c r="AT527" s="585"/>
      <c r="AU527" s="286"/>
      <c r="AV527" s="285"/>
      <c r="AW527" s="285"/>
      <c r="AX527" s="286"/>
      <c r="AY527" s="585"/>
      <c r="AZ527" s="286"/>
      <c r="BA527" s="285"/>
      <c r="BB527" s="285"/>
      <c r="BC527" s="286"/>
      <c r="BD527" s="585"/>
      <c r="BE527" s="286"/>
      <c r="BF527" s="285"/>
      <c r="BG527" s="285"/>
      <c r="BH527" s="286"/>
      <c r="BI527" s="585"/>
      <c r="BJ527" s="286"/>
      <c r="BK527" s="285"/>
      <c r="BL527" s="285"/>
      <c r="BM527" s="286"/>
      <c r="BN527" s="585"/>
      <c r="BO527" s="286"/>
      <c r="BP527" s="285"/>
      <c r="BQ527" s="285"/>
      <c r="BR527" s="286"/>
      <c r="BS527" s="586"/>
      <c r="BT527" s="286"/>
      <c r="BU527" s="286"/>
      <c r="BV527" s="286"/>
      <c r="BW527" s="286"/>
      <c r="BX527" s="585"/>
      <c r="BY527" s="286"/>
      <c r="BZ527" s="286"/>
      <c r="CA527" s="286"/>
      <c r="CB527" s="286"/>
      <c r="CC527" s="585"/>
      <c r="CD527" s="585"/>
      <c r="CE527" s="585"/>
      <c r="CF527" s="585"/>
      <c r="CG527" s="587"/>
    </row>
    <row r="528" spans="1:85" ht="14.45" customHeight="1" x14ac:dyDescent="0.25">
      <c r="A528" s="287" t="e">
        <f>"P/E - "&amp;MO.ValuationToggle</f>
        <v>#NAME?</v>
      </c>
      <c r="B528" s="284"/>
      <c r="C528" s="588" t="e">
        <f>C524/C443</f>
        <v>#NAME?</v>
      </c>
      <c r="D528" s="588" t="e">
        <f>D524/D443</f>
        <v>#NAME?</v>
      </c>
      <c r="E528" s="588" t="e">
        <f>E524/E443</f>
        <v>#NAME?</v>
      </c>
      <c r="F528" s="588" t="e">
        <f>F524/F443</f>
        <v>#NAME?</v>
      </c>
      <c r="G528" s="285"/>
      <c r="H528" s="285"/>
      <c r="I528" s="285"/>
      <c r="J528" s="285"/>
      <c r="K528" s="588" t="e">
        <f>K524/K443</f>
        <v>#NAME?</v>
      </c>
      <c r="L528" s="285"/>
      <c r="M528" s="285"/>
      <c r="N528" s="285"/>
      <c r="O528" s="285"/>
      <c r="P528" s="588" t="e">
        <f>P524/P443</f>
        <v>#NAME?</v>
      </c>
      <c r="Q528" s="285"/>
      <c r="R528" s="285"/>
      <c r="S528" s="285"/>
      <c r="T528" s="285"/>
      <c r="U528" s="588" t="e">
        <f>U524/U443</f>
        <v>#NAME?</v>
      </c>
      <c r="V528" s="285"/>
      <c r="W528" s="285"/>
      <c r="X528" s="285"/>
      <c r="Y528" s="286"/>
      <c r="Z528" s="585" t="e">
        <f>Z524/Z443</f>
        <v>#NAME?</v>
      </c>
      <c r="AA528" s="286"/>
      <c r="AB528" s="285"/>
      <c r="AC528" s="285"/>
      <c r="AD528" s="286"/>
      <c r="AE528" s="585" t="e">
        <f>AE524/AE443</f>
        <v>#NAME?</v>
      </c>
      <c r="AF528" s="286"/>
      <c r="AG528" s="285"/>
      <c r="AH528" s="285"/>
      <c r="AI528" s="286"/>
      <c r="AJ528" s="585" t="e">
        <f>AJ524/AJ443</f>
        <v>#NAME?</v>
      </c>
      <c r="AK528" s="286"/>
      <c r="AL528" s="285"/>
      <c r="AM528" s="285"/>
      <c r="AN528" s="286"/>
      <c r="AO528" s="585" t="e">
        <f>AO524/AO443</f>
        <v>#NAME?</v>
      </c>
      <c r="AP528" s="286"/>
      <c r="AQ528" s="285"/>
      <c r="AR528" s="285"/>
      <c r="AS528" s="286"/>
      <c r="AT528" s="585" t="e">
        <f>AT524/AT443</f>
        <v>#NAME?</v>
      </c>
      <c r="AU528" s="286"/>
      <c r="AV528" s="285"/>
      <c r="AW528" s="285"/>
      <c r="AX528" s="286"/>
      <c r="AY528" s="585" t="e">
        <f>AY524/AY443</f>
        <v>#NAME?</v>
      </c>
      <c r="AZ528" s="286"/>
      <c r="BA528" s="285"/>
      <c r="BB528" s="285"/>
      <c r="BC528" s="286"/>
      <c r="BD528" s="585" t="e">
        <f>BD524/BD443</f>
        <v>#NAME?</v>
      </c>
      <c r="BE528" s="286"/>
      <c r="BF528" s="285"/>
      <c r="BG528" s="285"/>
      <c r="BH528" s="286"/>
      <c r="BI528" s="585" t="e">
        <f>BI524/BI443</f>
        <v>#NAME?</v>
      </c>
      <c r="BJ528" s="286"/>
      <c r="BK528" s="285"/>
      <c r="BL528" s="285"/>
      <c r="BM528" s="286"/>
      <c r="BN528" s="585" t="e">
        <f>BN524/BN443</f>
        <v>#NAME?</v>
      </c>
      <c r="BO528" s="286"/>
      <c r="BP528" s="285"/>
      <c r="BQ528" s="285"/>
      <c r="BR528" s="286"/>
      <c r="BS528" s="586" t="e">
        <f>BS524/BS443</f>
        <v>#NAME?</v>
      </c>
      <c r="BT528" s="286"/>
      <c r="BU528" s="286"/>
      <c r="BV528" s="286"/>
      <c r="BW528" s="286"/>
      <c r="BX528" s="585" t="e">
        <f>BX524/BX443</f>
        <v>#NAME?</v>
      </c>
      <c r="BY528" s="286"/>
      <c r="BZ528" s="286"/>
      <c r="CA528" s="286"/>
      <c r="CB528" s="286"/>
      <c r="CC528" s="585" t="e">
        <f>CC524/CC443</f>
        <v>#NAME?</v>
      </c>
      <c r="CD528" s="585" t="e">
        <f>CD524/CD443</f>
        <v>#NAME?</v>
      </c>
      <c r="CE528" s="585" t="e">
        <f>CE524/CE443</f>
        <v>#NAME?</v>
      </c>
      <c r="CF528" s="585" t="e">
        <f>CF524/CF443</f>
        <v>#NAME?</v>
      </c>
      <c r="CG528" s="587"/>
    </row>
    <row r="529" spans="1:85" ht="14.45" customHeight="1" x14ac:dyDescent="0.25">
      <c r="A529" s="287" t="e">
        <f>"EV/EBITDA - "&amp;MO.ValuationToggle</f>
        <v>#NAME?</v>
      </c>
      <c r="B529" s="284"/>
      <c r="C529" s="588" t="e">
        <f>C526/C416</f>
        <v>#NAME?</v>
      </c>
      <c r="D529" s="588" t="e">
        <f>D526/D416</f>
        <v>#NAME?</v>
      </c>
      <c r="E529" s="588" t="e">
        <f>E526/E416</f>
        <v>#NAME?</v>
      </c>
      <c r="F529" s="588" t="e">
        <f>F526/F416</f>
        <v>#NAME?</v>
      </c>
      <c r="G529" s="285"/>
      <c r="H529" s="285"/>
      <c r="I529" s="285"/>
      <c r="J529" s="285"/>
      <c r="K529" s="588" t="e">
        <f>K526/K416</f>
        <v>#NAME?</v>
      </c>
      <c r="L529" s="285"/>
      <c r="M529" s="285"/>
      <c r="N529" s="285"/>
      <c r="O529" s="285"/>
      <c r="P529" s="588" t="e">
        <f>P526/P416</f>
        <v>#NAME?</v>
      </c>
      <c r="Q529" s="285"/>
      <c r="R529" s="285"/>
      <c r="S529" s="285"/>
      <c r="T529" s="285"/>
      <c r="U529" s="588" t="e">
        <f>U526/U416</f>
        <v>#NAME?</v>
      </c>
      <c r="V529" s="285"/>
      <c r="W529" s="285"/>
      <c r="X529" s="285"/>
      <c r="Y529" s="286"/>
      <c r="Z529" s="585" t="e">
        <f>Z526/Z416</f>
        <v>#NAME?</v>
      </c>
      <c r="AA529" s="286"/>
      <c r="AB529" s="285"/>
      <c r="AC529" s="285"/>
      <c r="AD529" s="286"/>
      <c r="AE529" s="585" t="e">
        <f>AE526/AE416</f>
        <v>#NAME?</v>
      </c>
      <c r="AF529" s="286"/>
      <c r="AG529" s="285"/>
      <c r="AH529" s="285"/>
      <c r="AI529" s="286"/>
      <c r="AJ529" s="585" t="e">
        <f>AJ526/AJ416</f>
        <v>#NAME?</v>
      </c>
      <c r="AK529" s="286"/>
      <c r="AL529" s="285"/>
      <c r="AM529" s="285"/>
      <c r="AN529" s="286"/>
      <c r="AO529" s="585" t="e">
        <f>AO526/AO416</f>
        <v>#NAME?</v>
      </c>
      <c r="AP529" s="286"/>
      <c r="AQ529" s="285"/>
      <c r="AR529" s="285"/>
      <c r="AS529" s="286"/>
      <c r="AT529" s="585" t="e">
        <f>AT526/AT416</f>
        <v>#NAME?</v>
      </c>
      <c r="AU529" s="286"/>
      <c r="AV529" s="285"/>
      <c r="AW529" s="285"/>
      <c r="AX529" s="286"/>
      <c r="AY529" s="585" t="e">
        <f>AY526/AY416</f>
        <v>#NAME?</v>
      </c>
      <c r="AZ529" s="286"/>
      <c r="BA529" s="285"/>
      <c r="BB529" s="285"/>
      <c r="BC529" s="286"/>
      <c r="BD529" s="585" t="e">
        <f>BD526/BD416</f>
        <v>#NAME?</v>
      </c>
      <c r="BE529" s="286"/>
      <c r="BF529" s="285"/>
      <c r="BG529" s="285"/>
      <c r="BH529" s="286"/>
      <c r="BI529" s="585" t="e">
        <f>BI526/BI416</f>
        <v>#NAME?</v>
      </c>
      <c r="BJ529" s="286"/>
      <c r="BK529" s="285"/>
      <c r="BL529" s="285"/>
      <c r="BM529" s="286"/>
      <c r="BN529" s="585" t="e">
        <f>BN526/BN416</f>
        <v>#NAME?</v>
      </c>
      <c r="BO529" s="286"/>
      <c r="BP529" s="285"/>
      <c r="BQ529" s="285"/>
      <c r="BR529" s="286"/>
      <c r="BS529" s="586" t="e">
        <f>BS526/BS416</f>
        <v>#NAME?</v>
      </c>
      <c r="BT529" s="286"/>
      <c r="BU529" s="286"/>
      <c r="BV529" s="286"/>
      <c r="BW529" s="286"/>
      <c r="BX529" s="585" t="e">
        <f>BX526/BX416</f>
        <v>#NAME?</v>
      </c>
      <c r="BY529" s="286"/>
      <c r="BZ529" s="286"/>
      <c r="CA529" s="286"/>
      <c r="CB529" s="286"/>
      <c r="CC529" s="585" t="e">
        <f>CC526/CC416</f>
        <v>#NAME?</v>
      </c>
      <c r="CD529" s="585" t="e">
        <f>CD526/CD416</f>
        <v>#NAME?</v>
      </c>
      <c r="CE529" s="585" t="e">
        <f>CE526/CE416</f>
        <v>#NAME?</v>
      </c>
      <c r="CF529" s="585" t="e">
        <f>CF526/CF416</f>
        <v>#NAME?</v>
      </c>
      <c r="CG529" s="587"/>
    </row>
    <row r="530" spans="1:85" ht="14.45" customHeight="1" x14ac:dyDescent="0.25">
      <c r="A530" s="287" t="e">
        <f>"P/CF - "&amp;MO.ValuationToggle</f>
        <v>#NAME?</v>
      </c>
      <c r="B530" s="284"/>
      <c r="C530" s="588" t="e">
        <f>C524/C482</f>
        <v>#NAME?</v>
      </c>
      <c r="D530" s="588" t="e">
        <f>D524/D482</f>
        <v>#NAME?</v>
      </c>
      <c r="E530" s="588" t="e">
        <f>E524/E482</f>
        <v>#NAME?</v>
      </c>
      <c r="F530" s="588" t="e">
        <f>F524/F482</f>
        <v>#NAME?</v>
      </c>
      <c r="G530" s="285"/>
      <c r="H530" s="285"/>
      <c r="I530" s="285"/>
      <c r="J530" s="285"/>
      <c r="K530" s="588" t="e">
        <f>K524/K482</f>
        <v>#NAME?</v>
      </c>
      <c r="L530" s="285"/>
      <c r="M530" s="285"/>
      <c r="N530" s="285"/>
      <c r="O530" s="285"/>
      <c r="P530" s="588" t="e">
        <f>P524/P482</f>
        <v>#NAME?</v>
      </c>
      <c r="Q530" s="285"/>
      <c r="R530" s="285"/>
      <c r="S530" s="285"/>
      <c r="T530" s="285"/>
      <c r="U530" s="588" t="e">
        <f>U524/U482</f>
        <v>#NAME?</v>
      </c>
      <c r="V530" s="285"/>
      <c r="W530" s="285"/>
      <c r="X530" s="285"/>
      <c r="Y530" s="286"/>
      <c r="Z530" s="585" t="e">
        <f>Z524/Z482</f>
        <v>#NAME?</v>
      </c>
      <c r="AA530" s="286"/>
      <c r="AB530" s="285"/>
      <c r="AC530" s="285"/>
      <c r="AD530" s="286"/>
      <c r="AE530" s="585" t="e">
        <f>AE524/AE482</f>
        <v>#NAME?</v>
      </c>
      <c r="AF530" s="286"/>
      <c r="AG530" s="285"/>
      <c r="AH530" s="285"/>
      <c r="AI530" s="286"/>
      <c r="AJ530" s="585" t="e">
        <f>AJ524/AJ482</f>
        <v>#NAME?</v>
      </c>
      <c r="AK530" s="286"/>
      <c r="AL530" s="285"/>
      <c r="AM530" s="285"/>
      <c r="AN530" s="286"/>
      <c r="AO530" s="585" t="e">
        <f>AO524/AO482</f>
        <v>#NAME?</v>
      </c>
      <c r="AP530" s="286"/>
      <c r="AQ530" s="285"/>
      <c r="AR530" s="285"/>
      <c r="AS530" s="286"/>
      <c r="AT530" s="585" t="e">
        <f>AT524/AT482</f>
        <v>#NAME?</v>
      </c>
      <c r="AU530" s="286"/>
      <c r="AV530" s="285"/>
      <c r="AW530" s="285"/>
      <c r="AX530" s="286"/>
      <c r="AY530" s="585" t="e">
        <f>AY524/AY482</f>
        <v>#NAME?</v>
      </c>
      <c r="AZ530" s="286"/>
      <c r="BA530" s="285"/>
      <c r="BB530" s="285"/>
      <c r="BC530" s="286"/>
      <c r="BD530" s="585" t="e">
        <f>BD524/BD482</f>
        <v>#NAME?</v>
      </c>
      <c r="BE530" s="286"/>
      <c r="BF530" s="285"/>
      <c r="BG530" s="285"/>
      <c r="BH530" s="286"/>
      <c r="BI530" s="585" t="e">
        <f>BI524/BI482</f>
        <v>#NAME?</v>
      </c>
      <c r="BJ530" s="286"/>
      <c r="BK530" s="285"/>
      <c r="BL530" s="285"/>
      <c r="BM530" s="286"/>
      <c r="BN530" s="585" t="e">
        <f>BN524/BN482</f>
        <v>#NAME?</v>
      </c>
      <c r="BO530" s="286"/>
      <c r="BP530" s="285"/>
      <c r="BQ530" s="285"/>
      <c r="BR530" s="286"/>
      <c r="BS530" s="586" t="e">
        <f>BS524/BS482</f>
        <v>#NAME?</v>
      </c>
      <c r="BT530" s="286"/>
      <c r="BU530" s="286"/>
      <c r="BV530" s="286"/>
      <c r="BW530" s="286"/>
      <c r="BX530" s="585" t="e">
        <f>BX524/BX482</f>
        <v>#NAME?</v>
      </c>
      <c r="BY530" s="286"/>
      <c r="BZ530" s="286"/>
      <c r="CA530" s="286"/>
      <c r="CB530" s="286"/>
      <c r="CC530" s="585" t="e">
        <f>CC524/CC482</f>
        <v>#NAME?</v>
      </c>
      <c r="CD530" s="585" t="e">
        <f>CD524/CD482</f>
        <v>#NAME?</v>
      </c>
      <c r="CE530" s="585" t="e">
        <f>CE524/CE482</f>
        <v>#NAME?</v>
      </c>
      <c r="CF530" s="585" t="e">
        <f>CF524/CF482</f>
        <v>#NAME?</v>
      </c>
      <c r="CG530" s="587"/>
    </row>
    <row r="531" spans="1:85" ht="14.45" customHeight="1" x14ac:dyDescent="0.25">
      <c r="A531" s="288" t="e">
        <f>"FCF Yield % to "&amp;MO.ValuationToggle&amp;" Market Cap"</f>
        <v>#NAME?</v>
      </c>
      <c r="B531" s="80"/>
      <c r="C531" s="395" t="e">
        <f>C499/C525</f>
        <v>#NAME?</v>
      </c>
      <c r="D531" s="395" t="e">
        <f>D499/D525</f>
        <v>#NAME?</v>
      </c>
      <c r="E531" s="395" t="e">
        <f>E499/E525</f>
        <v>#NAME?</v>
      </c>
      <c r="F531" s="395" t="e">
        <f>F499/F525</f>
        <v>#NAME?</v>
      </c>
      <c r="G531" s="123"/>
      <c r="H531" s="123"/>
      <c r="I531" s="123"/>
      <c r="J531" s="123"/>
      <c r="K531" s="395" t="e">
        <f>K499/K525</f>
        <v>#NAME?</v>
      </c>
      <c r="L531" s="123"/>
      <c r="M531" s="123"/>
      <c r="N531" s="123"/>
      <c r="O531" s="123"/>
      <c r="P531" s="395" t="e">
        <f>P499/P525</f>
        <v>#NAME?</v>
      </c>
      <c r="Q531" s="123"/>
      <c r="R531" s="123"/>
      <c r="S531" s="123"/>
      <c r="T531" s="123"/>
      <c r="U531" s="395" t="e">
        <f>U499/U525</f>
        <v>#NAME?</v>
      </c>
      <c r="V531" s="123"/>
      <c r="W531" s="123"/>
      <c r="X531" s="123"/>
      <c r="Y531" s="123"/>
      <c r="Z531" s="394" t="e">
        <f>Z499/Z525</f>
        <v>#NAME?</v>
      </c>
      <c r="AA531" s="123"/>
      <c r="AB531" s="123"/>
      <c r="AC531" s="123"/>
      <c r="AD531" s="123"/>
      <c r="AE531" s="394" t="e">
        <f>AE499/AE525</f>
        <v>#NAME?</v>
      </c>
      <c r="AF531" s="123"/>
      <c r="AG531" s="123"/>
      <c r="AH531" s="123"/>
      <c r="AI531" s="123"/>
      <c r="AJ531" s="394" t="e">
        <f>AJ499/AJ525</f>
        <v>#NAME?</v>
      </c>
      <c r="AK531" s="123"/>
      <c r="AL531" s="123"/>
      <c r="AM531" s="123"/>
      <c r="AN531" s="123"/>
      <c r="AO531" s="394" t="e">
        <f>AO499/AO525</f>
        <v>#NAME?</v>
      </c>
      <c r="AP531" s="123"/>
      <c r="AQ531" s="123"/>
      <c r="AR531" s="123"/>
      <c r="AS531" s="123"/>
      <c r="AT531" s="394" t="e">
        <f>AT499/AT525</f>
        <v>#NAME?</v>
      </c>
      <c r="AU531" s="123"/>
      <c r="AV531" s="123"/>
      <c r="AW531" s="123"/>
      <c r="AX531" s="123"/>
      <c r="AY531" s="394" t="e">
        <f>AY499/AY525</f>
        <v>#NAME?</v>
      </c>
      <c r="AZ531" s="123"/>
      <c r="BA531" s="123"/>
      <c r="BB531" s="123"/>
      <c r="BC531" s="123"/>
      <c r="BD531" s="394" t="e">
        <f>BD499/BD525</f>
        <v>#NAME?</v>
      </c>
      <c r="BE531" s="123"/>
      <c r="BF531" s="123"/>
      <c r="BG531" s="123"/>
      <c r="BH531" s="123"/>
      <c r="BI531" s="394" t="e">
        <f>BI499/BI525</f>
        <v>#NAME?</v>
      </c>
      <c r="BJ531" s="123"/>
      <c r="BK531" s="123"/>
      <c r="BL531" s="123"/>
      <c r="BM531" s="123"/>
      <c r="BN531" s="394" t="e">
        <f>BN499/BN525</f>
        <v>#NAME?</v>
      </c>
      <c r="BO531" s="123"/>
      <c r="BP531" s="123"/>
      <c r="BQ531" s="123"/>
      <c r="BR531" s="123"/>
      <c r="BS531" s="437" t="e">
        <f>BS499/BS525</f>
        <v>#NAME?</v>
      </c>
      <c r="BT531" s="123"/>
      <c r="BU531" s="123"/>
      <c r="BV531" s="123"/>
      <c r="BW531" s="123"/>
      <c r="BX531" s="394" t="e">
        <f>BX499/BX525</f>
        <v>#NAME?</v>
      </c>
      <c r="BY531" s="123"/>
      <c r="BZ531" s="123"/>
      <c r="CA531" s="123"/>
      <c r="CB531" s="123"/>
      <c r="CC531" s="394" t="e">
        <f>CC499/CC525</f>
        <v>#NAME?</v>
      </c>
      <c r="CD531" s="394" t="e">
        <f>CD499/CD525</f>
        <v>#NAME?</v>
      </c>
      <c r="CE531" s="394" t="e">
        <f>CE499/CE525</f>
        <v>#NAME?</v>
      </c>
      <c r="CF531" s="394" t="e">
        <f>CF499/CF525</f>
        <v>#NAME?</v>
      </c>
      <c r="CG531" s="115"/>
    </row>
    <row r="532" spans="1:85" ht="14.45" customHeight="1" x14ac:dyDescent="0.25">
      <c r="A532" s="288" t="e">
        <f>"FCF Yield % to "&amp;MO.ValuationToggle&amp;" Enterprise Value"</f>
        <v>#NAME?</v>
      </c>
      <c r="B532" s="80"/>
      <c r="C532" s="395" t="e">
        <f>C499/C526</f>
        <v>#NAME?</v>
      </c>
      <c r="D532" s="395" t="e">
        <f>D499/D526</f>
        <v>#NAME?</v>
      </c>
      <c r="E532" s="395" t="e">
        <f>E499/E526</f>
        <v>#NAME?</v>
      </c>
      <c r="F532" s="395" t="e">
        <f>F499/F526</f>
        <v>#NAME?</v>
      </c>
      <c r="G532" s="123"/>
      <c r="H532" s="123"/>
      <c r="I532" s="123"/>
      <c r="J532" s="123"/>
      <c r="K532" s="395" t="e">
        <f>K499/K526</f>
        <v>#NAME?</v>
      </c>
      <c r="L532" s="123"/>
      <c r="M532" s="123"/>
      <c r="N532" s="123"/>
      <c r="O532" s="123"/>
      <c r="P532" s="395" t="e">
        <f>P499/P526</f>
        <v>#NAME?</v>
      </c>
      <c r="Q532" s="123"/>
      <c r="R532" s="123"/>
      <c r="S532" s="123"/>
      <c r="T532" s="123"/>
      <c r="U532" s="395" t="e">
        <f>U499/U526</f>
        <v>#NAME?</v>
      </c>
      <c r="V532" s="123"/>
      <c r="W532" s="123"/>
      <c r="X532" s="123"/>
      <c r="Y532" s="123"/>
      <c r="Z532" s="394" t="e">
        <f>Z499/Z526</f>
        <v>#NAME?</v>
      </c>
      <c r="AA532" s="123"/>
      <c r="AB532" s="123"/>
      <c r="AC532" s="123"/>
      <c r="AD532" s="123"/>
      <c r="AE532" s="394" t="e">
        <f>AE499/AE526</f>
        <v>#NAME?</v>
      </c>
      <c r="AF532" s="123"/>
      <c r="AG532" s="123"/>
      <c r="AH532" s="123"/>
      <c r="AI532" s="123"/>
      <c r="AJ532" s="394" t="e">
        <f>AJ499/AJ526</f>
        <v>#NAME?</v>
      </c>
      <c r="AK532" s="123"/>
      <c r="AL532" s="123"/>
      <c r="AM532" s="123"/>
      <c r="AN532" s="123"/>
      <c r="AO532" s="394" t="e">
        <f>AO499/AO526</f>
        <v>#NAME?</v>
      </c>
      <c r="AP532" s="123"/>
      <c r="AQ532" s="123"/>
      <c r="AR532" s="123"/>
      <c r="AS532" s="123"/>
      <c r="AT532" s="394" t="e">
        <f>AT499/AT526</f>
        <v>#NAME?</v>
      </c>
      <c r="AU532" s="123"/>
      <c r="AV532" s="123"/>
      <c r="AW532" s="123"/>
      <c r="AX532" s="123"/>
      <c r="AY532" s="394" t="e">
        <f>AY499/AY526</f>
        <v>#NAME?</v>
      </c>
      <c r="AZ532" s="123"/>
      <c r="BA532" s="123"/>
      <c r="BB532" s="123"/>
      <c r="BC532" s="123"/>
      <c r="BD532" s="394" t="e">
        <f>BD499/BD526</f>
        <v>#NAME?</v>
      </c>
      <c r="BE532" s="123"/>
      <c r="BF532" s="123"/>
      <c r="BG532" s="123"/>
      <c r="BH532" s="123"/>
      <c r="BI532" s="394" t="e">
        <f>BI499/BI526</f>
        <v>#NAME?</v>
      </c>
      <c r="BJ532" s="123"/>
      <c r="BK532" s="123"/>
      <c r="BL532" s="123"/>
      <c r="BM532" s="123"/>
      <c r="BN532" s="394" t="e">
        <f>BN499/BN526</f>
        <v>#NAME?</v>
      </c>
      <c r="BO532" s="123"/>
      <c r="BP532" s="123"/>
      <c r="BQ532" s="123"/>
      <c r="BR532" s="123"/>
      <c r="BS532" s="437" t="e">
        <f>BS499/BS526</f>
        <v>#NAME?</v>
      </c>
      <c r="BT532" s="123"/>
      <c r="BU532" s="123"/>
      <c r="BV532" s="123"/>
      <c r="BW532" s="123"/>
      <c r="BX532" s="394" t="e">
        <f>BX499/BX526</f>
        <v>#NAME?</v>
      </c>
      <c r="BY532" s="123"/>
      <c r="BZ532" s="123"/>
      <c r="CA532" s="123"/>
      <c r="CB532" s="123"/>
      <c r="CC532" s="394" t="e">
        <f>CC499/CC526</f>
        <v>#NAME?</v>
      </c>
      <c r="CD532" s="394" t="e">
        <f>CD499/CD526</f>
        <v>#NAME?</v>
      </c>
      <c r="CE532" s="394" t="e">
        <f>CE499/CE526</f>
        <v>#NAME?</v>
      </c>
      <c r="CF532" s="394" t="e">
        <f>CF499/CF526</f>
        <v>#NAME?</v>
      </c>
      <c r="CG532" s="115"/>
    </row>
    <row r="533" spans="1:85" ht="14.45" hidden="1" customHeight="1" x14ac:dyDescent="0.25">
      <c r="A533" s="170"/>
      <c r="B533" s="80"/>
      <c r="C533" s="394"/>
      <c r="D533" s="394"/>
      <c r="E533" s="394"/>
      <c r="F533" s="394"/>
      <c r="G533" s="123"/>
      <c r="H533" s="123"/>
      <c r="I533" s="123"/>
      <c r="J533" s="123"/>
      <c r="K533" s="394"/>
      <c r="L533" s="123"/>
      <c r="M533" s="123"/>
      <c r="N533" s="123"/>
      <c r="O533" s="123"/>
      <c r="P533" s="394"/>
      <c r="Q533" s="123"/>
      <c r="R533" s="123"/>
      <c r="S533" s="123"/>
      <c r="T533" s="123"/>
      <c r="U533" s="394"/>
      <c r="V533" s="123"/>
      <c r="W533" s="123"/>
      <c r="X533" s="123"/>
      <c r="Y533" s="123"/>
      <c r="Z533" s="394"/>
      <c r="AA533" s="123"/>
      <c r="AB533" s="123"/>
      <c r="AC533" s="123"/>
      <c r="AD533" s="123"/>
      <c r="AE533" s="394"/>
      <c r="AF533" s="123"/>
      <c r="AG533" s="123"/>
      <c r="AH533" s="123"/>
      <c r="AI533" s="123"/>
      <c r="AJ533" s="394"/>
      <c r="AK533" s="123"/>
      <c r="AL533" s="123"/>
      <c r="AM533" s="123"/>
      <c r="AN533" s="123"/>
      <c r="AO533" s="394"/>
      <c r="AP533" s="123"/>
      <c r="AQ533" s="123"/>
      <c r="AR533" s="123"/>
      <c r="AS533" s="123"/>
      <c r="AT533" s="394"/>
      <c r="AU533" s="123"/>
      <c r="AV533" s="123"/>
      <c r="AW533" s="123"/>
      <c r="AX533" s="123"/>
      <c r="AY533" s="394"/>
      <c r="AZ533" s="123"/>
      <c r="BA533" s="123"/>
      <c r="BB533" s="123"/>
      <c r="BC533" s="123"/>
      <c r="BD533" s="394"/>
      <c r="BE533" s="123"/>
      <c r="BF533" s="123"/>
      <c r="BG533" s="123"/>
      <c r="BH533" s="123"/>
      <c r="BI533" s="394"/>
      <c r="BJ533" s="123"/>
      <c r="BK533" s="123"/>
      <c r="BL533" s="123"/>
      <c r="BM533" s="123"/>
      <c r="BN533" s="394"/>
      <c r="BO533" s="123"/>
      <c r="BP533" s="123"/>
      <c r="BQ533" s="123"/>
      <c r="BR533" s="123"/>
      <c r="BS533" s="437"/>
      <c r="BT533" s="123"/>
      <c r="BU533" s="123"/>
      <c r="BV533" s="123"/>
      <c r="BW533" s="123"/>
      <c r="BX533" s="394"/>
      <c r="BY533" s="123"/>
      <c r="BZ533" s="123"/>
      <c r="CA533" s="123"/>
      <c r="CB533" s="123"/>
      <c r="CC533" s="394"/>
      <c r="CD533" s="394"/>
      <c r="CE533" s="394"/>
      <c r="CF533" s="394"/>
      <c r="CG533" s="115"/>
    </row>
    <row r="534" spans="1:85" ht="14.45" hidden="1" customHeight="1" x14ac:dyDescent="0.25">
      <c r="A534" s="289" t="e">
        <f>"Stock High, "&amp;HP.TradeCurrency</f>
        <v>#NAME?</v>
      </c>
      <c r="B534" s="290"/>
      <c r="C534" s="589" t="e">
        <f>IF(INDEX(MO_SNA_IsHistoricalPeriod,1,COLUMN())=FALSE,0,INDEX(MO_SPT_StockHigh,1,COLUMN()))</f>
        <v>#NAME?</v>
      </c>
      <c r="D534" s="589" t="e">
        <f>IF(INDEX(MO_SNA_IsHistoricalPeriod,1,COLUMN())=FALSE,0,INDEX(MO_SPT_StockHigh,1,COLUMN()))</f>
        <v>#NAME?</v>
      </c>
      <c r="E534" s="589" t="e">
        <f>IF(INDEX(MO_SNA_IsHistoricalPeriod,1,COLUMN())=FALSE,0,INDEX(MO_SPT_StockHigh,1,COLUMN()))</f>
        <v>#NAME?</v>
      </c>
      <c r="F534" s="589" t="e">
        <f>IF(INDEX(MO_SNA_IsHistoricalPeriod,1,COLUMN())=FALSE,0,INDEX(MO_SPT_StockHigh,1,COLUMN()))</f>
        <v>#NAME?</v>
      </c>
      <c r="G534" s="291" t="e">
        <f>IF(INDEX(MO_SNA_IsHistoricalPeriod,1,COLUMN())=FALSE,0,INDEX(MO_SPT_StockHigh,1,COLUMN()))</f>
        <v>#NAME?</v>
      </c>
      <c r="H534" s="291" t="e">
        <f>IF(INDEX(MO_SNA_IsHistoricalPeriod,1,COLUMN())=FALSE,0,INDEX(MO_SPT_StockHigh,1,COLUMN()))</f>
        <v>#NAME?</v>
      </c>
      <c r="I534" s="291" t="e">
        <f>IF(INDEX(MO_SNA_IsHistoricalPeriod,1,COLUMN())=FALSE,0,INDEX(MO_SPT_StockHigh,1,COLUMN()))</f>
        <v>#NAME?</v>
      </c>
      <c r="J534" s="291" t="e">
        <f>IF(INDEX(MO_SNA_IsHistoricalPeriod,1,COLUMN())=FALSE,0,INDEX(MO_SPT_StockHigh,1,COLUMN()))</f>
        <v>#NAME?</v>
      </c>
      <c r="K534" s="589" t="e">
        <f>IF(INDEX(MO_SNA_IsHistoricalPeriod,1,COLUMN())=FALSE,0,INDEX(MO_SPT_StockHigh,1,COLUMN()))</f>
        <v>#NAME?</v>
      </c>
      <c r="L534" s="291" t="e">
        <f>IF(INDEX(MO_SNA_IsHistoricalPeriod,1,COLUMN())=FALSE,0,INDEX(MO_SPT_StockHigh,1,COLUMN()))</f>
        <v>#NAME?</v>
      </c>
      <c r="M534" s="291" t="e">
        <f>IF(INDEX(MO_SNA_IsHistoricalPeriod,1,COLUMN())=FALSE,0,INDEX(MO_SPT_StockHigh,1,COLUMN()))</f>
        <v>#NAME?</v>
      </c>
      <c r="N534" s="291" t="e">
        <f>IF(INDEX(MO_SNA_IsHistoricalPeriod,1,COLUMN())=FALSE,0,INDEX(MO_SPT_StockHigh,1,COLUMN()))</f>
        <v>#NAME?</v>
      </c>
      <c r="O534" s="291" t="e">
        <f>IF(INDEX(MO_SNA_IsHistoricalPeriod,1,COLUMN())=FALSE,0,INDEX(MO_SPT_StockHigh,1,COLUMN()))</f>
        <v>#NAME?</v>
      </c>
      <c r="P534" s="589" t="e">
        <f>IF(INDEX(MO_SNA_IsHistoricalPeriod,1,COLUMN())=FALSE,0,INDEX(MO_SPT_StockHigh,1,COLUMN()))</f>
        <v>#NAME?</v>
      </c>
      <c r="Q534" s="291" t="e">
        <f>IF(INDEX(MO_SNA_IsHistoricalPeriod,1,COLUMN())=FALSE,0,INDEX(MO_SPT_StockHigh,1,COLUMN()))</f>
        <v>#NAME?</v>
      </c>
      <c r="R534" s="291" t="e">
        <f>IF(INDEX(MO_SNA_IsHistoricalPeriod,1,COLUMN())=FALSE,0,INDEX(MO_SPT_StockHigh,1,COLUMN()))</f>
        <v>#NAME?</v>
      </c>
      <c r="S534" s="291" t="e">
        <f>IF(INDEX(MO_SNA_IsHistoricalPeriod,1,COLUMN())=FALSE,0,INDEX(MO_SPT_StockHigh,1,COLUMN()))</f>
        <v>#NAME?</v>
      </c>
      <c r="T534" s="291" t="e">
        <f>IF(INDEX(MO_SNA_IsHistoricalPeriod,1,COLUMN())=FALSE,0,INDEX(MO_SPT_StockHigh,1,COLUMN()))</f>
        <v>#NAME?</v>
      </c>
      <c r="U534" s="589" t="e">
        <f>IF(INDEX(MO_SNA_IsHistoricalPeriod,1,COLUMN())=FALSE,0,INDEX(MO_SPT_StockHigh,1,COLUMN()))</f>
        <v>#NAME?</v>
      </c>
      <c r="V534" s="291" t="e">
        <f>IF(INDEX(MO_SNA_IsHistoricalPeriod,1,COLUMN())=FALSE,0,INDEX(MO_SPT_StockHigh,1,COLUMN()))</f>
        <v>#NAME?</v>
      </c>
      <c r="W534" s="291" t="e">
        <f>IF(INDEX(MO_SNA_IsHistoricalPeriod,1,COLUMN())=FALSE,0,INDEX(MO_SPT_StockHigh,1,COLUMN()))</f>
        <v>#NAME?</v>
      </c>
      <c r="X534" s="291" t="e">
        <f>IF(INDEX(MO_SNA_IsHistoricalPeriod,1,COLUMN())=FALSE,0,INDEX(MO_SPT_StockHigh,1,COLUMN()))</f>
        <v>#NAME?</v>
      </c>
      <c r="Y534" s="291" t="e">
        <f>IF(INDEX(MO_SNA_IsHistoricalPeriod,1,COLUMN())=FALSE,0,INDEX(MO_SPT_StockHigh,1,COLUMN()))</f>
        <v>#NAME?</v>
      </c>
      <c r="Z534" s="590" t="e">
        <f>IF(INDEX(MO_SNA_IsHistoricalPeriod,1,COLUMN())=FALSE,0,INDEX(MO_SPT_StockHigh,1,COLUMN()))</f>
        <v>#NAME?</v>
      </c>
      <c r="AA534" s="291" t="e">
        <f>IF(INDEX(MO_SNA_IsHistoricalPeriod,1,COLUMN())=FALSE,0,INDEX(MO_SPT_StockHigh,1,COLUMN()))</f>
        <v>#NAME?</v>
      </c>
      <c r="AB534" s="291" t="e">
        <f>IF(INDEX(MO_SNA_IsHistoricalPeriod,1,COLUMN())=FALSE,0,INDEX(MO_SPT_StockHigh,1,COLUMN()))</f>
        <v>#NAME?</v>
      </c>
      <c r="AC534" s="291" t="e">
        <f>IF(INDEX(MO_SNA_IsHistoricalPeriod,1,COLUMN())=FALSE,0,INDEX(MO_SPT_StockHigh,1,COLUMN()))</f>
        <v>#NAME?</v>
      </c>
      <c r="AD534" s="291" t="e">
        <f>IF(INDEX(MO_SNA_IsHistoricalPeriod,1,COLUMN())=FALSE,0,INDEX(MO_SPT_StockHigh,1,COLUMN()))</f>
        <v>#NAME?</v>
      </c>
      <c r="AE534" s="590" t="e">
        <f>IF(INDEX(MO_SNA_IsHistoricalPeriod,1,COLUMN())=FALSE,0,INDEX(MO_SPT_StockHigh,1,COLUMN()))</f>
        <v>#NAME?</v>
      </c>
      <c r="AF534" s="291" t="e">
        <f>IF(INDEX(MO_SNA_IsHistoricalPeriod,1,COLUMN())=FALSE,0,INDEX(MO_SPT_StockHigh,1,COLUMN()))</f>
        <v>#NAME?</v>
      </c>
      <c r="AG534" s="291" t="e">
        <f>IF(INDEX(MO_SNA_IsHistoricalPeriod,1,COLUMN())=FALSE,0,INDEX(MO_SPT_StockHigh,1,COLUMN()))</f>
        <v>#NAME?</v>
      </c>
      <c r="AH534" s="291" t="e">
        <f>IF(INDEX(MO_SNA_IsHistoricalPeriod,1,COLUMN())=FALSE,0,INDEX(MO_SPT_StockHigh,1,COLUMN()))</f>
        <v>#NAME?</v>
      </c>
      <c r="AI534" s="291" t="e">
        <f>IF(INDEX(MO_SNA_IsHistoricalPeriod,1,COLUMN())=FALSE,0,INDEX(MO_SPT_StockHigh,1,COLUMN()))</f>
        <v>#NAME?</v>
      </c>
      <c r="AJ534" s="590" t="e">
        <f>IF(INDEX(MO_SNA_IsHistoricalPeriod,1,COLUMN())=FALSE,0,INDEX(MO_SPT_StockHigh,1,COLUMN()))</f>
        <v>#NAME?</v>
      </c>
      <c r="AK534" s="291" t="e">
        <f>IF(INDEX(MO_SNA_IsHistoricalPeriod,1,COLUMN())=FALSE,0,INDEX(MO_SPT_StockHigh,1,COLUMN()))</f>
        <v>#NAME?</v>
      </c>
      <c r="AL534" s="291" t="e">
        <f>IF(INDEX(MO_SNA_IsHistoricalPeriod,1,COLUMN())=FALSE,0,INDEX(MO_SPT_StockHigh,1,COLUMN()))</f>
        <v>#NAME?</v>
      </c>
      <c r="AM534" s="291" t="e">
        <f>IF(INDEX(MO_SNA_IsHistoricalPeriod,1,COLUMN())=FALSE,0,INDEX(MO_SPT_StockHigh,1,COLUMN()))</f>
        <v>#NAME?</v>
      </c>
      <c r="AN534" s="291" t="e">
        <f>IF(INDEX(MO_SNA_IsHistoricalPeriod,1,COLUMN())=FALSE,0,INDEX(MO_SPT_StockHigh,1,COLUMN()))</f>
        <v>#NAME?</v>
      </c>
      <c r="AO534" s="590" t="e">
        <f>IF(INDEX(MO_SNA_IsHistoricalPeriod,1,COLUMN())=FALSE,0,INDEX(MO_SPT_StockHigh,1,COLUMN()))</f>
        <v>#NAME?</v>
      </c>
      <c r="AP534" s="291" t="e">
        <f>IF(INDEX(MO_SNA_IsHistoricalPeriod,1,COLUMN())=FALSE,0,INDEX(MO_SPT_StockHigh,1,COLUMN()))</f>
        <v>#NAME?</v>
      </c>
      <c r="AQ534" s="291" t="e">
        <f>IF(INDEX(MO_SNA_IsHistoricalPeriod,1,COLUMN())=FALSE,0,INDEX(MO_SPT_StockHigh,1,COLUMN()))</f>
        <v>#NAME?</v>
      </c>
      <c r="AR534" s="291" t="e">
        <f>IF(INDEX(MO_SNA_IsHistoricalPeriod,1,COLUMN())=FALSE,0,INDEX(MO_SPT_StockHigh,1,COLUMN()))</f>
        <v>#NAME?</v>
      </c>
      <c r="AS534" s="291" t="e">
        <f>IF(INDEX(MO_SNA_IsHistoricalPeriod,1,COLUMN())=FALSE,0,INDEX(MO_SPT_StockHigh,1,COLUMN()))</f>
        <v>#NAME?</v>
      </c>
      <c r="AT534" s="590" t="e">
        <f>IF(INDEX(MO_SNA_IsHistoricalPeriod,1,COLUMN())=FALSE,0,INDEX(MO_SPT_StockHigh,1,COLUMN()))</f>
        <v>#NAME?</v>
      </c>
      <c r="AU534" s="291" t="e">
        <f>IF(INDEX(MO_SNA_IsHistoricalPeriod,1,COLUMN())=FALSE,0,INDEX(MO_SPT_StockHigh,1,COLUMN()))</f>
        <v>#NAME?</v>
      </c>
      <c r="AV534" s="291" t="e">
        <f>IF(INDEX(MO_SNA_IsHistoricalPeriod,1,COLUMN())=FALSE,0,INDEX(MO_SPT_StockHigh,1,COLUMN()))</f>
        <v>#NAME?</v>
      </c>
      <c r="AW534" s="291" t="e">
        <f>IF(INDEX(MO_SNA_IsHistoricalPeriod,1,COLUMN())=FALSE,0,INDEX(MO_SPT_StockHigh,1,COLUMN()))</f>
        <v>#NAME?</v>
      </c>
      <c r="AX534" s="291" t="e">
        <f>IF(INDEX(MO_SNA_IsHistoricalPeriod,1,COLUMN())=FALSE,0,INDEX(MO_SPT_StockHigh,1,COLUMN()))</f>
        <v>#NAME?</v>
      </c>
      <c r="AY534" s="590" t="e">
        <f>IF(INDEX(MO_SNA_IsHistoricalPeriod,1,COLUMN())=FALSE,0,INDEX(MO_SPT_StockHigh,1,COLUMN()))</f>
        <v>#NAME?</v>
      </c>
      <c r="AZ534" s="291" t="e">
        <f>IF(INDEX(MO_SNA_IsHistoricalPeriod,1,COLUMN())=FALSE,0,INDEX(MO_SPT_StockHigh,1,COLUMN()))</f>
        <v>#NAME?</v>
      </c>
      <c r="BA534" s="291" t="e">
        <f>IF(INDEX(MO_SNA_IsHistoricalPeriod,1,COLUMN())=FALSE,0,INDEX(MO_SPT_StockHigh,1,COLUMN()))</f>
        <v>#NAME?</v>
      </c>
      <c r="BB534" s="291" t="e">
        <f>IF(INDEX(MO_SNA_IsHistoricalPeriod,1,COLUMN())=FALSE,0,INDEX(MO_SPT_StockHigh,1,COLUMN()))</f>
        <v>#NAME?</v>
      </c>
      <c r="BC534" s="291" t="e">
        <f>IF(INDEX(MO_SNA_IsHistoricalPeriod,1,COLUMN())=FALSE,0,INDEX(MO_SPT_StockHigh,1,COLUMN()))</f>
        <v>#NAME?</v>
      </c>
      <c r="BD534" s="590" t="e">
        <f>IF(INDEX(MO_SNA_IsHistoricalPeriod,1,COLUMN())=FALSE,0,INDEX(MO_SPT_StockHigh,1,COLUMN()))</f>
        <v>#NAME?</v>
      </c>
      <c r="BE534" s="291" t="e">
        <f>IF(INDEX(MO_SNA_IsHistoricalPeriod,1,COLUMN())=FALSE,0,INDEX(MO_SPT_StockHigh,1,COLUMN()))</f>
        <v>#NAME?</v>
      </c>
      <c r="BF534" s="291" t="e">
        <f>IF(INDEX(MO_SNA_IsHistoricalPeriod,1,COLUMN())=FALSE,0,INDEX(MO_SPT_StockHigh,1,COLUMN()))</f>
        <v>#NAME?</v>
      </c>
      <c r="BG534" s="291" t="e">
        <f>IF(INDEX(MO_SNA_IsHistoricalPeriod,1,COLUMN())=FALSE,0,INDEX(MO_SPT_StockHigh,1,COLUMN()))</f>
        <v>#NAME?</v>
      </c>
      <c r="BH534" s="291" t="e">
        <f>IF(INDEX(MO_SNA_IsHistoricalPeriod,1,COLUMN())=FALSE,0,INDEX(MO_SPT_StockHigh,1,COLUMN()))</f>
        <v>#NAME?</v>
      </c>
      <c r="BI534" s="590" t="e">
        <f>IF(INDEX(MO_SNA_IsHistoricalPeriod,1,COLUMN())=FALSE,0,INDEX(MO_SPT_StockHigh,1,COLUMN()))</f>
        <v>#NAME?</v>
      </c>
      <c r="BJ534" s="291" t="e">
        <f>IF(INDEX(MO_SNA_IsHistoricalPeriod,1,COLUMN())=FALSE,0,INDEX(MO_SPT_StockHigh,1,COLUMN()))</f>
        <v>#NAME?</v>
      </c>
      <c r="BK534" s="291" t="e">
        <f>IF(INDEX(MO_SNA_IsHistoricalPeriod,1,COLUMN())=FALSE,0,INDEX(MO_SPT_StockHigh,1,COLUMN()))</f>
        <v>#NAME?</v>
      </c>
      <c r="BL534" s="291" t="e">
        <f>IF(INDEX(MO_SNA_IsHistoricalPeriod,1,COLUMN())=FALSE,0,INDEX(MO_SPT_StockHigh,1,COLUMN()))</f>
        <v>#NAME?</v>
      </c>
      <c r="BM534" s="291" t="e">
        <f>IF(INDEX(MO_SNA_IsHistoricalPeriod,1,COLUMN())=FALSE,0,INDEX(MO_SPT_StockHigh,1,COLUMN()))</f>
        <v>#NAME?</v>
      </c>
      <c r="BN534" s="590" t="e">
        <f>IF(INDEX(MO_SNA_IsHistoricalPeriod,1,COLUMN())=FALSE,0,INDEX(MO_SPT_StockHigh,1,COLUMN()))</f>
        <v>#NAME?</v>
      </c>
      <c r="BO534" s="291" t="e">
        <f>IF(INDEX(MO_SNA_IsHistoricalPeriod,1,COLUMN())=FALSE,0,INDEX(MO_SPT_StockHigh,1,COLUMN()))</f>
        <v>#NAME?</v>
      </c>
      <c r="BP534" s="291" t="e">
        <f>IF(INDEX(MO_SNA_IsHistoricalPeriod,1,COLUMN())=FALSE,0,INDEX(MO_SPT_StockHigh,1,COLUMN()))</f>
        <v>#NAME?</v>
      </c>
      <c r="BQ534" s="291" t="e">
        <f>IF(INDEX(MO_SNA_IsHistoricalPeriod,1,COLUMN())=FALSE,0,INDEX(MO_SPT_StockHigh,1,COLUMN()))</f>
        <v>#NAME?</v>
      </c>
      <c r="BR534" s="291" t="e">
        <f>IF(INDEX(MO_SNA_IsHistoricalPeriod,1,COLUMN())=FALSE,0,INDEX(MO_SPT_StockHigh,1,COLUMN()))</f>
        <v>#NAME?</v>
      </c>
      <c r="BS534" s="591" t="e">
        <f>IF(INDEX(MO_SNA_IsHistoricalPeriod,1,COLUMN())=FALSE,0,INDEX(MO_SPT_StockHigh,1,COLUMN()))</f>
        <v>#NAME?</v>
      </c>
      <c r="BT534" s="592" t="e">
        <f>IF(INDEX(MO_SNA_IsHistoricalPeriod,1,COLUMN())=FALSE,0,INDEX(MO_SPT_StockHigh,1,COLUMN()))</f>
        <v>#NAME?</v>
      </c>
      <c r="BU534" s="592" t="e">
        <f>IF(INDEX(MO_SNA_IsHistoricalPeriod,1,COLUMN())=FALSE,0,INDEX(MO_SPT_StockHigh,1,COLUMN()))</f>
        <v>#NAME?</v>
      </c>
      <c r="BV534" s="592" t="e">
        <f>IF(INDEX(MO_SNA_IsHistoricalPeriod,1,COLUMN())=FALSE,0,INDEX(MO_SPT_StockHigh,1,COLUMN()))</f>
        <v>#NAME?</v>
      </c>
      <c r="BW534" s="592" t="e">
        <f>IF(INDEX(MO_SNA_IsHistoricalPeriod,1,COLUMN())=FALSE,0,INDEX(MO_SPT_StockHigh,1,COLUMN()))</f>
        <v>#NAME?</v>
      </c>
      <c r="BX534" s="590" t="e">
        <f>IF(INDEX(MO_SNA_IsHistoricalPeriod,1,COLUMN())=FALSE,0,INDEX(MO_SPT_StockHigh,1,COLUMN()))</f>
        <v>#NAME?</v>
      </c>
      <c r="BY534" s="592" t="e">
        <f>IF(INDEX(MO_SNA_IsHistoricalPeriod,1,COLUMN())=FALSE,0,INDEX(MO_SPT_StockHigh,1,COLUMN()))</f>
        <v>#NAME?</v>
      </c>
      <c r="BZ534" s="592" t="e">
        <f>IF(INDEX(MO_SNA_IsHistoricalPeriod,1,COLUMN())=FALSE,0,INDEX(MO_SPT_StockHigh,1,COLUMN()))</f>
        <v>#NAME?</v>
      </c>
      <c r="CA534" s="592" t="e">
        <f>IF(INDEX(MO_SNA_IsHistoricalPeriod,1,COLUMN())=FALSE,0,INDEX(MO_SPT_StockHigh,1,COLUMN()))</f>
        <v>#NAME?</v>
      </c>
      <c r="CB534" s="592" t="e">
        <f>IF(INDEX(MO_SNA_IsHistoricalPeriod,1,COLUMN())=FALSE,0,INDEX(MO_SPT_StockHigh,1,COLUMN()))</f>
        <v>#NAME?</v>
      </c>
      <c r="CC534" s="590" t="e">
        <f>IF(INDEX(MO_SNA_IsHistoricalPeriod,1,COLUMN())=FALSE,0,INDEX(MO_SPT_StockHigh,1,COLUMN()))</f>
        <v>#NAME?</v>
      </c>
      <c r="CD534" s="590" t="e">
        <f>IF(INDEX(MO_SNA_IsHistoricalPeriod,1,COLUMN())=FALSE,0,INDEX(MO_SPT_StockHigh,1,COLUMN()))</f>
        <v>#NAME?</v>
      </c>
      <c r="CE534" s="590" t="e">
        <f>IF(INDEX(MO_SNA_IsHistoricalPeriod,1,COLUMN())=FALSE,0,INDEX(MO_SPT_StockHigh,1,COLUMN()))</f>
        <v>#NAME?</v>
      </c>
      <c r="CF534" s="590" t="e">
        <f>IF(INDEX(MO_SNA_IsHistoricalPeriod,1,COLUMN())=FALSE,0,INDEX(MO_SPT_StockHigh,1,COLUMN()))</f>
        <v>#NAME?</v>
      </c>
      <c r="CG534" s="368"/>
    </row>
    <row r="535" spans="1:85" ht="14.45" hidden="1" customHeight="1" x14ac:dyDescent="0.25">
      <c r="A535" s="289" t="e">
        <f>"Stock Low, "&amp;HP.TradeCurrency</f>
        <v>#NAME?</v>
      </c>
      <c r="B535" s="290"/>
      <c r="C535" s="589" t="e">
        <f>IF(INDEX(MO_SNA_IsHistoricalPeriod,1,COLUMN())=FALSE,0,INDEX(MO_SPT_StockLow,1,COLUMN()))</f>
        <v>#NAME?</v>
      </c>
      <c r="D535" s="589" t="e">
        <f>IF(INDEX(MO_SNA_IsHistoricalPeriod,1,COLUMN())=FALSE,0,INDEX(MO_SPT_StockLow,1,COLUMN()))</f>
        <v>#NAME?</v>
      </c>
      <c r="E535" s="589" t="e">
        <f>IF(INDEX(MO_SNA_IsHistoricalPeriod,1,COLUMN())=FALSE,0,INDEX(MO_SPT_StockLow,1,COLUMN()))</f>
        <v>#NAME?</v>
      </c>
      <c r="F535" s="589" t="e">
        <f>IF(INDEX(MO_SNA_IsHistoricalPeriod,1,COLUMN())=FALSE,0,INDEX(MO_SPT_StockLow,1,COLUMN()))</f>
        <v>#NAME?</v>
      </c>
      <c r="G535" s="291" t="e">
        <f>IF(INDEX(MO_SNA_IsHistoricalPeriod,1,COLUMN())=FALSE,0,INDEX(MO_SPT_StockLow,1,COLUMN()))</f>
        <v>#NAME?</v>
      </c>
      <c r="H535" s="291" t="e">
        <f>IF(INDEX(MO_SNA_IsHistoricalPeriod,1,COLUMN())=FALSE,0,INDEX(MO_SPT_StockLow,1,COLUMN()))</f>
        <v>#NAME?</v>
      </c>
      <c r="I535" s="291" t="e">
        <f>IF(INDEX(MO_SNA_IsHistoricalPeriod,1,COLUMN())=FALSE,0,INDEX(MO_SPT_StockLow,1,COLUMN()))</f>
        <v>#NAME?</v>
      </c>
      <c r="J535" s="291" t="e">
        <f>IF(INDEX(MO_SNA_IsHistoricalPeriod,1,COLUMN())=FALSE,0,INDEX(MO_SPT_StockLow,1,COLUMN()))</f>
        <v>#NAME?</v>
      </c>
      <c r="K535" s="589" t="e">
        <f>IF(INDEX(MO_SNA_IsHistoricalPeriod,1,COLUMN())=FALSE,0,INDEX(MO_SPT_StockLow,1,COLUMN()))</f>
        <v>#NAME?</v>
      </c>
      <c r="L535" s="291" t="e">
        <f>IF(INDEX(MO_SNA_IsHistoricalPeriod,1,COLUMN())=FALSE,0,INDEX(MO_SPT_StockLow,1,COLUMN()))</f>
        <v>#NAME?</v>
      </c>
      <c r="M535" s="291" t="e">
        <f>IF(INDEX(MO_SNA_IsHistoricalPeriod,1,COLUMN())=FALSE,0,INDEX(MO_SPT_StockLow,1,COLUMN()))</f>
        <v>#NAME?</v>
      </c>
      <c r="N535" s="291" t="e">
        <f>IF(INDEX(MO_SNA_IsHistoricalPeriod,1,COLUMN())=FALSE,0,INDEX(MO_SPT_StockLow,1,COLUMN()))</f>
        <v>#NAME?</v>
      </c>
      <c r="O535" s="291" t="e">
        <f>IF(INDEX(MO_SNA_IsHistoricalPeriod,1,COLUMN())=FALSE,0,INDEX(MO_SPT_StockLow,1,COLUMN()))</f>
        <v>#NAME?</v>
      </c>
      <c r="P535" s="589" t="e">
        <f>IF(INDEX(MO_SNA_IsHistoricalPeriod,1,COLUMN())=FALSE,0,INDEX(MO_SPT_StockLow,1,COLUMN()))</f>
        <v>#NAME?</v>
      </c>
      <c r="Q535" s="291" t="e">
        <f>IF(INDEX(MO_SNA_IsHistoricalPeriod,1,COLUMN())=FALSE,0,INDEX(MO_SPT_StockLow,1,COLUMN()))</f>
        <v>#NAME?</v>
      </c>
      <c r="R535" s="291" t="e">
        <f>IF(INDEX(MO_SNA_IsHistoricalPeriod,1,COLUMN())=FALSE,0,INDEX(MO_SPT_StockLow,1,COLUMN()))</f>
        <v>#NAME?</v>
      </c>
      <c r="S535" s="291" t="e">
        <f>IF(INDEX(MO_SNA_IsHistoricalPeriod,1,COLUMN())=FALSE,0,INDEX(MO_SPT_StockLow,1,COLUMN()))</f>
        <v>#NAME?</v>
      </c>
      <c r="T535" s="291" t="e">
        <f>IF(INDEX(MO_SNA_IsHistoricalPeriod,1,COLUMN())=FALSE,0,INDEX(MO_SPT_StockLow,1,COLUMN()))</f>
        <v>#NAME?</v>
      </c>
      <c r="U535" s="589" t="e">
        <f>IF(INDEX(MO_SNA_IsHistoricalPeriod,1,COLUMN())=FALSE,0,INDEX(MO_SPT_StockLow,1,COLUMN()))</f>
        <v>#NAME?</v>
      </c>
      <c r="V535" s="291" t="e">
        <f>IF(INDEX(MO_SNA_IsHistoricalPeriod,1,COLUMN())=FALSE,0,INDEX(MO_SPT_StockLow,1,COLUMN()))</f>
        <v>#NAME?</v>
      </c>
      <c r="W535" s="291" t="e">
        <f>IF(INDEX(MO_SNA_IsHistoricalPeriod,1,COLUMN())=FALSE,0,INDEX(MO_SPT_StockLow,1,COLUMN()))</f>
        <v>#NAME?</v>
      </c>
      <c r="X535" s="291" t="e">
        <f>IF(INDEX(MO_SNA_IsHistoricalPeriod,1,COLUMN())=FALSE,0,INDEX(MO_SPT_StockLow,1,COLUMN()))</f>
        <v>#NAME?</v>
      </c>
      <c r="Y535" s="291" t="e">
        <f>IF(INDEX(MO_SNA_IsHistoricalPeriod,1,COLUMN())=FALSE,0,INDEX(MO_SPT_StockLow,1,COLUMN()))</f>
        <v>#NAME?</v>
      </c>
      <c r="Z535" s="590" t="e">
        <f>IF(INDEX(MO_SNA_IsHistoricalPeriod,1,COLUMN())=FALSE,0,INDEX(MO_SPT_StockLow,1,COLUMN()))</f>
        <v>#NAME?</v>
      </c>
      <c r="AA535" s="291" t="e">
        <f>IF(INDEX(MO_SNA_IsHistoricalPeriod,1,COLUMN())=FALSE,0,INDEX(MO_SPT_StockLow,1,COLUMN()))</f>
        <v>#NAME?</v>
      </c>
      <c r="AB535" s="291" t="e">
        <f>IF(INDEX(MO_SNA_IsHistoricalPeriod,1,COLUMN())=FALSE,0,INDEX(MO_SPT_StockLow,1,COLUMN()))</f>
        <v>#NAME?</v>
      </c>
      <c r="AC535" s="291" t="e">
        <f>IF(INDEX(MO_SNA_IsHistoricalPeriod,1,COLUMN())=FALSE,0,INDEX(MO_SPT_StockLow,1,COLUMN()))</f>
        <v>#NAME?</v>
      </c>
      <c r="AD535" s="291" t="e">
        <f>IF(INDEX(MO_SNA_IsHistoricalPeriod,1,COLUMN())=FALSE,0,INDEX(MO_SPT_StockLow,1,COLUMN()))</f>
        <v>#NAME?</v>
      </c>
      <c r="AE535" s="590" t="e">
        <f>IF(INDEX(MO_SNA_IsHistoricalPeriod,1,COLUMN())=FALSE,0,INDEX(MO_SPT_StockLow,1,COLUMN()))</f>
        <v>#NAME?</v>
      </c>
      <c r="AF535" s="291" t="e">
        <f>IF(INDEX(MO_SNA_IsHistoricalPeriod,1,COLUMN())=FALSE,0,INDEX(MO_SPT_StockLow,1,COLUMN()))</f>
        <v>#NAME?</v>
      </c>
      <c r="AG535" s="291" t="e">
        <f>IF(INDEX(MO_SNA_IsHistoricalPeriod,1,COLUMN())=FALSE,0,INDEX(MO_SPT_StockLow,1,COLUMN()))</f>
        <v>#NAME?</v>
      </c>
      <c r="AH535" s="291" t="e">
        <f>IF(INDEX(MO_SNA_IsHistoricalPeriod,1,COLUMN())=FALSE,0,INDEX(MO_SPT_StockLow,1,COLUMN()))</f>
        <v>#NAME?</v>
      </c>
      <c r="AI535" s="291" t="e">
        <f>IF(INDEX(MO_SNA_IsHistoricalPeriod,1,COLUMN())=FALSE,0,INDEX(MO_SPT_StockLow,1,COLUMN()))</f>
        <v>#NAME?</v>
      </c>
      <c r="AJ535" s="590" t="e">
        <f>IF(INDEX(MO_SNA_IsHistoricalPeriod,1,COLUMN())=FALSE,0,INDEX(MO_SPT_StockLow,1,COLUMN()))</f>
        <v>#NAME?</v>
      </c>
      <c r="AK535" s="291" t="e">
        <f>IF(INDEX(MO_SNA_IsHistoricalPeriod,1,COLUMN())=FALSE,0,INDEX(MO_SPT_StockLow,1,COLUMN()))</f>
        <v>#NAME?</v>
      </c>
      <c r="AL535" s="291" t="e">
        <f>IF(INDEX(MO_SNA_IsHistoricalPeriod,1,COLUMN())=FALSE,0,INDEX(MO_SPT_StockLow,1,COLUMN()))</f>
        <v>#NAME?</v>
      </c>
      <c r="AM535" s="291" t="e">
        <f>IF(INDEX(MO_SNA_IsHistoricalPeriod,1,COLUMN())=FALSE,0,INDEX(MO_SPT_StockLow,1,COLUMN()))</f>
        <v>#NAME?</v>
      </c>
      <c r="AN535" s="291" t="e">
        <f>IF(INDEX(MO_SNA_IsHistoricalPeriod,1,COLUMN())=FALSE,0,INDEX(MO_SPT_StockLow,1,COLUMN()))</f>
        <v>#NAME?</v>
      </c>
      <c r="AO535" s="590" t="e">
        <f>IF(INDEX(MO_SNA_IsHistoricalPeriod,1,COLUMN())=FALSE,0,INDEX(MO_SPT_StockLow,1,COLUMN()))</f>
        <v>#NAME?</v>
      </c>
      <c r="AP535" s="291" t="e">
        <f>IF(INDEX(MO_SNA_IsHistoricalPeriod,1,COLUMN())=FALSE,0,INDEX(MO_SPT_StockLow,1,COLUMN()))</f>
        <v>#NAME?</v>
      </c>
      <c r="AQ535" s="291" t="e">
        <f>IF(INDEX(MO_SNA_IsHistoricalPeriod,1,COLUMN())=FALSE,0,INDEX(MO_SPT_StockLow,1,COLUMN()))</f>
        <v>#NAME?</v>
      </c>
      <c r="AR535" s="291" t="e">
        <f>IF(INDEX(MO_SNA_IsHistoricalPeriod,1,COLUMN())=FALSE,0,INDEX(MO_SPT_StockLow,1,COLUMN()))</f>
        <v>#NAME?</v>
      </c>
      <c r="AS535" s="291" t="e">
        <f>IF(INDEX(MO_SNA_IsHistoricalPeriod,1,COLUMN())=FALSE,0,INDEX(MO_SPT_StockLow,1,COLUMN()))</f>
        <v>#NAME?</v>
      </c>
      <c r="AT535" s="590" t="e">
        <f>IF(INDEX(MO_SNA_IsHistoricalPeriod,1,COLUMN())=FALSE,0,INDEX(MO_SPT_StockLow,1,COLUMN()))</f>
        <v>#NAME?</v>
      </c>
      <c r="AU535" s="291" t="e">
        <f>IF(INDEX(MO_SNA_IsHistoricalPeriod,1,COLUMN())=FALSE,0,INDEX(MO_SPT_StockLow,1,COLUMN()))</f>
        <v>#NAME?</v>
      </c>
      <c r="AV535" s="291" t="e">
        <f>IF(INDEX(MO_SNA_IsHistoricalPeriod,1,COLUMN())=FALSE,0,INDEX(MO_SPT_StockLow,1,COLUMN()))</f>
        <v>#NAME?</v>
      </c>
      <c r="AW535" s="291" t="e">
        <f>IF(INDEX(MO_SNA_IsHistoricalPeriod,1,COLUMN())=FALSE,0,INDEX(MO_SPT_StockLow,1,COLUMN()))</f>
        <v>#NAME?</v>
      </c>
      <c r="AX535" s="291" t="e">
        <f>IF(INDEX(MO_SNA_IsHistoricalPeriod,1,COLUMN())=FALSE,0,INDEX(MO_SPT_StockLow,1,COLUMN()))</f>
        <v>#NAME?</v>
      </c>
      <c r="AY535" s="590" t="e">
        <f>IF(INDEX(MO_SNA_IsHistoricalPeriod,1,COLUMN())=FALSE,0,INDEX(MO_SPT_StockLow,1,COLUMN()))</f>
        <v>#NAME?</v>
      </c>
      <c r="AZ535" s="291" t="e">
        <f>IF(INDEX(MO_SNA_IsHistoricalPeriod,1,COLUMN())=FALSE,0,INDEX(MO_SPT_StockLow,1,COLUMN()))</f>
        <v>#NAME?</v>
      </c>
      <c r="BA535" s="291" t="e">
        <f>IF(INDEX(MO_SNA_IsHistoricalPeriod,1,COLUMN())=FALSE,0,INDEX(MO_SPT_StockLow,1,COLUMN()))</f>
        <v>#NAME?</v>
      </c>
      <c r="BB535" s="291" t="e">
        <f>IF(INDEX(MO_SNA_IsHistoricalPeriod,1,COLUMN())=FALSE,0,INDEX(MO_SPT_StockLow,1,COLUMN()))</f>
        <v>#NAME?</v>
      </c>
      <c r="BC535" s="291" t="e">
        <f>IF(INDEX(MO_SNA_IsHistoricalPeriod,1,COLUMN())=FALSE,0,INDEX(MO_SPT_StockLow,1,COLUMN()))</f>
        <v>#NAME?</v>
      </c>
      <c r="BD535" s="590" t="e">
        <f>IF(INDEX(MO_SNA_IsHistoricalPeriod,1,COLUMN())=FALSE,0,INDEX(MO_SPT_StockLow,1,COLUMN()))</f>
        <v>#NAME?</v>
      </c>
      <c r="BE535" s="291" t="e">
        <f>IF(INDEX(MO_SNA_IsHistoricalPeriod,1,COLUMN())=FALSE,0,INDEX(MO_SPT_StockLow,1,COLUMN()))</f>
        <v>#NAME?</v>
      </c>
      <c r="BF535" s="291" t="e">
        <f>IF(INDEX(MO_SNA_IsHistoricalPeriod,1,COLUMN())=FALSE,0,INDEX(MO_SPT_StockLow,1,COLUMN()))</f>
        <v>#NAME?</v>
      </c>
      <c r="BG535" s="291" t="e">
        <f>IF(INDEX(MO_SNA_IsHistoricalPeriod,1,COLUMN())=FALSE,0,INDEX(MO_SPT_StockLow,1,COLUMN()))</f>
        <v>#NAME?</v>
      </c>
      <c r="BH535" s="291" t="e">
        <f>IF(INDEX(MO_SNA_IsHistoricalPeriod,1,COLUMN())=FALSE,0,INDEX(MO_SPT_StockLow,1,COLUMN()))</f>
        <v>#NAME?</v>
      </c>
      <c r="BI535" s="590" t="e">
        <f>IF(INDEX(MO_SNA_IsHistoricalPeriod,1,COLUMN())=FALSE,0,INDEX(MO_SPT_StockLow,1,COLUMN()))</f>
        <v>#NAME?</v>
      </c>
      <c r="BJ535" s="291" t="e">
        <f>IF(INDEX(MO_SNA_IsHistoricalPeriod,1,COLUMN())=FALSE,0,INDEX(MO_SPT_StockLow,1,COLUMN()))</f>
        <v>#NAME?</v>
      </c>
      <c r="BK535" s="291" t="e">
        <f>IF(INDEX(MO_SNA_IsHistoricalPeriod,1,COLUMN())=FALSE,0,INDEX(MO_SPT_StockLow,1,COLUMN()))</f>
        <v>#NAME?</v>
      </c>
      <c r="BL535" s="291" t="e">
        <f>IF(INDEX(MO_SNA_IsHistoricalPeriod,1,COLUMN())=FALSE,0,INDEX(MO_SPT_StockLow,1,COLUMN()))</f>
        <v>#NAME?</v>
      </c>
      <c r="BM535" s="291" t="e">
        <f>IF(INDEX(MO_SNA_IsHistoricalPeriod,1,COLUMN())=FALSE,0,INDEX(MO_SPT_StockLow,1,COLUMN()))</f>
        <v>#NAME?</v>
      </c>
      <c r="BN535" s="590" t="e">
        <f>IF(INDEX(MO_SNA_IsHistoricalPeriod,1,COLUMN())=FALSE,0,INDEX(MO_SPT_StockLow,1,COLUMN()))</f>
        <v>#NAME?</v>
      </c>
      <c r="BO535" s="291" t="e">
        <f>IF(INDEX(MO_SNA_IsHistoricalPeriod,1,COLUMN())=FALSE,0,INDEX(MO_SPT_StockLow,1,COLUMN()))</f>
        <v>#NAME?</v>
      </c>
      <c r="BP535" s="291" t="e">
        <f>IF(INDEX(MO_SNA_IsHistoricalPeriod,1,COLUMN())=FALSE,0,INDEX(MO_SPT_StockLow,1,COLUMN()))</f>
        <v>#NAME?</v>
      </c>
      <c r="BQ535" s="291" t="e">
        <f>IF(INDEX(MO_SNA_IsHistoricalPeriod,1,COLUMN())=FALSE,0,INDEX(MO_SPT_StockLow,1,COLUMN()))</f>
        <v>#NAME?</v>
      </c>
      <c r="BR535" s="291" t="e">
        <f>IF(INDEX(MO_SNA_IsHistoricalPeriod,1,COLUMN())=FALSE,0,INDEX(MO_SPT_StockLow,1,COLUMN()))</f>
        <v>#NAME?</v>
      </c>
      <c r="BS535" s="591" t="e">
        <f>IF(INDEX(MO_SNA_IsHistoricalPeriod,1,COLUMN())=FALSE,0,INDEX(MO_SPT_StockLow,1,COLUMN()))</f>
        <v>#NAME?</v>
      </c>
      <c r="BT535" s="592" t="e">
        <f>IF(INDEX(MO_SNA_IsHistoricalPeriod,1,COLUMN())=FALSE,0,INDEX(MO_SPT_StockLow,1,COLUMN()))</f>
        <v>#NAME?</v>
      </c>
      <c r="BU535" s="592" t="e">
        <f>IF(INDEX(MO_SNA_IsHistoricalPeriod,1,COLUMN())=FALSE,0,INDEX(MO_SPT_StockLow,1,COLUMN()))</f>
        <v>#NAME?</v>
      </c>
      <c r="BV535" s="592" t="e">
        <f>IF(INDEX(MO_SNA_IsHistoricalPeriod,1,COLUMN())=FALSE,0,INDEX(MO_SPT_StockLow,1,COLUMN()))</f>
        <v>#NAME?</v>
      </c>
      <c r="BW535" s="592" t="e">
        <f>IF(INDEX(MO_SNA_IsHistoricalPeriod,1,COLUMN())=FALSE,0,INDEX(MO_SPT_StockLow,1,COLUMN()))</f>
        <v>#NAME?</v>
      </c>
      <c r="BX535" s="590" t="e">
        <f>IF(INDEX(MO_SNA_IsHistoricalPeriod,1,COLUMN())=FALSE,0,INDEX(MO_SPT_StockLow,1,COLUMN()))</f>
        <v>#NAME?</v>
      </c>
      <c r="BY535" s="592" t="e">
        <f>IF(INDEX(MO_SNA_IsHistoricalPeriod,1,COLUMN())=FALSE,0,INDEX(MO_SPT_StockLow,1,COLUMN()))</f>
        <v>#NAME?</v>
      </c>
      <c r="BZ535" s="592" t="e">
        <f>IF(INDEX(MO_SNA_IsHistoricalPeriod,1,COLUMN())=FALSE,0,INDEX(MO_SPT_StockLow,1,COLUMN()))</f>
        <v>#NAME?</v>
      </c>
      <c r="CA535" s="592" t="e">
        <f>IF(INDEX(MO_SNA_IsHistoricalPeriod,1,COLUMN())=FALSE,0,INDEX(MO_SPT_StockLow,1,COLUMN()))</f>
        <v>#NAME?</v>
      </c>
      <c r="CB535" s="592" t="e">
        <f>IF(INDEX(MO_SNA_IsHistoricalPeriod,1,COLUMN())=FALSE,0,INDEX(MO_SPT_StockLow,1,COLUMN()))</f>
        <v>#NAME?</v>
      </c>
      <c r="CC535" s="590" t="e">
        <f>IF(INDEX(MO_SNA_IsHistoricalPeriod,1,COLUMN())=FALSE,0,INDEX(MO_SPT_StockLow,1,COLUMN()))</f>
        <v>#NAME?</v>
      </c>
      <c r="CD535" s="590" t="e">
        <f>IF(INDEX(MO_SNA_IsHistoricalPeriod,1,COLUMN())=FALSE,0,INDEX(MO_SPT_StockLow,1,COLUMN()))</f>
        <v>#NAME?</v>
      </c>
      <c r="CE535" s="590" t="e">
        <f>IF(INDEX(MO_SNA_IsHistoricalPeriod,1,COLUMN())=FALSE,0,INDEX(MO_SPT_StockLow,1,COLUMN()))</f>
        <v>#NAME?</v>
      </c>
      <c r="CF535" s="590" t="e">
        <f>IF(INDEX(MO_SNA_IsHistoricalPeriod,1,COLUMN())=FALSE,0,INDEX(MO_SPT_StockLow,1,COLUMN()))</f>
        <v>#NAME?</v>
      </c>
      <c r="CG535" s="368"/>
    </row>
    <row r="536" spans="1:85" ht="14.45" hidden="1" customHeight="1" x14ac:dyDescent="0.25">
      <c r="A536" s="289" t="e">
        <f>"Stock Average, "&amp;HP.TradeCurrency</f>
        <v>#NAME?</v>
      </c>
      <c r="B536" s="290"/>
      <c r="C536" s="589" t="e">
        <f>IF(INDEX(MO_SNA_IsHistoricalPeriod,1,COLUMN())=FALSE,0,INDEX(MO_SPT_StockAverage,1,COLUMN()))</f>
        <v>#NAME?</v>
      </c>
      <c r="D536" s="589" t="e">
        <f>IF(INDEX(MO_SNA_IsHistoricalPeriod,1,COLUMN())=FALSE,0,INDEX(MO_SPT_StockAverage,1,COLUMN()))</f>
        <v>#NAME?</v>
      </c>
      <c r="E536" s="589" t="e">
        <f>IF(INDEX(MO_SNA_IsHistoricalPeriod,1,COLUMN())=FALSE,0,INDEX(MO_SPT_StockAverage,1,COLUMN()))</f>
        <v>#NAME?</v>
      </c>
      <c r="F536" s="589" t="e">
        <f>IF(INDEX(MO_SNA_IsHistoricalPeriod,1,COLUMN())=FALSE,0,INDEX(MO_SPT_StockAverage,1,COLUMN()))</f>
        <v>#NAME?</v>
      </c>
      <c r="G536" s="291" t="e">
        <f>IF(INDEX(MO_SNA_IsHistoricalPeriod,1,COLUMN())=FALSE,0,INDEX(MO_SPT_StockAverage,1,COLUMN()))</f>
        <v>#NAME?</v>
      </c>
      <c r="H536" s="291" t="e">
        <f>IF(INDEX(MO_SNA_IsHistoricalPeriod,1,COLUMN())=FALSE,0,INDEX(MO_SPT_StockAverage,1,COLUMN()))</f>
        <v>#NAME?</v>
      </c>
      <c r="I536" s="291" t="e">
        <f>IF(INDEX(MO_SNA_IsHistoricalPeriod,1,COLUMN())=FALSE,0,INDEX(MO_SPT_StockAverage,1,COLUMN()))</f>
        <v>#NAME?</v>
      </c>
      <c r="J536" s="291" t="e">
        <f>IF(INDEX(MO_SNA_IsHistoricalPeriod,1,COLUMN())=FALSE,0,INDEX(MO_SPT_StockAverage,1,COLUMN()))</f>
        <v>#NAME?</v>
      </c>
      <c r="K536" s="589" t="e">
        <f>IF(INDEX(MO_SNA_IsHistoricalPeriod,1,COLUMN())=FALSE,0,INDEX(MO_SPT_StockAverage,1,COLUMN()))</f>
        <v>#NAME?</v>
      </c>
      <c r="L536" s="291" t="e">
        <f>IF(INDEX(MO_SNA_IsHistoricalPeriod,1,COLUMN())=FALSE,0,INDEX(MO_SPT_StockAverage,1,COLUMN()))</f>
        <v>#NAME?</v>
      </c>
      <c r="M536" s="291" t="e">
        <f>IF(INDEX(MO_SNA_IsHistoricalPeriod,1,COLUMN())=FALSE,0,INDEX(MO_SPT_StockAverage,1,COLUMN()))</f>
        <v>#NAME?</v>
      </c>
      <c r="N536" s="291" t="e">
        <f>IF(INDEX(MO_SNA_IsHistoricalPeriod,1,COLUMN())=FALSE,0,INDEX(MO_SPT_StockAverage,1,COLUMN()))</f>
        <v>#NAME?</v>
      </c>
      <c r="O536" s="291" t="e">
        <f>IF(INDEX(MO_SNA_IsHistoricalPeriod,1,COLUMN())=FALSE,0,INDEX(MO_SPT_StockAverage,1,COLUMN()))</f>
        <v>#NAME?</v>
      </c>
      <c r="P536" s="589" t="e">
        <f>IF(INDEX(MO_SNA_IsHistoricalPeriod,1,COLUMN())=FALSE,0,INDEX(MO_SPT_StockAverage,1,COLUMN()))</f>
        <v>#NAME?</v>
      </c>
      <c r="Q536" s="291" t="e">
        <f>IF(INDEX(MO_SNA_IsHistoricalPeriod,1,COLUMN())=FALSE,0,INDEX(MO_SPT_StockAverage,1,COLUMN()))</f>
        <v>#NAME?</v>
      </c>
      <c r="R536" s="291" t="e">
        <f>IF(INDEX(MO_SNA_IsHistoricalPeriod,1,COLUMN())=FALSE,0,INDEX(MO_SPT_StockAverage,1,COLUMN()))</f>
        <v>#NAME?</v>
      </c>
      <c r="S536" s="291" t="e">
        <f>IF(INDEX(MO_SNA_IsHistoricalPeriod,1,COLUMN())=FALSE,0,INDEX(MO_SPT_StockAverage,1,COLUMN()))</f>
        <v>#NAME?</v>
      </c>
      <c r="T536" s="291" t="e">
        <f>IF(INDEX(MO_SNA_IsHistoricalPeriod,1,COLUMN())=FALSE,0,INDEX(MO_SPT_StockAverage,1,COLUMN()))</f>
        <v>#NAME?</v>
      </c>
      <c r="U536" s="589" t="e">
        <f>IF(INDEX(MO_SNA_IsHistoricalPeriod,1,COLUMN())=FALSE,0,INDEX(MO_SPT_StockAverage,1,COLUMN()))</f>
        <v>#NAME?</v>
      </c>
      <c r="V536" s="291" t="e">
        <f>IF(INDEX(MO_SNA_IsHistoricalPeriod,1,COLUMN())=FALSE,0,INDEX(MO_SPT_StockAverage,1,COLUMN()))</f>
        <v>#NAME?</v>
      </c>
      <c r="W536" s="291" t="e">
        <f>IF(INDEX(MO_SNA_IsHistoricalPeriod,1,COLUMN())=FALSE,0,INDEX(MO_SPT_StockAverage,1,COLUMN()))</f>
        <v>#NAME?</v>
      </c>
      <c r="X536" s="291" t="e">
        <f>IF(INDEX(MO_SNA_IsHistoricalPeriod,1,COLUMN())=FALSE,0,INDEX(MO_SPT_StockAverage,1,COLUMN()))</f>
        <v>#NAME?</v>
      </c>
      <c r="Y536" s="291" t="e">
        <f>IF(INDEX(MO_SNA_IsHistoricalPeriod,1,COLUMN())=FALSE,0,INDEX(MO_SPT_StockAverage,1,COLUMN()))</f>
        <v>#NAME?</v>
      </c>
      <c r="Z536" s="590" t="e">
        <f>IF(INDEX(MO_SNA_IsHistoricalPeriod,1,COLUMN())=FALSE,0,INDEX(MO_SPT_StockAverage,1,COLUMN()))</f>
        <v>#NAME?</v>
      </c>
      <c r="AA536" s="291" t="e">
        <f>IF(INDEX(MO_SNA_IsHistoricalPeriod,1,COLUMN())=FALSE,0,INDEX(MO_SPT_StockAverage,1,COLUMN()))</f>
        <v>#NAME?</v>
      </c>
      <c r="AB536" s="291" t="e">
        <f>IF(INDEX(MO_SNA_IsHistoricalPeriod,1,COLUMN())=FALSE,0,INDEX(MO_SPT_StockAverage,1,COLUMN()))</f>
        <v>#NAME?</v>
      </c>
      <c r="AC536" s="291" t="e">
        <f>IF(INDEX(MO_SNA_IsHistoricalPeriod,1,COLUMN())=FALSE,0,INDEX(MO_SPT_StockAverage,1,COLUMN()))</f>
        <v>#NAME?</v>
      </c>
      <c r="AD536" s="291" t="e">
        <f>IF(INDEX(MO_SNA_IsHistoricalPeriod,1,COLUMN())=FALSE,0,INDEX(MO_SPT_StockAverage,1,COLUMN()))</f>
        <v>#NAME?</v>
      </c>
      <c r="AE536" s="590" t="e">
        <f>IF(INDEX(MO_SNA_IsHistoricalPeriod,1,COLUMN())=FALSE,0,INDEX(MO_SPT_StockAverage,1,COLUMN()))</f>
        <v>#NAME?</v>
      </c>
      <c r="AF536" s="291" t="e">
        <f>IF(INDEX(MO_SNA_IsHistoricalPeriod,1,COLUMN())=FALSE,0,INDEX(MO_SPT_StockAverage,1,COLUMN()))</f>
        <v>#NAME?</v>
      </c>
      <c r="AG536" s="291" t="e">
        <f>IF(INDEX(MO_SNA_IsHistoricalPeriod,1,COLUMN())=FALSE,0,INDEX(MO_SPT_StockAverage,1,COLUMN()))</f>
        <v>#NAME?</v>
      </c>
      <c r="AH536" s="291" t="e">
        <f>IF(INDEX(MO_SNA_IsHistoricalPeriod,1,COLUMN())=FALSE,0,INDEX(MO_SPT_StockAverage,1,COLUMN()))</f>
        <v>#NAME?</v>
      </c>
      <c r="AI536" s="291" t="e">
        <f>IF(INDEX(MO_SNA_IsHistoricalPeriod,1,COLUMN())=FALSE,0,INDEX(MO_SPT_StockAverage,1,COLUMN()))</f>
        <v>#NAME?</v>
      </c>
      <c r="AJ536" s="590" t="e">
        <f>IF(INDEX(MO_SNA_IsHistoricalPeriod,1,COLUMN())=FALSE,0,INDEX(MO_SPT_StockAverage,1,COLUMN()))</f>
        <v>#NAME?</v>
      </c>
      <c r="AK536" s="291" t="e">
        <f>IF(INDEX(MO_SNA_IsHistoricalPeriod,1,COLUMN())=FALSE,0,INDEX(MO_SPT_StockAverage,1,COLUMN()))</f>
        <v>#NAME?</v>
      </c>
      <c r="AL536" s="291" t="e">
        <f>IF(INDEX(MO_SNA_IsHistoricalPeriod,1,COLUMN())=FALSE,0,INDEX(MO_SPT_StockAverage,1,COLUMN()))</f>
        <v>#NAME?</v>
      </c>
      <c r="AM536" s="291" t="e">
        <f>IF(INDEX(MO_SNA_IsHistoricalPeriod,1,COLUMN())=FALSE,0,INDEX(MO_SPT_StockAverage,1,COLUMN()))</f>
        <v>#NAME?</v>
      </c>
      <c r="AN536" s="291" t="e">
        <f>IF(INDEX(MO_SNA_IsHistoricalPeriod,1,COLUMN())=FALSE,0,INDEX(MO_SPT_StockAverage,1,COLUMN()))</f>
        <v>#NAME?</v>
      </c>
      <c r="AO536" s="590" t="e">
        <f>IF(INDEX(MO_SNA_IsHistoricalPeriod,1,COLUMN())=FALSE,0,INDEX(MO_SPT_StockAverage,1,COLUMN()))</f>
        <v>#NAME?</v>
      </c>
      <c r="AP536" s="291" t="e">
        <f>IF(INDEX(MO_SNA_IsHistoricalPeriod,1,COLUMN())=FALSE,0,INDEX(MO_SPT_StockAverage,1,COLUMN()))</f>
        <v>#NAME?</v>
      </c>
      <c r="AQ536" s="291" t="e">
        <f>IF(INDEX(MO_SNA_IsHistoricalPeriod,1,COLUMN())=FALSE,0,INDEX(MO_SPT_StockAverage,1,COLUMN()))</f>
        <v>#NAME?</v>
      </c>
      <c r="AR536" s="291" t="e">
        <f>IF(INDEX(MO_SNA_IsHistoricalPeriod,1,COLUMN())=FALSE,0,INDEX(MO_SPT_StockAverage,1,COLUMN()))</f>
        <v>#NAME?</v>
      </c>
      <c r="AS536" s="291" t="e">
        <f>IF(INDEX(MO_SNA_IsHistoricalPeriod,1,COLUMN())=FALSE,0,INDEX(MO_SPT_StockAverage,1,COLUMN()))</f>
        <v>#NAME?</v>
      </c>
      <c r="AT536" s="590" t="e">
        <f>IF(INDEX(MO_SNA_IsHistoricalPeriod,1,COLUMN())=FALSE,0,INDEX(MO_SPT_StockAverage,1,COLUMN()))</f>
        <v>#NAME?</v>
      </c>
      <c r="AU536" s="291" t="e">
        <f>IF(INDEX(MO_SNA_IsHistoricalPeriod,1,COLUMN())=FALSE,0,INDEX(MO_SPT_StockAverage,1,COLUMN()))</f>
        <v>#NAME?</v>
      </c>
      <c r="AV536" s="291" t="e">
        <f>IF(INDEX(MO_SNA_IsHistoricalPeriod,1,COLUMN())=FALSE,0,INDEX(MO_SPT_StockAverage,1,COLUMN()))</f>
        <v>#NAME?</v>
      </c>
      <c r="AW536" s="291" t="e">
        <f>IF(INDEX(MO_SNA_IsHistoricalPeriod,1,COLUMN())=FALSE,0,INDEX(MO_SPT_StockAverage,1,COLUMN()))</f>
        <v>#NAME?</v>
      </c>
      <c r="AX536" s="291" t="e">
        <f>IF(INDEX(MO_SNA_IsHistoricalPeriod,1,COLUMN())=FALSE,0,INDEX(MO_SPT_StockAverage,1,COLUMN()))</f>
        <v>#NAME?</v>
      </c>
      <c r="AY536" s="590" t="e">
        <f>IF(INDEX(MO_SNA_IsHistoricalPeriod,1,COLUMN())=FALSE,0,INDEX(MO_SPT_StockAverage,1,COLUMN()))</f>
        <v>#NAME?</v>
      </c>
      <c r="AZ536" s="291" t="e">
        <f>IF(INDEX(MO_SNA_IsHistoricalPeriod,1,COLUMN())=FALSE,0,INDEX(MO_SPT_StockAverage,1,COLUMN()))</f>
        <v>#NAME?</v>
      </c>
      <c r="BA536" s="291" t="e">
        <f>IF(INDEX(MO_SNA_IsHistoricalPeriod,1,COLUMN())=FALSE,0,INDEX(MO_SPT_StockAverage,1,COLUMN()))</f>
        <v>#NAME?</v>
      </c>
      <c r="BB536" s="291" t="e">
        <f>IF(INDEX(MO_SNA_IsHistoricalPeriod,1,COLUMN())=FALSE,0,INDEX(MO_SPT_StockAverage,1,COLUMN()))</f>
        <v>#NAME?</v>
      </c>
      <c r="BC536" s="291" t="e">
        <f>IF(INDEX(MO_SNA_IsHistoricalPeriod,1,COLUMN())=FALSE,0,INDEX(MO_SPT_StockAverage,1,COLUMN()))</f>
        <v>#NAME?</v>
      </c>
      <c r="BD536" s="590" t="e">
        <f>IF(INDEX(MO_SNA_IsHistoricalPeriod,1,COLUMN())=FALSE,0,INDEX(MO_SPT_StockAverage,1,COLUMN()))</f>
        <v>#NAME?</v>
      </c>
      <c r="BE536" s="291" t="e">
        <f>IF(INDEX(MO_SNA_IsHistoricalPeriod,1,COLUMN())=FALSE,0,INDEX(MO_SPT_StockAverage,1,COLUMN()))</f>
        <v>#NAME?</v>
      </c>
      <c r="BF536" s="291" t="e">
        <f>IF(INDEX(MO_SNA_IsHistoricalPeriod,1,COLUMN())=FALSE,0,INDEX(MO_SPT_StockAverage,1,COLUMN()))</f>
        <v>#NAME?</v>
      </c>
      <c r="BG536" s="291" t="e">
        <f>IF(INDEX(MO_SNA_IsHistoricalPeriod,1,COLUMN())=FALSE,0,INDEX(MO_SPT_StockAverage,1,COLUMN()))</f>
        <v>#NAME?</v>
      </c>
      <c r="BH536" s="291" t="e">
        <f>IF(INDEX(MO_SNA_IsHistoricalPeriod,1,COLUMN())=FALSE,0,INDEX(MO_SPT_StockAverage,1,COLUMN()))</f>
        <v>#NAME?</v>
      </c>
      <c r="BI536" s="590" t="e">
        <f>IF(INDEX(MO_SNA_IsHistoricalPeriod,1,COLUMN())=FALSE,0,INDEX(MO_SPT_StockAverage,1,COLUMN()))</f>
        <v>#NAME?</v>
      </c>
      <c r="BJ536" s="291" t="e">
        <f>IF(INDEX(MO_SNA_IsHistoricalPeriod,1,COLUMN())=FALSE,0,INDEX(MO_SPT_StockAverage,1,COLUMN()))</f>
        <v>#NAME?</v>
      </c>
      <c r="BK536" s="291" t="e">
        <f>IF(INDEX(MO_SNA_IsHistoricalPeriod,1,COLUMN())=FALSE,0,INDEX(MO_SPT_StockAverage,1,COLUMN()))</f>
        <v>#NAME?</v>
      </c>
      <c r="BL536" s="291" t="e">
        <f>IF(INDEX(MO_SNA_IsHistoricalPeriod,1,COLUMN())=FALSE,0,INDEX(MO_SPT_StockAverage,1,COLUMN()))</f>
        <v>#NAME?</v>
      </c>
      <c r="BM536" s="291" t="e">
        <f>IF(INDEX(MO_SNA_IsHistoricalPeriod,1,COLUMN())=FALSE,0,INDEX(MO_SPT_StockAverage,1,COLUMN()))</f>
        <v>#NAME?</v>
      </c>
      <c r="BN536" s="590" t="e">
        <f>IF(INDEX(MO_SNA_IsHistoricalPeriod,1,COLUMN())=FALSE,0,INDEX(MO_SPT_StockAverage,1,COLUMN()))</f>
        <v>#NAME?</v>
      </c>
      <c r="BO536" s="291" t="e">
        <f>IF(INDEX(MO_SNA_IsHistoricalPeriod,1,COLUMN())=FALSE,0,INDEX(MO_SPT_StockAverage,1,COLUMN()))</f>
        <v>#NAME?</v>
      </c>
      <c r="BP536" s="291" t="e">
        <f>IF(INDEX(MO_SNA_IsHistoricalPeriod,1,COLUMN())=FALSE,0,INDEX(MO_SPT_StockAverage,1,COLUMN()))</f>
        <v>#NAME?</v>
      </c>
      <c r="BQ536" s="291" t="e">
        <f>IF(INDEX(MO_SNA_IsHistoricalPeriod,1,COLUMN())=FALSE,0,INDEX(MO_SPT_StockAverage,1,COLUMN()))</f>
        <v>#NAME?</v>
      </c>
      <c r="BR536" s="291" t="e">
        <f>IF(INDEX(MO_SNA_IsHistoricalPeriod,1,COLUMN())=FALSE,0,INDEX(MO_SPT_StockAverage,1,COLUMN()))</f>
        <v>#NAME?</v>
      </c>
      <c r="BS536" s="591" t="e">
        <f>IF(INDEX(MO_SNA_IsHistoricalPeriod,1,COLUMN())=FALSE,0,INDEX(MO_SPT_StockAverage,1,COLUMN()))</f>
        <v>#NAME?</v>
      </c>
      <c r="BT536" s="592" t="e">
        <f>IF(INDEX(MO_SNA_IsHistoricalPeriod,1,COLUMN())=FALSE,0,INDEX(MO_SPT_StockAverage,1,COLUMN()))</f>
        <v>#NAME?</v>
      </c>
      <c r="BU536" s="592" t="e">
        <f>IF(INDEX(MO_SNA_IsHistoricalPeriod,1,COLUMN())=FALSE,0,INDEX(MO_SPT_StockAverage,1,COLUMN()))</f>
        <v>#NAME?</v>
      </c>
      <c r="BV536" s="592" t="e">
        <f>IF(INDEX(MO_SNA_IsHistoricalPeriod,1,COLUMN())=FALSE,0,INDEX(MO_SPT_StockAverage,1,COLUMN()))</f>
        <v>#NAME?</v>
      </c>
      <c r="BW536" s="592" t="e">
        <f>IF(INDEX(MO_SNA_IsHistoricalPeriod,1,COLUMN())=FALSE,0,INDEX(MO_SPT_StockAverage,1,COLUMN()))</f>
        <v>#NAME?</v>
      </c>
      <c r="BX536" s="590" t="e">
        <f>IF(INDEX(MO_SNA_IsHistoricalPeriod,1,COLUMN())=FALSE,0,INDEX(MO_SPT_StockAverage,1,COLUMN()))</f>
        <v>#NAME?</v>
      </c>
      <c r="BY536" s="592" t="e">
        <f>IF(INDEX(MO_SNA_IsHistoricalPeriod,1,COLUMN())=FALSE,0,INDEX(MO_SPT_StockAverage,1,COLUMN()))</f>
        <v>#NAME?</v>
      </c>
      <c r="BZ536" s="592" t="e">
        <f>IF(INDEX(MO_SNA_IsHistoricalPeriod,1,COLUMN())=FALSE,0,INDEX(MO_SPT_StockAverage,1,COLUMN()))</f>
        <v>#NAME?</v>
      </c>
      <c r="CA536" s="592" t="e">
        <f>IF(INDEX(MO_SNA_IsHistoricalPeriod,1,COLUMN())=FALSE,0,INDEX(MO_SPT_StockAverage,1,COLUMN()))</f>
        <v>#NAME?</v>
      </c>
      <c r="CB536" s="592" t="e">
        <f>IF(INDEX(MO_SNA_IsHistoricalPeriod,1,COLUMN())=FALSE,0,INDEX(MO_SPT_StockAverage,1,COLUMN()))</f>
        <v>#NAME?</v>
      </c>
      <c r="CC536" s="590" t="e">
        <f>IF(INDEX(MO_SNA_IsHistoricalPeriod,1,COLUMN())=FALSE,0,INDEX(MO_SPT_StockAverage,1,COLUMN()))</f>
        <v>#NAME?</v>
      </c>
      <c r="CD536" s="590" t="e">
        <f>IF(INDEX(MO_SNA_IsHistoricalPeriod,1,COLUMN())=FALSE,0,INDEX(MO_SPT_StockAverage,1,COLUMN()))</f>
        <v>#NAME?</v>
      </c>
      <c r="CE536" s="590" t="e">
        <f>IF(INDEX(MO_SNA_IsHistoricalPeriod,1,COLUMN())=FALSE,0,INDEX(MO_SPT_StockAverage,1,COLUMN()))</f>
        <v>#NAME?</v>
      </c>
      <c r="CF536" s="590" t="e">
        <f>IF(INDEX(MO_SNA_IsHistoricalPeriod,1,COLUMN())=FALSE,0,INDEX(MO_SPT_StockAverage,1,COLUMN()))</f>
        <v>#NAME?</v>
      </c>
      <c r="CG536" s="368"/>
    </row>
    <row r="537" spans="1:85" ht="14.45" hidden="1" customHeight="1" x14ac:dyDescent="0.25">
      <c r="A537" s="289" t="e">
        <f>"Stock EoP, "&amp;HP.TradeCurrency</f>
        <v>#NAME?</v>
      </c>
      <c r="B537" s="290"/>
      <c r="C537" s="593" t="e">
        <f>IF(INDEX(MO_SNA_IsHistoricalPeriod,1,COLUMN())=FALSE,MO.LastPrice,INDEX(MO_SPT_StockEoP,1,COLUMN()))</f>
        <v>#NAME?</v>
      </c>
      <c r="D537" s="593" t="e">
        <f>IF(INDEX(MO_SNA_IsHistoricalPeriod,1,COLUMN())=FALSE,MO.LastPrice,INDEX(MO_SPT_StockEoP,1,COLUMN()))</f>
        <v>#NAME?</v>
      </c>
      <c r="E537" s="593" t="e">
        <f>IF(INDEX(MO_SNA_IsHistoricalPeriod,1,COLUMN())=FALSE,MO.LastPrice,INDEX(MO_SPT_StockEoP,1,COLUMN()))</f>
        <v>#NAME?</v>
      </c>
      <c r="F537" s="593" t="e">
        <f>IF(INDEX(MO_SNA_IsHistoricalPeriod,1,COLUMN())=FALSE,MO.LastPrice,INDEX(MO_SPT_StockEoP,1,COLUMN()))</f>
        <v>#NAME?</v>
      </c>
      <c r="G537" s="292" t="e">
        <f>IF(INDEX(MO_SNA_IsHistoricalPeriod,1,COLUMN())=FALSE,MO.LastPrice,INDEX(MO_SPT_StockEoP,1,COLUMN()))</f>
        <v>#NAME?</v>
      </c>
      <c r="H537" s="292" t="e">
        <f>IF(INDEX(MO_SNA_IsHistoricalPeriod,1,COLUMN())=FALSE,MO.LastPrice,INDEX(MO_SPT_StockEoP,1,COLUMN()))</f>
        <v>#NAME?</v>
      </c>
      <c r="I537" s="292" t="e">
        <f>IF(INDEX(MO_SNA_IsHistoricalPeriod,1,COLUMN())=FALSE,MO.LastPrice,INDEX(MO_SPT_StockEoP,1,COLUMN()))</f>
        <v>#NAME?</v>
      </c>
      <c r="J537" s="292" t="e">
        <f>IF(INDEX(MO_SNA_IsHistoricalPeriod,1,COLUMN())=FALSE,MO.LastPrice,INDEX(MO_SPT_StockEoP,1,COLUMN()))</f>
        <v>#NAME?</v>
      </c>
      <c r="K537" s="593" t="e">
        <f>IF(INDEX(MO_SNA_IsHistoricalPeriod,1,COLUMN())=FALSE,MO.LastPrice,INDEX(MO_SPT_StockEoP,1,COLUMN()))</f>
        <v>#NAME?</v>
      </c>
      <c r="L537" s="292" t="e">
        <f>IF(INDEX(MO_SNA_IsHistoricalPeriod,1,COLUMN())=FALSE,MO.LastPrice,INDEX(MO_SPT_StockEoP,1,COLUMN()))</f>
        <v>#NAME?</v>
      </c>
      <c r="M537" s="292" t="e">
        <f>IF(INDEX(MO_SNA_IsHistoricalPeriod,1,COLUMN())=FALSE,MO.LastPrice,INDEX(MO_SPT_StockEoP,1,COLUMN()))</f>
        <v>#NAME?</v>
      </c>
      <c r="N537" s="292" t="e">
        <f>IF(INDEX(MO_SNA_IsHistoricalPeriod,1,COLUMN())=FALSE,MO.LastPrice,INDEX(MO_SPT_StockEoP,1,COLUMN()))</f>
        <v>#NAME?</v>
      </c>
      <c r="O537" s="292" t="e">
        <f>IF(INDEX(MO_SNA_IsHistoricalPeriod,1,COLUMN())=FALSE,MO.LastPrice,INDEX(MO_SPT_StockEoP,1,COLUMN()))</f>
        <v>#NAME?</v>
      </c>
      <c r="P537" s="593" t="e">
        <f>IF(INDEX(MO_SNA_IsHistoricalPeriod,1,COLUMN())=FALSE,MO.LastPrice,INDEX(MO_SPT_StockEoP,1,COLUMN()))</f>
        <v>#NAME?</v>
      </c>
      <c r="Q537" s="292" t="e">
        <f>IF(INDEX(MO_SNA_IsHistoricalPeriod,1,COLUMN())=FALSE,MO.LastPrice,INDEX(MO_SPT_StockEoP,1,COLUMN()))</f>
        <v>#NAME?</v>
      </c>
      <c r="R537" s="292" t="e">
        <f>IF(INDEX(MO_SNA_IsHistoricalPeriod,1,COLUMN())=FALSE,MO.LastPrice,INDEX(MO_SPT_StockEoP,1,COLUMN()))</f>
        <v>#NAME?</v>
      </c>
      <c r="S537" s="292" t="e">
        <f>IF(INDEX(MO_SNA_IsHistoricalPeriod,1,COLUMN())=FALSE,MO.LastPrice,INDEX(MO_SPT_StockEoP,1,COLUMN()))</f>
        <v>#NAME?</v>
      </c>
      <c r="T537" s="292" t="e">
        <f>IF(INDEX(MO_SNA_IsHistoricalPeriod,1,COLUMN())=FALSE,MO.LastPrice,INDEX(MO_SPT_StockEoP,1,COLUMN()))</f>
        <v>#NAME?</v>
      </c>
      <c r="U537" s="593" t="e">
        <f>IF(INDEX(MO_SNA_IsHistoricalPeriod,1,COLUMN())=FALSE,MO.LastPrice,INDEX(MO_SPT_StockEoP,1,COLUMN()))</f>
        <v>#NAME?</v>
      </c>
      <c r="V537" s="292" t="e">
        <f>IF(INDEX(MO_SNA_IsHistoricalPeriod,1,COLUMN())=FALSE,MO.LastPrice,INDEX(MO_SPT_StockEoP,1,COLUMN()))</f>
        <v>#NAME?</v>
      </c>
      <c r="W537" s="292" t="e">
        <f>IF(INDEX(MO_SNA_IsHistoricalPeriod,1,COLUMN())=FALSE,MO.LastPrice,INDEX(MO_SPT_StockEoP,1,COLUMN()))</f>
        <v>#NAME?</v>
      </c>
      <c r="X537" s="292" t="e">
        <f>IF(INDEX(MO_SNA_IsHistoricalPeriod,1,COLUMN())=FALSE,MO.LastPrice,INDEX(MO_SPT_StockEoP,1,COLUMN()))</f>
        <v>#NAME?</v>
      </c>
      <c r="Y537" s="292" t="e">
        <f>IF(INDEX(MO_SNA_IsHistoricalPeriod,1,COLUMN())=FALSE,MO.LastPrice,INDEX(MO_SPT_StockEoP,1,COLUMN()))</f>
        <v>#NAME?</v>
      </c>
      <c r="Z537" s="594" t="e">
        <f>IF(INDEX(MO_SNA_IsHistoricalPeriod,1,COLUMN())=FALSE,MO.LastPrice,INDEX(MO_SPT_StockEoP,1,COLUMN()))</f>
        <v>#NAME?</v>
      </c>
      <c r="AA537" s="292" t="e">
        <f>IF(INDEX(MO_SNA_IsHistoricalPeriod,1,COLUMN())=FALSE,MO.LastPrice,INDEX(MO_SPT_StockEoP,1,COLUMN()))</f>
        <v>#NAME?</v>
      </c>
      <c r="AB537" s="292" t="e">
        <f>IF(INDEX(MO_SNA_IsHistoricalPeriod,1,COLUMN())=FALSE,MO.LastPrice,INDEX(MO_SPT_StockEoP,1,COLUMN()))</f>
        <v>#NAME?</v>
      </c>
      <c r="AC537" s="292" t="e">
        <f>IF(INDEX(MO_SNA_IsHistoricalPeriod,1,COLUMN())=FALSE,MO.LastPrice,INDEX(MO_SPT_StockEoP,1,COLUMN()))</f>
        <v>#NAME?</v>
      </c>
      <c r="AD537" s="292" t="e">
        <f>IF(INDEX(MO_SNA_IsHistoricalPeriod,1,COLUMN())=FALSE,MO.LastPrice,INDEX(MO_SPT_StockEoP,1,COLUMN()))</f>
        <v>#NAME?</v>
      </c>
      <c r="AE537" s="594" t="e">
        <f>IF(INDEX(MO_SNA_IsHistoricalPeriod,1,COLUMN())=FALSE,MO.LastPrice,INDEX(MO_SPT_StockEoP,1,COLUMN()))</f>
        <v>#NAME?</v>
      </c>
      <c r="AF537" s="292" t="e">
        <f>IF(INDEX(MO_SNA_IsHistoricalPeriod,1,COLUMN())=FALSE,MO.LastPrice,INDEX(MO_SPT_StockEoP,1,COLUMN()))</f>
        <v>#NAME?</v>
      </c>
      <c r="AG537" s="292" t="e">
        <f>IF(INDEX(MO_SNA_IsHistoricalPeriod,1,COLUMN())=FALSE,MO.LastPrice,INDEX(MO_SPT_StockEoP,1,COLUMN()))</f>
        <v>#NAME?</v>
      </c>
      <c r="AH537" s="292" t="e">
        <f>IF(INDEX(MO_SNA_IsHistoricalPeriod,1,COLUMN())=FALSE,MO.LastPrice,INDEX(MO_SPT_StockEoP,1,COLUMN()))</f>
        <v>#NAME?</v>
      </c>
      <c r="AI537" s="292" t="e">
        <f>IF(INDEX(MO_SNA_IsHistoricalPeriod,1,COLUMN())=FALSE,MO.LastPrice,INDEX(MO_SPT_StockEoP,1,COLUMN()))</f>
        <v>#NAME?</v>
      </c>
      <c r="AJ537" s="594" t="e">
        <f>IF(INDEX(MO_SNA_IsHistoricalPeriod,1,COLUMN())=FALSE,MO.LastPrice,INDEX(MO_SPT_StockEoP,1,COLUMN()))</f>
        <v>#NAME?</v>
      </c>
      <c r="AK537" s="292" t="e">
        <f>IF(INDEX(MO_SNA_IsHistoricalPeriod,1,COLUMN())=FALSE,MO.LastPrice,INDEX(MO_SPT_StockEoP,1,COLUMN()))</f>
        <v>#NAME?</v>
      </c>
      <c r="AL537" s="292" t="e">
        <f>IF(INDEX(MO_SNA_IsHistoricalPeriod,1,COLUMN())=FALSE,MO.LastPrice,INDEX(MO_SPT_StockEoP,1,COLUMN()))</f>
        <v>#NAME?</v>
      </c>
      <c r="AM537" s="292" t="e">
        <f>IF(INDEX(MO_SNA_IsHistoricalPeriod,1,COLUMN())=FALSE,MO.LastPrice,INDEX(MO_SPT_StockEoP,1,COLUMN()))</f>
        <v>#NAME?</v>
      </c>
      <c r="AN537" s="292" t="e">
        <f>IF(INDEX(MO_SNA_IsHistoricalPeriod,1,COLUMN())=FALSE,MO.LastPrice,INDEX(MO_SPT_StockEoP,1,COLUMN()))</f>
        <v>#NAME?</v>
      </c>
      <c r="AO537" s="594" t="e">
        <f>IF(INDEX(MO_SNA_IsHistoricalPeriod,1,COLUMN())=FALSE,MO.LastPrice,INDEX(MO_SPT_StockEoP,1,COLUMN()))</f>
        <v>#NAME?</v>
      </c>
      <c r="AP537" s="292" t="e">
        <f>IF(INDEX(MO_SNA_IsHistoricalPeriod,1,COLUMN())=FALSE,MO.LastPrice,INDEX(MO_SPT_StockEoP,1,COLUMN()))</f>
        <v>#NAME?</v>
      </c>
      <c r="AQ537" s="292" t="e">
        <f>IF(INDEX(MO_SNA_IsHistoricalPeriod,1,COLUMN())=FALSE,MO.LastPrice,INDEX(MO_SPT_StockEoP,1,COLUMN()))</f>
        <v>#NAME?</v>
      </c>
      <c r="AR537" s="292" t="e">
        <f>IF(INDEX(MO_SNA_IsHistoricalPeriod,1,COLUMN())=FALSE,MO.LastPrice,INDEX(MO_SPT_StockEoP,1,COLUMN()))</f>
        <v>#NAME?</v>
      </c>
      <c r="AS537" s="292" t="e">
        <f>IF(INDEX(MO_SNA_IsHistoricalPeriod,1,COLUMN())=FALSE,MO.LastPrice,INDEX(MO_SPT_StockEoP,1,COLUMN()))</f>
        <v>#NAME?</v>
      </c>
      <c r="AT537" s="594" t="e">
        <f>IF(INDEX(MO_SNA_IsHistoricalPeriod,1,COLUMN())=FALSE,MO.LastPrice,INDEX(MO_SPT_StockEoP,1,COLUMN()))</f>
        <v>#NAME?</v>
      </c>
      <c r="AU537" s="292" t="e">
        <f>IF(INDEX(MO_SNA_IsHistoricalPeriod,1,COLUMN())=FALSE,MO.LastPrice,INDEX(MO_SPT_StockEoP,1,COLUMN()))</f>
        <v>#NAME?</v>
      </c>
      <c r="AV537" s="292" t="e">
        <f>IF(INDEX(MO_SNA_IsHistoricalPeriod,1,COLUMN())=FALSE,MO.LastPrice,INDEX(MO_SPT_StockEoP,1,COLUMN()))</f>
        <v>#NAME?</v>
      </c>
      <c r="AW537" s="292" t="e">
        <f>IF(INDEX(MO_SNA_IsHistoricalPeriod,1,COLUMN())=FALSE,MO.LastPrice,INDEX(MO_SPT_StockEoP,1,COLUMN()))</f>
        <v>#NAME?</v>
      </c>
      <c r="AX537" s="292" t="e">
        <f>IF(INDEX(MO_SNA_IsHistoricalPeriod,1,COLUMN())=FALSE,MO.LastPrice,INDEX(MO_SPT_StockEoP,1,COLUMN()))</f>
        <v>#NAME?</v>
      </c>
      <c r="AY537" s="594" t="e">
        <f>IF(INDEX(MO_SNA_IsHistoricalPeriod,1,COLUMN())=FALSE,MO.LastPrice,INDEX(MO_SPT_StockEoP,1,COLUMN()))</f>
        <v>#NAME?</v>
      </c>
      <c r="AZ537" s="292" t="e">
        <f>IF(INDEX(MO_SNA_IsHistoricalPeriod,1,COLUMN())=FALSE,MO.LastPrice,INDEX(MO_SPT_StockEoP,1,COLUMN()))</f>
        <v>#NAME?</v>
      </c>
      <c r="BA537" s="292" t="e">
        <f>IF(INDEX(MO_SNA_IsHistoricalPeriod,1,COLUMN())=FALSE,MO.LastPrice,INDEX(MO_SPT_StockEoP,1,COLUMN()))</f>
        <v>#NAME?</v>
      </c>
      <c r="BB537" s="292" t="e">
        <f>IF(INDEX(MO_SNA_IsHistoricalPeriod,1,COLUMN())=FALSE,MO.LastPrice,INDEX(MO_SPT_StockEoP,1,COLUMN()))</f>
        <v>#NAME?</v>
      </c>
      <c r="BC537" s="292" t="e">
        <f>IF(INDEX(MO_SNA_IsHistoricalPeriod,1,COLUMN())=FALSE,MO.LastPrice,INDEX(MO_SPT_StockEoP,1,COLUMN()))</f>
        <v>#NAME?</v>
      </c>
      <c r="BD537" s="594" t="e">
        <f>IF(INDEX(MO_SNA_IsHistoricalPeriod,1,COLUMN())=FALSE,MO.LastPrice,INDEX(MO_SPT_StockEoP,1,COLUMN()))</f>
        <v>#NAME?</v>
      </c>
      <c r="BE537" s="292" t="e">
        <f>IF(INDEX(MO_SNA_IsHistoricalPeriod,1,COLUMN())=FALSE,MO.LastPrice,INDEX(MO_SPT_StockEoP,1,COLUMN()))</f>
        <v>#NAME?</v>
      </c>
      <c r="BF537" s="292" t="e">
        <f>IF(INDEX(MO_SNA_IsHistoricalPeriod,1,COLUMN())=FALSE,MO.LastPrice,INDEX(MO_SPT_StockEoP,1,COLUMN()))</f>
        <v>#NAME?</v>
      </c>
      <c r="BG537" s="292" t="e">
        <f>IF(INDEX(MO_SNA_IsHistoricalPeriod,1,COLUMN())=FALSE,MO.LastPrice,INDEX(MO_SPT_StockEoP,1,COLUMN()))</f>
        <v>#NAME?</v>
      </c>
      <c r="BH537" s="292" t="e">
        <f>IF(INDEX(MO_SNA_IsHistoricalPeriod,1,COLUMN())=FALSE,MO.LastPrice,INDEX(MO_SPT_StockEoP,1,COLUMN()))</f>
        <v>#NAME?</v>
      </c>
      <c r="BI537" s="594" t="e">
        <f>IF(INDEX(MO_SNA_IsHistoricalPeriod,1,COLUMN())=FALSE,MO.LastPrice,INDEX(MO_SPT_StockEoP,1,COLUMN()))</f>
        <v>#NAME?</v>
      </c>
      <c r="BJ537" s="292" t="e">
        <f>IF(INDEX(MO_SNA_IsHistoricalPeriod,1,COLUMN())=FALSE,MO.LastPrice,INDEX(MO_SPT_StockEoP,1,COLUMN()))</f>
        <v>#NAME?</v>
      </c>
      <c r="BK537" s="292" t="e">
        <f>IF(INDEX(MO_SNA_IsHistoricalPeriod,1,COLUMN())=FALSE,MO.LastPrice,INDEX(MO_SPT_StockEoP,1,COLUMN()))</f>
        <v>#NAME?</v>
      </c>
      <c r="BL537" s="292" t="e">
        <f>IF(INDEX(MO_SNA_IsHistoricalPeriod,1,COLUMN())=FALSE,MO.LastPrice,INDEX(MO_SPT_StockEoP,1,COLUMN()))</f>
        <v>#NAME?</v>
      </c>
      <c r="BM537" s="292" t="e">
        <f>IF(INDEX(MO_SNA_IsHistoricalPeriod,1,COLUMN())=FALSE,MO.LastPrice,INDEX(MO_SPT_StockEoP,1,COLUMN()))</f>
        <v>#NAME?</v>
      </c>
      <c r="BN537" s="594" t="e">
        <f>IF(INDEX(MO_SNA_IsHistoricalPeriod,1,COLUMN())=FALSE,MO.LastPrice,INDEX(MO_SPT_StockEoP,1,COLUMN()))</f>
        <v>#NAME?</v>
      </c>
      <c r="BO537" s="292" t="e">
        <f>IF(INDEX(MO_SNA_IsHistoricalPeriod,1,COLUMN())=FALSE,MO.LastPrice,INDEX(MO_SPT_StockEoP,1,COLUMN()))</f>
        <v>#NAME?</v>
      </c>
      <c r="BP537" s="292" t="e">
        <f>IF(INDEX(MO_SNA_IsHistoricalPeriod,1,COLUMN())=FALSE,MO.LastPrice,INDEX(MO_SPT_StockEoP,1,COLUMN()))</f>
        <v>#NAME?</v>
      </c>
      <c r="BQ537" s="292" t="e">
        <f>IF(INDEX(MO_SNA_IsHistoricalPeriod,1,COLUMN())=FALSE,MO.LastPrice,INDEX(MO_SPT_StockEoP,1,COLUMN()))</f>
        <v>#NAME?</v>
      </c>
      <c r="BR537" s="292" t="e">
        <f>IF(INDEX(MO_SNA_IsHistoricalPeriod,1,COLUMN())=FALSE,MO.LastPrice,INDEX(MO_SPT_StockEoP,1,COLUMN()))</f>
        <v>#NAME?</v>
      </c>
      <c r="BS537" s="595" t="e">
        <f>IF(INDEX(MO_SNA_IsHistoricalPeriod,1,COLUMN())=FALSE,MO.LastPrice,INDEX(MO_SPT_StockEoP,1,COLUMN()))</f>
        <v>#NAME?</v>
      </c>
      <c r="BT537" s="596" t="e">
        <f>IF(INDEX(MO_SNA_IsHistoricalPeriod,1,COLUMN())=FALSE,MO.LastPrice,INDEX(MO_SPT_StockEoP,1,COLUMN()))</f>
        <v>#NAME?</v>
      </c>
      <c r="BU537" s="596" t="e">
        <f>IF(INDEX(MO_SNA_IsHistoricalPeriod,1,COLUMN())=FALSE,MO.LastPrice,INDEX(MO_SPT_StockEoP,1,COLUMN()))</f>
        <v>#NAME?</v>
      </c>
      <c r="BV537" s="596" t="e">
        <f>IF(INDEX(MO_SNA_IsHistoricalPeriod,1,COLUMN())=FALSE,MO.LastPrice,INDEX(MO_SPT_StockEoP,1,COLUMN()))</f>
        <v>#NAME?</v>
      </c>
      <c r="BW537" s="596" t="e">
        <f>IF(INDEX(MO_SNA_IsHistoricalPeriod,1,COLUMN())=FALSE,MO.LastPrice,INDEX(MO_SPT_StockEoP,1,COLUMN()))</f>
        <v>#NAME?</v>
      </c>
      <c r="BX537" s="594" t="e">
        <f>IF(INDEX(MO_SNA_IsHistoricalPeriod,1,COLUMN())=FALSE,MO.LastPrice,INDEX(MO_SPT_StockEoP,1,COLUMN()))</f>
        <v>#NAME?</v>
      </c>
      <c r="BY537" s="596" t="e">
        <f>IF(INDEX(MO_SNA_IsHistoricalPeriod,1,COLUMN())=FALSE,MO.LastPrice,INDEX(MO_SPT_StockEoP,1,COLUMN()))</f>
        <v>#NAME?</v>
      </c>
      <c r="BZ537" s="596" t="e">
        <f>IF(INDEX(MO_SNA_IsHistoricalPeriod,1,COLUMN())=FALSE,MO.LastPrice,INDEX(MO_SPT_StockEoP,1,COLUMN()))</f>
        <v>#NAME?</v>
      </c>
      <c r="CA537" s="596" t="e">
        <f>IF(INDEX(MO_SNA_IsHistoricalPeriod,1,COLUMN())=FALSE,MO.LastPrice,INDEX(MO_SPT_StockEoP,1,COLUMN()))</f>
        <v>#NAME?</v>
      </c>
      <c r="CB537" s="596" t="e">
        <f>IF(INDEX(MO_SNA_IsHistoricalPeriod,1,COLUMN())=FALSE,MO.LastPrice,INDEX(MO_SPT_StockEoP,1,COLUMN()))</f>
        <v>#NAME?</v>
      </c>
      <c r="CC537" s="594" t="e">
        <f>IF(INDEX(MO_SNA_IsHistoricalPeriod,1,COLUMN())=FALSE,MO.LastPrice,INDEX(MO_SPT_StockEoP,1,COLUMN()))</f>
        <v>#NAME?</v>
      </c>
      <c r="CD537" s="594" t="e">
        <f>IF(INDEX(MO_SNA_IsHistoricalPeriod,1,COLUMN())=FALSE,MO.LastPrice,INDEX(MO_SPT_StockEoP,1,COLUMN()))</f>
        <v>#NAME?</v>
      </c>
      <c r="CE537" s="594" t="e">
        <f>IF(INDEX(MO_SNA_IsHistoricalPeriod,1,COLUMN())=FALSE,MO.LastPrice,INDEX(MO_SPT_StockEoP,1,COLUMN()))</f>
        <v>#NAME?</v>
      </c>
      <c r="CF537" s="594" t="e">
        <f>IF(INDEX(MO_SNA_IsHistoricalPeriod,1,COLUMN())=FALSE,MO.LastPrice,INDEX(MO_SPT_StockEoP,1,COLUMN()))</f>
        <v>#NAME?</v>
      </c>
      <c r="CG537" s="368"/>
    </row>
    <row r="538" spans="1:85" ht="14.45" hidden="1" customHeight="1" x14ac:dyDescent="0.25">
      <c r="A538" s="293" t="e">
        <f>"Average FX Rate, "&amp;HP.TradeCurrency&amp;"/"&amp;MO.ReportCurrency</f>
        <v>#NAME?</v>
      </c>
      <c r="B538" s="294"/>
      <c r="C538" s="597" t="e">
        <f>IF(INDEX(MO_SPT_FXAverage,1,COLUMN())=0,1,INDEX(MO_SPT_FXAverage,1,COLUMN()))</f>
        <v>#NAME?</v>
      </c>
      <c r="D538" s="597" t="e">
        <f>IF(INDEX(MO_SPT_FXAverage,1,COLUMN())=0,1,INDEX(MO_SPT_FXAverage,1,COLUMN()))</f>
        <v>#NAME?</v>
      </c>
      <c r="E538" s="597" t="e">
        <f>IF(INDEX(MO_SPT_FXAverage,1,COLUMN())=0,1,INDEX(MO_SPT_FXAverage,1,COLUMN()))</f>
        <v>#NAME?</v>
      </c>
      <c r="F538" s="597" t="e">
        <f>IF(INDEX(MO_SPT_FXAverage,1,COLUMN())=0,1,INDEX(MO_SPT_FXAverage,1,COLUMN()))</f>
        <v>#NAME?</v>
      </c>
      <c r="G538" s="295" t="e">
        <f>IF(INDEX(MO_SPT_FXAverage,1,COLUMN())=0,1,INDEX(MO_SPT_FXAverage,1,COLUMN()))</f>
        <v>#NAME?</v>
      </c>
      <c r="H538" s="295" t="e">
        <f>IF(INDEX(MO_SPT_FXAverage,1,COLUMN())=0,1,INDEX(MO_SPT_FXAverage,1,COLUMN()))</f>
        <v>#NAME?</v>
      </c>
      <c r="I538" s="295" t="e">
        <f>IF(INDEX(MO_SPT_FXAverage,1,COLUMN())=0,1,INDEX(MO_SPT_FXAverage,1,COLUMN()))</f>
        <v>#NAME?</v>
      </c>
      <c r="J538" s="295" t="e">
        <f>IF(INDEX(MO_SPT_FXAverage,1,COLUMN())=0,1,INDEX(MO_SPT_FXAverage,1,COLUMN()))</f>
        <v>#NAME?</v>
      </c>
      <c r="K538" s="597" t="e">
        <f>IF(INDEX(MO_SPT_FXAverage,1,COLUMN())=0,1,INDEX(MO_SPT_FXAverage,1,COLUMN()))</f>
        <v>#NAME?</v>
      </c>
      <c r="L538" s="295" t="e">
        <f>IF(INDEX(MO_SPT_FXAverage,1,COLUMN())=0,1,INDEX(MO_SPT_FXAverage,1,COLUMN()))</f>
        <v>#NAME?</v>
      </c>
      <c r="M538" s="295" t="e">
        <f>IF(INDEX(MO_SPT_FXAverage,1,COLUMN())=0,1,INDEX(MO_SPT_FXAverage,1,COLUMN()))</f>
        <v>#NAME?</v>
      </c>
      <c r="N538" s="295" t="e">
        <f>IF(INDEX(MO_SPT_FXAverage,1,COLUMN())=0,1,INDEX(MO_SPT_FXAverage,1,COLUMN()))</f>
        <v>#NAME?</v>
      </c>
      <c r="O538" s="295" t="e">
        <f>IF(INDEX(MO_SPT_FXAverage,1,COLUMN())=0,1,INDEX(MO_SPT_FXAverage,1,COLUMN()))</f>
        <v>#NAME?</v>
      </c>
      <c r="P538" s="597" t="e">
        <f>IF(INDEX(MO_SPT_FXAverage,1,COLUMN())=0,1,INDEX(MO_SPT_FXAverage,1,COLUMN()))</f>
        <v>#NAME?</v>
      </c>
      <c r="Q538" s="295" t="e">
        <f>IF(INDEX(MO_SPT_FXAverage,1,COLUMN())=0,1,INDEX(MO_SPT_FXAverage,1,COLUMN()))</f>
        <v>#NAME?</v>
      </c>
      <c r="R538" s="295" t="e">
        <f>IF(INDEX(MO_SPT_FXAverage,1,COLUMN())=0,1,INDEX(MO_SPT_FXAverage,1,COLUMN()))</f>
        <v>#NAME?</v>
      </c>
      <c r="S538" s="295" t="e">
        <f>IF(INDEX(MO_SPT_FXAverage,1,COLUMN())=0,1,INDEX(MO_SPT_FXAverage,1,COLUMN()))</f>
        <v>#NAME?</v>
      </c>
      <c r="T538" s="295" t="e">
        <f>IF(INDEX(MO_SPT_FXAverage,1,COLUMN())=0,1,INDEX(MO_SPT_FXAverage,1,COLUMN()))</f>
        <v>#NAME?</v>
      </c>
      <c r="U538" s="597" t="e">
        <f>IF(INDEX(MO_SPT_FXAverage,1,COLUMN())=0,1,INDEX(MO_SPT_FXAverage,1,COLUMN()))</f>
        <v>#NAME?</v>
      </c>
      <c r="V538" s="295" t="e">
        <f>IF(INDEX(MO_SPT_FXAverage,1,COLUMN())=0,1,INDEX(MO_SPT_FXAverage,1,COLUMN()))</f>
        <v>#NAME?</v>
      </c>
      <c r="W538" s="295" t="e">
        <f>IF(INDEX(MO_SPT_FXAverage,1,COLUMN())=0,1,INDEX(MO_SPT_FXAverage,1,COLUMN()))</f>
        <v>#NAME?</v>
      </c>
      <c r="X538" s="295" t="e">
        <f>IF(INDEX(MO_SPT_FXAverage,1,COLUMN())=0,1,INDEX(MO_SPT_FXAverage,1,COLUMN()))</f>
        <v>#NAME?</v>
      </c>
      <c r="Y538" s="295" t="e">
        <f>IF(INDEX(MO_SPT_FXAverage,1,COLUMN())=0,1,INDEX(MO_SPT_FXAverage,1,COLUMN()))</f>
        <v>#NAME?</v>
      </c>
      <c r="Z538" s="598" t="e">
        <f>IF(INDEX(MO_SPT_FXAverage,1,COLUMN())=0,1,INDEX(MO_SPT_FXAverage,1,COLUMN()))</f>
        <v>#NAME?</v>
      </c>
      <c r="AA538" s="295" t="e">
        <f>IF(INDEX(MO_SPT_FXAverage,1,COLUMN())=0,1,INDEX(MO_SPT_FXAverage,1,COLUMN()))</f>
        <v>#NAME?</v>
      </c>
      <c r="AB538" s="295" t="e">
        <f>IF(INDEX(MO_SPT_FXAverage,1,COLUMN())=0,1,INDEX(MO_SPT_FXAverage,1,COLUMN()))</f>
        <v>#NAME?</v>
      </c>
      <c r="AC538" s="295" t="e">
        <f>IF(INDEX(MO_SPT_FXAverage,1,COLUMN())=0,1,INDEX(MO_SPT_FXAverage,1,COLUMN()))</f>
        <v>#NAME?</v>
      </c>
      <c r="AD538" s="295" t="e">
        <f>IF(INDEX(MO_SPT_FXAverage,1,COLUMN())=0,1,INDEX(MO_SPT_FXAverage,1,COLUMN()))</f>
        <v>#NAME?</v>
      </c>
      <c r="AE538" s="598" t="e">
        <f>IF(INDEX(MO_SPT_FXAverage,1,COLUMN())=0,1,INDEX(MO_SPT_FXAverage,1,COLUMN()))</f>
        <v>#NAME?</v>
      </c>
      <c r="AF538" s="295" t="e">
        <f>IF(INDEX(MO_SPT_FXAverage,1,COLUMN())=0,1,INDEX(MO_SPT_FXAverage,1,COLUMN()))</f>
        <v>#NAME?</v>
      </c>
      <c r="AG538" s="295" t="e">
        <f>IF(INDEX(MO_SPT_FXAverage,1,COLUMN())=0,1,INDEX(MO_SPT_FXAverage,1,COLUMN()))</f>
        <v>#NAME?</v>
      </c>
      <c r="AH538" s="295" t="e">
        <f>IF(INDEX(MO_SPT_FXAverage,1,COLUMN())=0,1,INDEX(MO_SPT_FXAverage,1,COLUMN()))</f>
        <v>#NAME?</v>
      </c>
      <c r="AI538" s="295" t="e">
        <f>IF(INDEX(MO_SPT_FXAverage,1,COLUMN())=0,1,INDEX(MO_SPT_FXAverage,1,COLUMN()))</f>
        <v>#NAME?</v>
      </c>
      <c r="AJ538" s="598" t="e">
        <f>IF(INDEX(MO_SPT_FXAverage,1,COLUMN())=0,1,INDEX(MO_SPT_FXAverage,1,COLUMN()))</f>
        <v>#NAME?</v>
      </c>
      <c r="AK538" s="295" t="e">
        <f>IF(INDEX(MO_SPT_FXAverage,1,COLUMN())=0,1,INDEX(MO_SPT_FXAverage,1,COLUMN()))</f>
        <v>#NAME?</v>
      </c>
      <c r="AL538" s="295" t="e">
        <f>IF(INDEX(MO_SPT_FXAverage,1,COLUMN())=0,1,INDEX(MO_SPT_FXAverage,1,COLUMN()))</f>
        <v>#NAME?</v>
      </c>
      <c r="AM538" s="295" t="e">
        <f>IF(INDEX(MO_SPT_FXAverage,1,COLUMN())=0,1,INDEX(MO_SPT_FXAverage,1,COLUMN()))</f>
        <v>#NAME?</v>
      </c>
      <c r="AN538" s="295" t="e">
        <f>IF(INDEX(MO_SPT_FXAverage,1,COLUMN())=0,1,INDEX(MO_SPT_FXAverage,1,COLUMN()))</f>
        <v>#NAME?</v>
      </c>
      <c r="AO538" s="598" t="e">
        <f>IF(INDEX(MO_SPT_FXAverage,1,COLUMN())=0,1,INDEX(MO_SPT_FXAverage,1,COLUMN()))</f>
        <v>#NAME?</v>
      </c>
      <c r="AP538" s="295" t="e">
        <f>IF(INDEX(MO_SPT_FXAverage,1,COLUMN())=0,1,INDEX(MO_SPT_FXAverage,1,COLUMN()))</f>
        <v>#NAME?</v>
      </c>
      <c r="AQ538" s="295" t="e">
        <f>IF(INDEX(MO_SPT_FXAverage,1,COLUMN())=0,1,INDEX(MO_SPT_FXAverage,1,COLUMN()))</f>
        <v>#NAME?</v>
      </c>
      <c r="AR538" s="295" t="e">
        <f>IF(INDEX(MO_SPT_FXAverage,1,COLUMN())=0,1,INDEX(MO_SPT_FXAverage,1,COLUMN()))</f>
        <v>#NAME?</v>
      </c>
      <c r="AS538" s="295" t="e">
        <f>IF(INDEX(MO_SPT_FXAverage,1,COLUMN())=0,1,INDEX(MO_SPT_FXAverage,1,COLUMN()))</f>
        <v>#NAME?</v>
      </c>
      <c r="AT538" s="598" t="e">
        <f>IF(INDEX(MO_SPT_FXAverage,1,COLUMN())=0,1,INDEX(MO_SPT_FXAverage,1,COLUMN()))</f>
        <v>#NAME?</v>
      </c>
      <c r="AU538" s="295" t="e">
        <f>IF(INDEX(MO_SPT_FXAverage,1,COLUMN())=0,1,INDEX(MO_SPT_FXAverage,1,COLUMN()))</f>
        <v>#NAME?</v>
      </c>
      <c r="AV538" s="295" t="e">
        <f>IF(INDEX(MO_SPT_FXAverage,1,COLUMN())=0,1,INDEX(MO_SPT_FXAverage,1,COLUMN()))</f>
        <v>#NAME?</v>
      </c>
      <c r="AW538" s="295" t="e">
        <f>IF(INDEX(MO_SPT_FXAverage,1,COLUMN())=0,1,INDEX(MO_SPT_FXAverage,1,COLUMN()))</f>
        <v>#NAME?</v>
      </c>
      <c r="AX538" s="295" t="e">
        <f>IF(INDEX(MO_SPT_FXAverage,1,COLUMN())=0,1,INDEX(MO_SPT_FXAverage,1,COLUMN()))</f>
        <v>#NAME?</v>
      </c>
      <c r="AY538" s="598" t="e">
        <f>IF(INDEX(MO_SPT_FXAverage,1,COLUMN())=0,1,INDEX(MO_SPT_FXAverage,1,COLUMN()))</f>
        <v>#NAME?</v>
      </c>
      <c r="AZ538" s="295" t="e">
        <f>IF(INDEX(MO_SPT_FXAverage,1,COLUMN())=0,1,INDEX(MO_SPT_FXAverage,1,COLUMN()))</f>
        <v>#NAME?</v>
      </c>
      <c r="BA538" s="295" t="e">
        <f>IF(INDEX(MO_SPT_FXAverage,1,COLUMN())=0,1,INDEX(MO_SPT_FXAverage,1,COLUMN()))</f>
        <v>#NAME?</v>
      </c>
      <c r="BB538" s="295" t="e">
        <f>IF(INDEX(MO_SPT_FXAverage,1,COLUMN())=0,1,INDEX(MO_SPT_FXAverage,1,COLUMN()))</f>
        <v>#NAME?</v>
      </c>
      <c r="BC538" s="295" t="e">
        <f>IF(INDEX(MO_SPT_FXAverage,1,COLUMN())=0,1,INDEX(MO_SPT_FXAverage,1,COLUMN()))</f>
        <v>#NAME?</v>
      </c>
      <c r="BD538" s="598" t="e">
        <f>IF(INDEX(MO_SPT_FXAverage,1,COLUMN())=0,1,INDEX(MO_SPT_FXAverage,1,COLUMN()))</f>
        <v>#NAME?</v>
      </c>
      <c r="BE538" s="295" t="e">
        <f>IF(INDEX(MO_SPT_FXAverage,1,COLUMN())=0,1,INDEX(MO_SPT_FXAverage,1,COLUMN()))</f>
        <v>#NAME?</v>
      </c>
      <c r="BF538" s="295" t="e">
        <f>IF(INDEX(MO_SPT_FXAverage,1,COLUMN())=0,1,INDEX(MO_SPT_FXAverage,1,COLUMN()))</f>
        <v>#NAME?</v>
      </c>
      <c r="BG538" s="295" t="e">
        <f>IF(INDEX(MO_SPT_FXAverage,1,COLUMN())=0,1,INDEX(MO_SPT_FXAverage,1,COLUMN()))</f>
        <v>#NAME?</v>
      </c>
      <c r="BH538" s="295" t="e">
        <f>IF(INDEX(MO_SPT_FXAverage,1,COLUMN())=0,1,INDEX(MO_SPT_FXAverage,1,COLUMN()))</f>
        <v>#NAME?</v>
      </c>
      <c r="BI538" s="598" t="e">
        <f>IF(INDEX(MO_SPT_FXAverage,1,COLUMN())=0,1,INDEX(MO_SPT_FXAverage,1,COLUMN()))</f>
        <v>#NAME?</v>
      </c>
      <c r="BJ538" s="295" t="e">
        <f>IF(INDEX(MO_SPT_FXAverage,1,COLUMN())=0,1,INDEX(MO_SPT_FXAverage,1,COLUMN()))</f>
        <v>#NAME?</v>
      </c>
      <c r="BK538" s="295" t="e">
        <f>IF(INDEX(MO_SPT_FXAverage,1,COLUMN())=0,1,INDEX(MO_SPT_FXAverage,1,COLUMN()))</f>
        <v>#NAME?</v>
      </c>
      <c r="BL538" s="295" t="e">
        <f>IF(INDEX(MO_SPT_FXAverage,1,COLUMN())=0,1,INDEX(MO_SPT_FXAverage,1,COLUMN()))</f>
        <v>#NAME?</v>
      </c>
      <c r="BM538" s="295" t="e">
        <f>IF(INDEX(MO_SPT_FXAverage,1,COLUMN())=0,1,INDEX(MO_SPT_FXAverage,1,COLUMN()))</f>
        <v>#NAME?</v>
      </c>
      <c r="BN538" s="598" t="e">
        <f>IF(INDEX(MO_SPT_FXAverage,1,COLUMN())=0,1,INDEX(MO_SPT_FXAverage,1,COLUMN()))</f>
        <v>#NAME?</v>
      </c>
      <c r="BO538" s="295" t="e">
        <f>IF(INDEX(MO_SPT_FXAverage,1,COLUMN())=0,1,INDEX(MO_SPT_FXAverage,1,COLUMN()))</f>
        <v>#NAME?</v>
      </c>
      <c r="BP538" s="295" t="e">
        <f>IF(INDEX(MO_SPT_FXAverage,1,COLUMN())=0,1,INDEX(MO_SPT_FXAverage,1,COLUMN()))</f>
        <v>#NAME?</v>
      </c>
      <c r="BQ538" s="295" t="e">
        <f>IF(INDEX(MO_SPT_FXAverage,1,COLUMN())=0,1,INDEX(MO_SPT_FXAverage,1,COLUMN()))</f>
        <v>#NAME?</v>
      </c>
      <c r="BR538" s="295" t="e">
        <f>IF(INDEX(MO_SPT_FXAverage,1,COLUMN())=0,1,INDEX(MO_SPT_FXAverage,1,COLUMN()))</f>
        <v>#NAME?</v>
      </c>
      <c r="BS538" s="599" t="e">
        <f>IF(INDEX(MO_SPT_FXAverage,1,COLUMN())=0,1,INDEX(MO_SPT_FXAverage,1,COLUMN()))</f>
        <v>#NAME?</v>
      </c>
      <c r="BT538" s="600" t="e">
        <f>IF(INDEX(MO_SPT_FXAverage,1,COLUMN())=0,1,INDEX(MO_SPT_FXAverage,1,COLUMN()))</f>
        <v>#NAME?</v>
      </c>
      <c r="BU538" s="600" t="e">
        <f>IF(INDEX(MO_SPT_FXAverage,1,COLUMN())=0,1,INDEX(MO_SPT_FXAverage,1,COLUMN()))</f>
        <v>#NAME?</v>
      </c>
      <c r="BV538" s="600" t="e">
        <f>IF(INDEX(MO_SPT_FXAverage,1,COLUMN())=0,1,INDEX(MO_SPT_FXAverage,1,COLUMN()))</f>
        <v>#NAME?</v>
      </c>
      <c r="BW538" s="600" t="e">
        <f>IF(INDEX(MO_SPT_FXAverage,1,COLUMN())=0,1,INDEX(MO_SPT_FXAverage,1,COLUMN()))</f>
        <v>#NAME?</v>
      </c>
      <c r="BX538" s="598" t="e">
        <f>IF(INDEX(MO_SPT_FXAverage,1,COLUMN())=0,1,INDEX(MO_SPT_FXAverage,1,COLUMN()))</f>
        <v>#NAME?</v>
      </c>
      <c r="BY538" s="600" t="e">
        <f>IF(INDEX(MO_SPT_FXAverage,1,COLUMN())=0,1,INDEX(MO_SPT_FXAverage,1,COLUMN()))</f>
        <v>#NAME?</v>
      </c>
      <c r="BZ538" s="600" t="e">
        <f>IF(INDEX(MO_SPT_FXAverage,1,COLUMN())=0,1,INDEX(MO_SPT_FXAverage,1,COLUMN()))</f>
        <v>#NAME?</v>
      </c>
      <c r="CA538" s="600" t="e">
        <f>IF(INDEX(MO_SPT_FXAverage,1,COLUMN())=0,1,INDEX(MO_SPT_FXAverage,1,COLUMN()))</f>
        <v>#NAME?</v>
      </c>
      <c r="CB538" s="600" t="e">
        <f>IF(INDEX(MO_SPT_FXAverage,1,COLUMN())=0,1,INDEX(MO_SPT_FXAverage,1,COLUMN()))</f>
        <v>#NAME?</v>
      </c>
      <c r="CC538" s="598" t="e">
        <f>IF(INDEX(MO_SPT_FXAverage,1,COLUMN())=0,1,INDEX(MO_SPT_FXAverage,1,COLUMN()))</f>
        <v>#NAME?</v>
      </c>
      <c r="CD538" s="598" t="e">
        <f>IF(INDEX(MO_SPT_FXAverage,1,COLUMN())=0,1,INDEX(MO_SPT_FXAverage,1,COLUMN()))</f>
        <v>#NAME?</v>
      </c>
      <c r="CE538" s="598" t="e">
        <f>IF(INDEX(MO_SPT_FXAverage,1,COLUMN())=0,1,INDEX(MO_SPT_FXAverage,1,COLUMN()))</f>
        <v>#NAME?</v>
      </c>
      <c r="CF538" s="598" t="e">
        <f>IF(INDEX(MO_SPT_FXAverage,1,COLUMN())=0,1,INDEX(MO_SPT_FXAverage,1,COLUMN()))</f>
        <v>#NAME?</v>
      </c>
      <c r="CG538" s="369"/>
    </row>
    <row r="539" spans="1:85" ht="14.45" hidden="1" customHeight="1" x14ac:dyDescent="0.25">
      <c r="A539" s="293" t="e">
        <f>"EoP FX Rate, "&amp;HP.TradeCurrency&amp;"/"&amp;MO.ReportCurrency</f>
        <v>#NAME?</v>
      </c>
      <c r="B539" s="294"/>
      <c r="C539" s="597" t="e">
        <f>IF(INDEX(MO_SNA_IsHistoricalPeriod,1,COLUMN())=FALSE,HP.MRFX,INDEX(MO_SPT_FXEoP,1,COLUMN()))</f>
        <v>#NAME?</v>
      </c>
      <c r="D539" s="597" t="e">
        <f>IF(INDEX(MO_SNA_IsHistoricalPeriod,1,COLUMN())=FALSE,HP.MRFX,INDEX(MO_SPT_FXEoP,1,COLUMN()))</f>
        <v>#NAME?</v>
      </c>
      <c r="E539" s="597" t="e">
        <f>IF(INDEX(MO_SNA_IsHistoricalPeriod,1,COLUMN())=FALSE,HP.MRFX,INDEX(MO_SPT_FXEoP,1,COLUMN()))</f>
        <v>#NAME?</v>
      </c>
      <c r="F539" s="597" t="e">
        <f>IF(INDEX(MO_SNA_IsHistoricalPeriod,1,COLUMN())=FALSE,HP.MRFX,INDEX(MO_SPT_FXEoP,1,COLUMN()))</f>
        <v>#NAME?</v>
      </c>
      <c r="G539" s="295" t="e">
        <f>IF(INDEX(MO_SNA_IsHistoricalPeriod,1,COLUMN())=FALSE,HP.MRFX,INDEX(MO_SPT_FXEoP,1,COLUMN()))</f>
        <v>#NAME?</v>
      </c>
      <c r="H539" s="295" t="e">
        <f>IF(INDEX(MO_SNA_IsHistoricalPeriod,1,COLUMN())=FALSE,HP.MRFX,INDEX(MO_SPT_FXEoP,1,COLUMN()))</f>
        <v>#NAME?</v>
      </c>
      <c r="I539" s="295" t="e">
        <f>IF(INDEX(MO_SNA_IsHistoricalPeriod,1,COLUMN())=FALSE,HP.MRFX,INDEX(MO_SPT_FXEoP,1,COLUMN()))</f>
        <v>#NAME?</v>
      </c>
      <c r="J539" s="295" t="e">
        <f>IF(INDEX(MO_SNA_IsHistoricalPeriod,1,COLUMN())=FALSE,HP.MRFX,INDEX(MO_SPT_FXEoP,1,COLUMN()))</f>
        <v>#NAME?</v>
      </c>
      <c r="K539" s="597" t="e">
        <f>IF(INDEX(MO_SNA_IsHistoricalPeriod,1,COLUMN())=FALSE,HP.MRFX,INDEX(MO_SPT_FXEoP,1,COLUMN()))</f>
        <v>#NAME?</v>
      </c>
      <c r="L539" s="295" t="e">
        <f>IF(INDEX(MO_SNA_IsHistoricalPeriod,1,COLUMN())=FALSE,HP.MRFX,INDEX(MO_SPT_FXEoP,1,COLUMN()))</f>
        <v>#NAME?</v>
      </c>
      <c r="M539" s="295" t="e">
        <f>IF(INDEX(MO_SNA_IsHistoricalPeriod,1,COLUMN())=FALSE,HP.MRFX,INDEX(MO_SPT_FXEoP,1,COLUMN()))</f>
        <v>#NAME?</v>
      </c>
      <c r="N539" s="295" t="e">
        <f>IF(INDEX(MO_SNA_IsHistoricalPeriod,1,COLUMN())=FALSE,HP.MRFX,INDEX(MO_SPT_FXEoP,1,COLUMN()))</f>
        <v>#NAME?</v>
      </c>
      <c r="O539" s="295" t="e">
        <f>IF(INDEX(MO_SNA_IsHistoricalPeriod,1,COLUMN())=FALSE,HP.MRFX,INDEX(MO_SPT_FXEoP,1,COLUMN()))</f>
        <v>#NAME?</v>
      </c>
      <c r="P539" s="597" t="e">
        <f>IF(INDEX(MO_SNA_IsHistoricalPeriod,1,COLUMN())=FALSE,HP.MRFX,INDEX(MO_SPT_FXEoP,1,COLUMN()))</f>
        <v>#NAME?</v>
      </c>
      <c r="Q539" s="295" t="e">
        <f>IF(INDEX(MO_SNA_IsHistoricalPeriod,1,COLUMN())=FALSE,HP.MRFX,INDEX(MO_SPT_FXEoP,1,COLUMN()))</f>
        <v>#NAME?</v>
      </c>
      <c r="R539" s="295" t="e">
        <f>IF(INDEX(MO_SNA_IsHistoricalPeriod,1,COLUMN())=FALSE,HP.MRFX,INDEX(MO_SPT_FXEoP,1,COLUMN()))</f>
        <v>#NAME?</v>
      </c>
      <c r="S539" s="295" t="e">
        <f>IF(INDEX(MO_SNA_IsHistoricalPeriod,1,COLUMN())=FALSE,HP.MRFX,INDEX(MO_SPT_FXEoP,1,COLUMN()))</f>
        <v>#NAME?</v>
      </c>
      <c r="T539" s="295" t="e">
        <f>IF(INDEX(MO_SNA_IsHistoricalPeriod,1,COLUMN())=FALSE,HP.MRFX,INDEX(MO_SPT_FXEoP,1,COLUMN()))</f>
        <v>#NAME?</v>
      </c>
      <c r="U539" s="597" t="e">
        <f>IF(INDEX(MO_SNA_IsHistoricalPeriod,1,COLUMN())=FALSE,HP.MRFX,INDEX(MO_SPT_FXEoP,1,COLUMN()))</f>
        <v>#NAME?</v>
      </c>
      <c r="V539" s="295" t="e">
        <f>IF(INDEX(MO_SNA_IsHistoricalPeriod,1,COLUMN())=FALSE,HP.MRFX,INDEX(MO_SPT_FXEoP,1,COLUMN()))</f>
        <v>#NAME?</v>
      </c>
      <c r="W539" s="295" t="e">
        <f>IF(INDEX(MO_SNA_IsHistoricalPeriod,1,COLUMN())=FALSE,HP.MRFX,INDEX(MO_SPT_FXEoP,1,COLUMN()))</f>
        <v>#NAME?</v>
      </c>
      <c r="X539" s="295" t="e">
        <f>IF(INDEX(MO_SNA_IsHistoricalPeriod,1,COLUMN())=FALSE,HP.MRFX,INDEX(MO_SPT_FXEoP,1,COLUMN()))</f>
        <v>#NAME?</v>
      </c>
      <c r="Y539" s="295" t="e">
        <f>IF(INDEX(MO_SNA_IsHistoricalPeriod,1,COLUMN())=FALSE,HP.MRFX,INDEX(MO_SPT_FXEoP,1,COLUMN()))</f>
        <v>#NAME?</v>
      </c>
      <c r="Z539" s="598" t="e">
        <f>IF(INDEX(MO_SNA_IsHistoricalPeriod,1,COLUMN())=FALSE,HP.MRFX,INDEX(MO_SPT_FXEoP,1,COLUMN()))</f>
        <v>#NAME?</v>
      </c>
      <c r="AA539" s="295" t="e">
        <f>IF(INDEX(MO_SNA_IsHistoricalPeriod,1,COLUMN())=FALSE,HP.MRFX,INDEX(MO_SPT_FXEoP,1,COLUMN()))</f>
        <v>#NAME?</v>
      </c>
      <c r="AB539" s="295" t="e">
        <f>IF(INDEX(MO_SNA_IsHistoricalPeriod,1,COLUMN())=FALSE,HP.MRFX,INDEX(MO_SPT_FXEoP,1,COLUMN()))</f>
        <v>#NAME?</v>
      </c>
      <c r="AC539" s="295" t="e">
        <f>IF(INDEX(MO_SNA_IsHistoricalPeriod,1,COLUMN())=FALSE,HP.MRFX,INDEX(MO_SPT_FXEoP,1,COLUMN()))</f>
        <v>#NAME?</v>
      </c>
      <c r="AD539" s="295" t="e">
        <f>IF(INDEX(MO_SNA_IsHistoricalPeriod,1,COLUMN())=FALSE,HP.MRFX,INDEX(MO_SPT_FXEoP,1,COLUMN()))</f>
        <v>#NAME?</v>
      </c>
      <c r="AE539" s="598" t="e">
        <f>IF(INDEX(MO_SNA_IsHistoricalPeriod,1,COLUMN())=FALSE,HP.MRFX,INDEX(MO_SPT_FXEoP,1,COLUMN()))</f>
        <v>#NAME?</v>
      </c>
      <c r="AF539" s="295" t="e">
        <f>IF(INDEX(MO_SNA_IsHistoricalPeriod,1,COLUMN())=FALSE,HP.MRFX,INDEX(MO_SPT_FXEoP,1,COLUMN()))</f>
        <v>#NAME?</v>
      </c>
      <c r="AG539" s="295" t="e">
        <f>IF(INDEX(MO_SNA_IsHistoricalPeriod,1,COLUMN())=FALSE,HP.MRFX,INDEX(MO_SPT_FXEoP,1,COLUMN()))</f>
        <v>#NAME?</v>
      </c>
      <c r="AH539" s="295" t="e">
        <f>IF(INDEX(MO_SNA_IsHistoricalPeriod,1,COLUMN())=FALSE,HP.MRFX,INDEX(MO_SPT_FXEoP,1,COLUMN()))</f>
        <v>#NAME?</v>
      </c>
      <c r="AI539" s="295" t="e">
        <f>IF(INDEX(MO_SNA_IsHistoricalPeriod,1,COLUMN())=FALSE,HP.MRFX,INDEX(MO_SPT_FXEoP,1,COLUMN()))</f>
        <v>#NAME?</v>
      </c>
      <c r="AJ539" s="598" t="e">
        <f>IF(INDEX(MO_SNA_IsHistoricalPeriod,1,COLUMN())=FALSE,HP.MRFX,INDEX(MO_SPT_FXEoP,1,COLUMN()))</f>
        <v>#NAME?</v>
      </c>
      <c r="AK539" s="295" t="e">
        <f>IF(INDEX(MO_SNA_IsHistoricalPeriod,1,COLUMN())=FALSE,HP.MRFX,INDEX(MO_SPT_FXEoP,1,COLUMN()))</f>
        <v>#NAME?</v>
      </c>
      <c r="AL539" s="295" t="e">
        <f>IF(INDEX(MO_SNA_IsHistoricalPeriod,1,COLUMN())=FALSE,HP.MRFX,INDEX(MO_SPT_FXEoP,1,COLUMN()))</f>
        <v>#NAME?</v>
      </c>
      <c r="AM539" s="295" t="e">
        <f>IF(INDEX(MO_SNA_IsHistoricalPeriod,1,COLUMN())=FALSE,HP.MRFX,INDEX(MO_SPT_FXEoP,1,COLUMN()))</f>
        <v>#NAME?</v>
      </c>
      <c r="AN539" s="295" t="e">
        <f>IF(INDEX(MO_SNA_IsHistoricalPeriod,1,COLUMN())=FALSE,HP.MRFX,INDEX(MO_SPT_FXEoP,1,COLUMN()))</f>
        <v>#NAME?</v>
      </c>
      <c r="AO539" s="598" t="e">
        <f>IF(INDEX(MO_SNA_IsHistoricalPeriod,1,COLUMN())=FALSE,HP.MRFX,INDEX(MO_SPT_FXEoP,1,COLUMN()))</f>
        <v>#NAME?</v>
      </c>
      <c r="AP539" s="295" t="e">
        <f>IF(INDEX(MO_SNA_IsHistoricalPeriod,1,COLUMN())=FALSE,HP.MRFX,INDEX(MO_SPT_FXEoP,1,COLUMN()))</f>
        <v>#NAME?</v>
      </c>
      <c r="AQ539" s="295" t="e">
        <f>IF(INDEX(MO_SNA_IsHistoricalPeriod,1,COLUMN())=FALSE,HP.MRFX,INDEX(MO_SPT_FXEoP,1,COLUMN()))</f>
        <v>#NAME?</v>
      </c>
      <c r="AR539" s="295" t="e">
        <f>IF(INDEX(MO_SNA_IsHistoricalPeriod,1,COLUMN())=FALSE,HP.MRFX,INDEX(MO_SPT_FXEoP,1,COLUMN()))</f>
        <v>#NAME?</v>
      </c>
      <c r="AS539" s="295" t="e">
        <f>IF(INDEX(MO_SNA_IsHistoricalPeriod,1,COLUMN())=FALSE,HP.MRFX,INDEX(MO_SPT_FXEoP,1,COLUMN()))</f>
        <v>#NAME?</v>
      </c>
      <c r="AT539" s="598" t="e">
        <f>IF(INDEX(MO_SNA_IsHistoricalPeriod,1,COLUMN())=FALSE,HP.MRFX,INDEX(MO_SPT_FXEoP,1,COLUMN()))</f>
        <v>#NAME?</v>
      </c>
      <c r="AU539" s="295" t="e">
        <f>IF(INDEX(MO_SNA_IsHistoricalPeriod,1,COLUMN())=FALSE,HP.MRFX,INDEX(MO_SPT_FXEoP,1,COLUMN()))</f>
        <v>#NAME?</v>
      </c>
      <c r="AV539" s="295" t="e">
        <f>IF(INDEX(MO_SNA_IsHistoricalPeriod,1,COLUMN())=FALSE,HP.MRFX,INDEX(MO_SPT_FXEoP,1,COLUMN()))</f>
        <v>#NAME?</v>
      </c>
      <c r="AW539" s="295" t="e">
        <f>IF(INDEX(MO_SNA_IsHistoricalPeriod,1,COLUMN())=FALSE,HP.MRFX,INDEX(MO_SPT_FXEoP,1,COLUMN()))</f>
        <v>#NAME?</v>
      </c>
      <c r="AX539" s="295" t="e">
        <f>IF(INDEX(MO_SNA_IsHistoricalPeriod,1,COLUMN())=FALSE,HP.MRFX,INDEX(MO_SPT_FXEoP,1,COLUMN()))</f>
        <v>#NAME?</v>
      </c>
      <c r="AY539" s="598" t="e">
        <f>IF(INDEX(MO_SNA_IsHistoricalPeriod,1,COLUMN())=FALSE,HP.MRFX,INDEX(MO_SPT_FXEoP,1,COLUMN()))</f>
        <v>#NAME?</v>
      </c>
      <c r="AZ539" s="295" t="e">
        <f>IF(INDEX(MO_SNA_IsHistoricalPeriod,1,COLUMN())=FALSE,HP.MRFX,INDEX(MO_SPT_FXEoP,1,COLUMN()))</f>
        <v>#NAME?</v>
      </c>
      <c r="BA539" s="295" t="e">
        <f>IF(INDEX(MO_SNA_IsHistoricalPeriod,1,COLUMN())=FALSE,HP.MRFX,INDEX(MO_SPT_FXEoP,1,COLUMN()))</f>
        <v>#NAME?</v>
      </c>
      <c r="BB539" s="295" t="e">
        <f>IF(INDEX(MO_SNA_IsHistoricalPeriod,1,COLUMN())=FALSE,HP.MRFX,INDEX(MO_SPT_FXEoP,1,COLUMN()))</f>
        <v>#NAME?</v>
      </c>
      <c r="BC539" s="295" t="e">
        <f>IF(INDEX(MO_SNA_IsHistoricalPeriod,1,COLUMN())=FALSE,HP.MRFX,INDEX(MO_SPT_FXEoP,1,COLUMN()))</f>
        <v>#NAME?</v>
      </c>
      <c r="BD539" s="598" t="e">
        <f>IF(INDEX(MO_SNA_IsHistoricalPeriod,1,COLUMN())=FALSE,HP.MRFX,INDEX(MO_SPT_FXEoP,1,COLUMN()))</f>
        <v>#NAME?</v>
      </c>
      <c r="BE539" s="295" t="e">
        <f>IF(INDEX(MO_SNA_IsHistoricalPeriod,1,COLUMN())=FALSE,HP.MRFX,INDEX(MO_SPT_FXEoP,1,COLUMN()))</f>
        <v>#NAME?</v>
      </c>
      <c r="BF539" s="295" t="e">
        <f>IF(INDEX(MO_SNA_IsHistoricalPeriod,1,COLUMN())=FALSE,HP.MRFX,INDEX(MO_SPT_FXEoP,1,COLUMN()))</f>
        <v>#NAME?</v>
      </c>
      <c r="BG539" s="295" t="e">
        <f>IF(INDEX(MO_SNA_IsHistoricalPeriod,1,COLUMN())=FALSE,HP.MRFX,INDEX(MO_SPT_FXEoP,1,COLUMN()))</f>
        <v>#NAME?</v>
      </c>
      <c r="BH539" s="295" t="e">
        <f>IF(INDEX(MO_SNA_IsHistoricalPeriod,1,COLUMN())=FALSE,HP.MRFX,INDEX(MO_SPT_FXEoP,1,COLUMN()))</f>
        <v>#NAME?</v>
      </c>
      <c r="BI539" s="598" t="e">
        <f>IF(INDEX(MO_SNA_IsHistoricalPeriod,1,COLUMN())=FALSE,HP.MRFX,INDEX(MO_SPT_FXEoP,1,COLUMN()))</f>
        <v>#NAME?</v>
      </c>
      <c r="BJ539" s="295" t="e">
        <f>IF(INDEX(MO_SNA_IsHistoricalPeriod,1,COLUMN())=FALSE,HP.MRFX,INDEX(MO_SPT_FXEoP,1,COLUMN()))</f>
        <v>#NAME?</v>
      </c>
      <c r="BK539" s="295" t="e">
        <f>IF(INDEX(MO_SNA_IsHistoricalPeriod,1,COLUMN())=FALSE,HP.MRFX,INDEX(MO_SPT_FXEoP,1,COLUMN()))</f>
        <v>#NAME?</v>
      </c>
      <c r="BL539" s="295" t="e">
        <f>IF(INDEX(MO_SNA_IsHistoricalPeriod,1,COLUMN())=FALSE,HP.MRFX,INDEX(MO_SPT_FXEoP,1,COLUMN()))</f>
        <v>#NAME?</v>
      </c>
      <c r="BM539" s="295" t="e">
        <f>IF(INDEX(MO_SNA_IsHistoricalPeriod,1,COLUMN())=FALSE,HP.MRFX,INDEX(MO_SPT_FXEoP,1,COLUMN()))</f>
        <v>#NAME?</v>
      </c>
      <c r="BN539" s="598" t="e">
        <f>IF(INDEX(MO_SNA_IsHistoricalPeriod,1,COLUMN())=FALSE,HP.MRFX,INDEX(MO_SPT_FXEoP,1,COLUMN()))</f>
        <v>#NAME?</v>
      </c>
      <c r="BO539" s="295" t="e">
        <f>IF(INDEX(MO_SNA_IsHistoricalPeriod,1,COLUMN())=FALSE,HP.MRFX,INDEX(MO_SPT_FXEoP,1,COLUMN()))</f>
        <v>#NAME?</v>
      </c>
      <c r="BP539" s="295" t="e">
        <f>IF(INDEX(MO_SNA_IsHistoricalPeriod,1,COLUMN())=FALSE,HP.MRFX,INDEX(MO_SPT_FXEoP,1,COLUMN()))</f>
        <v>#NAME?</v>
      </c>
      <c r="BQ539" s="295" t="e">
        <f>IF(INDEX(MO_SNA_IsHistoricalPeriod,1,COLUMN())=FALSE,HP.MRFX,INDEX(MO_SPT_FXEoP,1,COLUMN()))</f>
        <v>#NAME?</v>
      </c>
      <c r="BR539" s="295" t="e">
        <f>IF(INDEX(MO_SNA_IsHistoricalPeriod,1,COLUMN())=FALSE,HP.MRFX,INDEX(MO_SPT_FXEoP,1,COLUMN()))</f>
        <v>#NAME?</v>
      </c>
      <c r="BS539" s="599" t="e">
        <f>IF(INDEX(MO_SNA_IsHistoricalPeriod,1,COLUMN())=FALSE,HP.MRFX,INDEX(MO_SPT_FXEoP,1,COLUMN()))</f>
        <v>#NAME?</v>
      </c>
      <c r="BT539" s="600" t="e">
        <f>IF(INDEX(MO_SNA_IsHistoricalPeriod,1,COLUMN())=FALSE,HP.MRFX,INDEX(MO_SPT_FXEoP,1,COLUMN()))</f>
        <v>#NAME?</v>
      </c>
      <c r="BU539" s="600" t="e">
        <f>IF(INDEX(MO_SNA_IsHistoricalPeriod,1,COLUMN())=FALSE,HP.MRFX,INDEX(MO_SPT_FXEoP,1,COLUMN()))</f>
        <v>#NAME?</v>
      </c>
      <c r="BV539" s="600" t="e">
        <f>IF(INDEX(MO_SNA_IsHistoricalPeriod,1,COLUMN())=FALSE,HP.MRFX,INDEX(MO_SPT_FXEoP,1,COLUMN()))</f>
        <v>#NAME?</v>
      </c>
      <c r="BW539" s="600" t="e">
        <f>IF(INDEX(MO_SNA_IsHistoricalPeriod,1,COLUMN())=FALSE,HP.MRFX,INDEX(MO_SPT_FXEoP,1,COLUMN()))</f>
        <v>#NAME?</v>
      </c>
      <c r="BX539" s="598" t="e">
        <f>IF(INDEX(MO_SNA_IsHistoricalPeriod,1,COLUMN())=FALSE,HP.MRFX,INDEX(MO_SPT_FXEoP,1,COLUMN()))</f>
        <v>#NAME?</v>
      </c>
      <c r="BY539" s="600" t="e">
        <f>IF(INDEX(MO_SNA_IsHistoricalPeriod,1,COLUMN())=FALSE,HP.MRFX,INDEX(MO_SPT_FXEoP,1,COLUMN()))</f>
        <v>#NAME?</v>
      </c>
      <c r="BZ539" s="600" t="e">
        <f>IF(INDEX(MO_SNA_IsHistoricalPeriod,1,COLUMN())=FALSE,HP.MRFX,INDEX(MO_SPT_FXEoP,1,COLUMN()))</f>
        <v>#NAME?</v>
      </c>
      <c r="CA539" s="600" t="e">
        <f>IF(INDEX(MO_SNA_IsHistoricalPeriod,1,COLUMN())=FALSE,HP.MRFX,INDEX(MO_SPT_FXEoP,1,COLUMN()))</f>
        <v>#NAME?</v>
      </c>
      <c r="CB539" s="600" t="e">
        <f>IF(INDEX(MO_SNA_IsHistoricalPeriod,1,COLUMN())=FALSE,HP.MRFX,INDEX(MO_SPT_FXEoP,1,COLUMN()))</f>
        <v>#NAME?</v>
      </c>
      <c r="CC539" s="598" t="e">
        <f>IF(INDEX(MO_SNA_IsHistoricalPeriod,1,COLUMN())=FALSE,HP.MRFX,INDEX(MO_SPT_FXEoP,1,COLUMN()))</f>
        <v>#NAME?</v>
      </c>
      <c r="CD539" s="598" t="e">
        <f>IF(INDEX(MO_SNA_IsHistoricalPeriod,1,COLUMN())=FALSE,HP.MRFX,INDEX(MO_SPT_FXEoP,1,COLUMN()))</f>
        <v>#NAME?</v>
      </c>
      <c r="CE539" s="598" t="e">
        <f>IF(INDEX(MO_SNA_IsHistoricalPeriod,1,COLUMN())=FALSE,HP.MRFX,INDEX(MO_SPT_FXEoP,1,COLUMN()))</f>
        <v>#NAME?</v>
      </c>
      <c r="CF539" s="598" t="e">
        <f>IF(INDEX(MO_SNA_IsHistoricalPeriod,1,COLUMN())=FALSE,HP.MRFX,INDEX(MO_SPT_FXEoP,1,COLUMN()))</f>
        <v>#NAME?</v>
      </c>
      <c r="CG539" s="369"/>
    </row>
    <row r="540" spans="1:85" ht="14.45" hidden="1" customHeight="1" x14ac:dyDescent="0.25">
      <c r="A540" s="289" t="e">
        <f>"Stock Price (Trading Cur.) - "&amp;MO.ValuationToggle&amp;", "&amp;HP.TradeCurrency</f>
        <v>#NAME?</v>
      </c>
      <c r="B540" s="290"/>
      <c r="C540" s="589" t="e">
        <f>IF(INDEX(MO_SNA_IsHistoricalPeriod,1,COLUMN())=FALSE,MO.LastPrice,CHOOSE(VLOOKUP(MO.ValuationToggle,tb_ValuationToggle,COLUMNS(tb_ValuationToggle),FALSE),C534,C535,C536,C537))</f>
        <v>#NAME?</v>
      </c>
      <c r="D540" s="589" t="e">
        <f>IF(INDEX(MO_SNA_IsHistoricalPeriod,1,COLUMN())=FALSE,MO.LastPrice,CHOOSE(VLOOKUP(MO.ValuationToggle,tb_ValuationToggle,COLUMNS(tb_ValuationToggle),FALSE),D534,D535,D536,D537))</f>
        <v>#NAME?</v>
      </c>
      <c r="E540" s="589" t="e">
        <f>IF(INDEX(MO_SNA_IsHistoricalPeriod,1,COLUMN())=FALSE,MO.LastPrice,CHOOSE(VLOOKUP(MO.ValuationToggle,tb_ValuationToggle,COLUMNS(tb_ValuationToggle),FALSE),E534,E535,E536,E537))</f>
        <v>#NAME?</v>
      </c>
      <c r="F540" s="589" t="e">
        <f>IF(INDEX(MO_SNA_IsHistoricalPeriod,1,COLUMN())=FALSE,MO.LastPrice,CHOOSE(VLOOKUP(MO.ValuationToggle,tb_ValuationToggle,COLUMNS(tb_ValuationToggle),FALSE),F534,F535,F536,F537))</f>
        <v>#NAME?</v>
      </c>
      <c r="G540" s="291" t="e">
        <f>IF(INDEX(MO_SNA_IsHistoricalPeriod,1,COLUMN())=FALSE,MO.LastPrice,CHOOSE(VLOOKUP(MO.ValuationToggle,tb_ValuationToggle,COLUMNS(tb_ValuationToggle),FALSE),G534,G535,G536,G537))</f>
        <v>#NAME?</v>
      </c>
      <c r="H540" s="291" t="e">
        <f>IF(INDEX(MO_SNA_IsHistoricalPeriod,1,COLUMN())=FALSE,MO.LastPrice,CHOOSE(VLOOKUP(MO.ValuationToggle,tb_ValuationToggle,COLUMNS(tb_ValuationToggle),FALSE),H534,H535,H536,H537))</f>
        <v>#NAME?</v>
      </c>
      <c r="I540" s="291" t="e">
        <f>IF(INDEX(MO_SNA_IsHistoricalPeriod,1,COLUMN())=FALSE,MO.LastPrice,CHOOSE(VLOOKUP(MO.ValuationToggle,tb_ValuationToggle,COLUMNS(tb_ValuationToggle),FALSE),I534,I535,I536,I537))</f>
        <v>#NAME?</v>
      </c>
      <c r="J540" s="291" t="e">
        <f>IF(INDEX(MO_SNA_IsHistoricalPeriod,1,COLUMN())=FALSE,MO.LastPrice,CHOOSE(VLOOKUP(MO.ValuationToggle,tb_ValuationToggle,COLUMNS(tb_ValuationToggle),FALSE),J534,J535,J536,J537))</f>
        <v>#NAME?</v>
      </c>
      <c r="K540" s="589" t="e">
        <f>IF(INDEX(MO_SNA_IsHistoricalPeriod,1,COLUMN())=FALSE,MO.LastPrice,CHOOSE(VLOOKUP(MO.ValuationToggle,tb_ValuationToggle,COLUMNS(tb_ValuationToggle),FALSE),K534,K535,K536,K537))</f>
        <v>#NAME?</v>
      </c>
      <c r="L540" s="291" t="e">
        <f>IF(INDEX(MO_SNA_IsHistoricalPeriod,1,COLUMN())=FALSE,MO.LastPrice,CHOOSE(VLOOKUP(MO.ValuationToggle,tb_ValuationToggle,COLUMNS(tb_ValuationToggle),FALSE),L534,L535,L536,L537))</f>
        <v>#NAME?</v>
      </c>
      <c r="M540" s="291" t="e">
        <f>IF(INDEX(MO_SNA_IsHistoricalPeriod,1,COLUMN())=FALSE,MO.LastPrice,CHOOSE(VLOOKUP(MO.ValuationToggle,tb_ValuationToggle,COLUMNS(tb_ValuationToggle),FALSE),M534,M535,M536,M537))</f>
        <v>#NAME?</v>
      </c>
      <c r="N540" s="291" t="e">
        <f>IF(INDEX(MO_SNA_IsHistoricalPeriod,1,COLUMN())=FALSE,MO.LastPrice,CHOOSE(VLOOKUP(MO.ValuationToggle,tb_ValuationToggle,COLUMNS(tb_ValuationToggle),FALSE),N534,N535,N536,N537))</f>
        <v>#NAME?</v>
      </c>
      <c r="O540" s="291" t="e">
        <f>IF(INDEX(MO_SNA_IsHistoricalPeriod,1,COLUMN())=FALSE,MO.LastPrice,CHOOSE(VLOOKUP(MO.ValuationToggle,tb_ValuationToggle,COLUMNS(tb_ValuationToggle),FALSE),O534,O535,O536,O537))</f>
        <v>#NAME?</v>
      </c>
      <c r="P540" s="589" t="e">
        <f>IF(INDEX(MO_SNA_IsHistoricalPeriod,1,COLUMN())=FALSE,MO.LastPrice,CHOOSE(VLOOKUP(MO.ValuationToggle,tb_ValuationToggle,COLUMNS(tb_ValuationToggle),FALSE),P534,P535,P536,P537))</f>
        <v>#NAME?</v>
      </c>
      <c r="Q540" s="291" t="e">
        <f>IF(INDEX(MO_SNA_IsHistoricalPeriod,1,COLUMN())=FALSE,MO.LastPrice,CHOOSE(VLOOKUP(MO.ValuationToggle,tb_ValuationToggle,COLUMNS(tb_ValuationToggle),FALSE),Q534,Q535,Q536,Q537))</f>
        <v>#NAME?</v>
      </c>
      <c r="R540" s="291" t="e">
        <f>IF(INDEX(MO_SNA_IsHistoricalPeriod,1,COLUMN())=FALSE,MO.LastPrice,CHOOSE(VLOOKUP(MO.ValuationToggle,tb_ValuationToggle,COLUMNS(tb_ValuationToggle),FALSE),R534,R535,R536,R537))</f>
        <v>#NAME?</v>
      </c>
      <c r="S540" s="291" t="e">
        <f>IF(INDEX(MO_SNA_IsHistoricalPeriod,1,COLUMN())=FALSE,MO.LastPrice,CHOOSE(VLOOKUP(MO.ValuationToggle,tb_ValuationToggle,COLUMNS(tb_ValuationToggle),FALSE),S534,S535,S536,S537))</f>
        <v>#NAME?</v>
      </c>
      <c r="T540" s="291" t="e">
        <f>IF(INDEX(MO_SNA_IsHistoricalPeriod,1,COLUMN())=FALSE,MO.LastPrice,CHOOSE(VLOOKUP(MO.ValuationToggle,tb_ValuationToggle,COLUMNS(tb_ValuationToggle),FALSE),T534,T535,T536,T537))</f>
        <v>#NAME?</v>
      </c>
      <c r="U540" s="589" t="e">
        <f>IF(INDEX(MO_SNA_IsHistoricalPeriod,1,COLUMN())=FALSE,MO.LastPrice,CHOOSE(VLOOKUP(MO.ValuationToggle,tb_ValuationToggle,COLUMNS(tb_ValuationToggle),FALSE),U534,U535,U536,U537))</f>
        <v>#NAME?</v>
      </c>
      <c r="V540" s="291" t="e">
        <f>IF(INDEX(MO_SNA_IsHistoricalPeriod,1,COLUMN())=FALSE,MO.LastPrice,CHOOSE(VLOOKUP(MO.ValuationToggle,tb_ValuationToggle,COLUMNS(tb_ValuationToggle),FALSE),V534,V535,V536,V537))</f>
        <v>#NAME?</v>
      </c>
      <c r="W540" s="291" t="e">
        <f>IF(INDEX(MO_SNA_IsHistoricalPeriod,1,COLUMN())=FALSE,MO.LastPrice,CHOOSE(VLOOKUP(MO.ValuationToggle,tb_ValuationToggle,COLUMNS(tb_ValuationToggle),FALSE),W534,W535,W536,W537))</f>
        <v>#NAME?</v>
      </c>
      <c r="X540" s="291" t="e">
        <f>IF(INDEX(MO_SNA_IsHistoricalPeriod,1,COLUMN())=FALSE,MO.LastPrice,CHOOSE(VLOOKUP(MO.ValuationToggle,tb_ValuationToggle,COLUMNS(tb_ValuationToggle),FALSE),X534,X535,X536,X537))</f>
        <v>#NAME?</v>
      </c>
      <c r="Y540" s="291" t="e">
        <f>IF(INDEX(MO_SNA_IsHistoricalPeriod,1,COLUMN())=FALSE,MO.LastPrice,CHOOSE(VLOOKUP(MO.ValuationToggle,tb_ValuationToggle,COLUMNS(tb_ValuationToggle),FALSE),Y534,Y535,Y536,Y537))</f>
        <v>#NAME?</v>
      </c>
      <c r="Z540" s="590" t="e">
        <f>IF(INDEX(MO_SNA_IsHistoricalPeriod,1,COLUMN())=FALSE,MO.LastPrice,CHOOSE(VLOOKUP(MO.ValuationToggle,tb_ValuationToggle,COLUMNS(tb_ValuationToggle),FALSE),Z534,Z535,Z536,Z537))</f>
        <v>#NAME?</v>
      </c>
      <c r="AA540" s="291" t="e">
        <f>IF(INDEX(MO_SNA_IsHistoricalPeriod,1,COLUMN())=FALSE,MO.LastPrice,CHOOSE(VLOOKUP(MO.ValuationToggle,tb_ValuationToggle,COLUMNS(tb_ValuationToggle),FALSE),AA534,AA535,AA536,AA537))</f>
        <v>#NAME?</v>
      </c>
      <c r="AB540" s="291" t="e">
        <f>IF(INDEX(MO_SNA_IsHistoricalPeriod,1,COLUMN())=FALSE,MO.LastPrice,CHOOSE(VLOOKUP(MO.ValuationToggle,tb_ValuationToggle,COLUMNS(tb_ValuationToggle),FALSE),AB534,AB535,AB536,AB537))</f>
        <v>#NAME?</v>
      </c>
      <c r="AC540" s="291" t="e">
        <f>IF(INDEX(MO_SNA_IsHistoricalPeriod,1,COLUMN())=FALSE,MO.LastPrice,CHOOSE(VLOOKUP(MO.ValuationToggle,tb_ValuationToggle,COLUMNS(tb_ValuationToggle),FALSE),AC534,AC535,AC536,AC537))</f>
        <v>#NAME?</v>
      </c>
      <c r="AD540" s="291" t="e">
        <f>IF(INDEX(MO_SNA_IsHistoricalPeriod,1,COLUMN())=FALSE,MO.LastPrice,CHOOSE(VLOOKUP(MO.ValuationToggle,tb_ValuationToggle,COLUMNS(tb_ValuationToggle),FALSE),AD534,AD535,AD536,AD537))</f>
        <v>#NAME?</v>
      </c>
      <c r="AE540" s="590" t="e">
        <f>IF(INDEX(MO_SNA_IsHistoricalPeriod,1,COLUMN())=FALSE,MO.LastPrice,CHOOSE(VLOOKUP(MO.ValuationToggle,tb_ValuationToggle,COLUMNS(tb_ValuationToggle),FALSE),AE534,AE535,AE536,AE537))</f>
        <v>#NAME?</v>
      </c>
      <c r="AF540" s="291" t="e">
        <f>IF(INDEX(MO_SNA_IsHistoricalPeriod,1,COLUMN())=FALSE,MO.LastPrice,CHOOSE(VLOOKUP(MO.ValuationToggle,tb_ValuationToggle,COLUMNS(tb_ValuationToggle),FALSE),AF534,AF535,AF536,AF537))</f>
        <v>#NAME?</v>
      </c>
      <c r="AG540" s="291" t="e">
        <f>IF(INDEX(MO_SNA_IsHistoricalPeriod,1,COLUMN())=FALSE,MO.LastPrice,CHOOSE(VLOOKUP(MO.ValuationToggle,tb_ValuationToggle,COLUMNS(tb_ValuationToggle),FALSE),AG534,AG535,AG536,AG537))</f>
        <v>#NAME?</v>
      </c>
      <c r="AH540" s="291" t="e">
        <f>IF(INDEX(MO_SNA_IsHistoricalPeriod,1,COLUMN())=FALSE,MO.LastPrice,CHOOSE(VLOOKUP(MO.ValuationToggle,tb_ValuationToggle,COLUMNS(tb_ValuationToggle),FALSE),AH534,AH535,AH536,AH537))</f>
        <v>#NAME?</v>
      </c>
      <c r="AI540" s="291" t="e">
        <f>IF(INDEX(MO_SNA_IsHistoricalPeriod,1,COLUMN())=FALSE,MO.LastPrice,CHOOSE(VLOOKUP(MO.ValuationToggle,tb_ValuationToggle,COLUMNS(tb_ValuationToggle),FALSE),AI534,AI535,AI536,AI537))</f>
        <v>#NAME?</v>
      </c>
      <c r="AJ540" s="590" t="e">
        <f>IF(INDEX(MO_SNA_IsHistoricalPeriod,1,COLUMN())=FALSE,MO.LastPrice,CHOOSE(VLOOKUP(MO.ValuationToggle,tb_ValuationToggle,COLUMNS(tb_ValuationToggle),FALSE),AJ534,AJ535,AJ536,AJ537))</f>
        <v>#NAME?</v>
      </c>
      <c r="AK540" s="291" t="e">
        <f>IF(INDEX(MO_SNA_IsHistoricalPeriod,1,COLUMN())=FALSE,MO.LastPrice,CHOOSE(VLOOKUP(MO.ValuationToggle,tb_ValuationToggle,COLUMNS(tb_ValuationToggle),FALSE),AK534,AK535,AK536,AK537))</f>
        <v>#NAME?</v>
      </c>
      <c r="AL540" s="291" t="e">
        <f>IF(INDEX(MO_SNA_IsHistoricalPeriod,1,COLUMN())=FALSE,MO.LastPrice,CHOOSE(VLOOKUP(MO.ValuationToggle,tb_ValuationToggle,COLUMNS(tb_ValuationToggle),FALSE),AL534,AL535,AL536,AL537))</f>
        <v>#NAME?</v>
      </c>
      <c r="AM540" s="291" t="e">
        <f>IF(INDEX(MO_SNA_IsHistoricalPeriod,1,COLUMN())=FALSE,MO.LastPrice,CHOOSE(VLOOKUP(MO.ValuationToggle,tb_ValuationToggle,COLUMNS(tb_ValuationToggle),FALSE),AM534,AM535,AM536,AM537))</f>
        <v>#NAME?</v>
      </c>
      <c r="AN540" s="291" t="e">
        <f>IF(INDEX(MO_SNA_IsHistoricalPeriod,1,COLUMN())=FALSE,MO.LastPrice,CHOOSE(VLOOKUP(MO.ValuationToggle,tb_ValuationToggle,COLUMNS(tb_ValuationToggle),FALSE),AN534,AN535,AN536,AN537))</f>
        <v>#NAME?</v>
      </c>
      <c r="AO540" s="590" t="e">
        <f>IF(INDEX(MO_SNA_IsHistoricalPeriod,1,COLUMN())=FALSE,MO.LastPrice,CHOOSE(VLOOKUP(MO.ValuationToggle,tb_ValuationToggle,COLUMNS(tb_ValuationToggle),FALSE),AO534,AO535,AO536,AO537))</f>
        <v>#NAME?</v>
      </c>
      <c r="AP540" s="291" t="e">
        <f>IF(INDEX(MO_SNA_IsHistoricalPeriod,1,COLUMN())=FALSE,MO.LastPrice,CHOOSE(VLOOKUP(MO.ValuationToggle,tb_ValuationToggle,COLUMNS(tb_ValuationToggle),FALSE),AP534,AP535,AP536,AP537))</f>
        <v>#NAME?</v>
      </c>
      <c r="AQ540" s="291" t="e">
        <f>IF(INDEX(MO_SNA_IsHistoricalPeriod,1,COLUMN())=FALSE,MO.LastPrice,CHOOSE(VLOOKUP(MO.ValuationToggle,tb_ValuationToggle,COLUMNS(tb_ValuationToggle),FALSE),AQ534,AQ535,AQ536,AQ537))</f>
        <v>#NAME?</v>
      </c>
      <c r="AR540" s="291" t="e">
        <f>IF(INDEX(MO_SNA_IsHistoricalPeriod,1,COLUMN())=FALSE,MO.LastPrice,CHOOSE(VLOOKUP(MO.ValuationToggle,tb_ValuationToggle,COLUMNS(tb_ValuationToggle),FALSE),AR534,AR535,AR536,AR537))</f>
        <v>#NAME?</v>
      </c>
      <c r="AS540" s="291" t="e">
        <f>IF(INDEX(MO_SNA_IsHistoricalPeriod,1,COLUMN())=FALSE,MO.LastPrice,CHOOSE(VLOOKUP(MO.ValuationToggle,tb_ValuationToggle,COLUMNS(tb_ValuationToggle),FALSE),AS534,AS535,AS536,AS537))</f>
        <v>#NAME?</v>
      </c>
      <c r="AT540" s="590" t="e">
        <f>IF(INDEX(MO_SNA_IsHistoricalPeriod,1,COLUMN())=FALSE,MO.LastPrice,CHOOSE(VLOOKUP(MO.ValuationToggle,tb_ValuationToggle,COLUMNS(tb_ValuationToggle),FALSE),AT534,AT535,AT536,AT537))</f>
        <v>#NAME?</v>
      </c>
      <c r="AU540" s="291" t="e">
        <f>IF(INDEX(MO_SNA_IsHistoricalPeriod,1,COLUMN())=FALSE,MO.LastPrice,CHOOSE(VLOOKUP(MO.ValuationToggle,tb_ValuationToggle,COLUMNS(tb_ValuationToggle),FALSE),AU534,AU535,AU536,AU537))</f>
        <v>#NAME?</v>
      </c>
      <c r="AV540" s="291" t="e">
        <f>IF(INDEX(MO_SNA_IsHistoricalPeriod,1,COLUMN())=FALSE,MO.LastPrice,CHOOSE(VLOOKUP(MO.ValuationToggle,tb_ValuationToggle,COLUMNS(tb_ValuationToggle),FALSE),AV534,AV535,AV536,AV537))</f>
        <v>#NAME?</v>
      </c>
      <c r="AW540" s="291" t="e">
        <f>IF(INDEX(MO_SNA_IsHistoricalPeriod,1,COLUMN())=FALSE,MO.LastPrice,CHOOSE(VLOOKUP(MO.ValuationToggle,tb_ValuationToggle,COLUMNS(tb_ValuationToggle),FALSE),AW534,AW535,AW536,AW537))</f>
        <v>#NAME?</v>
      </c>
      <c r="AX540" s="291" t="e">
        <f>IF(INDEX(MO_SNA_IsHistoricalPeriod,1,COLUMN())=FALSE,MO.LastPrice,CHOOSE(VLOOKUP(MO.ValuationToggle,tb_ValuationToggle,COLUMNS(tb_ValuationToggle),FALSE),AX534,AX535,AX536,AX537))</f>
        <v>#NAME?</v>
      </c>
      <c r="AY540" s="590" t="e">
        <f>IF(INDEX(MO_SNA_IsHistoricalPeriod,1,COLUMN())=FALSE,MO.LastPrice,CHOOSE(VLOOKUP(MO.ValuationToggle,tb_ValuationToggle,COLUMNS(tb_ValuationToggle),FALSE),AY534,AY535,AY536,AY537))</f>
        <v>#NAME?</v>
      </c>
      <c r="AZ540" s="291" t="e">
        <f>IF(INDEX(MO_SNA_IsHistoricalPeriod,1,COLUMN())=FALSE,MO.LastPrice,CHOOSE(VLOOKUP(MO.ValuationToggle,tb_ValuationToggle,COLUMNS(tb_ValuationToggle),FALSE),AZ534,AZ535,AZ536,AZ537))</f>
        <v>#NAME?</v>
      </c>
      <c r="BA540" s="291" t="e">
        <f>IF(INDEX(MO_SNA_IsHistoricalPeriod,1,COLUMN())=FALSE,MO.LastPrice,CHOOSE(VLOOKUP(MO.ValuationToggle,tb_ValuationToggle,COLUMNS(tb_ValuationToggle),FALSE),BA534,BA535,BA536,BA537))</f>
        <v>#NAME?</v>
      </c>
      <c r="BB540" s="291" t="e">
        <f>IF(INDEX(MO_SNA_IsHistoricalPeriod,1,COLUMN())=FALSE,MO.LastPrice,CHOOSE(VLOOKUP(MO.ValuationToggle,tb_ValuationToggle,COLUMNS(tb_ValuationToggle),FALSE),BB534,BB535,BB536,BB537))</f>
        <v>#NAME?</v>
      </c>
      <c r="BC540" s="291" t="e">
        <f>IF(INDEX(MO_SNA_IsHistoricalPeriod,1,COLUMN())=FALSE,MO.LastPrice,CHOOSE(VLOOKUP(MO.ValuationToggle,tb_ValuationToggle,COLUMNS(tb_ValuationToggle),FALSE),BC534,BC535,BC536,BC537))</f>
        <v>#NAME?</v>
      </c>
      <c r="BD540" s="590" t="e">
        <f>IF(INDEX(MO_SNA_IsHistoricalPeriod,1,COLUMN())=FALSE,MO.LastPrice,CHOOSE(VLOOKUP(MO.ValuationToggle,tb_ValuationToggle,COLUMNS(tb_ValuationToggle),FALSE),BD534,BD535,BD536,BD537))</f>
        <v>#NAME?</v>
      </c>
      <c r="BE540" s="291" t="e">
        <f>IF(INDEX(MO_SNA_IsHistoricalPeriod,1,COLUMN())=FALSE,MO.LastPrice,CHOOSE(VLOOKUP(MO.ValuationToggle,tb_ValuationToggle,COLUMNS(tb_ValuationToggle),FALSE),BE534,BE535,BE536,BE537))</f>
        <v>#NAME?</v>
      </c>
      <c r="BF540" s="291" t="e">
        <f>IF(INDEX(MO_SNA_IsHistoricalPeriod,1,COLUMN())=FALSE,MO.LastPrice,CHOOSE(VLOOKUP(MO.ValuationToggle,tb_ValuationToggle,COLUMNS(tb_ValuationToggle),FALSE),BF534,BF535,BF536,BF537))</f>
        <v>#NAME?</v>
      </c>
      <c r="BG540" s="291" t="e">
        <f>IF(INDEX(MO_SNA_IsHistoricalPeriod,1,COLUMN())=FALSE,MO.LastPrice,CHOOSE(VLOOKUP(MO.ValuationToggle,tb_ValuationToggle,COLUMNS(tb_ValuationToggle),FALSE),BG534,BG535,BG536,BG537))</f>
        <v>#NAME?</v>
      </c>
      <c r="BH540" s="291" t="e">
        <f>IF(INDEX(MO_SNA_IsHistoricalPeriod,1,COLUMN())=FALSE,MO.LastPrice,CHOOSE(VLOOKUP(MO.ValuationToggle,tb_ValuationToggle,COLUMNS(tb_ValuationToggle),FALSE),BH534,BH535,BH536,BH537))</f>
        <v>#NAME?</v>
      </c>
      <c r="BI540" s="590" t="e">
        <f>IF(INDEX(MO_SNA_IsHistoricalPeriod,1,COLUMN())=FALSE,MO.LastPrice,CHOOSE(VLOOKUP(MO.ValuationToggle,tb_ValuationToggle,COLUMNS(tb_ValuationToggle),FALSE),BI534,BI535,BI536,BI537))</f>
        <v>#NAME?</v>
      </c>
      <c r="BJ540" s="291" t="e">
        <f>IF(INDEX(MO_SNA_IsHistoricalPeriod,1,COLUMN())=FALSE,MO.LastPrice,CHOOSE(VLOOKUP(MO.ValuationToggle,tb_ValuationToggle,COLUMNS(tb_ValuationToggle),FALSE),BJ534,BJ535,BJ536,BJ537))</f>
        <v>#NAME?</v>
      </c>
      <c r="BK540" s="291" t="e">
        <f>IF(INDEX(MO_SNA_IsHistoricalPeriod,1,COLUMN())=FALSE,MO.LastPrice,CHOOSE(VLOOKUP(MO.ValuationToggle,tb_ValuationToggle,COLUMNS(tb_ValuationToggle),FALSE),BK534,BK535,BK536,BK537))</f>
        <v>#NAME?</v>
      </c>
      <c r="BL540" s="291" t="e">
        <f>IF(INDEX(MO_SNA_IsHistoricalPeriod,1,COLUMN())=FALSE,MO.LastPrice,CHOOSE(VLOOKUP(MO.ValuationToggle,tb_ValuationToggle,COLUMNS(tb_ValuationToggle),FALSE),BL534,BL535,BL536,BL537))</f>
        <v>#NAME?</v>
      </c>
      <c r="BM540" s="291" t="e">
        <f>IF(INDEX(MO_SNA_IsHistoricalPeriod,1,COLUMN())=FALSE,MO.LastPrice,CHOOSE(VLOOKUP(MO.ValuationToggle,tb_ValuationToggle,COLUMNS(tb_ValuationToggle),FALSE),BM534,BM535,BM536,BM537))</f>
        <v>#NAME?</v>
      </c>
      <c r="BN540" s="590" t="e">
        <f>IF(INDEX(MO_SNA_IsHistoricalPeriod,1,COLUMN())=FALSE,MO.LastPrice,CHOOSE(VLOOKUP(MO.ValuationToggle,tb_ValuationToggle,COLUMNS(tb_ValuationToggle),FALSE),BN534,BN535,BN536,BN537))</f>
        <v>#NAME?</v>
      </c>
      <c r="BO540" s="291" t="e">
        <f>IF(INDEX(MO_SNA_IsHistoricalPeriod,1,COLUMN())=FALSE,MO.LastPrice,CHOOSE(VLOOKUP(MO.ValuationToggle,tb_ValuationToggle,COLUMNS(tb_ValuationToggle),FALSE),BO534,BO535,BO536,BO537))</f>
        <v>#NAME?</v>
      </c>
      <c r="BP540" s="291" t="e">
        <f>IF(INDEX(MO_SNA_IsHistoricalPeriod,1,COLUMN())=FALSE,MO.LastPrice,CHOOSE(VLOOKUP(MO.ValuationToggle,tb_ValuationToggle,COLUMNS(tb_ValuationToggle),FALSE),BP534,BP535,BP536,BP537))</f>
        <v>#NAME?</v>
      </c>
      <c r="BQ540" s="291" t="e">
        <f>IF(INDEX(MO_SNA_IsHistoricalPeriod,1,COLUMN())=FALSE,MO.LastPrice,CHOOSE(VLOOKUP(MO.ValuationToggle,tb_ValuationToggle,COLUMNS(tb_ValuationToggle),FALSE),BQ534,BQ535,BQ536,BQ537))</f>
        <v>#NAME?</v>
      </c>
      <c r="BR540" s="291" t="e">
        <f>IF(INDEX(MO_SNA_IsHistoricalPeriod,1,COLUMN())=FALSE,MO.LastPrice,CHOOSE(VLOOKUP(MO.ValuationToggle,tb_ValuationToggle,COLUMNS(tb_ValuationToggle),FALSE),BR534,BR535,BR536,BR537))</f>
        <v>#NAME?</v>
      </c>
      <c r="BS540" s="591" t="e">
        <f>IF(INDEX(MO_SNA_IsHistoricalPeriod,1,COLUMN())=FALSE,MO.LastPrice,CHOOSE(VLOOKUP(MO.ValuationToggle,tb_ValuationToggle,COLUMNS(tb_ValuationToggle),FALSE),BS534,BS535,BS536,BS537))</f>
        <v>#NAME?</v>
      </c>
      <c r="BT540" s="592" t="e">
        <f>IF(INDEX(MO_SNA_IsHistoricalPeriod,1,COLUMN())=FALSE,MO.LastPrice,CHOOSE(VLOOKUP(MO.ValuationToggle,tb_ValuationToggle,COLUMNS(tb_ValuationToggle),FALSE),BT534,BT535,BT536,BT537))</f>
        <v>#NAME?</v>
      </c>
      <c r="BU540" s="592" t="e">
        <f>IF(INDEX(MO_SNA_IsHistoricalPeriod,1,COLUMN())=FALSE,MO.LastPrice,CHOOSE(VLOOKUP(MO.ValuationToggle,tb_ValuationToggle,COLUMNS(tb_ValuationToggle),FALSE),BU534,BU535,BU536,BU537))</f>
        <v>#NAME?</v>
      </c>
      <c r="BV540" s="592" t="e">
        <f>IF(INDEX(MO_SNA_IsHistoricalPeriod,1,COLUMN())=FALSE,MO.LastPrice,CHOOSE(VLOOKUP(MO.ValuationToggle,tb_ValuationToggle,COLUMNS(tb_ValuationToggle),FALSE),BV534,BV535,BV536,BV537))</f>
        <v>#NAME?</v>
      </c>
      <c r="BW540" s="592" t="e">
        <f>IF(INDEX(MO_SNA_IsHistoricalPeriod,1,COLUMN())=FALSE,MO.LastPrice,CHOOSE(VLOOKUP(MO.ValuationToggle,tb_ValuationToggle,COLUMNS(tb_ValuationToggle),FALSE),BW534,BW535,BW536,BW537))</f>
        <v>#NAME?</v>
      </c>
      <c r="BX540" s="590" t="e">
        <f>IF(INDEX(MO_SNA_IsHistoricalPeriod,1,COLUMN())=FALSE,MO.LastPrice,CHOOSE(VLOOKUP(MO.ValuationToggle,tb_ValuationToggle,COLUMNS(tb_ValuationToggle),FALSE),BX534,BX535,BX536,BX537))</f>
        <v>#NAME?</v>
      </c>
      <c r="BY540" s="592" t="e">
        <f>IF(INDEX(MO_SNA_IsHistoricalPeriod,1,COLUMN())=FALSE,MO.LastPrice,CHOOSE(VLOOKUP(MO.ValuationToggle,tb_ValuationToggle,COLUMNS(tb_ValuationToggle),FALSE),BY534,BY535,BY536,BY537))</f>
        <v>#NAME?</v>
      </c>
      <c r="BZ540" s="592" t="e">
        <f>IF(INDEX(MO_SNA_IsHistoricalPeriod,1,COLUMN())=FALSE,MO.LastPrice,CHOOSE(VLOOKUP(MO.ValuationToggle,tb_ValuationToggle,COLUMNS(tb_ValuationToggle),FALSE),BZ534,BZ535,BZ536,BZ537))</f>
        <v>#NAME?</v>
      </c>
      <c r="CA540" s="592" t="e">
        <f>IF(INDEX(MO_SNA_IsHistoricalPeriod,1,COLUMN())=FALSE,MO.LastPrice,CHOOSE(VLOOKUP(MO.ValuationToggle,tb_ValuationToggle,COLUMNS(tb_ValuationToggle),FALSE),CA534,CA535,CA536,CA537))</f>
        <v>#NAME?</v>
      </c>
      <c r="CB540" s="592" t="e">
        <f>IF(INDEX(MO_SNA_IsHistoricalPeriod,1,COLUMN())=FALSE,MO.LastPrice,CHOOSE(VLOOKUP(MO.ValuationToggle,tb_ValuationToggle,COLUMNS(tb_ValuationToggle),FALSE),CB534,CB535,CB536,CB537))</f>
        <v>#NAME?</v>
      </c>
      <c r="CC540" s="590" t="e">
        <f>IF(INDEX(MO_SNA_IsHistoricalPeriod,1,COLUMN())=FALSE,MO.LastPrice,CHOOSE(VLOOKUP(MO.ValuationToggle,tb_ValuationToggle,COLUMNS(tb_ValuationToggle),FALSE),CC534,CC535,CC536,CC537))</f>
        <v>#NAME?</v>
      </c>
      <c r="CD540" s="590" t="e">
        <f>IF(INDEX(MO_SNA_IsHistoricalPeriod,1,COLUMN())=FALSE,MO.LastPrice,CHOOSE(VLOOKUP(MO.ValuationToggle,tb_ValuationToggle,COLUMNS(tb_ValuationToggle),FALSE),CD534,CD535,CD536,CD537))</f>
        <v>#NAME?</v>
      </c>
      <c r="CE540" s="590" t="e">
        <f>IF(INDEX(MO_SNA_IsHistoricalPeriod,1,COLUMN())=FALSE,MO.LastPrice,CHOOSE(VLOOKUP(MO.ValuationToggle,tb_ValuationToggle,COLUMNS(tb_ValuationToggle),FALSE),CE534,CE535,CE536,CE537))</f>
        <v>#NAME?</v>
      </c>
      <c r="CF540" s="590" t="e">
        <f>IF(INDEX(MO_SNA_IsHistoricalPeriod,1,COLUMN())=FALSE,MO.LastPrice,CHOOSE(VLOOKUP(MO.ValuationToggle,tb_ValuationToggle,COLUMNS(tb_ValuationToggle),FALSE),CF534,CF535,CF536,CF537))</f>
        <v>#NAME?</v>
      </c>
      <c r="CG540" s="368"/>
    </row>
    <row r="541" spans="1:85" ht="14.45" hidden="1" customHeight="1" x14ac:dyDescent="0.25">
      <c r="A541" s="189"/>
      <c r="B541" s="180"/>
      <c r="C541" s="413"/>
      <c r="D541" s="413"/>
      <c r="E541" s="413"/>
      <c r="F541" s="413"/>
      <c r="G541" s="63"/>
      <c r="H541" s="63"/>
      <c r="I541" s="63"/>
      <c r="J541" s="63"/>
      <c r="K541" s="413"/>
      <c r="L541" s="63"/>
      <c r="M541" s="63"/>
      <c r="N541" s="63"/>
      <c r="O541" s="63"/>
      <c r="P541" s="413"/>
      <c r="Q541" s="63"/>
      <c r="R541" s="63"/>
      <c r="S541" s="63"/>
      <c r="T541" s="63"/>
      <c r="U541" s="413"/>
      <c r="V541" s="63"/>
      <c r="W541" s="63"/>
      <c r="X541" s="63"/>
      <c r="Y541" s="63"/>
      <c r="Z541" s="413"/>
      <c r="AA541" s="63"/>
      <c r="AB541" s="63"/>
      <c r="AC541" s="63"/>
      <c r="AD541" s="63"/>
      <c r="AE541" s="413"/>
      <c r="AF541" s="63"/>
      <c r="AG541" s="63"/>
      <c r="AH541" s="63"/>
      <c r="AI541" s="63"/>
      <c r="AJ541" s="413"/>
      <c r="AK541" s="63"/>
      <c r="AL541" s="63"/>
      <c r="AM541" s="63"/>
      <c r="AN541" s="63"/>
      <c r="AO541" s="413"/>
      <c r="AP541" s="63"/>
      <c r="AQ541" s="63"/>
      <c r="AR541" s="63"/>
      <c r="AS541" s="63"/>
      <c r="AT541" s="413"/>
      <c r="AU541" s="63"/>
      <c r="AV541" s="63"/>
      <c r="AW541" s="63"/>
      <c r="AX541" s="63"/>
      <c r="AY541" s="413"/>
      <c r="AZ541" s="63"/>
      <c r="BA541" s="63"/>
      <c r="BB541" s="63"/>
      <c r="BC541" s="63"/>
      <c r="BD541" s="413"/>
      <c r="BE541" s="63"/>
      <c r="BF541" s="63"/>
      <c r="BG541" s="63"/>
      <c r="BH541" s="63"/>
      <c r="BI541" s="413"/>
      <c r="BJ541" s="63"/>
      <c r="BK541" s="63"/>
      <c r="BL541" s="63"/>
      <c r="BM541" s="63"/>
      <c r="BN541" s="413"/>
      <c r="BO541" s="63"/>
      <c r="BP541" s="63"/>
      <c r="BQ541" s="63"/>
      <c r="BR541" s="63"/>
      <c r="BS541" s="425"/>
      <c r="BT541" s="63"/>
      <c r="BU541" s="63"/>
      <c r="BV541" s="63"/>
      <c r="BW541" s="63"/>
      <c r="BX541" s="413"/>
      <c r="BY541" s="63"/>
      <c r="BZ541" s="63"/>
      <c r="CA541" s="63"/>
      <c r="CB541" s="63"/>
      <c r="CC541" s="413"/>
      <c r="CD541" s="413"/>
      <c r="CE541" s="413"/>
      <c r="CF541" s="413"/>
      <c r="CG541" s="99"/>
    </row>
    <row r="542" spans="1:85" ht="14.45" hidden="1" customHeight="1" x14ac:dyDescent="0.25">
      <c r="A542" s="107" t="s">
        <v>578</v>
      </c>
      <c r="B542" s="211"/>
      <c r="C542" s="423"/>
      <c r="D542" s="423"/>
      <c r="E542" s="423"/>
      <c r="F542" s="423"/>
      <c r="G542" s="112"/>
      <c r="H542" s="112"/>
      <c r="I542" s="112"/>
      <c r="J542" s="112"/>
      <c r="K542" s="423"/>
      <c r="L542" s="112"/>
      <c r="M542" s="112"/>
      <c r="N542" s="112"/>
      <c r="O542" s="112"/>
      <c r="P542" s="423"/>
      <c r="Q542" s="112"/>
      <c r="R542" s="112"/>
      <c r="S542" s="112"/>
      <c r="T542" s="112"/>
      <c r="U542" s="423"/>
      <c r="V542" s="112"/>
      <c r="W542" s="112"/>
      <c r="X542" s="112"/>
      <c r="Y542" s="112"/>
      <c r="Z542" s="423"/>
      <c r="AA542" s="112"/>
      <c r="AB542" s="112"/>
      <c r="AC542" s="112"/>
      <c r="AD542" s="112"/>
      <c r="AE542" s="423"/>
      <c r="AF542" s="112"/>
      <c r="AG542" s="112"/>
      <c r="AH542" s="112"/>
      <c r="AI542" s="112"/>
      <c r="AJ542" s="423"/>
      <c r="AK542" s="112"/>
      <c r="AL542" s="112"/>
      <c r="AM542" s="112"/>
      <c r="AN542" s="112"/>
      <c r="AO542" s="423"/>
      <c r="AP542" s="112"/>
      <c r="AQ542" s="112"/>
      <c r="AR542" s="112"/>
      <c r="AS542" s="112"/>
      <c r="AT542" s="423"/>
      <c r="AU542" s="112"/>
      <c r="AV542" s="112"/>
      <c r="AW542" s="112"/>
      <c r="AX542" s="112"/>
      <c r="AY542" s="423"/>
      <c r="AZ542" s="112"/>
      <c r="BA542" s="112"/>
      <c r="BB542" s="112"/>
      <c r="BC542" s="112"/>
      <c r="BD542" s="423"/>
      <c r="BE542" s="112"/>
      <c r="BF542" s="112"/>
      <c r="BG542" s="112"/>
      <c r="BH542" s="112"/>
      <c r="BI542" s="423"/>
      <c r="BJ542" s="112"/>
      <c r="BK542" s="112"/>
      <c r="BL542" s="112"/>
      <c r="BM542" s="112"/>
      <c r="BN542" s="423"/>
      <c r="BO542" s="112"/>
      <c r="BP542" s="112"/>
      <c r="BQ542" s="112"/>
      <c r="BR542" s="112"/>
      <c r="BS542" s="424"/>
      <c r="BT542" s="112"/>
      <c r="BU542" s="112"/>
      <c r="BV542" s="112"/>
      <c r="BW542" s="112"/>
      <c r="BX542" s="423"/>
      <c r="BY542" s="112"/>
      <c r="BZ542" s="112"/>
      <c r="CA542" s="112"/>
      <c r="CB542" s="112"/>
      <c r="CC542" s="423"/>
      <c r="CD542" s="423"/>
      <c r="CE542" s="423"/>
      <c r="CF542" s="423"/>
      <c r="CG542" s="109"/>
    </row>
    <row r="543" spans="1:85" ht="14.45" hidden="1" customHeight="1" x14ac:dyDescent="0.25">
      <c r="A543" s="96" t="s">
        <v>579</v>
      </c>
      <c r="B543" s="180"/>
      <c r="C543" s="467">
        <f t="shared" ref="C543:AH543" si="414">C816</f>
        <v>52.804000000000002</v>
      </c>
      <c r="D543" s="467">
        <f t="shared" si="414"/>
        <v>56.521999999999998</v>
      </c>
      <c r="E543" s="467">
        <f t="shared" si="414"/>
        <v>59.936999999999998</v>
      </c>
      <c r="F543" s="467">
        <f t="shared" si="414"/>
        <v>64.179000000000002</v>
      </c>
      <c r="G543" s="99">
        <f t="shared" si="414"/>
        <v>64.986000000000004</v>
      </c>
      <c r="H543" s="99">
        <f t="shared" si="414"/>
        <v>65.893000000000001</v>
      </c>
      <c r="I543" s="99">
        <f t="shared" si="414"/>
        <v>67.807000000000002</v>
      </c>
      <c r="J543" s="99">
        <f t="shared" si="414"/>
        <v>68.605999999999995</v>
      </c>
      <c r="K543" s="467">
        <f t="shared" si="414"/>
        <v>68.605999999999995</v>
      </c>
      <c r="L543" s="99">
        <f t="shared" si="414"/>
        <v>69.257999999999996</v>
      </c>
      <c r="M543" s="99">
        <f t="shared" si="414"/>
        <v>70.807000000000002</v>
      </c>
      <c r="N543" s="99">
        <f t="shared" si="414"/>
        <v>72.38</v>
      </c>
      <c r="O543" s="99">
        <f t="shared" si="414"/>
        <v>73.334000000000003</v>
      </c>
      <c r="P543" s="467">
        <f t="shared" si="414"/>
        <v>73.334000000000003</v>
      </c>
      <c r="Q543" s="99">
        <f t="shared" si="414"/>
        <v>74.063000000000002</v>
      </c>
      <c r="R543" s="99">
        <f t="shared" si="414"/>
        <v>76.05</v>
      </c>
      <c r="S543" s="99">
        <f t="shared" si="414"/>
        <v>78.055999999999997</v>
      </c>
      <c r="T543" s="99">
        <f t="shared" si="414"/>
        <v>79.376000000000005</v>
      </c>
      <c r="U543" s="467">
        <f t="shared" si="414"/>
        <v>79.376000000000005</v>
      </c>
      <c r="V543" s="99">
        <f t="shared" si="414"/>
        <v>80.384</v>
      </c>
      <c r="W543" s="99">
        <f t="shared" si="414"/>
        <v>82.055999999999997</v>
      </c>
      <c r="X543" s="99">
        <f t="shared" si="414"/>
        <v>84.466999999999999</v>
      </c>
      <c r="Y543" s="99">
        <f t="shared" si="414"/>
        <v>85.893000000000001</v>
      </c>
      <c r="Z543" s="413">
        <f t="shared" si="414"/>
        <v>85.893000000000001</v>
      </c>
      <c r="AA543" s="99">
        <f t="shared" si="414"/>
        <v>86.527000000000001</v>
      </c>
      <c r="AB543" s="99">
        <f t="shared" si="414"/>
        <v>87.76</v>
      </c>
      <c r="AC543" s="99">
        <f t="shared" si="414"/>
        <v>89.355000000000004</v>
      </c>
      <c r="AD543" s="99">
        <f t="shared" si="414"/>
        <v>92.204999999999998</v>
      </c>
      <c r="AE543" s="413">
        <f t="shared" si="414"/>
        <v>92.204999999999998</v>
      </c>
      <c r="AF543" s="99">
        <f t="shared" si="414"/>
        <v>92.828000000000003</v>
      </c>
      <c r="AG543" s="99">
        <f t="shared" si="414"/>
        <v>94.013000000000005</v>
      </c>
      <c r="AH543" s="99">
        <f t="shared" si="414"/>
        <v>95.799000000000007</v>
      </c>
      <c r="AI543" s="99">
        <f t="shared" ref="AI543:BN543" si="415">AI816</f>
        <v>96.978999999999999</v>
      </c>
      <c r="AJ543" s="413">
        <f t="shared" si="415"/>
        <v>96.978999999999999</v>
      </c>
      <c r="AK543" s="99">
        <f t="shared" si="415"/>
        <v>98.231999999999999</v>
      </c>
      <c r="AL543" s="99">
        <f t="shared" si="415"/>
        <v>99.718000000000004</v>
      </c>
      <c r="AM543" s="99">
        <f t="shared" si="415"/>
        <v>102.258</v>
      </c>
      <c r="AN543" s="99">
        <f t="shared" si="415"/>
        <v>104.164</v>
      </c>
      <c r="AO543" s="413">
        <f t="shared" si="415"/>
        <v>104.164</v>
      </c>
      <c r="AP543" s="99">
        <f t="shared" si="415"/>
        <v>105.10299999999999</v>
      </c>
      <c r="AQ543" s="99">
        <f t="shared" si="415"/>
        <v>108.14700000000001</v>
      </c>
      <c r="AR543" s="99">
        <f t="shared" si="415"/>
        <v>111.31699999999999</v>
      </c>
      <c r="AS543" s="99">
        <f t="shared" si="415"/>
        <v>0</v>
      </c>
      <c r="AT543" s="413">
        <f t="shared" si="415"/>
        <v>0</v>
      </c>
      <c r="AU543" s="99">
        <f t="shared" si="415"/>
        <v>0</v>
      </c>
      <c r="AV543" s="99">
        <f t="shared" si="415"/>
        <v>0</v>
      </c>
      <c r="AW543" s="99">
        <f t="shared" si="415"/>
        <v>0</v>
      </c>
      <c r="AX543" s="99">
        <f t="shared" si="415"/>
        <v>0</v>
      </c>
      <c r="AY543" s="413">
        <f t="shared" si="415"/>
        <v>0</v>
      </c>
      <c r="AZ543" s="99">
        <f t="shared" si="415"/>
        <v>0</v>
      </c>
      <c r="BA543" s="99">
        <f t="shared" si="415"/>
        <v>0</v>
      </c>
      <c r="BB543" s="99">
        <f t="shared" si="415"/>
        <v>0</v>
      </c>
      <c r="BC543" s="99">
        <f t="shared" si="415"/>
        <v>0</v>
      </c>
      <c r="BD543" s="413">
        <f t="shared" si="415"/>
        <v>0</v>
      </c>
      <c r="BE543" s="99">
        <f t="shared" si="415"/>
        <v>0</v>
      </c>
      <c r="BF543" s="99">
        <f t="shared" si="415"/>
        <v>0</v>
      </c>
      <c r="BG543" s="99">
        <f t="shared" si="415"/>
        <v>0</v>
      </c>
      <c r="BH543" s="99">
        <f t="shared" si="415"/>
        <v>0</v>
      </c>
      <c r="BI543" s="413">
        <f t="shared" si="415"/>
        <v>0</v>
      </c>
      <c r="BJ543" s="99">
        <f t="shared" si="415"/>
        <v>0</v>
      </c>
      <c r="BK543" s="99">
        <f t="shared" si="415"/>
        <v>0</v>
      </c>
      <c r="BL543" s="99">
        <f t="shared" si="415"/>
        <v>0</v>
      </c>
      <c r="BM543" s="99">
        <f t="shared" si="415"/>
        <v>0</v>
      </c>
      <c r="BN543" s="413">
        <f t="shared" si="415"/>
        <v>0</v>
      </c>
      <c r="BO543" s="99">
        <f t="shared" ref="BO543:CF543" si="416">BO816</f>
        <v>0</v>
      </c>
      <c r="BP543" s="99">
        <f t="shared" si="416"/>
        <v>0</v>
      </c>
      <c r="BQ543" s="99">
        <f t="shared" si="416"/>
        <v>0</v>
      </c>
      <c r="BR543" s="99">
        <f t="shared" si="416"/>
        <v>0</v>
      </c>
      <c r="BS543" s="425">
        <f t="shared" si="416"/>
        <v>0</v>
      </c>
      <c r="BT543" s="63">
        <f t="shared" si="416"/>
        <v>0</v>
      </c>
      <c r="BU543" s="63">
        <f t="shared" si="416"/>
        <v>0</v>
      </c>
      <c r="BV543" s="63">
        <f t="shared" si="416"/>
        <v>0</v>
      </c>
      <c r="BW543" s="63">
        <f t="shared" si="416"/>
        <v>0</v>
      </c>
      <c r="BX543" s="413">
        <f t="shared" si="416"/>
        <v>0</v>
      </c>
      <c r="BY543" s="63">
        <f t="shared" si="416"/>
        <v>0</v>
      </c>
      <c r="BZ543" s="63">
        <f t="shared" si="416"/>
        <v>0</v>
      </c>
      <c r="CA543" s="63">
        <f t="shared" si="416"/>
        <v>0</v>
      </c>
      <c r="CB543" s="63">
        <f t="shared" si="416"/>
        <v>0</v>
      </c>
      <c r="CC543" s="413">
        <f t="shared" si="416"/>
        <v>0</v>
      </c>
      <c r="CD543" s="413">
        <f t="shared" si="416"/>
        <v>0</v>
      </c>
      <c r="CE543" s="413">
        <f t="shared" si="416"/>
        <v>0</v>
      </c>
      <c r="CF543" s="413">
        <f t="shared" si="416"/>
        <v>0</v>
      </c>
      <c r="CG543" s="99"/>
    </row>
    <row r="544" spans="1:85" ht="14.45" hidden="1" customHeight="1" x14ac:dyDescent="0.25">
      <c r="A544" s="96" t="s">
        <v>580</v>
      </c>
      <c r="B544" s="180"/>
      <c r="C544" s="413"/>
      <c r="D544" s="413"/>
      <c r="E544" s="413"/>
      <c r="F544" s="413"/>
      <c r="G544" s="63"/>
      <c r="H544" s="63"/>
      <c r="I544" s="63"/>
      <c r="J544" s="63"/>
      <c r="K544" s="413"/>
      <c r="L544" s="63"/>
      <c r="M544" s="63"/>
      <c r="N544" s="63"/>
      <c r="O544" s="63"/>
      <c r="P544" s="413"/>
      <c r="Q544" s="63"/>
      <c r="R544" s="63"/>
      <c r="S544" s="63"/>
      <c r="T544" s="63"/>
      <c r="U544" s="413"/>
      <c r="V544" s="63"/>
      <c r="W544" s="63"/>
      <c r="X544" s="63"/>
      <c r="Y544" s="63"/>
      <c r="Z544" s="413"/>
      <c r="AA544" s="63"/>
      <c r="AB544" s="63"/>
      <c r="AC544" s="63"/>
      <c r="AD544" s="63"/>
      <c r="AE544" s="413"/>
      <c r="AF544" s="63"/>
      <c r="AG544" s="63"/>
      <c r="AH544" s="63"/>
      <c r="AI544" s="63"/>
      <c r="AJ544" s="413"/>
      <c r="AK544" s="63"/>
      <c r="AL544" s="63"/>
      <c r="AM544" s="63"/>
      <c r="AN544" s="63"/>
      <c r="AO544" s="413"/>
      <c r="AP544" s="63"/>
      <c r="AQ544" s="63"/>
      <c r="AR544" s="63"/>
      <c r="AS544" s="63"/>
      <c r="AT544" s="413"/>
      <c r="AU544" s="63"/>
      <c r="AV544" s="63"/>
      <c r="AW544" s="63"/>
      <c r="AX544" s="63"/>
      <c r="AY544" s="413"/>
      <c r="AZ544" s="63"/>
      <c r="BA544" s="63"/>
      <c r="BB544" s="63"/>
      <c r="BC544" s="63"/>
      <c r="BD544" s="413"/>
      <c r="BE544" s="63"/>
      <c r="BF544" s="63"/>
      <c r="BG544" s="63"/>
      <c r="BH544" s="63"/>
      <c r="BI544" s="413"/>
      <c r="BJ544" s="63"/>
      <c r="BK544" s="63"/>
      <c r="BL544" s="63"/>
      <c r="BM544" s="63"/>
      <c r="BN544" s="413"/>
      <c r="BO544" s="63"/>
      <c r="BP544" s="63"/>
      <c r="BQ544" s="63"/>
      <c r="BR544" s="63"/>
      <c r="BS544" s="425"/>
      <c r="BT544" s="63"/>
      <c r="BU544" s="63"/>
      <c r="BV544" s="63"/>
      <c r="BW544" s="63"/>
      <c r="BX544" s="413"/>
      <c r="BY544" s="63"/>
      <c r="BZ544" s="63"/>
      <c r="CA544" s="63"/>
      <c r="CB544" s="63"/>
      <c r="CC544" s="413"/>
      <c r="CD544" s="413"/>
      <c r="CE544" s="413"/>
      <c r="CF544" s="413"/>
      <c r="CG544" s="99"/>
    </row>
    <row r="545" spans="1:85" ht="14.45" hidden="1" customHeight="1" x14ac:dyDescent="0.25">
      <c r="A545" s="96" t="s">
        <v>581</v>
      </c>
      <c r="B545" s="180"/>
      <c r="C545" s="467">
        <f t="shared" ref="C545:AH545" si="417">C798</f>
        <v>89.305999999999997</v>
      </c>
      <c r="D545" s="467">
        <f t="shared" si="417"/>
        <v>114.163</v>
      </c>
      <c r="E545" s="467">
        <f t="shared" si="417"/>
        <v>138.15600000000001</v>
      </c>
      <c r="F545" s="467">
        <f t="shared" si="417"/>
        <v>140.71899999999999</v>
      </c>
      <c r="G545" s="99">
        <f t="shared" si="417"/>
        <v>139.92599999999999</v>
      </c>
      <c r="H545" s="99">
        <f t="shared" si="417"/>
        <v>139.155</v>
      </c>
      <c r="I545" s="99">
        <f t="shared" si="417"/>
        <v>138.28800000000001</v>
      </c>
      <c r="J545" s="99">
        <f t="shared" si="417"/>
        <v>90.599000000000004</v>
      </c>
      <c r="K545" s="467">
        <f t="shared" si="417"/>
        <v>90.599000000000004</v>
      </c>
      <c r="L545" s="99">
        <f t="shared" si="417"/>
        <v>89.825000000000003</v>
      </c>
      <c r="M545" s="99">
        <f t="shared" si="417"/>
        <v>89.16</v>
      </c>
      <c r="N545" s="99">
        <f t="shared" si="417"/>
        <v>80.992999999999995</v>
      </c>
      <c r="O545" s="99">
        <f t="shared" si="417"/>
        <v>134.1</v>
      </c>
      <c r="P545" s="467">
        <f t="shared" si="417"/>
        <v>134.1</v>
      </c>
      <c r="Q545" s="99">
        <f t="shared" si="417"/>
        <v>133.809</v>
      </c>
      <c r="R545" s="99">
        <f t="shared" si="417"/>
        <v>133.548</v>
      </c>
      <c r="S545" s="99">
        <f t="shared" si="417"/>
        <v>122.77800000000001</v>
      </c>
      <c r="T545" s="99">
        <f t="shared" si="417"/>
        <v>115.197</v>
      </c>
      <c r="U545" s="467">
        <f t="shared" si="417"/>
        <v>115.197</v>
      </c>
      <c r="V545" s="99">
        <f t="shared" si="417"/>
        <v>115</v>
      </c>
      <c r="W545" s="99">
        <f t="shared" si="417"/>
        <v>117.919</v>
      </c>
      <c r="X545" s="99">
        <f t="shared" si="417"/>
        <v>106.874</v>
      </c>
      <c r="Y545" s="99">
        <f t="shared" si="417"/>
        <v>126.679</v>
      </c>
      <c r="Z545" s="467">
        <f t="shared" si="417"/>
        <v>126.679</v>
      </c>
      <c r="AA545" s="99">
        <f t="shared" si="417"/>
        <v>126.473</v>
      </c>
      <c r="AB545" s="99">
        <f t="shared" si="417"/>
        <v>126.31399999999999</v>
      </c>
      <c r="AC545" s="99">
        <f t="shared" si="417"/>
        <v>99.834999999999994</v>
      </c>
      <c r="AD545" s="99">
        <f t="shared" si="417"/>
        <v>118.392</v>
      </c>
      <c r="AE545" s="467">
        <f t="shared" si="417"/>
        <v>118.392</v>
      </c>
      <c r="AF545" s="99">
        <f t="shared" si="417"/>
        <v>118.489</v>
      </c>
      <c r="AG545" s="99">
        <f t="shared" si="417"/>
        <v>118.658</v>
      </c>
      <c r="AH545" s="99">
        <f t="shared" si="417"/>
        <v>98.738</v>
      </c>
      <c r="AI545" s="99">
        <f t="shared" ref="AI545:BN545" si="418">AI798</f>
        <v>85.682000000000002</v>
      </c>
      <c r="AJ545" s="467">
        <f t="shared" si="418"/>
        <v>85.682000000000002</v>
      </c>
      <c r="AK545" s="99">
        <f t="shared" si="418"/>
        <v>85.370999999999995</v>
      </c>
      <c r="AL545" s="99">
        <f t="shared" si="418"/>
        <v>87.3</v>
      </c>
      <c r="AM545" s="99">
        <f t="shared" si="418"/>
        <v>84.361000000000004</v>
      </c>
      <c r="AN545" s="99">
        <f t="shared" si="418"/>
        <v>114.831</v>
      </c>
      <c r="AO545" s="467">
        <f t="shared" si="418"/>
        <v>114.831</v>
      </c>
      <c r="AP545" s="99">
        <f t="shared" si="418"/>
        <v>116.63500000000001</v>
      </c>
      <c r="AQ545" s="99">
        <f t="shared" si="418"/>
        <v>117.839</v>
      </c>
      <c r="AR545" s="99">
        <f t="shared" si="418"/>
        <v>103.431</v>
      </c>
      <c r="AS545" s="99">
        <f t="shared" si="418"/>
        <v>113.325</v>
      </c>
      <c r="AT545" s="467">
        <f t="shared" si="418"/>
        <v>113.325</v>
      </c>
      <c r="AU545" s="99">
        <f t="shared" si="418"/>
        <v>115.306</v>
      </c>
      <c r="AV545" s="99">
        <f t="shared" si="418"/>
        <v>116.44799999999999</v>
      </c>
      <c r="AW545" s="99">
        <f t="shared" si="418"/>
        <v>110.58199999999999</v>
      </c>
      <c r="AX545" s="99">
        <f t="shared" si="418"/>
        <v>93.391000000000005</v>
      </c>
      <c r="AY545" s="467">
        <f t="shared" si="418"/>
        <v>93.391000000000005</v>
      </c>
      <c r="AZ545" s="99">
        <f t="shared" si="418"/>
        <v>96.397999999999996</v>
      </c>
      <c r="BA545" s="99">
        <f t="shared" si="418"/>
        <v>99.491</v>
      </c>
      <c r="BB545" s="99">
        <f t="shared" si="418"/>
        <v>76.375</v>
      </c>
      <c r="BC545" s="99">
        <f t="shared" si="418"/>
        <v>60.323</v>
      </c>
      <c r="BD545" s="467">
        <f t="shared" si="418"/>
        <v>60.323</v>
      </c>
      <c r="BE545" s="99">
        <f t="shared" si="418"/>
        <v>62.853999999999999</v>
      </c>
      <c r="BF545" s="99">
        <f t="shared" si="418"/>
        <v>55.783999999999999</v>
      </c>
      <c r="BG545" s="99">
        <f t="shared" si="418"/>
        <v>53.293999999999997</v>
      </c>
      <c r="BH545" s="99">
        <f t="shared" si="418"/>
        <v>60.613999999999997</v>
      </c>
      <c r="BI545" s="467">
        <f t="shared" si="418"/>
        <v>60.613999999999997</v>
      </c>
      <c r="BJ545" s="99">
        <f t="shared" si="418"/>
        <v>60.779000000000003</v>
      </c>
      <c r="BK545" s="99">
        <f t="shared" si="418"/>
        <v>61.892000000000003</v>
      </c>
      <c r="BL545" s="99">
        <f t="shared" si="418"/>
        <v>61.615000000000002</v>
      </c>
      <c r="BM545" s="99">
        <f t="shared" si="418"/>
        <v>58.502000000000002</v>
      </c>
      <c r="BN545" s="467">
        <f t="shared" si="418"/>
        <v>58.502000000000002</v>
      </c>
      <c r="BO545" s="99">
        <f t="shared" ref="BO545:CF545" si="419">BO798</f>
        <v>58.914000000000001</v>
      </c>
      <c r="BP545" s="99">
        <f t="shared" si="419"/>
        <v>59.098999999999997</v>
      </c>
      <c r="BQ545" s="99">
        <f t="shared" si="419"/>
        <v>59.338000000000001</v>
      </c>
      <c r="BR545" s="99">
        <f t="shared" si="419"/>
        <v>69.298000000000002</v>
      </c>
      <c r="BS545" s="468">
        <f t="shared" si="419"/>
        <v>69.298000000000002</v>
      </c>
      <c r="BT545" s="63">
        <f t="shared" si="419"/>
        <v>69.298000000000002</v>
      </c>
      <c r="BU545" s="63">
        <f t="shared" si="419"/>
        <v>69.298000000000002</v>
      </c>
      <c r="BV545" s="63">
        <f t="shared" si="419"/>
        <v>69.298000000000002</v>
      </c>
      <c r="BW545" s="63">
        <f t="shared" si="419"/>
        <v>69.298000000000002</v>
      </c>
      <c r="BX545" s="413">
        <f t="shared" si="419"/>
        <v>69.298000000000002</v>
      </c>
      <c r="BY545" s="63">
        <f t="shared" si="419"/>
        <v>69.298000000000002</v>
      </c>
      <c r="BZ545" s="63">
        <f t="shared" si="419"/>
        <v>69.298000000000002</v>
      </c>
      <c r="CA545" s="63">
        <f t="shared" si="419"/>
        <v>69.298000000000002</v>
      </c>
      <c r="CB545" s="63">
        <f t="shared" si="419"/>
        <v>69.298000000000002</v>
      </c>
      <c r="CC545" s="413">
        <f t="shared" si="419"/>
        <v>69.298000000000002</v>
      </c>
      <c r="CD545" s="413">
        <f t="shared" si="419"/>
        <v>69.298000000000002</v>
      </c>
      <c r="CE545" s="413">
        <f t="shared" si="419"/>
        <v>69.298000000000002</v>
      </c>
      <c r="CF545" s="413">
        <f t="shared" si="419"/>
        <v>69.298000000000002</v>
      </c>
      <c r="CG545" s="99"/>
    </row>
    <row r="546" spans="1:85" ht="14.45" customHeight="1" x14ac:dyDescent="0.25">
      <c r="A546" s="191"/>
      <c r="B546" s="180"/>
      <c r="C546" s="413"/>
      <c r="D546" s="413"/>
      <c r="E546" s="413"/>
      <c r="F546" s="413"/>
      <c r="G546" s="63"/>
      <c r="H546" s="63"/>
      <c r="I546" s="63"/>
      <c r="J546" s="63"/>
      <c r="K546" s="413"/>
      <c r="L546" s="63"/>
      <c r="M546" s="63"/>
      <c r="N546" s="63"/>
      <c r="O546" s="63"/>
      <c r="P546" s="413"/>
      <c r="Q546" s="63"/>
      <c r="R546" s="63"/>
      <c r="S546" s="63"/>
      <c r="T546" s="63"/>
      <c r="U546" s="413"/>
      <c r="V546" s="63"/>
      <c r="W546" s="63"/>
      <c r="X546" s="63"/>
      <c r="Y546" s="63"/>
      <c r="Z546" s="413"/>
      <c r="AA546" s="63"/>
      <c r="AB546" s="63"/>
      <c r="AC546" s="63"/>
      <c r="AD546" s="63"/>
      <c r="AE546" s="413"/>
      <c r="AF546" s="63"/>
      <c r="AG546" s="63"/>
      <c r="AH546" s="63"/>
      <c r="AI546" s="63"/>
      <c r="AJ546" s="413"/>
      <c r="AK546" s="63"/>
      <c r="AL546" s="63"/>
      <c r="AM546" s="63"/>
      <c r="AN546" s="63"/>
      <c r="AO546" s="413"/>
      <c r="AP546" s="63"/>
      <c r="AQ546" s="63"/>
      <c r="AR546" s="63"/>
      <c r="AS546" s="63"/>
      <c r="AT546" s="413"/>
      <c r="AU546" s="63"/>
      <c r="AV546" s="63"/>
      <c r="AW546" s="63"/>
      <c r="AX546" s="63"/>
      <c r="AY546" s="413"/>
      <c r="AZ546" s="63"/>
      <c r="BA546" s="63"/>
      <c r="BB546" s="63"/>
      <c r="BC546" s="63"/>
      <c r="BD546" s="413"/>
      <c r="BE546" s="63"/>
      <c r="BF546" s="63"/>
      <c r="BG546" s="63"/>
      <c r="BH546" s="63"/>
      <c r="BI546" s="413"/>
      <c r="BJ546" s="63"/>
      <c r="BK546" s="63"/>
      <c r="BL546" s="63"/>
      <c r="BM546" s="63"/>
      <c r="BN546" s="413"/>
      <c r="BO546" s="63"/>
      <c r="BP546" s="63"/>
      <c r="BQ546" s="63"/>
      <c r="BR546" s="63"/>
      <c r="BS546" s="425"/>
      <c r="BT546" s="63"/>
      <c r="BU546" s="63"/>
      <c r="BV546" s="63"/>
      <c r="BW546" s="63"/>
      <c r="BX546" s="413"/>
      <c r="BY546" s="63"/>
      <c r="BZ546" s="63"/>
      <c r="CA546" s="63"/>
      <c r="CB546" s="63"/>
      <c r="CC546" s="413"/>
      <c r="CD546" s="413"/>
      <c r="CE546" s="413"/>
      <c r="CF546" s="413"/>
      <c r="CG546" s="99"/>
    </row>
    <row r="547" spans="1:85" ht="14.45" customHeight="1" x14ac:dyDescent="0.25">
      <c r="A547" s="95" t="s">
        <v>582</v>
      </c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409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109"/>
    </row>
    <row r="548" spans="1:85" ht="14.45" hidden="1" customHeight="1" x14ac:dyDescent="0.25">
      <c r="A548" s="135" t="s">
        <v>88</v>
      </c>
      <c r="B548" s="211"/>
      <c r="C548" s="423"/>
      <c r="D548" s="423"/>
      <c r="E548" s="423"/>
      <c r="F548" s="423"/>
      <c r="G548" s="112"/>
      <c r="H548" s="112"/>
      <c r="I548" s="112"/>
      <c r="J548" s="112"/>
      <c r="K548" s="423"/>
      <c r="L548" s="112"/>
      <c r="M548" s="112"/>
      <c r="N548" s="112"/>
      <c r="O548" s="112"/>
      <c r="P548" s="423"/>
      <c r="Q548" s="112"/>
      <c r="R548" s="112"/>
      <c r="S548" s="112"/>
      <c r="T548" s="112"/>
      <c r="U548" s="423"/>
      <c r="V548" s="112"/>
      <c r="W548" s="112"/>
      <c r="X548" s="112"/>
      <c r="Y548" s="112"/>
      <c r="Z548" s="423"/>
      <c r="AA548" s="112"/>
      <c r="AB548" s="112"/>
      <c r="AC548" s="112"/>
      <c r="AD548" s="112"/>
      <c r="AE548" s="423"/>
      <c r="AF548" s="112"/>
      <c r="AG548" s="112"/>
      <c r="AH548" s="112"/>
      <c r="AI548" s="112"/>
      <c r="AJ548" s="423"/>
      <c r="AK548" s="112"/>
      <c r="AL548" s="112"/>
      <c r="AM548" s="112"/>
      <c r="AN548" s="112"/>
      <c r="AO548" s="423"/>
      <c r="AP548" s="112"/>
      <c r="AQ548" s="112"/>
      <c r="AR548" s="112"/>
      <c r="AS548" s="112"/>
      <c r="AT548" s="423"/>
      <c r="AU548" s="112"/>
      <c r="AV548" s="112"/>
      <c r="AW548" s="112"/>
      <c r="AX548" s="112"/>
      <c r="AY548" s="423"/>
      <c r="AZ548" s="112"/>
      <c r="BA548" s="112"/>
      <c r="BB548" s="112"/>
      <c r="BC548" s="112"/>
      <c r="BD548" s="423"/>
      <c r="BE548" s="112"/>
      <c r="BF548" s="112"/>
      <c r="BG548" s="112"/>
      <c r="BH548" s="112"/>
      <c r="BI548" s="423"/>
      <c r="BJ548" s="112"/>
      <c r="BK548" s="112"/>
      <c r="BL548" s="112"/>
      <c r="BM548" s="112"/>
      <c r="BN548" s="423"/>
      <c r="BO548" s="112"/>
      <c r="BP548" s="112"/>
      <c r="BQ548" s="112"/>
      <c r="BR548" s="112"/>
      <c r="BS548" s="424"/>
      <c r="BT548" s="112"/>
      <c r="BU548" s="112"/>
      <c r="BV548" s="112"/>
      <c r="BW548" s="112"/>
      <c r="BX548" s="423"/>
      <c r="BY548" s="112"/>
      <c r="BZ548" s="112"/>
      <c r="CA548" s="112"/>
      <c r="CB548" s="112"/>
      <c r="CC548" s="423"/>
      <c r="CD548" s="423"/>
      <c r="CE548" s="423"/>
      <c r="CF548" s="423"/>
      <c r="CG548" s="109"/>
    </row>
    <row r="549" spans="1:85" ht="14.45" hidden="1" customHeight="1" x14ac:dyDescent="0.25">
      <c r="A549" s="125" t="s">
        <v>583</v>
      </c>
      <c r="B549" s="180"/>
      <c r="C549" s="410">
        <v>40.542999999999999</v>
      </c>
      <c r="D549" s="410">
        <v>39.542000000000002</v>
      </c>
      <c r="E549" s="410">
        <v>32.023000000000003</v>
      </c>
      <c r="F549" s="410">
        <v>31.459</v>
      </c>
      <c r="G549" s="98">
        <v>5.6689999999999996</v>
      </c>
      <c r="H549" s="98">
        <v>17.805</v>
      </c>
      <c r="I549" s="98">
        <v>35.887999999999998</v>
      </c>
      <c r="J549" s="99">
        <f>K549</f>
        <v>32.101999999999997</v>
      </c>
      <c r="K549" s="410">
        <v>32.101999999999997</v>
      </c>
      <c r="L549" s="98">
        <v>3.101</v>
      </c>
      <c r="M549" s="98">
        <v>18.433</v>
      </c>
      <c r="N549" s="98">
        <v>32.137999999999998</v>
      </c>
      <c r="O549" s="99">
        <f>P549</f>
        <v>36.082000000000001</v>
      </c>
      <c r="P549" s="410">
        <v>36.082000000000001</v>
      </c>
      <c r="Q549" s="98">
        <v>2.9529999999999998</v>
      </c>
      <c r="R549" s="98">
        <v>31.873999999999999</v>
      </c>
      <c r="S549" s="98">
        <v>59.433</v>
      </c>
      <c r="T549" s="99">
        <f>U549</f>
        <v>65.043999999999997</v>
      </c>
      <c r="U549" s="410">
        <v>65.043999999999997</v>
      </c>
      <c r="V549" s="98">
        <v>-9.0329999999999995</v>
      </c>
      <c r="W549" s="98">
        <v>8.2910000000000004</v>
      </c>
      <c r="X549" s="98">
        <v>33.844000000000001</v>
      </c>
      <c r="Y549" s="63">
        <f>Z549</f>
        <v>56.662999999999997</v>
      </c>
      <c r="Z549" s="410">
        <v>56.662999999999997</v>
      </c>
      <c r="AA549" s="98">
        <v>-4.4169999999999998</v>
      </c>
      <c r="AB549" s="98">
        <v>3.1640000000000001</v>
      </c>
      <c r="AC549" s="98">
        <v>22.074999999999999</v>
      </c>
      <c r="AD549" s="63">
        <f>AE549</f>
        <v>102.84699999999999</v>
      </c>
      <c r="AE549" s="410">
        <v>102.84699999999999</v>
      </c>
      <c r="AF549" s="98">
        <v>-13.561999999999999</v>
      </c>
      <c r="AG549" s="98">
        <v>-16.309999999999999</v>
      </c>
      <c r="AH549" s="98">
        <v>10.64</v>
      </c>
      <c r="AI549" s="63">
        <f>AJ549</f>
        <v>-15.156000000000001</v>
      </c>
      <c r="AJ549" s="410">
        <v>-15.156000000000001</v>
      </c>
      <c r="AK549" s="98">
        <v>-5.5780000000000003</v>
      </c>
      <c r="AL549" s="98">
        <v>11.278</v>
      </c>
      <c r="AM549" s="98">
        <v>26.824000000000002</v>
      </c>
      <c r="AN549" s="63">
        <f>AO549</f>
        <v>18.559999999999999</v>
      </c>
      <c r="AO549" s="410">
        <v>18.559999999999999</v>
      </c>
      <c r="AP549" s="98">
        <v>15.601000000000001</v>
      </c>
      <c r="AQ549" s="98">
        <v>58.213999999999999</v>
      </c>
      <c r="AR549" s="98">
        <v>113.268</v>
      </c>
      <c r="AS549" s="63">
        <f>AT549</f>
        <v>182.09700000000001</v>
      </c>
      <c r="AT549" s="410">
        <v>182.09700000000001</v>
      </c>
      <c r="AU549" s="98">
        <v>53.363</v>
      </c>
      <c r="AV549" s="98">
        <v>101.54300000000001</v>
      </c>
      <c r="AW549" s="98">
        <v>170.47300000000001</v>
      </c>
      <c r="AX549" s="63">
        <f>AY549</f>
        <v>189.58</v>
      </c>
      <c r="AY549" s="410">
        <v>189.58</v>
      </c>
      <c r="AZ549" s="98">
        <v>93.39</v>
      </c>
      <c r="BA549" s="98">
        <v>192.952</v>
      </c>
      <c r="BB549" s="98">
        <v>311.71300000000002</v>
      </c>
      <c r="BC549" s="63">
        <f>BD549</f>
        <v>430.15800000000002</v>
      </c>
      <c r="BD549" s="410">
        <v>430.15800000000002</v>
      </c>
      <c r="BE549" s="98">
        <v>118.127</v>
      </c>
      <c r="BF549" s="98">
        <v>240.446</v>
      </c>
      <c r="BG549" s="98">
        <v>332.53899999999999</v>
      </c>
      <c r="BH549" s="63">
        <f t="shared" ref="BH549:BH570" si="420">BI549</f>
        <v>408.375</v>
      </c>
      <c r="BI549" s="410">
        <v>408.375</v>
      </c>
      <c r="BJ549" s="98">
        <v>165.74100000000001</v>
      </c>
      <c r="BK549" s="98">
        <v>338.553</v>
      </c>
      <c r="BL549" s="98">
        <v>454.17700000000002</v>
      </c>
      <c r="BM549" s="63">
        <f t="shared" ref="BM549:BM570" si="421">BN549</f>
        <v>633.125</v>
      </c>
      <c r="BN549" s="410">
        <v>633.125</v>
      </c>
      <c r="BO549" s="98">
        <v>103.611</v>
      </c>
      <c r="BP549" s="98">
        <v>290.99799999999999</v>
      </c>
      <c r="BQ549" s="98">
        <v>433.33199999999999</v>
      </c>
      <c r="BR549" s="63">
        <f t="shared" ref="BR549:BR570" si="422">BS549</f>
        <v>570.58199999999999</v>
      </c>
      <c r="BS549" s="419">
        <v>570.58199999999999</v>
      </c>
      <c r="BT549" s="63"/>
      <c r="BU549" s="63"/>
      <c r="BV549" s="63"/>
      <c r="BW549" s="63">
        <f>BX549</f>
        <v>0</v>
      </c>
      <c r="BX549" s="413"/>
      <c r="BY549" s="63"/>
      <c r="BZ549" s="63"/>
      <c r="CA549" s="63"/>
      <c r="CB549" s="63">
        <f>CC549</f>
        <v>0</v>
      </c>
      <c r="CC549" s="413"/>
      <c r="CD549" s="413"/>
      <c r="CE549" s="413"/>
      <c r="CF549" s="413"/>
      <c r="CG549" s="99"/>
    </row>
    <row r="550" spans="1:85" ht="14.45" hidden="1" customHeight="1" x14ac:dyDescent="0.25">
      <c r="A550" s="125" t="s">
        <v>584</v>
      </c>
      <c r="B550" s="180"/>
      <c r="C550" s="410">
        <v>60.454999999999998</v>
      </c>
      <c r="D550" s="410">
        <v>58.671999999999997</v>
      </c>
      <c r="E550" s="410">
        <v>61.686</v>
      </c>
      <c r="F550" s="410">
        <v>61.167999999999999</v>
      </c>
      <c r="G550" s="98">
        <v>14.555999999999999</v>
      </c>
      <c r="H550" s="98">
        <v>28.888999999999999</v>
      </c>
      <c r="I550" s="98">
        <v>43.655000000000001</v>
      </c>
      <c r="J550" s="99">
        <f>K550</f>
        <v>58.338000000000001</v>
      </c>
      <c r="K550" s="410">
        <v>58.338000000000001</v>
      </c>
      <c r="L550" s="98">
        <v>14.486000000000001</v>
      </c>
      <c r="M550" s="98">
        <v>29.245000000000001</v>
      </c>
      <c r="N550" s="98">
        <v>44.357999999999997</v>
      </c>
      <c r="O550" s="99">
        <f>P550</f>
        <v>60.396999999999998</v>
      </c>
      <c r="P550" s="410">
        <v>60.396999999999998</v>
      </c>
      <c r="Q550" s="98">
        <v>17.065000000000001</v>
      </c>
      <c r="R550" s="98">
        <v>35.994</v>
      </c>
      <c r="S550" s="98">
        <v>56.298999999999999</v>
      </c>
      <c r="T550" s="99">
        <f>U550</f>
        <v>78.096000000000004</v>
      </c>
      <c r="U550" s="410">
        <v>78.096000000000004</v>
      </c>
      <c r="V550" s="98">
        <v>23.363</v>
      </c>
      <c r="W550" s="98">
        <v>49.902000000000001</v>
      </c>
      <c r="X550" s="98">
        <v>79.899000000000001</v>
      </c>
      <c r="Y550" s="63">
        <f>Z550</f>
        <v>111.613</v>
      </c>
      <c r="Z550" s="410">
        <v>111.613</v>
      </c>
      <c r="AA550" s="98">
        <v>32.987000000000002</v>
      </c>
      <c r="AB550" s="98">
        <v>70.33</v>
      </c>
      <c r="AC550" s="98">
        <v>108.697</v>
      </c>
      <c r="AD550" s="63">
        <f>AE550</f>
        <v>150.422</v>
      </c>
      <c r="AE550" s="410">
        <v>150.422</v>
      </c>
      <c r="AF550" s="98">
        <v>41.572000000000003</v>
      </c>
      <c r="AG550" s="98">
        <v>82.658000000000001</v>
      </c>
      <c r="AH550" s="98">
        <v>123.542</v>
      </c>
      <c r="AI550" s="63">
        <f>AJ550</f>
        <v>164.50200000000001</v>
      </c>
      <c r="AJ550" s="410">
        <v>164.50200000000001</v>
      </c>
      <c r="AK550" s="98">
        <v>39.978999999999999</v>
      </c>
      <c r="AL550" s="98">
        <v>79.316000000000003</v>
      </c>
      <c r="AM550" s="98">
        <v>119.145</v>
      </c>
      <c r="AN550" s="63">
        <f>AO550</f>
        <v>156.886</v>
      </c>
      <c r="AO550" s="410">
        <v>156.886</v>
      </c>
      <c r="AP550" s="98">
        <v>37.798999999999999</v>
      </c>
      <c r="AQ550" s="98">
        <v>74.878</v>
      </c>
      <c r="AR550" s="98">
        <v>117.203</v>
      </c>
      <c r="AS550" s="63">
        <f>AT550</f>
        <v>155.93600000000001</v>
      </c>
      <c r="AT550" s="410">
        <v>155.93600000000001</v>
      </c>
      <c r="AU550" s="98">
        <v>37.716000000000001</v>
      </c>
      <c r="AV550" s="98">
        <v>76.263999999999996</v>
      </c>
      <c r="AW550" s="98">
        <v>117.91</v>
      </c>
      <c r="AX550" s="63">
        <f>AY550</f>
        <v>157.32</v>
      </c>
      <c r="AY550" s="410">
        <v>157.32</v>
      </c>
      <c r="AZ550" s="98">
        <v>37.360999999999997</v>
      </c>
      <c r="BA550" s="98">
        <v>74.037000000000006</v>
      </c>
      <c r="BB550" s="98">
        <v>110.661</v>
      </c>
      <c r="BC550" s="63">
        <f>BD550</f>
        <v>147.96199999999999</v>
      </c>
      <c r="BD550" s="410">
        <v>147.96199999999999</v>
      </c>
      <c r="BE550" s="98">
        <v>37.600999999999999</v>
      </c>
      <c r="BF550" s="98">
        <v>75.415000000000006</v>
      </c>
      <c r="BG550" s="98">
        <v>113.664</v>
      </c>
      <c r="BH550" s="63">
        <f t="shared" si="420"/>
        <v>153.47200000000001</v>
      </c>
      <c r="BI550" s="410">
        <v>153.47200000000001</v>
      </c>
      <c r="BJ550" s="98">
        <v>40.887999999999998</v>
      </c>
      <c r="BK550" s="98">
        <v>82.683999999999997</v>
      </c>
      <c r="BL550" s="98">
        <v>125.593</v>
      </c>
      <c r="BM550" s="63">
        <f t="shared" si="421"/>
        <v>170.34299999999999</v>
      </c>
      <c r="BN550" s="410">
        <v>170.34299999999999</v>
      </c>
      <c r="BO550" s="98">
        <v>47.511000000000003</v>
      </c>
      <c r="BP550" s="98">
        <v>96.412999999999997</v>
      </c>
      <c r="BQ550" s="98">
        <v>145.637</v>
      </c>
      <c r="BR550" s="63">
        <f t="shared" si="422"/>
        <v>195.08099999999999</v>
      </c>
      <c r="BS550" s="419">
        <v>195.08099999999999</v>
      </c>
      <c r="BT550" s="63"/>
      <c r="BU550" s="63"/>
      <c r="BV550" s="63"/>
      <c r="BW550" s="63">
        <f>BX550</f>
        <v>0</v>
      </c>
      <c r="BX550" s="413"/>
      <c r="BY550" s="63"/>
      <c r="BZ550" s="63"/>
      <c r="CA550" s="63"/>
      <c r="CB550" s="63">
        <f>CC550</f>
        <v>0</v>
      </c>
      <c r="CC550" s="413"/>
      <c r="CD550" s="413"/>
      <c r="CE550" s="413"/>
      <c r="CF550" s="413"/>
      <c r="CG550" s="99"/>
    </row>
    <row r="551" spans="1:85" ht="14.45" hidden="1" customHeight="1" x14ac:dyDescent="0.25">
      <c r="A551" s="125" t="s">
        <v>585</v>
      </c>
      <c r="B551" s="180"/>
      <c r="C551" s="410">
        <v>0.56000000000000005</v>
      </c>
      <c r="D551" s="410">
        <v>0.48899999999999999</v>
      </c>
      <c r="E551" s="410">
        <v>0.432</v>
      </c>
      <c r="F551" s="410">
        <v>0.41599999999999998</v>
      </c>
      <c r="G551" s="98">
        <v>8.4000000000000005E-2</v>
      </c>
      <c r="H551" s="98">
        <v>0.16600000000000001</v>
      </c>
      <c r="I551" s="98">
        <v>0.25</v>
      </c>
      <c r="J551" s="99">
        <f>K551</f>
        <v>0.33300000000000002</v>
      </c>
      <c r="K551" s="410">
        <v>0.33300000000000002</v>
      </c>
      <c r="L551" s="98">
        <v>8.3000000000000004E-2</v>
      </c>
      <c r="M551" s="98">
        <v>0.19800000000000001</v>
      </c>
      <c r="N551" s="98">
        <v>0.377</v>
      </c>
      <c r="O551" s="99">
        <f>P551</f>
        <v>0.73299999999999998</v>
      </c>
      <c r="P551" s="410">
        <v>0.73299999999999998</v>
      </c>
      <c r="Q551" s="98">
        <v>0.59199999999999997</v>
      </c>
      <c r="R551" s="98">
        <v>1.38</v>
      </c>
      <c r="S551" s="98">
        <v>2.11</v>
      </c>
      <c r="T551" s="99">
        <f>U551</f>
        <v>2.8</v>
      </c>
      <c r="U551" s="410">
        <v>2.8</v>
      </c>
      <c r="V551" s="98">
        <v>1.026</v>
      </c>
      <c r="W551" s="98">
        <v>2.427</v>
      </c>
      <c r="X551" s="98">
        <v>3.4870000000000001</v>
      </c>
      <c r="Y551" s="63">
        <f>Z551</f>
        <v>5.01</v>
      </c>
      <c r="Z551" s="410">
        <v>5.01</v>
      </c>
      <c r="AA551" s="98">
        <v>1.994</v>
      </c>
      <c r="AB551" s="98">
        <v>6.7169999999999996</v>
      </c>
      <c r="AC551" s="98">
        <v>11.596</v>
      </c>
      <c r="AD551" s="63">
        <f>AE551</f>
        <v>18.419</v>
      </c>
      <c r="AE551" s="410">
        <v>18.419</v>
      </c>
      <c r="AF551" s="98">
        <v>5.6479999999999997</v>
      </c>
      <c r="AG551" s="98">
        <v>11.249000000000001</v>
      </c>
      <c r="AH551" s="98">
        <v>16.954000000000001</v>
      </c>
      <c r="AI551" s="63">
        <f>AJ551</f>
        <v>22.754000000000001</v>
      </c>
      <c r="AJ551" s="410">
        <v>22.754000000000001</v>
      </c>
      <c r="AK551" s="98">
        <v>5.7930000000000001</v>
      </c>
      <c r="AL551" s="98">
        <v>11.512</v>
      </c>
      <c r="AM551" s="98">
        <v>17.271000000000001</v>
      </c>
      <c r="AN551" s="63">
        <f>AO551</f>
        <v>23.03</v>
      </c>
      <c r="AO551" s="410">
        <v>23.03</v>
      </c>
      <c r="AP551" s="98">
        <v>5.76</v>
      </c>
      <c r="AQ551" s="98">
        <v>11.518000000000001</v>
      </c>
      <c r="AR551" s="98">
        <v>17.286000000000001</v>
      </c>
      <c r="AS551" s="63">
        <f>AT551</f>
        <v>23.081</v>
      </c>
      <c r="AT551" s="410">
        <v>23.081</v>
      </c>
      <c r="AU551" s="98">
        <v>5.81</v>
      </c>
      <c r="AV551" s="98">
        <v>11.619</v>
      </c>
      <c r="AW551" s="98">
        <v>17.431000000000001</v>
      </c>
      <c r="AX551" s="63">
        <f>AY551</f>
        <v>23.245000000000001</v>
      </c>
      <c r="AY551" s="410">
        <v>23.245000000000001</v>
      </c>
      <c r="AZ551" s="98">
        <v>5.9080000000000004</v>
      </c>
      <c r="BA551" s="98">
        <v>11.815</v>
      </c>
      <c r="BB551" s="98">
        <v>17.722000000000001</v>
      </c>
      <c r="BC551" s="63">
        <f>BD551</f>
        <v>23.628</v>
      </c>
      <c r="BD551" s="410">
        <v>23.628</v>
      </c>
      <c r="BE551" s="98">
        <v>5.9080000000000004</v>
      </c>
      <c r="BF551" s="98">
        <v>11.77</v>
      </c>
      <c r="BG551" s="98">
        <v>17.632000000000001</v>
      </c>
      <c r="BH551" s="63">
        <f t="shared" si="420"/>
        <v>23.494</v>
      </c>
      <c r="BI551" s="410">
        <v>23.494</v>
      </c>
      <c r="BJ551" s="98">
        <v>5.8630000000000004</v>
      </c>
      <c r="BK551" s="98">
        <v>11.725</v>
      </c>
      <c r="BL551" s="98">
        <v>17.585999999999999</v>
      </c>
      <c r="BM551" s="63">
        <f t="shared" si="421"/>
        <v>23.448</v>
      </c>
      <c r="BN551" s="410">
        <v>23.448</v>
      </c>
      <c r="BO551" s="98">
        <v>5.8620000000000001</v>
      </c>
      <c r="BP551" s="98">
        <v>11.725</v>
      </c>
      <c r="BQ551" s="98">
        <v>17.587</v>
      </c>
      <c r="BR551" s="63">
        <f t="shared" si="422"/>
        <v>23.449000000000002</v>
      </c>
      <c r="BS551" s="419">
        <v>23.449000000000002</v>
      </c>
      <c r="BT551" s="63"/>
      <c r="BU551" s="63"/>
      <c r="BV551" s="63"/>
      <c r="BW551" s="63">
        <f>BX551</f>
        <v>0</v>
      </c>
      <c r="BX551" s="413"/>
      <c r="BY551" s="63"/>
      <c r="BZ551" s="63"/>
      <c r="CA551" s="63"/>
      <c r="CB551" s="63">
        <f>CC551</f>
        <v>0</v>
      </c>
      <c r="CC551" s="413"/>
      <c r="CD551" s="413"/>
      <c r="CE551" s="413"/>
      <c r="CF551" s="413"/>
      <c r="CG551" s="99"/>
    </row>
    <row r="552" spans="1:85" ht="14.45" hidden="1" customHeight="1" x14ac:dyDescent="0.25">
      <c r="A552" s="125" t="s">
        <v>399</v>
      </c>
      <c r="B552" s="180"/>
      <c r="C552" s="413"/>
      <c r="D552" s="413"/>
      <c r="E552" s="413"/>
      <c r="F552" s="413"/>
      <c r="G552" s="63"/>
      <c r="H552" s="63"/>
      <c r="I552" s="63"/>
      <c r="J552" s="63"/>
      <c r="K552" s="413"/>
      <c r="L552" s="63"/>
      <c r="M552" s="63"/>
      <c r="N552" s="63"/>
      <c r="O552" s="63"/>
      <c r="P552" s="413"/>
      <c r="Q552" s="63"/>
      <c r="R552" s="63"/>
      <c r="S552" s="63"/>
      <c r="T552" s="63"/>
      <c r="U552" s="413"/>
      <c r="V552" s="63"/>
      <c r="W552" s="63"/>
      <c r="X552" s="63"/>
      <c r="Y552" s="63"/>
      <c r="Z552" s="413"/>
      <c r="AA552" s="63"/>
      <c r="AB552" s="63"/>
      <c r="AC552" s="63"/>
      <c r="AD552" s="63"/>
      <c r="AE552" s="413"/>
      <c r="AF552" s="63"/>
      <c r="AG552" s="63"/>
      <c r="AH552" s="63"/>
      <c r="AI552" s="63"/>
      <c r="AJ552" s="413"/>
      <c r="AK552" s="63"/>
      <c r="AL552" s="63"/>
      <c r="AM552" s="63"/>
      <c r="AN552" s="63"/>
      <c r="AO552" s="413"/>
      <c r="AP552" s="63"/>
      <c r="AQ552" s="63"/>
      <c r="AR552" s="63"/>
      <c r="AS552" s="63"/>
      <c r="AT552" s="413"/>
      <c r="AU552" s="63"/>
      <c r="AV552" s="63"/>
      <c r="AW552" s="63"/>
      <c r="AX552" s="63"/>
      <c r="AY552" s="413"/>
      <c r="AZ552" s="63"/>
      <c r="BA552" s="63"/>
      <c r="BB552" s="63"/>
      <c r="BC552" s="63"/>
      <c r="BD552" s="413"/>
      <c r="BE552" s="63"/>
      <c r="BF552" s="98">
        <v>39.777000000000001</v>
      </c>
      <c r="BG552" s="98">
        <v>117.096</v>
      </c>
      <c r="BH552" s="63">
        <f t="shared" si="420"/>
        <v>112.79600000000001</v>
      </c>
      <c r="BI552" s="410">
        <v>112.79600000000001</v>
      </c>
      <c r="BJ552" s="63"/>
      <c r="BK552" s="63"/>
      <c r="BL552" s="63"/>
      <c r="BM552" s="63">
        <f t="shared" si="421"/>
        <v>0</v>
      </c>
      <c r="BN552" s="413"/>
      <c r="BO552" s="63"/>
      <c r="BP552" s="63"/>
      <c r="BQ552" s="63"/>
      <c r="BR552" s="63">
        <f t="shared" si="422"/>
        <v>0</v>
      </c>
      <c r="BS552" s="425"/>
      <c r="BT552" s="63"/>
      <c r="BU552" s="63"/>
      <c r="BV552" s="63"/>
      <c r="BW552" s="63"/>
      <c r="BX552" s="413"/>
      <c r="BY552" s="63"/>
      <c r="BZ552" s="63"/>
      <c r="CA552" s="63"/>
      <c r="CB552" s="63"/>
      <c r="CC552" s="413"/>
      <c r="CD552" s="413"/>
      <c r="CE552" s="413"/>
      <c r="CF552" s="413"/>
      <c r="CG552" s="99"/>
    </row>
    <row r="553" spans="1:85" ht="14.45" hidden="1" customHeight="1" x14ac:dyDescent="0.25">
      <c r="A553" s="125" t="s">
        <v>586</v>
      </c>
      <c r="B553" s="180"/>
      <c r="C553" s="413"/>
      <c r="D553" s="413"/>
      <c r="E553" s="413"/>
      <c r="F553" s="413"/>
      <c r="G553" s="63"/>
      <c r="H553" s="63"/>
      <c r="I553" s="63"/>
      <c r="J553" s="63"/>
      <c r="K553" s="413"/>
      <c r="L553" s="63"/>
      <c r="M553" s="63"/>
      <c r="N553" s="63"/>
      <c r="O553" s="63"/>
      <c r="P553" s="413"/>
      <c r="Q553" s="63"/>
      <c r="R553" s="63"/>
      <c r="S553" s="63"/>
      <c r="T553" s="63"/>
      <c r="U553" s="413"/>
      <c r="V553" s="63"/>
      <c r="W553" s="63"/>
      <c r="X553" s="63"/>
      <c r="Y553" s="63"/>
      <c r="Z553" s="413"/>
      <c r="AA553" s="63"/>
      <c r="AB553" s="63"/>
      <c r="AC553" s="63"/>
      <c r="AD553" s="63"/>
      <c r="AE553" s="413"/>
      <c r="AF553" s="63"/>
      <c r="AG553" s="63"/>
      <c r="AH553" s="63"/>
      <c r="AI553" s="63"/>
      <c r="AJ553" s="413"/>
      <c r="AK553" s="63"/>
      <c r="AL553" s="63"/>
      <c r="AM553" s="63"/>
      <c r="AN553" s="63"/>
      <c r="AO553" s="413"/>
      <c r="AP553" s="63"/>
      <c r="AQ553" s="63"/>
      <c r="AR553" s="63"/>
      <c r="AS553" s="63"/>
      <c r="AT553" s="413"/>
      <c r="AU553" s="63"/>
      <c r="AV553" s="63"/>
      <c r="AW553" s="98">
        <v>-18.739000000000001</v>
      </c>
      <c r="AX553" s="63">
        <f t="shared" ref="AX553:AX570" si="423">AY553</f>
        <v>-18.739000000000001</v>
      </c>
      <c r="AY553" s="410">
        <v>-18.739000000000001</v>
      </c>
      <c r="AZ553" s="63"/>
      <c r="BA553" s="63"/>
      <c r="BB553" s="98">
        <v>-18.739000000000001</v>
      </c>
      <c r="BC553" s="63">
        <f t="shared" ref="BC553:BC570" si="424">BD553</f>
        <v>-18.739000000000001</v>
      </c>
      <c r="BD553" s="410">
        <v>-18.739000000000001</v>
      </c>
      <c r="BE553" s="63"/>
      <c r="BF553" s="63"/>
      <c r="BG553" s="63"/>
      <c r="BH553" s="63">
        <f t="shared" si="420"/>
        <v>0</v>
      </c>
      <c r="BI553" s="413"/>
      <c r="BJ553" s="63"/>
      <c r="BK553" s="63"/>
      <c r="BL553" s="63"/>
      <c r="BM553" s="63">
        <f t="shared" si="421"/>
        <v>0</v>
      </c>
      <c r="BN553" s="413"/>
      <c r="BO553" s="63"/>
      <c r="BP553" s="63"/>
      <c r="BQ553" s="63"/>
      <c r="BR553" s="63">
        <f t="shared" si="422"/>
        <v>0</v>
      </c>
      <c r="BS553" s="425"/>
      <c r="BT553" s="63"/>
      <c r="BU553" s="63"/>
      <c r="BV553" s="63"/>
      <c r="BW553" s="63">
        <f t="shared" ref="BW553:BW570" si="425">BX553</f>
        <v>0</v>
      </c>
      <c r="BX553" s="413"/>
      <c r="BY553" s="63"/>
      <c r="BZ553" s="63"/>
      <c r="CA553" s="63"/>
      <c r="CB553" s="63">
        <f t="shared" ref="CB553:CB570" si="426">CC553</f>
        <v>0</v>
      </c>
      <c r="CC553" s="413"/>
      <c r="CD553" s="413"/>
      <c r="CE553" s="413"/>
      <c r="CF553" s="413"/>
      <c r="CG553" s="99"/>
    </row>
    <row r="554" spans="1:85" ht="14.45" hidden="1" customHeight="1" x14ac:dyDescent="0.25">
      <c r="A554" s="125" t="s">
        <v>587</v>
      </c>
      <c r="B554" s="180"/>
      <c r="C554" s="410">
        <v>7.633</v>
      </c>
      <c r="D554" s="410">
        <v>-4.9059999999999997</v>
      </c>
      <c r="E554" s="410">
        <v>7.8879999999999999</v>
      </c>
      <c r="F554" s="410">
        <v>7.1379999999999999</v>
      </c>
      <c r="G554" s="98">
        <v>0.14599999999999999</v>
      </c>
      <c r="H554" s="98">
        <v>0.57599999999999996</v>
      </c>
      <c r="I554" s="98">
        <v>-1.3759999999999999</v>
      </c>
      <c r="J554" s="99">
        <f>K554</f>
        <v>-10.016999999999999</v>
      </c>
      <c r="K554" s="410">
        <v>-10.016999999999999</v>
      </c>
      <c r="L554" s="98">
        <v>0.222</v>
      </c>
      <c r="M554" s="98">
        <v>0.505</v>
      </c>
      <c r="N554" s="98">
        <v>0.65500000000000003</v>
      </c>
      <c r="O554" s="99">
        <f>P554</f>
        <v>4.22</v>
      </c>
      <c r="P554" s="410">
        <v>4.22</v>
      </c>
      <c r="Q554" s="98">
        <v>4.2000000000000003E-2</v>
      </c>
      <c r="R554" s="98">
        <v>-1.454</v>
      </c>
      <c r="S554" s="98">
        <v>-3.4889999999999999</v>
      </c>
      <c r="T554" s="99">
        <f>U554</f>
        <v>10.407999999999999</v>
      </c>
      <c r="U554" s="410">
        <v>10.407999999999999</v>
      </c>
      <c r="V554" s="98">
        <v>-5.0780000000000003</v>
      </c>
      <c r="W554" s="98">
        <v>-1.476</v>
      </c>
      <c r="X554" s="98">
        <v>5.5090000000000003</v>
      </c>
      <c r="Y554" s="63">
        <f>Z554</f>
        <v>42.942</v>
      </c>
      <c r="Z554" s="410">
        <v>42.942</v>
      </c>
      <c r="AA554" s="98">
        <v>-15.494999999999999</v>
      </c>
      <c r="AB554" s="98">
        <v>-24.917999999999999</v>
      </c>
      <c r="AC554" s="98">
        <v>-24.741</v>
      </c>
      <c r="AD554" s="63">
        <f t="shared" ref="AD554:AD570" si="427">AE554</f>
        <v>-58.110999999999997</v>
      </c>
      <c r="AE554" s="410">
        <v>-58.110999999999997</v>
      </c>
      <c r="AF554" s="98">
        <v>-15.394</v>
      </c>
      <c r="AG554" s="98">
        <v>-16.286000000000001</v>
      </c>
      <c r="AH554" s="98">
        <v>9.9030000000000005</v>
      </c>
      <c r="AI554" s="63">
        <f t="shared" ref="AI554:AI570" si="428">AJ554</f>
        <v>9.3659999999999997</v>
      </c>
      <c r="AJ554" s="410">
        <v>9.3659999999999997</v>
      </c>
      <c r="AK554" s="98">
        <v>-3.4449999999999998</v>
      </c>
      <c r="AL554" s="98">
        <v>4.0170000000000003</v>
      </c>
      <c r="AM554" s="98">
        <v>5.2539999999999996</v>
      </c>
      <c r="AN554" s="63">
        <f t="shared" ref="AN554:AN570" si="429">AO554</f>
        <v>3.9870000000000001</v>
      </c>
      <c r="AO554" s="410">
        <v>3.9870000000000001</v>
      </c>
      <c r="AP554" s="98">
        <v>5.91</v>
      </c>
      <c r="AQ554" s="98">
        <v>21.67</v>
      </c>
      <c r="AR554" s="98">
        <v>5.3019999999999996</v>
      </c>
      <c r="AS554" s="63">
        <f t="shared" ref="AS554:AS570" si="430">AT554</f>
        <v>8.7370000000000001</v>
      </c>
      <c r="AT554" s="410">
        <v>8.7370000000000001</v>
      </c>
      <c r="AU554" s="98">
        <v>19.98</v>
      </c>
      <c r="AV554" s="98">
        <v>2.2930000000000001</v>
      </c>
      <c r="AW554" s="98">
        <v>10.907</v>
      </c>
      <c r="AX554" s="63">
        <f t="shared" si="423"/>
        <v>-9.1829999999999998</v>
      </c>
      <c r="AY554" s="410">
        <v>-9.1829999999999998</v>
      </c>
      <c r="AZ554" s="98">
        <v>33.130000000000003</v>
      </c>
      <c r="BA554" s="98">
        <v>11.189</v>
      </c>
      <c r="BB554" s="98">
        <v>10.749000000000001</v>
      </c>
      <c r="BC554" s="63">
        <f t="shared" si="424"/>
        <v>8.9770000000000003</v>
      </c>
      <c r="BD554" s="410">
        <v>8.9770000000000003</v>
      </c>
      <c r="BE554" s="98">
        <v>40.743000000000002</v>
      </c>
      <c r="BF554" s="98">
        <v>-7.8479999999999999</v>
      </c>
      <c r="BG554" s="98">
        <v>-34.881</v>
      </c>
      <c r="BH554" s="63">
        <f t="shared" si="420"/>
        <v>-49.021000000000001</v>
      </c>
      <c r="BI554" s="410">
        <v>-49.021000000000001</v>
      </c>
      <c r="BJ554" s="98">
        <v>56.616</v>
      </c>
      <c r="BK554" s="98">
        <v>2.2639999999999998</v>
      </c>
      <c r="BL554" s="98">
        <v>-18.03</v>
      </c>
      <c r="BM554" s="63">
        <f t="shared" si="421"/>
        <v>2.5289999999999999</v>
      </c>
      <c r="BN554" s="410">
        <v>2.5289999999999999</v>
      </c>
      <c r="BO554" s="98">
        <v>35.277999999999999</v>
      </c>
      <c r="BP554" s="98">
        <v>-15.984999999999999</v>
      </c>
      <c r="BQ554" s="98">
        <v>0.52300000000000002</v>
      </c>
      <c r="BR554" s="63">
        <f t="shared" si="422"/>
        <v>13.704000000000001</v>
      </c>
      <c r="BS554" s="419">
        <v>13.704000000000001</v>
      </c>
      <c r="BT554" s="63"/>
      <c r="BU554" s="63"/>
      <c r="BV554" s="63"/>
      <c r="BW554" s="63">
        <f t="shared" si="425"/>
        <v>0</v>
      </c>
      <c r="BX554" s="413"/>
      <c r="BY554" s="63"/>
      <c r="BZ554" s="63"/>
      <c r="CA554" s="63"/>
      <c r="CB554" s="63">
        <f t="shared" si="426"/>
        <v>0</v>
      </c>
      <c r="CC554" s="413"/>
      <c r="CD554" s="413"/>
      <c r="CE554" s="413"/>
      <c r="CF554" s="413"/>
      <c r="CG554" s="99"/>
    </row>
    <row r="555" spans="1:85" ht="14.45" hidden="1" customHeight="1" x14ac:dyDescent="0.25">
      <c r="A555" s="125" t="s">
        <v>588</v>
      </c>
      <c r="B555" s="180"/>
      <c r="C555" s="410">
        <v>1.2709999999999999</v>
      </c>
      <c r="D555" s="410">
        <v>1.1950000000000001</v>
      </c>
      <c r="E555" s="410">
        <v>0.54700000000000004</v>
      </c>
      <c r="F555" s="410">
        <v>0.63300000000000001</v>
      </c>
      <c r="G555" s="98">
        <v>-0.99</v>
      </c>
      <c r="H555" s="98">
        <v>-0.76300000000000001</v>
      </c>
      <c r="I555" s="98">
        <v>-0.26400000000000001</v>
      </c>
      <c r="J555" s="99">
        <f>K555</f>
        <v>4.5999999999999999E-2</v>
      </c>
      <c r="K555" s="410">
        <v>4.5999999999999999E-2</v>
      </c>
      <c r="L555" s="98">
        <v>-0.17899999999999999</v>
      </c>
      <c r="M555" s="98">
        <v>-3.7999999999999999E-2</v>
      </c>
      <c r="N555" s="98">
        <v>0.23100000000000001</v>
      </c>
      <c r="O555" s="99">
        <f>P555</f>
        <v>0.67700000000000005</v>
      </c>
      <c r="P555" s="410">
        <v>0.67700000000000005</v>
      </c>
      <c r="Q555" s="98">
        <v>0.28199999999999997</v>
      </c>
      <c r="R555" s="98">
        <v>0.44900000000000001</v>
      </c>
      <c r="S555" s="98">
        <v>0.67900000000000005</v>
      </c>
      <c r="T555" s="99">
        <f>U555</f>
        <v>1.268</v>
      </c>
      <c r="U555" s="410">
        <v>1.268</v>
      </c>
      <c r="V555" s="98">
        <v>0.41699999999999998</v>
      </c>
      <c r="W555" s="98">
        <v>1.3560000000000001</v>
      </c>
      <c r="X555" s="98">
        <v>1.88</v>
      </c>
      <c r="Y555" s="63">
        <f>Z555</f>
        <v>2.8919999999999999</v>
      </c>
      <c r="Z555" s="410">
        <v>2.8919999999999999</v>
      </c>
      <c r="AA555" s="98">
        <v>0.81</v>
      </c>
      <c r="AB555" s="98">
        <v>1.9750000000000001</v>
      </c>
      <c r="AC555" s="98">
        <v>3.42</v>
      </c>
      <c r="AD555" s="63">
        <f t="shared" si="427"/>
        <v>4.492</v>
      </c>
      <c r="AE555" s="410">
        <v>4.492</v>
      </c>
      <c r="AF555" s="98">
        <v>1.952</v>
      </c>
      <c r="AG555" s="98">
        <v>4.2949999999999999</v>
      </c>
      <c r="AH555" s="98">
        <v>6.1230000000000002</v>
      </c>
      <c r="AI555" s="63">
        <f t="shared" si="428"/>
        <v>7.1029999999999998</v>
      </c>
      <c r="AJ555" s="410">
        <v>7.1029999999999998</v>
      </c>
      <c r="AK555" s="98">
        <v>1.8540000000000001</v>
      </c>
      <c r="AL555" s="98">
        <v>4.3239999999999998</v>
      </c>
      <c r="AM555" s="98">
        <v>5.4740000000000002</v>
      </c>
      <c r="AN555" s="63">
        <f t="shared" si="429"/>
        <v>6.4980000000000002</v>
      </c>
      <c r="AO555" s="410">
        <v>6.4980000000000002</v>
      </c>
      <c r="AP555" s="98">
        <v>0.49099999999999999</v>
      </c>
      <c r="AQ555" s="98">
        <v>1.4159999999999999</v>
      </c>
      <c r="AR555" s="98">
        <v>3.6560000000000001</v>
      </c>
      <c r="AS555" s="63">
        <f t="shared" si="430"/>
        <v>5.1870000000000003</v>
      </c>
      <c r="AT555" s="410">
        <v>5.1870000000000003</v>
      </c>
      <c r="AU555" s="98">
        <v>1.0980000000000001</v>
      </c>
      <c r="AV555" s="98">
        <v>2.4569999999999999</v>
      </c>
      <c r="AW555" s="98">
        <v>4.0170000000000003</v>
      </c>
      <c r="AX555" s="63">
        <f t="shared" si="423"/>
        <v>5.9210000000000003</v>
      </c>
      <c r="AY555" s="410">
        <v>5.9210000000000003</v>
      </c>
      <c r="AZ555" s="98">
        <v>0.439</v>
      </c>
      <c r="BA555" s="98">
        <v>1.327</v>
      </c>
      <c r="BB555" s="98">
        <v>2.855</v>
      </c>
      <c r="BC555" s="63">
        <f t="shared" si="424"/>
        <v>5.6420000000000003</v>
      </c>
      <c r="BD555" s="410">
        <v>5.6420000000000003</v>
      </c>
      <c r="BE555" s="98">
        <v>2.3889999999999998</v>
      </c>
      <c r="BF555" s="98">
        <v>4.1280000000000001</v>
      </c>
      <c r="BG555" s="98">
        <v>5.8630000000000004</v>
      </c>
      <c r="BH555" s="63">
        <f t="shared" si="420"/>
        <v>7.181</v>
      </c>
      <c r="BI555" s="410">
        <v>7.181</v>
      </c>
      <c r="BJ555" s="98">
        <v>0.67</v>
      </c>
      <c r="BK555" s="98">
        <v>2.2570000000000001</v>
      </c>
      <c r="BL555" s="98">
        <v>4.0810000000000004</v>
      </c>
      <c r="BM555" s="63">
        <f t="shared" si="421"/>
        <v>3.1680000000000001</v>
      </c>
      <c r="BN555" s="410">
        <v>3.1680000000000001</v>
      </c>
      <c r="BO555" s="98">
        <v>1.369</v>
      </c>
      <c r="BP555" s="98">
        <v>-1.8560000000000001</v>
      </c>
      <c r="BQ555" s="98">
        <v>-0.57999999999999996</v>
      </c>
      <c r="BR555" s="63">
        <f t="shared" si="422"/>
        <v>0.64400000000000002</v>
      </c>
      <c r="BS555" s="419">
        <v>0.64400000000000002</v>
      </c>
      <c r="BT555" s="63"/>
      <c r="BU555" s="63"/>
      <c r="BV555" s="63"/>
      <c r="BW555" s="63">
        <f t="shared" si="425"/>
        <v>0</v>
      </c>
      <c r="BX555" s="413"/>
      <c r="BY555" s="63"/>
      <c r="BZ555" s="63"/>
      <c r="CA555" s="63"/>
      <c r="CB555" s="63">
        <f t="shared" si="426"/>
        <v>0</v>
      </c>
      <c r="CC555" s="413"/>
      <c r="CD555" s="413"/>
      <c r="CE555" s="413"/>
      <c r="CF555" s="413"/>
      <c r="CG555" s="99"/>
    </row>
    <row r="556" spans="1:85" ht="14.45" hidden="1" customHeight="1" x14ac:dyDescent="0.25">
      <c r="A556" s="125" t="s">
        <v>589</v>
      </c>
      <c r="B556" s="180"/>
      <c r="C556" s="413"/>
      <c r="D556" s="413"/>
      <c r="E556" s="413"/>
      <c r="F556" s="413"/>
      <c r="G556" s="63"/>
      <c r="H556" s="63"/>
      <c r="I556" s="63"/>
      <c r="J556" s="63"/>
      <c r="K556" s="413"/>
      <c r="L556" s="63"/>
      <c r="M556" s="63"/>
      <c r="N556" s="63"/>
      <c r="O556" s="63"/>
      <c r="P556" s="413"/>
      <c r="Q556" s="63"/>
      <c r="R556" s="63"/>
      <c r="S556" s="63"/>
      <c r="T556" s="63"/>
      <c r="U556" s="413"/>
      <c r="V556" s="63"/>
      <c r="W556" s="63"/>
      <c r="X556" s="63"/>
      <c r="Y556" s="63"/>
      <c r="Z556" s="413"/>
      <c r="AA556" s="98">
        <v>87.066000000000003</v>
      </c>
      <c r="AB556" s="98">
        <v>87.066000000000003</v>
      </c>
      <c r="AC556" s="98">
        <v>87.066000000000003</v>
      </c>
      <c r="AD556" s="63">
        <f t="shared" si="427"/>
        <v>91.45</v>
      </c>
      <c r="AE556" s="410">
        <v>91.45</v>
      </c>
      <c r="AF556" s="63"/>
      <c r="AG556" s="63"/>
      <c r="AH556" s="63"/>
      <c r="AI556" s="63">
        <f t="shared" si="428"/>
        <v>0</v>
      </c>
      <c r="AJ556" s="413"/>
      <c r="AK556" s="63"/>
      <c r="AL556" s="63"/>
      <c r="AM556" s="63"/>
      <c r="AN556" s="63">
        <f t="shared" si="429"/>
        <v>0</v>
      </c>
      <c r="AO556" s="413"/>
      <c r="AP556" s="63"/>
      <c r="AQ556" s="63"/>
      <c r="AR556" s="63"/>
      <c r="AS556" s="63">
        <f t="shared" si="430"/>
        <v>0</v>
      </c>
      <c r="AT556" s="413"/>
      <c r="AU556" s="63"/>
      <c r="AV556" s="63"/>
      <c r="AW556" s="63"/>
      <c r="AX556" s="63">
        <f t="shared" si="423"/>
        <v>0</v>
      </c>
      <c r="AY556" s="413"/>
      <c r="AZ556" s="63"/>
      <c r="BA556" s="63"/>
      <c r="BB556" s="63"/>
      <c r="BC556" s="63">
        <f t="shared" si="424"/>
        <v>0</v>
      </c>
      <c r="BD556" s="413"/>
      <c r="BE556" s="63"/>
      <c r="BF556" s="63"/>
      <c r="BG556" s="63"/>
      <c r="BH556" s="63">
        <f t="shared" si="420"/>
        <v>0</v>
      </c>
      <c r="BI556" s="413"/>
      <c r="BJ556" s="63"/>
      <c r="BK556" s="63"/>
      <c r="BL556" s="63"/>
      <c r="BM556" s="63">
        <f t="shared" si="421"/>
        <v>0</v>
      </c>
      <c r="BN556" s="413"/>
      <c r="BO556" s="63"/>
      <c r="BP556" s="63"/>
      <c r="BQ556" s="63"/>
      <c r="BR556" s="63">
        <f t="shared" si="422"/>
        <v>0</v>
      </c>
      <c r="BS556" s="425"/>
      <c r="BT556" s="63"/>
      <c r="BU556" s="63"/>
      <c r="BV556" s="63"/>
      <c r="BW556" s="63">
        <f t="shared" si="425"/>
        <v>0</v>
      </c>
      <c r="BX556" s="413"/>
      <c r="BY556" s="63"/>
      <c r="BZ556" s="63"/>
      <c r="CA556" s="63"/>
      <c r="CB556" s="63">
        <f t="shared" si="426"/>
        <v>0</v>
      </c>
      <c r="CC556" s="413"/>
      <c r="CD556" s="413"/>
      <c r="CE556" s="413"/>
      <c r="CF556" s="413"/>
      <c r="CG556" s="99"/>
    </row>
    <row r="557" spans="1:85" ht="14.45" hidden="1" customHeight="1" x14ac:dyDescent="0.25">
      <c r="A557" s="125" t="s">
        <v>590</v>
      </c>
      <c r="B557" s="180"/>
      <c r="C557" s="413"/>
      <c r="D557" s="413"/>
      <c r="E557" s="413"/>
      <c r="F557" s="413"/>
      <c r="G557" s="63"/>
      <c r="H557" s="63"/>
      <c r="I557" s="63"/>
      <c r="J557" s="63"/>
      <c r="K557" s="413"/>
      <c r="L557" s="63"/>
      <c r="M557" s="63"/>
      <c r="N557" s="63"/>
      <c r="O557" s="63"/>
      <c r="P557" s="413"/>
      <c r="Q557" s="63"/>
      <c r="R557" s="63"/>
      <c r="S557" s="63"/>
      <c r="T557" s="63"/>
      <c r="U557" s="413"/>
      <c r="V557" s="63"/>
      <c r="W557" s="63"/>
      <c r="X557" s="63"/>
      <c r="Y557" s="63"/>
      <c r="Z557" s="413"/>
      <c r="AA557" s="63"/>
      <c r="AB557" s="63"/>
      <c r="AC557" s="63"/>
      <c r="AD557" s="63">
        <f t="shared" si="427"/>
        <v>30.646999999999998</v>
      </c>
      <c r="AE557" s="410">
        <v>30.646999999999998</v>
      </c>
      <c r="AF557" s="63"/>
      <c r="AG557" s="63"/>
      <c r="AH557" s="63"/>
      <c r="AI557" s="63">
        <f t="shared" si="428"/>
        <v>1.32</v>
      </c>
      <c r="AJ557" s="410">
        <v>1.32</v>
      </c>
      <c r="AK557" s="63"/>
      <c r="AL557" s="63"/>
      <c r="AM557" s="63"/>
      <c r="AN557" s="63">
        <f t="shared" si="429"/>
        <v>0</v>
      </c>
      <c r="AO557" s="413"/>
      <c r="AP557" s="63"/>
      <c r="AQ557" s="63"/>
      <c r="AR557" s="63"/>
      <c r="AS557" s="63">
        <f t="shared" si="430"/>
        <v>0</v>
      </c>
      <c r="AT557" s="413"/>
      <c r="AU557" s="63"/>
      <c r="AV557" s="63"/>
      <c r="AW557" s="63"/>
      <c r="AX557" s="63">
        <f t="shared" si="423"/>
        <v>0</v>
      </c>
      <c r="AY557" s="413"/>
      <c r="AZ557" s="63"/>
      <c r="BA557" s="63"/>
      <c r="BB557" s="63"/>
      <c r="BC557" s="63">
        <f t="shared" si="424"/>
        <v>0</v>
      </c>
      <c r="BD557" s="413"/>
      <c r="BE557" s="63"/>
      <c r="BF557" s="63"/>
      <c r="BG557" s="63"/>
      <c r="BH557" s="63">
        <f t="shared" si="420"/>
        <v>0</v>
      </c>
      <c r="BI557" s="413"/>
      <c r="BJ557" s="63"/>
      <c r="BK557" s="63"/>
      <c r="BL557" s="63"/>
      <c r="BM557" s="63">
        <f t="shared" si="421"/>
        <v>0</v>
      </c>
      <c r="BN557" s="413"/>
      <c r="BO557" s="63"/>
      <c r="BP557" s="63"/>
      <c r="BQ557" s="63"/>
      <c r="BR557" s="63">
        <f t="shared" si="422"/>
        <v>0</v>
      </c>
      <c r="BS557" s="425"/>
      <c r="BT557" s="63"/>
      <c r="BU557" s="63"/>
      <c r="BV557" s="63"/>
      <c r="BW557" s="63">
        <f t="shared" si="425"/>
        <v>0</v>
      </c>
      <c r="BX557" s="413"/>
      <c r="BY557" s="63"/>
      <c r="BZ557" s="63"/>
      <c r="CA557" s="63"/>
      <c r="CB557" s="63">
        <f t="shared" si="426"/>
        <v>0</v>
      </c>
      <c r="CC557" s="413"/>
      <c r="CD557" s="413"/>
      <c r="CE557" s="413"/>
      <c r="CF557" s="413"/>
      <c r="CG557" s="99"/>
    </row>
    <row r="558" spans="1:85" ht="14.45" hidden="1" customHeight="1" x14ac:dyDescent="0.25">
      <c r="A558" s="125" t="s">
        <v>591</v>
      </c>
      <c r="B558" s="180"/>
      <c r="C558" s="410">
        <v>0.35299999999999998</v>
      </c>
      <c r="D558" s="410">
        <v>3.665</v>
      </c>
      <c r="E558" s="410">
        <v>0</v>
      </c>
      <c r="F558" s="410">
        <v>0.27500000000000002</v>
      </c>
      <c r="G558" s="63"/>
      <c r="H558" s="63"/>
      <c r="I558" s="63"/>
      <c r="J558" s="99">
        <f t="shared" ref="J558:J566" si="431">K558</f>
        <v>0</v>
      </c>
      <c r="K558" s="410">
        <v>0</v>
      </c>
      <c r="L558" s="98">
        <v>0</v>
      </c>
      <c r="M558" s="98">
        <v>0</v>
      </c>
      <c r="N558" s="98">
        <v>0</v>
      </c>
      <c r="O558" s="99">
        <f t="shared" ref="O558:O566" si="432">P558</f>
        <v>0</v>
      </c>
      <c r="P558" s="410">
        <v>0</v>
      </c>
      <c r="Q558" s="98">
        <v>0.14799999999999999</v>
      </c>
      <c r="R558" s="98">
        <v>0.14799999999999999</v>
      </c>
      <c r="S558" s="98">
        <v>0.14799999999999999</v>
      </c>
      <c r="T558" s="99">
        <f t="shared" ref="T558:T566" si="433">U558</f>
        <v>0.14799999999999999</v>
      </c>
      <c r="U558" s="410">
        <v>0.14799999999999999</v>
      </c>
      <c r="V558" s="98">
        <v>0</v>
      </c>
      <c r="W558" s="98">
        <v>0.38200000000000001</v>
      </c>
      <c r="X558" s="98">
        <v>0.38200000000000001</v>
      </c>
      <c r="Y558" s="63">
        <f t="shared" ref="Y558:Y566" si="434">Z558</f>
        <v>0.38200000000000001</v>
      </c>
      <c r="Z558" s="410">
        <v>0.38200000000000001</v>
      </c>
      <c r="AA558" s="63"/>
      <c r="AB558" s="63"/>
      <c r="AC558" s="63"/>
      <c r="AD558" s="63">
        <f t="shared" si="427"/>
        <v>0</v>
      </c>
      <c r="AE558" s="413"/>
      <c r="AF558" s="63"/>
      <c r="AG558" s="63"/>
      <c r="AH558" s="98">
        <v>0.29899999999999999</v>
      </c>
      <c r="AI558" s="63">
        <f t="shared" si="428"/>
        <v>0.45300000000000001</v>
      </c>
      <c r="AJ558" s="410">
        <v>0.45300000000000001</v>
      </c>
      <c r="AK558" s="63"/>
      <c r="AL558" s="98">
        <v>1.155</v>
      </c>
      <c r="AM558" s="98">
        <v>4.1440000000000001</v>
      </c>
      <c r="AN558" s="63">
        <f t="shared" si="429"/>
        <v>8.798</v>
      </c>
      <c r="AO558" s="410">
        <v>8.798</v>
      </c>
      <c r="AP558" s="63"/>
      <c r="AQ558" s="98">
        <v>1.35</v>
      </c>
      <c r="AR558" s="98">
        <v>7.9080000000000004</v>
      </c>
      <c r="AS558" s="63">
        <f t="shared" si="430"/>
        <v>8.0299999999999994</v>
      </c>
      <c r="AT558" s="410">
        <v>8.0299999999999994</v>
      </c>
      <c r="AU558" s="98">
        <v>0.5</v>
      </c>
      <c r="AV558" s="98">
        <v>3.2</v>
      </c>
      <c r="AW558" s="98">
        <v>3.2</v>
      </c>
      <c r="AX558" s="63">
        <f t="shared" si="423"/>
        <v>3.2</v>
      </c>
      <c r="AY558" s="410">
        <v>3.2</v>
      </c>
      <c r="AZ558" s="63"/>
      <c r="BA558" s="98">
        <v>0</v>
      </c>
      <c r="BB558" s="63"/>
      <c r="BC558" s="63">
        <f t="shared" si="424"/>
        <v>0</v>
      </c>
      <c r="BD558" s="413"/>
      <c r="BE558" s="63"/>
      <c r="BF558" s="63"/>
      <c r="BG558" s="63"/>
      <c r="BH558" s="63">
        <f t="shared" si="420"/>
        <v>0</v>
      </c>
      <c r="BI558" s="413"/>
      <c r="BJ558" s="63"/>
      <c r="BK558" s="63"/>
      <c r="BL558" s="63"/>
      <c r="BM558" s="63">
        <f t="shared" si="421"/>
        <v>0</v>
      </c>
      <c r="BN558" s="413"/>
      <c r="BO558" s="63"/>
      <c r="BP558" s="63"/>
      <c r="BQ558" s="63"/>
      <c r="BR558" s="63">
        <f t="shared" si="422"/>
        <v>0</v>
      </c>
      <c r="BS558" s="425"/>
      <c r="BT558" s="63"/>
      <c r="BU558" s="63"/>
      <c r="BV558" s="63"/>
      <c r="BW558" s="63">
        <f t="shared" si="425"/>
        <v>0</v>
      </c>
      <c r="BX558" s="413"/>
      <c r="BY558" s="63"/>
      <c r="BZ558" s="63"/>
      <c r="CA558" s="63"/>
      <c r="CB558" s="63">
        <f t="shared" si="426"/>
        <v>0</v>
      </c>
      <c r="CC558" s="413"/>
      <c r="CD558" s="413"/>
      <c r="CE558" s="413"/>
      <c r="CF558" s="413"/>
      <c r="CG558" s="99"/>
    </row>
    <row r="559" spans="1:85" ht="14.45" hidden="1" customHeight="1" x14ac:dyDescent="0.25">
      <c r="A559" s="125" t="s">
        <v>400</v>
      </c>
      <c r="B559" s="180"/>
      <c r="C559" s="413"/>
      <c r="D559" s="410">
        <v>-0.89200000000000002</v>
      </c>
      <c r="E559" s="413"/>
      <c r="F559" s="413"/>
      <c r="G559" s="63"/>
      <c r="H559" s="63"/>
      <c r="I559" s="63"/>
      <c r="J559" s="99">
        <f t="shared" si="431"/>
        <v>0</v>
      </c>
      <c r="K559" s="413"/>
      <c r="L559" s="63"/>
      <c r="M559" s="98">
        <v>0</v>
      </c>
      <c r="N559" s="98">
        <v>0</v>
      </c>
      <c r="O559" s="99">
        <f t="shared" si="432"/>
        <v>0</v>
      </c>
      <c r="P559" s="410">
        <v>0</v>
      </c>
      <c r="Q559" s="63"/>
      <c r="R559" s="98">
        <v>-8.8070000000000004</v>
      </c>
      <c r="S559" s="98">
        <v>-8.8070000000000004</v>
      </c>
      <c r="T559" s="99">
        <f t="shared" si="433"/>
        <v>-8.8070000000000004</v>
      </c>
      <c r="U559" s="410">
        <v>-8.8070000000000004</v>
      </c>
      <c r="V559" s="63"/>
      <c r="W559" s="98">
        <v>0.69199999999999995</v>
      </c>
      <c r="X559" s="98">
        <v>0.69199999999999995</v>
      </c>
      <c r="Y559" s="63">
        <f t="shared" si="434"/>
        <v>0.69199999999999995</v>
      </c>
      <c r="Z559" s="410">
        <v>0.69199999999999995</v>
      </c>
      <c r="AA559" s="63"/>
      <c r="AB559" s="63"/>
      <c r="AC559" s="63"/>
      <c r="AD559" s="63">
        <f t="shared" si="427"/>
        <v>-12.893000000000001</v>
      </c>
      <c r="AE559" s="410">
        <v>-12.893000000000001</v>
      </c>
      <c r="AF559" s="63"/>
      <c r="AG559" s="63"/>
      <c r="AH559" s="98">
        <v>-10.17</v>
      </c>
      <c r="AI559" s="63">
        <f t="shared" si="428"/>
        <v>-10.17</v>
      </c>
      <c r="AJ559" s="410">
        <v>-10.17</v>
      </c>
      <c r="AK559" s="63"/>
      <c r="AL559" s="63"/>
      <c r="AM559" s="63"/>
      <c r="AN559" s="63">
        <f t="shared" si="429"/>
        <v>0</v>
      </c>
      <c r="AO559" s="413"/>
      <c r="AP559" s="63"/>
      <c r="AQ559" s="63"/>
      <c r="AR559" s="63"/>
      <c r="AS559" s="63">
        <f t="shared" si="430"/>
        <v>0</v>
      </c>
      <c r="AT559" s="413"/>
      <c r="AU559" s="63"/>
      <c r="AV559" s="63"/>
      <c r="AW559" s="63"/>
      <c r="AX559" s="63">
        <f t="shared" si="423"/>
        <v>0</v>
      </c>
      <c r="AY559" s="413"/>
      <c r="AZ559" s="63"/>
      <c r="BA559" s="63"/>
      <c r="BB559" s="63"/>
      <c r="BC559" s="63">
        <f t="shared" si="424"/>
        <v>0</v>
      </c>
      <c r="BD559" s="413"/>
      <c r="BE559" s="63"/>
      <c r="BF559" s="63"/>
      <c r="BG559" s="63"/>
      <c r="BH559" s="63">
        <f t="shared" si="420"/>
        <v>0</v>
      </c>
      <c r="BI559" s="413"/>
      <c r="BJ559" s="63"/>
      <c r="BK559" s="63"/>
      <c r="BL559" s="63"/>
      <c r="BM559" s="63">
        <f t="shared" si="421"/>
        <v>0</v>
      </c>
      <c r="BN559" s="413"/>
      <c r="BO559" s="63"/>
      <c r="BP559" s="63"/>
      <c r="BQ559" s="63"/>
      <c r="BR559" s="63">
        <f t="shared" si="422"/>
        <v>0</v>
      </c>
      <c r="BS559" s="425"/>
      <c r="BT559" s="63"/>
      <c r="BU559" s="63"/>
      <c r="BV559" s="63"/>
      <c r="BW559" s="63">
        <f t="shared" si="425"/>
        <v>0</v>
      </c>
      <c r="BX559" s="413"/>
      <c r="BY559" s="63"/>
      <c r="BZ559" s="63"/>
      <c r="CA559" s="63"/>
      <c r="CB559" s="63">
        <f t="shared" si="426"/>
        <v>0</v>
      </c>
      <c r="CC559" s="413"/>
      <c r="CD559" s="413"/>
      <c r="CE559" s="413"/>
      <c r="CF559" s="413"/>
      <c r="CG559" s="99"/>
    </row>
    <row r="560" spans="1:85" ht="14.45" hidden="1" customHeight="1" x14ac:dyDescent="0.25">
      <c r="A560" s="125" t="s">
        <v>401</v>
      </c>
      <c r="B560" s="180"/>
      <c r="C560" s="413"/>
      <c r="D560" s="413"/>
      <c r="E560" s="413"/>
      <c r="F560" s="413"/>
      <c r="G560" s="63"/>
      <c r="H560" s="63"/>
      <c r="I560" s="63"/>
      <c r="J560" s="99">
        <f t="shared" si="431"/>
        <v>0</v>
      </c>
      <c r="K560" s="413"/>
      <c r="L560" s="63"/>
      <c r="M560" s="63"/>
      <c r="N560" s="98">
        <v>0</v>
      </c>
      <c r="O560" s="99">
        <f t="shared" si="432"/>
        <v>0</v>
      </c>
      <c r="P560" s="410">
        <v>0</v>
      </c>
      <c r="Q560" s="63"/>
      <c r="R560" s="63"/>
      <c r="S560" s="98">
        <v>-22.651</v>
      </c>
      <c r="T560" s="99">
        <f t="shared" si="433"/>
        <v>-22.651</v>
      </c>
      <c r="U560" s="410">
        <v>-22.651</v>
      </c>
      <c r="V560" s="63"/>
      <c r="W560" s="63"/>
      <c r="X560" s="63"/>
      <c r="Y560" s="63">
        <f t="shared" si="434"/>
        <v>0</v>
      </c>
      <c r="Z560" s="410">
        <v>0</v>
      </c>
      <c r="AA560" s="63"/>
      <c r="AB560" s="63"/>
      <c r="AC560" s="63"/>
      <c r="AD560" s="63">
        <f t="shared" si="427"/>
        <v>0</v>
      </c>
      <c r="AE560" s="413"/>
      <c r="AF560" s="63"/>
      <c r="AG560" s="63"/>
      <c r="AH560" s="63"/>
      <c r="AI560" s="63">
        <f t="shared" si="428"/>
        <v>0</v>
      </c>
      <c r="AJ560" s="413"/>
      <c r="AK560" s="63"/>
      <c r="AL560" s="63"/>
      <c r="AM560" s="63"/>
      <c r="AN560" s="63">
        <f t="shared" si="429"/>
        <v>0</v>
      </c>
      <c r="AO560" s="413"/>
      <c r="AP560" s="63"/>
      <c r="AQ560" s="63"/>
      <c r="AR560" s="63"/>
      <c r="AS560" s="63">
        <f t="shared" si="430"/>
        <v>0</v>
      </c>
      <c r="AT560" s="413"/>
      <c r="AU560" s="63"/>
      <c r="AV560" s="63"/>
      <c r="AW560" s="63"/>
      <c r="AX560" s="63">
        <f t="shared" si="423"/>
        <v>0</v>
      </c>
      <c r="AY560" s="413"/>
      <c r="AZ560" s="63"/>
      <c r="BA560" s="63"/>
      <c r="BB560" s="63"/>
      <c r="BC560" s="63">
        <f t="shared" si="424"/>
        <v>0</v>
      </c>
      <c r="BD560" s="413"/>
      <c r="BE560" s="63"/>
      <c r="BF560" s="63"/>
      <c r="BG560" s="63"/>
      <c r="BH560" s="63">
        <f t="shared" si="420"/>
        <v>0</v>
      </c>
      <c r="BI560" s="413"/>
      <c r="BJ560" s="63"/>
      <c r="BK560" s="63"/>
      <c r="BL560" s="63"/>
      <c r="BM560" s="63">
        <f t="shared" si="421"/>
        <v>0</v>
      </c>
      <c r="BN560" s="413"/>
      <c r="BO560" s="63"/>
      <c r="BP560" s="63"/>
      <c r="BQ560" s="63"/>
      <c r="BR560" s="63">
        <f t="shared" si="422"/>
        <v>0</v>
      </c>
      <c r="BS560" s="425"/>
      <c r="BT560" s="63"/>
      <c r="BU560" s="63"/>
      <c r="BV560" s="63"/>
      <c r="BW560" s="63">
        <f t="shared" si="425"/>
        <v>0</v>
      </c>
      <c r="BX560" s="413"/>
      <c r="BY560" s="63"/>
      <c r="BZ560" s="63"/>
      <c r="CA560" s="63"/>
      <c r="CB560" s="63">
        <f t="shared" si="426"/>
        <v>0</v>
      </c>
      <c r="CC560" s="413"/>
      <c r="CD560" s="413"/>
      <c r="CE560" s="413"/>
      <c r="CF560" s="413"/>
      <c r="CG560" s="99"/>
    </row>
    <row r="561" spans="1:85" ht="14.45" hidden="1" customHeight="1" x14ac:dyDescent="0.25">
      <c r="A561" s="125" t="s">
        <v>436</v>
      </c>
      <c r="B561" s="180"/>
      <c r="C561" s="413"/>
      <c r="D561" s="413"/>
      <c r="E561" s="413"/>
      <c r="F561" s="413"/>
      <c r="G561" s="63"/>
      <c r="H561" s="63"/>
      <c r="I561" s="63"/>
      <c r="J561" s="99">
        <f t="shared" si="431"/>
        <v>0</v>
      </c>
      <c r="K561" s="413"/>
      <c r="L561" s="63"/>
      <c r="M561" s="63"/>
      <c r="N561" s="63"/>
      <c r="O561" s="99">
        <f t="shared" si="432"/>
        <v>0</v>
      </c>
      <c r="P561" s="410">
        <v>0</v>
      </c>
      <c r="Q561" s="63"/>
      <c r="R561" s="63"/>
      <c r="S561" s="63"/>
      <c r="T561" s="99">
        <f t="shared" si="433"/>
        <v>-2.0110000000000001</v>
      </c>
      <c r="U561" s="410">
        <v>-2.0110000000000001</v>
      </c>
      <c r="V561" s="63"/>
      <c r="W561" s="63"/>
      <c r="X561" s="63"/>
      <c r="Y561" s="63">
        <f t="shared" si="434"/>
        <v>0</v>
      </c>
      <c r="Z561" s="410">
        <v>0</v>
      </c>
      <c r="AA561" s="63"/>
      <c r="AB561" s="63"/>
      <c r="AC561" s="63"/>
      <c r="AD561" s="63">
        <f t="shared" si="427"/>
        <v>0</v>
      </c>
      <c r="AE561" s="413"/>
      <c r="AF561" s="63"/>
      <c r="AG561" s="63"/>
      <c r="AH561" s="63"/>
      <c r="AI561" s="63">
        <f t="shared" si="428"/>
        <v>0</v>
      </c>
      <c r="AJ561" s="413"/>
      <c r="AK561" s="63"/>
      <c r="AL561" s="63"/>
      <c r="AM561" s="63"/>
      <c r="AN561" s="63">
        <f t="shared" si="429"/>
        <v>0</v>
      </c>
      <c r="AO561" s="413"/>
      <c r="AP561" s="63"/>
      <c r="AQ561" s="63"/>
      <c r="AR561" s="63"/>
      <c r="AS561" s="63">
        <f t="shared" si="430"/>
        <v>0</v>
      </c>
      <c r="AT561" s="413"/>
      <c r="AU561" s="63"/>
      <c r="AV561" s="63"/>
      <c r="AW561" s="63"/>
      <c r="AX561" s="63">
        <f t="shared" si="423"/>
        <v>0</v>
      </c>
      <c r="AY561" s="413"/>
      <c r="AZ561" s="63"/>
      <c r="BA561" s="63"/>
      <c r="BB561" s="63"/>
      <c r="BC561" s="63">
        <f t="shared" si="424"/>
        <v>0</v>
      </c>
      <c r="BD561" s="413"/>
      <c r="BE561" s="63"/>
      <c r="BF561" s="63"/>
      <c r="BG561" s="63"/>
      <c r="BH561" s="63">
        <f t="shared" si="420"/>
        <v>0</v>
      </c>
      <c r="BI561" s="413"/>
      <c r="BJ561" s="63"/>
      <c r="BK561" s="63"/>
      <c r="BL561" s="63"/>
      <c r="BM561" s="63">
        <f t="shared" si="421"/>
        <v>0</v>
      </c>
      <c r="BN561" s="413"/>
      <c r="BO561" s="63"/>
      <c r="BP561" s="63"/>
      <c r="BQ561" s="63"/>
      <c r="BR561" s="63">
        <f t="shared" si="422"/>
        <v>0</v>
      </c>
      <c r="BS561" s="425"/>
      <c r="BT561" s="63"/>
      <c r="BU561" s="63"/>
      <c r="BV561" s="63"/>
      <c r="BW561" s="63">
        <f t="shared" si="425"/>
        <v>0</v>
      </c>
      <c r="BX561" s="413"/>
      <c r="BY561" s="63"/>
      <c r="BZ561" s="63"/>
      <c r="CA561" s="63"/>
      <c r="CB561" s="63">
        <f t="shared" si="426"/>
        <v>0</v>
      </c>
      <c r="CC561" s="413"/>
      <c r="CD561" s="413"/>
      <c r="CE561" s="413"/>
      <c r="CF561" s="413"/>
      <c r="CG561" s="99"/>
    </row>
    <row r="562" spans="1:85" ht="14.45" hidden="1" customHeight="1" x14ac:dyDescent="0.25">
      <c r="A562" s="125" t="s">
        <v>592</v>
      </c>
      <c r="B562" s="180"/>
      <c r="C562" s="410">
        <v>2.3029999999999999</v>
      </c>
      <c r="D562" s="410">
        <v>2.33</v>
      </c>
      <c r="E562" s="410">
        <v>2.33</v>
      </c>
      <c r="F562" s="410">
        <v>2.242</v>
      </c>
      <c r="G562" s="98">
        <v>0.48699999999999999</v>
      </c>
      <c r="H562" s="98">
        <v>0.97099999999999997</v>
      </c>
      <c r="I562" s="98">
        <v>1.4530000000000001</v>
      </c>
      <c r="J562" s="99">
        <f t="shared" si="431"/>
        <v>1.9330000000000001</v>
      </c>
      <c r="K562" s="410">
        <v>1.9330000000000001</v>
      </c>
      <c r="L562" s="98">
        <v>0.47799999999999998</v>
      </c>
      <c r="M562" s="98">
        <v>0.95799999999999996</v>
      </c>
      <c r="N562" s="98">
        <v>1.4379999999999999</v>
      </c>
      <c r="O562" s="99">
        <f t="shared" si="432"/>
        <v>1.9379999999999999</v>
      </c>
      <c r="P562" s="410">
        <v>1.9379999999999999</v>
      </c>
      <c r="Q562" s="98">
        <v>0.504</v>
      </c>
      <c r="R562" s="98">
        <v>0.996</v>
      </c>
      <c r="S562" s="98">
        <v>1.4910000000000001</v>
      </c>
      <c r="T562" s="99">
        <f t="shared" si="433"/>
        <v>2.0110000000000001</v>
      </c>
      <c r="U562" s="410">
        <v>2.0110000000000001</v>
      </c>
      <c r="V562" s="98">
        <v>0.57499999999999996</v>
      </c>
      <c r="W562" s="98">
        <v>1.1659999999999999</v>
      </c>
      <c r="X562" s="98">
        <v>1.51</v>
      </c>
      <c r="Y562" s="63">
        <f t="shared" si="434"/>
        <v>1.855</v>
      </c>
      <c r="Z562" s="410">
        <v>1.855</v>
      </c>
      <c r="AA562" s="98">
        <v>0.26800000000000002</v>
      </c>
      <c r="AB562" s="98">
        <v>0.53700000000000003</v>
      </c>
      <c r="AC562" s="98">
        <v>0.80600000000000005</v>
      </c>
      <c r="AD562" s="63">
        <f t="shared" si="427"/>
        <v>1.0820000000000001</v>
      </c>
      <c r="AE562" s="410">
        <v>1.0820000000000001</v>
      </c>
      <c r="AF562" s="98">
        <v>0.27600000000000002</v>
      </c>
      <c r="AG562" s="98">
        <v>0.73</v>
      </c>
      <c r="AH562" s="98">
        <v>1.103</v>
      </c>
      <c r="AI562" s="63">
        <f t="shared" si="428"/>
        <v>1.4770000000000001</v>
      </c>
      <c r="AJ562" s="410">
        <v>1.4770000000000001</v>
      </c>
      <c r="AK562" s="98">
        <v>0.38500000000000001</v>
      </c>
      <c r="AL562" s="98">
        <v>0.752</v>
      </c>
      <c r="AM562" s="98">
        <v>1.032</v>
      </c>
      <c r="AN562" s="63">
        <f t="shared" si="429"/>
        <v>1.3129999999999999</v>
      </c>
      <c r="AO562" s="410">
        <v>1.3129999999999999</v>
      </c>
      <c r="AP562" s="98">
        <v>0.22</v>
      </c>
      <c r="AQ562" s="98">
        <v>0.49399999999999999</v>
      </c>
      <c r="AR562" s="98">
        <v>0.77800000000000002</v>
      </c>
      <c r="AS562" s="63">
        <f t="shared" si="430"/>
        <v>1.05</v>
      </c>
      <c r="AT562" s="410">
        <v>1.05</v>
      </c>
      <c r="AU562" s="98">
        <v>0.27700000000000002</v>
      </c>
      <c r="AV562" s="98">
        <v>0.54900000000000004</v>
      </c>
      <c r="AW562" s="98">
        <v>0.79</v>
      </c>
      <c r="AX562" s="63">
        <f t="shared" si="423"/>
        <v>1.256</v>
      </c>
      <c r="AY562" s="410">
        <v>1.256</v>
      </c>
      <c r="AZ562" s="98">
        <v>0.249</v>
      </c>
      <c r="BA562" s="98">
        <v>0.504</v>
      </c>
      <c r="BB562" s="98">
        <v>0.76800000000000002</v>
      </c>
      <c r="BC562" s="63">
        <f t="shared" si="424"/>
        <v>1.012</v>
      </c>
      <c r="BD562" s="410">
        <v>1.012</v>
      </c>
      <c r="BE562" s="98">
        <v>0.246</v>
      </c>
      <c r="BF562" s="98">
        <v>0.49399999999999999</v>
      </c>
      <c r="BG562" s="98">
        <v>0.74199999999999999</v>
      </c>
      <c r="BH562" s="63">
        <f t="shared" si="420"/>
        <v>0.99099999999999999</v>
      </c>
      <c r="BI562" s="410">
        <v>0.99099999999999999</v>
      </c>
      <c r="BJ562" s="98">
        <v>0.251</v>
      </c>
      <c r="BK562" s="98">
        <v>0.68899999999999995</v>
      </c>
      <c r="BL562" s="98">
        <v>1.496</v>
      </c>
      <c r="BM562" s="63">
        <f t="shared" si="421"/>
        <v>2.31</v>
      </c>
      <c r="BN562" s="410">
        <v>2.31</v>
      </c>
      <c r="BO562" s="98">
        <v>0.83499999999999996</v>
      </c>
      <c r="BP562" s="98">
        <v>1.663</v>
      </c>
      <c r="BQ562" s="98">
        <v>2.4849999999999999</v>
      </c>
      <c r="BR562" s="63">
        <f t="shared" si="422"/>
        <v>3.3460000000000001</v>
      </c>
      <c r="BS562" s="419">
        <v>3.3460000000000001</v>
      </c>
      <c r="BT562" s="63"/>
      <c r="BU562" s="63"/>
      <c r="BV562" s="63"/>
      <c r="BW562" s="63">
        <f t="shared" si="425"/>
        <v>0</v>
      </c>
      <c r="BX562" s="413"/>
      <c r="BY562" s="63"/>
      <c r="BZ562" s="63"/>
      <c r="CA562" s="63"/>
      <c r="CB562" s="63">
        <f t="shared" si="426"/>
        <v>0</v>
      </c>
      <c r="CC562" s="413"/>
      <c r="CD562" s="413"/>
      <c r="CE562" s="413"/>
      <c r="CF562" s="413"/>
      <c r="CG562" s="99"/>
    </row>
    <row r="563" spans="1:85" ht="14.45" hidden="1" customHeight="1" x14ac:dyDescent="0.25">
      <c r="A563" s="125" t="s">
        <v>593</v>
      </c>
      <c r="B563" s="180"/>
      <c r="C563" s="410">
        <v>2.161</v>
      </c>
      <c r="D563" s="410">
        <v>2.2229999999999999</v>
      </c>
      <c r="E563" s="410">
        <v>2.3420000000000001</v>
      </c>
      <c r="F563" s="410">
        <v>2.6230000000000002</v>
      </c>
      <c r="G563" s="98">
        <v>0.60299999999999998</v>
      </c>
      <c r="H563" s="98">
        <v>1.2230000000000001</v>
      </c>
      <c r="I563" s="98">
        <v>1.901</v>
      </c>
      <c r="J563" s="99">
        <f t="shared" si="431"/>
        <v>2.919</v>
      </c>
      <c r="K563" s="410">
        <v>2.919</v>
      </c>
      <c r="L563" s="98">
        <v>0.85299999999999998</v>
      </c>
      <c r="M563" s="98">
        <v>1.4910000000000001</v>
      </c>
      <c r="N563" s="98">
        <v>2.2719999999999998</v>
      </c>
      <c r="O563" s="99">
        <f t="shared" si="432"/>
        <v>3.5419999999999998</v>
      </c>
      <c r="P563" s="410">
        <v>3.5419999999999998</v>
      </c>
      <c r="Q563" s="98">
        <v>1.1160000000000001</v>
      </c>
      <c r="R563" s="98">
        <v>2.98</v>
      </c>
      <c r="S563" s="98">
        <v>5.6740000000000004</v>
      </c>
      <c r="T563" s="99">
        <f t="shared" si="433"/>
        <v>7.3</v>
      </c>
      <c r="U563" s="410">
        <v>7.3</v>
      </c>
      <c r="V563" s="98">
        <v>1.627</v>
      </c>
      <c r="W563" s="98">
        <v>2.8959999999999999</v>
      </c>
      <c r="X563" s="98">
        <v>4.4450000000000003</v>
      </c>
      <c r="Y563" s="63">
        <f t="shared" si="434"/>
        <v>7.1539999999999999</v>
      </c>
      <c r="Z563" s="410">
        <v>7.1539999999999999</v>
      </c>
      <c r="AA563" s="98">
        <v>2.06</v>
      </c>
      <c r="AB563" s="98">
        <v>4.577</v>
      </c>
      <c r="AC563" s="98">
        <v>6.4729999999999999</v>
      </c>
      <c r="AD563" s="63">
        <f t="shared" si="427"/>
        <v>7.9219999999999997</v>
      </c>
      <c r="AE563" s="410">
        <v>7.9219999999999997</v>
      </c>
      <c r="AF563" s="98">
        <v>0.752</v>
      </c>
      <c r="AG563" s="98">
        <v>1.728</v>
      </c>
      <c r="AH563" s="98">
        <v>4.4939999999999998</v>
      </c>
      <c r="AI563" s="63">
        <f t="shared" si="428"/>
        <v>5.6059999999999999</v>
      </c>
      <c r="AJ563" s="410">
        <v>5.6059999999999999</v>
      </c>
      <c r="AK563" s="98">
        <v>2.0449999999999999</v>
      </c>
      <c r="AL563" s="98">
        <v>2.0449999999999999</v>
      </c>
      <c r="AM563" s="98">
        <v>2.0449999999999999</v>
      </c>
      <c r="AN563" s="63">
        <f t="shared" si="429"/>
        <v>2.0449999999999999</v>
      </c>
      <c r="AO563" s="410">
        <v>2.0449999999999999</v>
      </c>
      <c r="AP563" s="63"/>
      <c r="AQ563" s="63"/>
      <c r="AR563" s="63"/>
      <c r="AS563" s="63">
        <f t="shared" si="430"/>
        <v>0</v>
      </c>
      <c r="AT563" s="413"/>
      <c r="AU563" s="63"/>
      <c r="AV563" s="63"/>
      <c r="AW563" s="63"/>
      <c r="AX563" s="63">
        <f t="shared" si="423"/>
        <v>0</v>
      </c>
      <c r="AY563" s="413"/>
      <c r="AZ563" s="63"/>
      <c r="BA563" s="63"/>
      <c r="BB563" s="63"/>
      <c r="BC563" s="63">
        <f t="shared" si="424"/>
        <v>0</v>
      </c>
      <c r="BD563" s="413"/>
      <c r="BE563" s="63"/>
      <c r="BF563" s="63"/>
      <c r="BG563" s="63"/>
      <c r="BH563" s="63">
        <f t="shared" si="420"/>
        <v>0</v>
      </c>
      <c r="BI563" s="413"/>
      <c r="BJ563" s="63"/>
      <c r="BK563" s="63"/>
      <c r="BL563" s="63"/>
      <c r="BM563" s="63">
        <f t="shared" si="421"/>
        <v>0</v>
      </c>
      <c r="BN563" s="413"/>
      <c r="BO563" s="63"/>
      <c r="BP563" s="63"/>
      <c r="BQ563" s="63"/>
      <c r="BR563" s="63">
        <f t="shared" si="422"/>
        <v>0</v>
      </c>
      <c r="BS563" s="425"/>
      <c r="BT563" s="63"/>
      <c r="BU563" s="63"/>
      <c r="BV563" s="63"/>
      <c r="BW563" s="63">
        <f t="shared" si="425"/>
        <v>0</v>
      </c>
      <c r="BX563" s="413"/>
      <c r="BY563" s="63"/>
      <c r="BZ563" s="63"/>
      <c r="CA563" s="63"/>
      <c r="CB563" s="63">
        <f t="shared" si="426"/>
        <v>0</v>
      </c>
      <c r="CC563" s="413"/>
      <c r="CD563" s="413"/>
      <c r="CE563" s="413"/>
      <c r="CF563" s="413"/>
      <c r="CG563" s="99"/>
    </row>
    <row r="564" spans="1:85" ht="14.45" hidden="1" customHeight="1" x14ac:dyDescent="0.25">
      <c r="A564" s="125" t="s">
        <v>594</v>
      </c>
      <c r="B564" s="180"/>
      <c r="C564" s="410">
        <v>-2.0710000000000002</v>
      </c>
      <c r="D564" s="410">
        <v>-1.2110000000000001</v>
      </c>
      <c r="E564" s="410">
        <v>-1.2210000000000001</v>
      </c>
      <c r="F564" s="410">
        <v>-1.145</v>
      </c>
      <c r="G564" s="98">
        <v>-0.13600000000000001</v>
      </c>
      <c r="H564" s="98">
        <v>-0.27300000000000002</v>
      </c>
      <c r="I564" s="98">
        <v>-0.41099999999999998</v>
      </c>
      <c r="J564" s="99">
        <f t="shared" si="431"/>
        <v>-0.54900000000000004</v>
      </c>
      <c r="K564" s="410">
        <v>-0.54900000000000004</v>
      </c>
      <c r="L564" s="98">
        <v>-0.13900000000000001</v>
      </c>
      <c r="M564" s="98">
        <v>-0.27900000000000003</v>
      </c>
      <c r="N564" s="98">
        <v>-0.42</v>
      </c>
      <c r="O564" s="99">
        <f t="shared" si="432"/>
        <v>-0.56100000000000005</v>
      </c>
      <c r="P564" s="410">
        <v>-0.56100000000000005</v>
      </c>
      <c r="Q564" s="63"/>
      <c r="R564" s="98">
        <v>-0.13300000000000001</v>
      </c>
      <c r="S564" s="98">
        <v>-0.125</v>
      </c>
      <c r="T564" s="99">
        <f t="shared" si="433"/>
        <v>-0.11600000000000001</v>
      </c>
      <c r="U564" s="410">
        <v>-0.11600000000000001</v>
      </c>
      <c r="V564" s="63"/>
      <c r="W564" s="63"/>
      <c r="X564" s="63"/>
      <c r="Y564" s="63">
        <f t="shared" si="434"/>
        <v>0</v>
      </c>
      <c r="Z564" s="413"/>
      <c r="AA564" s="63"/>
      <c r="AB564" s="63"/>
      <c r="AC564" s="63"/>
      <c r="AD564" s="63">
        <f t="shared" si="427"/>
        <v>0</v>
      </c>
      <c r="AE564" s="413"/>
      <c r="AF564" s="63"/>
      <c r="AG564" s="63"/>
      <c r="AH564" s="63"/>
      <c r="AI564" s="63">
        <f t="shared" si="428"/>
        <v>0</v>
      </c>
      <c r="AJ564" s="413"/>
      <c r="AK564" s="63"/>
      <c r="AL564" s="63"/>
      <c r="AM564" s="63"/>
      <c r="AN564" s="63">
        <f t="shared" si="429"/>
        <v>0</v>
      </c>
      <c r="AO564" s="413"/>
      <c r="AP564" s="63"/>
      <c r="AQ564" s="63"/>
      <c r="AR564" s="63"/>
      <c r="AS564" s="63">
        <f t="shared" si="430"/>
        <v>0</v>
      </c>
      <c r="AT564" s="413"/>
      <c r="AU564" s="63"/>
      <c r="AV564" s="63"/>
      <c r="AW564" s="63"/>
      <c r="AX564" s="63">
        <f t="shared" si="423"/>
        <v>0</v>
      </c>
      <c r="AY564" s="413"/>
      <c r="AZ564" s="63"/>
      <c r="BA564" s="63"/>
      <c r="BB564" s="63"/>
      <c r="BC564" s="63">
        <f t="shared" si="424"/>
        <v>0</v>
      </c>
      <c r="BD564" s="413"/>
      <c r="BE564" s="63"/>
      <c r="BF564" s="63"/>
      <c r="BG564" s="63"/>
      <c r="BH564" s="63">
        <f t="shared" si="420"/>
        <v>0</v>
      </c>
      <c r="BI564" s="413"/>
      <c r="BJ564" s="63"/>
      <c r="BK564" s="63"/>
      <c r="BL564" s="63"/>
      <c r="BM564" s="63">
        <f t="shared" si="421"/>
        <v>0</v>
      </c>
      <c r="BN564" s="413"/>
      <c r="BO564" s="63"/>
      <c r="BP564" s="63"/>
      <c r="BQ564" s="63"/>
      <c r="BR564" s="63">
        <f t="shared" si="422"/>
        <v>0</v>
      </c>
      <c r="BS564" s="425"/>
      <c r="BT564" s="63"/>
      <c r="BU564" s="63"/>
      <c r="BV564" s="63"/>
      <c r="BW564" s="63">
        <f t="shared" si="425"/>
        <v>0</v>
      </c>
      <c r="BX564" s="413"/>
      <c r="BY564" s="63"/>
      <c r="BZ564" s="63"/>
      <c r="CA564" s="63"/>
      <c r="CB564" s="63">
        <f t="shared" si="426"/>
        <v>0</v>
      </c>
      <c r="CC564" s="413"/>
      <c r="CD564" s="413"/>
      <c r="CE564" s="413"/>
      <c r="CF564" s="413"/>
      <c r="CG564" s="99"/>
    </row>
    <row r="565" spans="1:85" ht="14.45" hidden="1" customHeight="1" x14ac:dyDescent="0.25">
      <c r="A565" s="125" t="s">
        <v>595</v>
      </c>
      <c r="B565" s="180"/>
      <c r="C565" s="413"/>
      <c r="D565" s="410">
        <v>5.6820000000000004</v>
      </c>
      <c r="E565" s="413"/>
      <c r="F565" s="413"/>
      <c r="G565" s="63"/>
      <c r="H565" s="63"/>
      <c r="I565" s="63"/>
      <c r="J565" s="99">
        <f t="shared" si="431"/>
        <v>0</v>
      </c>
      <c r="K565" s="413"/>
      <c r="L565" s="63"/>
      <c r="M565" s="63"/>
      <c r="N565" s="63"/>
      <c r="O565" s="99">
        <f t="shared" si="432"/>
        <v>0</v>
      </c>
      <c r="P565" s="413"/>
      <c r="Q565" s="63"/>
      <c r="R565" s="63"/>
      <c r="S565" s="63"/>
      <c r="T565" s="99">
        <f t="shared" si="433"/>
        <v>0</v>
      </c>
      <c r="U565" s="413"/>
      <c r="V565" s="63"/>
      <c r="W565" s="63"/>
      <c r="X565" s="63"/>
      <c r="Y565" s="63">
        <f t="shared" si="434"/>
        <v>0</v>
      </c>
      <c r="Z565" s="413"/>
      <c r="AA565" s="63"/>
      <c r="AB565" s="63"/>
      <c r="AC565" s="63"/>
      <c r="AD565" s="63">
        <f t="shared" si="427"/>
        <v>0</v>
      </c>
      <c r="AE565" s="413"/>
      <c r="AF565" s="63"/>
      <c r="AG565" s="63"/>
      <c r="AH565" s="63"/>
      <c r="AI565" s="63">
        <f t="shared" si="428"/>
        <v>0</v>
      </c>
      <c r="AJ565" s="413"/>
      <c r="AK565" s="63"/>
      <c r="AL565" s="63"/>
      <c r="AM565" s="63"/>
      <c r="AN565" s="63">
        <f t="shared" si="429"/>
        <v>0</v>
      </c>
      <c r="AO565" s="413"/>
      <c r="AP565" s="63"/>
      <c r="AQ565" s="63"/>
      <c r="AR565" s="63"/>
      <c r="AS565" s="63">
        <f t="shared" si="430"/>
        <v>0</v>
      </c>
      <c r="AT565" s="413"/>
      <c r="AU565" s="63"/>
      <c r="AV565" s="63"/>
      <c r="AW565" s="63"/>
      <c r="AX565" s="63">
        <f t="shared" si="423"/>
        <v>0</v>
      </c>
      <c r="AY565" s="413"/>
      <c r="AZ565" s="63"/>
      <c r="BA565" s="63"/>
      <c r="BB565" s="63"/>
      <c r="BC565" s="63">
        <f t="shared" si="424"/>
        <v>0</v>
      </c>
      <c r="BD565" s="413"/>
      <c r="BE565" s="63"/>
      <c r="BF565" s="63"/>
      <c r="BG565" s="63"/>
      <c r="BH565" s="63">
        <f t="shared" si="420"/>
        <v>0</v>
      </c>
      <c r="BI565" s="413"/>
      <c r="BJ565" s="63"/>
      <c r="BK565" s="63"/>
      <c r="BL565" s="63"/>
      <c r="BM565" s="63">
        <f t="shared" si="421"/>
        <v>0</v>
      </c>
      <c r="BN565" s="413"/>
      <c r="BO565" s="63"/>
      <c r="BP565" s="63"/>
      <c r="BQ565" s="63"/>
      <c r="BR565" s="63">
        <f t="shared" si="422"/>
        <v>0</v>
      </c>
      <c r="BS565" s="425"/>
      <c r="BT565" s="63"/>
      <c r="BU565" s="63"/>
      <c r="BV565" s="63"/>
      <c r="BW565" s="63">
        <f t="shared" si="425"/>
        <v>0</v>
      </c>
      <c r="BX565" s="413"/>
      <c r="BY565" s="63"/>
      <c r="BZ565" s="63"/>
      <c r="CA565" s="63"/>
      <c r="CB565" s="63">
        <f t="shared" si="426"/>
        <v>0</v>
      </c>
      <c r="CC565" s="413"/>
      <c r="CD565" s="413"/>
      <c r="CE565" s="413"/>
      <c r="CF565" s="413"/>
      <c r="CG565" s="99"/>
    </row>
    <row r="566" spans="1:85" ht="14.45" hidden="1" customHeight="1" x14ac:dyDescent="0.25">
      <c r="A566" s="125" t="s">
        <v>596</v>
      </c>
      <c r="B566" s="180"/>
      <c r="C566" s="413"/>
      <c r="D566" s="413"/>
      <c r="E566" s="410">
        <v>0</v>
      </c>
      <c r="F566" s="410">
        <v>0</v>
      </c>
      <c r="G566" s="63"/>
      <c r="H566" s="63"/>
      <c r="I566" s="63"/>
      <c r="J566" s="99">
        <f t="shared" si="431"/>
        <v>12.013999999999999</v>
      </c>
      <c r="K566" s="410">
        <v>12.013999999999999</v>
      </c>
      <c r="L566" s="63"/>
      <c r="M566" s="63"/>
      <c r="N566" s="63"/>
      <c r="O566" s="99">
        <f t="shared" si="432"/>
        <v>0</v>
      </c>
      <c r="P566" s="410">
        <v>0</v>
      </c>
      <c r="Q566" s="63"/>
      <c r="R566" s="63"/>
      <c r="S566" s="63"/>
      <c r="T566" s="99">
        <f t="shared" si="433"/>
        <v>0</v>
      </c>
      <c r="U566" s="410">
        <v>0</v>
      </c>
      <c r="V566" s="63"/>
      <c r="W566" s="63"/>
      <c r="X566" s="63"/>
      <c r="Y566" s="63">
        <f t="shared" si="434"/>
        <v>0</v>
      </c>
      <c r="Z566" s="413"/>
      <c r="AA566" s="63"/>
      <c r="AB566" s="63"/>
      <c r="AC566" s="63"/>
      <c r="AD566" s="63">
        <f t="shared" si="427"/>
        <v>0</v>
      </c>
      <c r="AE566" s="413"/>
      <c r="AF566" s="63"/>
      <c r="AG566" s="63"/>
      <c r="AH566" s="63"/>
      <c r="AI566" s="63">
        <f t="shared" si="428"/>
        <v>0</v>
      </c>
      <c r="AJ566" s="413"/>
      <c r="AK566" s="63"/>
      <c r="AL566" s="63"/>
      <c r="AM566" s="63"/>
      <c r="AN566" s="63">
        <f t="shared" si="429"/>
        <v>0</v>
      </c>
      <c r="AO566" s="413"/>
      <c r="AP566" s="63"/>
      <c r="AQ566" s="63"/>
      <c r="AR566" s="63"/>
      <c r="AS566" s="63">
        <f t="shared" si="430"/>
        <v>0</v>
      </c>
      <c r="AT566" s="413"/>
      <c r="AU566" s="63"/>
      <c r="AV566" s="63"/>
      <c r="AW566" s="63"/>
      <c r="AX566" s="63">
        <f t="shared" si="423"/>
        <v>0</v>
      </c>
      <c r="AY566" s="413"/>
      <c r="AZ566" s="63"/>
      <c r="BA566" s="63"/>
      <c r="BB566" s="63"/>
      <c r="BC566" s="63">
        <f t="shared" si="424"/>
        <v>0</v>
      </c>
      <c r="BD566" s="413"/>
      <c r="BE566" s="63"/>
      <c r="BF566" s="63"/>
      <c r="BG566" s="63"/>
      <c r="BH566" s="63">
        <f t="shared" si="420"/>
        <v>0</v>
      </c>
      <c r="BI566" s="413"/>
      <c r="BJ566" s="63"/>
      <c r="BK566" s="63"/>
      <c r="BL566" s="63"/>
      <c r="BM566" s="63">
        <f t="shared" si="421"/>
        <v>0</v>
      </c>
      <c r="BN566" s="413"/>
      <c r="BO566" s="63"/>
      <c r="BP566" s="63"/>
      <c r="BQ566" s="63"/>
      <c r="BR566" s="63">
        <f t="shared" si="422"/>
        <v>0</v>
      </c>
      <c r="BS566" s="425"/>
      <c r="BT566" s="63"/>
      <c r="BU566" s="63"/>
      <c r="BV566" s="63"/>
      <c r="BW566" s="63">
        <f t="shared" si="425"/>
        <v>0</v>
      </c>
      <c r="BX566" s="413"/>
      <c r="BY566" s="63"/>
      <c r="BZ566" s="63"/>
      <c r="CA566" s="63"/>
      <c r="CB566" s="63">
        <f t="shared" si="426"/>
        <v>0</v>
      </c>
      <c r="CC566" s="413"/>
      <c r="CD566" s="413"/>
      <c r="CE566" s="413"/>
      <c r="CF566" s="413"/>
      <c r="CG566" s="99"/>
    </row>
    <row r="567" spans="1:85" ht="14.45" hidden="1" customHeight="1" x14ac:dyDescent="0.25">
      <c r="A567" s="125" t="s">
        <v>597</v>
      </c>
      <c r="B567" s="180"/>
      <c r="C567" s="413"/>
      <c r="D567" s="413"/>
      <c r="E567" s="413"/>
      <c r="F567" s="413"/>
      <c r="G567" s="63"/>
      <c r="H567" s="63"/>
      <c r="I567" s="63"/>
      <c r="J567" s="63"/>
      <c r="K567" s="413"/>
      <c r="L567" s="63"/>
      <c r="M567" s="63"/>
      <c r="N567" s="63"/>
      <c r="O567" s="63"/>
      <c r="P567" s="413"/>
      <c r="Q567" s="63"/>
      <c r="R567" s="63"/>
      <c r="S567" s="63"/>
      <c r="T567" s="63"/>
      <c r="U567" s="413"/>
      <c r="V567" s="63"/>
      <c r="W567" s="63"/>
      <c r="X567" s="63"/>
      <c r="Y567" s="63"/>
      <c r="Z567" s="413"/>
      <c r="AA567" s="63"/>
      <c r="AB567" s="63"/>
      <c r="AC567" s="63"/>
      <c r="AD567" s="63">
        <f t="shared" si="427"/>
        <v>-6.9960000000000004</v>
      </c>
      <c r="AE567" s="410">
        <v>-6.9960000000000004</v>
      </c>
      <c r="AF567" s="63"/>
      <c r="AG567" s="63"/>
      <c r="AH567" s="63"/>
      <c r="AI567" s="63">
        <f t="shared" si="428"/>
        <v>0</v>
      </c>
      <c r="AJ567" s="413"/>
      <c r="AK567" s="63"/>
      <c r="AL567" s="63"/>
      <c r="AM567" s="63"/>
      <c r="AN567" s="63">
        <f t="shared" si="429"/>
        <v>0</v>
      </c>
      <c r="AO567" s="413"/>
      <c r="AP567" s="63"/>
      <c r="AQ567" s="63"/>
      <c r="AR567" s="63"/>
      <c r="AS567" s="63">
        <f t="shared" si="430"/>
        <v>0</v>
      </c>
      <c r="AT567" s="413"/>
      <c r="AU567" s="63"/>
      <c r="AV567" s="63"/>
      <c r="AW567" s="63"/>
      <c r="AX567" s="63">
        <f t="shared" si="423"/>
        <v>0</v>
      </c>
      <c r="AY567" s="413"/>
      <c r="AZ567" s="63"/>
      <c r="BA567" s="63"/>
      <c r="BB567" s="63"/>
      <c r="BC567" s="63">
        <f t="shared" si="424"/>
        <v>0</v>
      </c>
      <c r="BD567" s="413"/>
      <c r="BE567" s="63"/>
      <c r="BF567" s="63"/>
      <c r="BG567" s="63"/>
      <c r="BH567" s="63">
        <f t="shared" si="420"/>
        <v>0</v>
      </c>
      <c r="BI567" s="413"/>
      <c r="BJ567" s="63"/>
      <c r="BK567" s="63"/>
      <c r="BL567" s="63"/>
      <c r="BM567" s="63">
        <f t="shared" si="421"/>
        <v>0</v>
      </c>
      <c r="BN567" s="413"/>
      <c r="BO567" s="63"/>
      <c r="BP567" s="63"/>
      <c r="BQ567" s="63"/>
      <c r="BR567" s="63">
        <f t="shared" si="422"/>
        <v>0</v>
      </c>
      <c r="BS567" s="425"/>
      <c r="BT567" s="63"/>
      <c r="BU567" s="63"/>
      <c r="BV567" s="63"/>
      <c r="BW567" s="63">
        <f t="shared" si="425"/>
        <v>0</v>
      </c>
      <c r="BX567" s="413"/>
      <c r="BY567" s="63"/>
      <c r="BZ567" s="63"/>
      <c r="CA567" s="63"/>
      <c r="CB567" s="63">
        <f t="shared" si="426"/>
        <v>0</v>
      </c>
      <c r="CC567" s="413"/>
      <c r="CD567" s="413"/>
      <c r="CE567" s="413"/>
      <c r="CF567" s="413"/>
      <c r="CG567" s="99"/>
    </row>
    <row r="568" spans="1:85" ht="14.45" hidden="1" customHeight="1" x14ac:dyDescent="0.25">
      <c r="A568" s="125" t="s">
        <v>435</v>
      </c>
      <c r="B568" s="180"/>
      <c r="C568" s="413"/>
      <c r="D568" s="413"/>
      <c r="E568" s="413"/>
      <c r="F568" s="413"/>
      <c r="G568" s="63"/>
      <c r="H568" s="63"/>
      <c r="I568" s="63"/>
      <c r="J568" s="63"/>
      <c r="K568" s="413"/>
      <c r="L568" s="63"/>
      <c r="M568" s="63"/>
      <c r="N568" s="63"/>
      <c r="O568" s="63"/>
      <c r="P568" s="413"/>
      <c r="Q568" s="63"/>
      <c r="R568" s="63"/>
      <c r="S568" s="63"/>
      <c r="T568" s="63"/>
      <c r="U568" s="413"/>
      <c r="V568" s="63"/>
      <c r="W568" s="63"/>
      <c r="X568" s="63"/>
      <c r="Y568" s="63"/>
      <c r="Z568" s="413"/>
      <c r="AA568" s="63"/>
      <c r="AB568" s="63"/>
      <c r="AC568" s="63"/>
      <c r="AD568" s="63">
        <f t="shared" si="427"/>
        <v>-6.0119999999999996</v>
      </c>
      <c r="AE568" s="410">
        <v>-6.0119999999999996</v>
      </c>
      <c r="AF568" s="63"/>
      <c r="AG568" s="63"/>
      <c r="AH568" s="63"/>
      <c r="AI568" s="63">
        <f t="shared" si="428"/>
        <v>0</v>
      </c>
      <c r="AJ568" s="413"/>
      <c r="AK568" s="63"/>
      <c r="AL568" s="63"/>
      <c r="AM568" s="63"/>
      <c r="AN568" s="63">
        <f t="shared" si="429"/>
        <v>0</v>
      </c>
      <c r="AO568" s="413"/>
      <c r="AP568" s="63"/>
      <c r="AQ568" s="63"/>
      <c r="AR568" s="63"/>
      <c r="AS568" s="63">
        <f t="shared" si="430"/>
        <v>0</v>
      </c>
      <c r="AT568" s="413"/>
      <c r="AU568" s="63"/>
      <c r="AV568" s="63"/>
      <c r="AW568" s="63"/>
      <c r="AX568" s="63">
        <f t="shared" si="423"/>
        <v>0</v>
      </c>
      <c r="AY568" s="413"/>
      <c r="AZ568" s="63"/>
      <c r="BA568" s="63"/>
      <c r="BB568" s="63"/>
      <c r="BC568" s="63">
        <f t="shared" si="424"/>
        <v>0</v>
      </c>
      <c r="BD568" s="413"/>
      <c r="BE568" s="63"/>
      <c r="BF568" s="63"/>
      <c r="BG568" s="63"/>
      <c r="BH568" s="63">
        <f t="shared" si="420"/>
        <v>0</v>
      </c>
      <c r="BI568" s="413"/>
      <c r="BJ568" s="63"/>
      <c r="BK568" s="63"/>
      <c r="BL568" s="63"/>
      <c r="BM568" s="63">
        <f t="shared" si="421"/>
        <v>0</v>
      </c>
      <c r="BN568" s="413"/>
      <c r="BO568" s="63"/>
      <c r="BP568" s="63"/>
      <c r="BQ568" s="63"/>
      <c r="BR568" s="63">
        <f t="shared" si="422"/>
        <v>0</v>
      </c>
      <c r="BS568" s="425"/>
      <c r="BT568" s="63"/>
      <c r="BU568" s="63"/>
      <c r="BV568" s="63"/>
      <c r="BW568" s="63">
        <f t="shared" si="425"/>
        <v>0</v>
      </c>
      <c r="BX568" s="413"/>
      <c r="BY568" s="63"/>
      <c r="BZ568" s="63"/>
      <c r="CA568" s="63"/>
      <c r="CB568" s="63">
        <f t="shared" si="426"/>
        <v>0</v>
      </c>
      <c r="CC568" s="413"/>
      <c r="CD568" s="413"/>
      <c r="CE568" s="413"/>
      <c r="CF568" s="413"/>
      <c r="CG568" s="99"/>
    </row>
    <row r="569" spans="1:85" ht="14.45" hidden="1" customHeight="1" x14ac:dyDescent="0.25">
      <c r="A569" s="125" t="s">
        <v>438</v>
      </c>
      <c r="B569" s="180"/>
      <c r="C569" s="413"/>
      <c r="D569" s="413"/>
      <c r="E569" s="413"/>
      <c r="F569" s="410">
        <v>0</v>
      </c>
      <c r="G569" s="63"/>
      <c r="H569" s="63"/>
      <c r="I569" s="63"/>
      <c r="J569" s="99">
        <f>K569</f>
        <v>0</v>
      </c>
      <c r="K569" s="410">
        <v>0</v>
      </c>
      <c r="L569" s="98">
        <v>0</v>
      </c>
      <c r="M569" s="98">
        <v>0</v>
      </c>
      <c r="N569" s="98">
        <v>0</v>
      </c>
      <c r="O569" s="99">
        <f>P569</f>
        <v>1.077</v>
      </c>
      <c r="P569" s="410">
        <v>1.077</v>
      </c>
      <c r="Q569" s="98">
        <v>5.0890000000000004</v>
      </c>
      <c r="R569" s="98">
        <v>-0.98899999999999999</v>
      </c>
      <c r="S569" s="98">
        <v>3.0030000000000001</v>
      </c>
      <c r="T569" s="99">
        <f>U569</f>
        <v>3.5760000000000001</v>
      </c>
      <c r="U569" s="410">
        <v>3.5760000000000001</v>
      </c>
      <c r="V569" s="98">
        <v>17.151</v>
      </c>
      <c r="W569" s="98">
        <v>33.424999999999997</v>
      </c>
      <c r="X569" s="98">
        <v>26.06</v>
      </c>
      <c r="Y569" s="63">
        <f>Z569</f>
        <v>-1.91</v>
      </c>
      <c r="Z569" s="410">
        <v>-1.91</v>
      </c>
      <c r="AA569" s="98">
        <v>12.246</v>
      </c>
      <c r="AB569" s="98">
        <v>28.364999999999998</v>
      </c>
      <c r="AC569" s="98">
        <v>23.14</v>
      </c>
      <c r="AD569" s="63">
        <f t="shared" si="427"/>
        <v>3.226</v>
      </c>
      <c r="AE569" s="410">
        <v>3.226</v>
      </c>
      <c r="AF569" s="98">
        <v>-5.1859999999999999</v>
      </c>
      <c r="AG569" s="98">
        <v>3.9569999999999999</v>
      </c>
      <c r="AH569" s="98">
        <v>1.5840000000000001</v>
      </c>
      <c r="AI569" s="63">
        <f t="shared" si="428"/>
        <v>28.766999999999999</v>
      </c>
      <c r="AJ569" s="410">
        <v>28.766999999999999</v>
      </c>
      <c r="AK569" s="98">
        <v>14.045999999999999</v>
      </c>
      <c r="AL569" s="98">
        <v>43.268000000000001</v>
      </c>
      <c r="AM569" s="98">
        <v>62.017000000000003</v>
      </c>
      <c r="AN569" s="63">
        <f t="shared" si="429"/>
        <v>92.787999999999997</v>
      </c>
      <c r="AO569" s="410">
        <v>92.787999999999997</v>
      </c>
      <c r="AP569" s="98">
        <v>0.71199999999999997</v>
      </c>
      <c r="AQ569" s="98">
        <v>15.26</v>
      </c>
      <c r="AR569" s="98">
        <v>35.067999999999998</v>
      </c>
      <c r="AS569" s="63">
        <f t="shared" si="430"/>
        <v>31.21</v>
      </c>
      <c r="AT569" s="410">
        <v>31.21</v>
      </c>
      <c r="AU569" s="98">
        <v>10.997999999999999</v>
      </c>
      <c r="AV569" s="98">
        <v>56.981000000000002</v>
      </c>
      <c r="AW569" s="98">
        <v>90.905000000000001</v>
      </c>
      <c r="AX569" s="63">
        <f t="shared" si="423"/>
        <v>146.30799999999999</v>
      </c>
      <c r="AY569" s="410">
        <v>146.30799999999999</v>
      </c>
      <c r="AZ569" s="98">
        <v>-5.4569999999999999</v>
      </c>
      <c r="BA569" s="98">
        <v>-1.4359999999999999</v>
      </c>
      <c r="BB569" s="98">
        <v>21.132000000000001</v>
      </c>
      <c r="BC569" s="63">
        <f t="shared" si="424"/>
        <v>32.301000000000002</v>
      </c>
      <c r="BD569" s="410">
        <v>32.301000000000002</v>
      </c>
      <c r="BE569" s="98">
        <v>41.654000000000003</v>
      </c>
      <c r="BF569" s="98">
        <v>67.174000000000007</v>
      </c>
      <c r="BG569" s="98">
        <v>86.037999999999997</v>
      </c>
      <c r="BH569" s="63">
        <f t="shared" si="420"/>
        <v>159.35400000000001</v>
      </c>
      <c r="BI569" s="410">
        <v>159.35400000000001</v>
      </c>
      <c r="BJ569" s="98">
        <v>-5.5410000000000004</v>
      </c>
      <c r="BK569" s="98">
        <v>22.285</v>
      </c>
      <c r="BL569" s="98">
        <v>90.876999999999995</v>
      </c>
      <c r="BM569" s="63">
        <f t="shared" si="421"/>
        <v>59.165999999999997</v>
      </c>
      <c r="BN569" s="410">
        <v>59.165999999999997</v>
      </c>
      <c r="BO569" s="98">
        <v>42.728000000000002</v>
      </c>
      <c r="BP569" s="98">
        <v>55.118000000000002</v>
      </c>
      <c r="BQ569" s="98">
        <v>104.468</v>
      </c>
      <c r="BR569" s="63">
        <f t="shared" si="422"/>
        <v>131.90100000000001</v>
      </c>
      <c r="BS569" s="419">
        <v>131.90100000000001</v>
      </c>
      <c r="BT569" s="63"/>
      <c r="BU569" s="63"/>
      <c r="BV569" s="63"/>
      <c r="BW569" s="63">
        <f t="shared" si="425"/>
        <v>0</v>
      </c>
      <c r="BX569" s="413"/>
      <c r="BY569" s="63"/>
      <c r="BZ569" s="63"/>
      <c r="CA569" s="63"/>
      <c r="CB569" s="63">
        <f t="shared" si="426"/>
        <v>0</v>
      </c>
      <c r="CC569" s="413"/>
      <c r="CD569" s="413"/>
      <c r="CE569" s="413"/>
      <c r="CF569" s="413"/>
      <c r="CG569" s="99"/>
    </row>
    <row r="570" spans="1:85" ht="14.45" hidden="1" customHeight="1" x14ac:dyDescent="0.25">
      <c r="A570" s="125" t="s">
        <v>65</v>
      </c>
      <c r="B570" s="180"/>
      <c r="C570" s="410">
        <v>-2E-3</v>
      </c>
      <c r="D570" s="410">
        <v>-1.4999999999999999E-2</v>
      </c>
      <c r="E570" s="410">
        <v>5.0000000000000001E-3</v>
      </c>
      <c r="F570" s="410">
        <v>-1E-3</v>
      </c>
      <c r="G570" s="98">
        <v>5.0000000000000001E-3</v>
      </c>
      <c r="H570" s="98">
        <v>1.4999999999999999E-2</v>
      </c>
      <c r="I570" s="98">
        <v>1.2E-2</v>
      </c>
      <c r="J570" s="99">
        <f>K570</f>
        <v>1.2999999999999999E-2</v>
      </c>
      <c r="K570" s="410">
        <v>1.2999999999999999E-2</v>
      </c>
      <c r="L570" s="98">
        <v>0</v>
      </c>
      <c r="M570" s="98">
        <v>-1E-3</v>
      </c>
      <c r="N570" s="98">
        <v>-6.0000000000000001E-3</v>
      </c>
      <c r="O570" s="99">
        <f>P570</f>
        <v>-8.9999999999999993E-3</v>
      </c>
      <c r="P570" s="410">
        <v>-8.9999999999999993E-3</v>
      </c>
      <c r="Q570" s="98">
        <v>-0.14899999999999999</v>
      </c>
      <c r="R570" s="98">
        <v>-8.9999999999999993E-3</v>
      </c>
      <c r="S570" s="98">
        <v>-0.01</v>
      </c>
      <c r="T570" s="99">
        <f>U570</f>
        <v>-8.0000000000000002E-3</v>
      </c>
      <c r="U570" s="410">
        <v>-8.0000000000000002E-3</v>
      </c>
      <c r="V570" s="98">
        <v>2.7E-2</v>
      </c>
      <c r="W570" s="98">
        <v>2.5999999999999999E-2</v>
      </c>
      <c r="X570" s="98">
        <v>3.6999999999999998E-2</v>
      </c>
      <c r="Y570" s="63">
        <f>Z570</f>
        <v>2.5000000000000001E-2</v>
      </c>
      <c r="Z570" s="410">
        <v>2.5000000000000001E-2</v>
      </c>
      <c r="AA570" s="98">
        <v>1.2999999999999999E-2</v>
      </c>
      <c r="AB570" s="98">
        <v>4.3999999999999997E-2</v>
      </c>
      <c r="AC570" s="98">
        <v>6.6000000000000003E-2</v>
      </c>
      <c r="AD570" s="63">
        <f t="shared" si="427"/>
        <v>7.8E-2</v>
      </c>
      <c r="AE570" s="410">
        <v>7.8E-2</v>
      </c>
      <c r="AF570" s="98">
        <v>1.2999999999999999E-2</v>
      </c>
      <c r="AG570" s="98">
        <v>1.0999999999999999E-2</v>
      </c>
      <c r="AH570" s="98">
        <v>1.7000000000000001E-2</v>
      </c>
      <c r="AI570" s="63">
        <f t="shared" si="428"/>
        <v>1.9E-2</v>
      </c>
      <c r="AJ570" s="410">
        <v>1.9E-2</v>
      </c>
      <c r="AK570" s="102">
        <v>0.437</v>
      </c>
      <c r="AL570" s="98">
        <v>0.46200000000000002</v>
      </c>
      <c r="AM570" s="98">
        <v>0.44800000000000001</v>
      </c>
      <c r="AN570" s="63">
        <f t="shared" si="429"/>
        <v>0.14799999999999999</v>
      </c>
      <c r="AO570" s="410">
        <v>0.14799999999999999</v>
      </c>
      <c r="AP570" s="158"/>
      <c r="AQ570" s="63"/>
      <c r="AR570" s="98">
        <v>1.048</v>
      </c>
      <c r="AS570" s="63">
        <f t="shared" si="430"/>
        <v>1.0649999999999999</v>
      </c>
      <c r="AT570" s="410">
        <v>1.0649999999999999</v>
      </c>
      <c r="AU570" s="102">
        <v>-3.6999999999999998E-2</v>
      </c>
      <c r="AV570" s="63"/>
      <c r="AW570" s="98">
        <v>-1.4999999999999999E-2</v>
      </c>
      <c r="AX570" s="63">
        <f t="shared" si="423"/>
        <v>-2.3E-2</v>
      </c>
      <c r="AY570" s="410">
        <v>-2.3E-2</v>
      </c>
      <c r="AZ570" s="158"/>
      <c r="BA570" s="63"/>
      <c r="BB570" s="63"/>
      <c r="BC570" s="63">
        <f t="shared" si="424"/>
        <v>0</v>
      </c>
      <c r="BD570" s="413"/>
      <c r="BE570" s="158"/>
      <c r="BF570" s="63"/>
      <c r="BG570" s="63"/>
      <c r="BH570" s="63">
        <f t="shared" si="420"/>
        <v>0</v>
      </c>
      <c r="BI570" s="413"/>
      <c r="BJ570" s="158"/>
      <c r="BK570" s="63"/>
      <c r="BL570" s="63"/>
      <c r="BM570" s="63">
        <f t="shared" si="421"/>
        <v>0</v>
      </c>
      <c r="BN570" s="413"/>
      <c r="BO570" s="158"/>
      <c r="BP570" s="63"/>
      <c r="BQ570" s="63"/>
      <c r="BR570" s="63">
        <f t="shared" si="422"/>
        <v>0</v>
      </c>
      <c r="BS570" s="425"/>
      <c r="BT570" s="63"/>
      <c r="BU570" s="63"/>
      <c r="BV570" s="63"/>
      <c r="BW570" s="63">
        <f t="shared" si="425"/>
        <v>0</v>
      </c>
      <c r="BX570" s="413"/>
      <c r="BY570" s="63"/>
      <c r="BZ570" s="63"/>
      <c r="CA570" s="63"/>
      <c r="CB570" s="63">
        <f t="shared" si="426"/>
        <v>0</v>
      </c>
      <c r="CC570" s="413"/>
      <c r="CD570" s="413"/>
      <c r="CE570" s="413"/>
      <c r="CF570" s="413"/>
      <c r="CG570" s="99"/>
    </row>
    <row r="571" spans="1:85" ht="14.45" hidden="1" customHeight="1" x14ac:dyDescent="0.25">
      <c r="A571" s="110" t="s">
        <v>598</v>
      </c>
      <c r="B571" s="212"/>
      <c r="C571" s="416">
        <f t="shared" ref="C571:AH571" si="435">SUM(C549:C570)</f>
        <v>113.20599999999999</v>
      </c>
      <c r="D571" s="416">
        <f t="shared" si="435"/>
        <v>106.774</v>
      </c>
      <c r="E571" s="416">
        <f t="shared" si="435"/>
        <v>106.032</v>
      </c>
      <c r="F571" s="416">
        <f t="shared" si="435"/>
        <v>104.80800000000001</v>
      </c>
      <c r="G571" s="106">
        <f t="shared" si="435"/>
        <v>20.423999999999999</v>
      </c>
      <c r="H571" s="106">
        <f t="shared" si="435"/>
        <v>48.608999999999995</v>
      </c>
      <c r="I571" s="106">
        <f t="shared" si="435"/>
        <v>81.108000000000004</v>
      </c>
      <c r="J571" s="106">
        <f t="shared" si="435"/>
        <v>97.132000000000005</v>
      </c>
      <c r="K571" s="416">
        <f t="shared" si="435"/>
        <v>97.132000000000005</v>
      </c>
      <c r="L571" s="106">
        <f t="shared" si="435"/>
        <v>18.905000000000005</v>
      </c>
      <c r="M571" s="106">
        <f t="shared" si="435"/>
        <v>50.512</v>
      </c>
      <c r="N571" s="106">
        <f t="shared" si="435"/>
        <v>81.042999999999992</v>
      </c>
      <c r="O571" s="106">
        <f t="shared" si="435"/>
        <v>108.096</v>
      </c>
      <c r="P571" s="416">
        <f t="shared" si="435"/>
        <v>108.096</v>
      </c>
      <c r="Q571" s="106">
        <f t="shared" si="435"/>
        <v>27.642000000000003</v>
      </c>
      <c r="R571" s="106">
        <f t="shared" si="435"/>
        <v>62.428999999999988</v>
      </c>
      <c r="S571" s="106">
        <f t="shared" si="435"/>
        <v>93.754999999999995</v>
      </c>
      <c r="T571" s="106">
        <f t="shared" si="435"/>
        <v>137.05799999999996</v>
      </c>
      <c r="U571" s="416">
        <f t="shared" si="435"/>
        <v>137.05799999999996</v>
      </c>
      <c r="V571" s="106">
        <f t="shared" si="435"/>
        <v>30.074999999999999</v>
      </c>
      <c r="W571" s="106">
        <f t="shared" si="435"/>
        <v>99.086999999999989</v>
      </c>
      <c r="X571" s="106">
        <f t="shared" si="435"/>
        <v>157.745</v>
      </c>
      <c r="Y571" s="159">
        <f t="shared" si="435"/>
        <v>227.31800000000001</v>
      </c>
      <c r="Z571" s="418">
        <f t="shared" si="435"/>
        <v>227.31800000000001</v>
      </c>
      <c r="AA571" s="106">
        <f t="shared" si="435"/>
        <v>117.53200000000001</v>
      </c>
      <c r="AB571" s="106">
        <f t="shared" si="435"/>
        <v>177.85700000000003</v>
      </c>
      <c r="AC571" s="106">
        <f t="shared" si="435"/>
        <v>238.59800000000004</v>
      </c>
      <c r="AD571" s="159">
        <f t="shared" si="435"/>
        <v>326.57300000000004</v>
      </c>
      <c r="AE571" s="418">
        <f t="shared" si="435"/>
        <v>326.57300000000004</v>
      </c>
      <c r="AF571" s="106">
        <f t="shared" si="435"/>
        <v>16.071000000000002</v>
      </c>
      <c r="AG571" s="106">
        <f t="shared" si="435"/>
        <v>72.031999999999982</v>
      </c>
      <c r="AH571" s="106">
        <f t="shared" si="435"/>
        <v>164.48900000000003</v>
      </c>
      <c r="AI571" s="159">
        <f t="shared" ref="AI571:BN571" si="436">SUM(AI549:AI570)</f>
        <v>216.04100000000003</v>
      </c>
      <c r="AJ571" s="418">
        <f t="shared" si="436"/>
        <v>216.04100000000003</v>
      </c>
      <c r="AK571" s="106">
        <f t="shared" si="436"/>
        <v>55.515999999999991</v>
      </c>
      <c r="AL571" s="106">
        <f t="shared" si="436"/>
        <v>158.12899999999999</v>
      </c>
      <c r="AM571" s="106">
        <f t="shared" si="436"/>
        <v>243.654</v>
      </c>
      <c r="AN571" s="159">
        <f t="shared" si="436"/>
        <v>314.053</v>
      </c>
      <c r="AO571" s="418">
        <f t="shared" si="436"/>
        <v>314.053</v>
      </c>
      <c r="AP571" s="106">
        <f t="shared" si="436"/>
        <v>66.492999999999995</v>
      </c>
      <c r="AQ571" s="106">
        <f t="shared" si="436"/>
        <v>184.79999999999995</v>
      </c>
      <c r="AR571" s="106">
        <f t="shared" si="436"/>
        <v>301.517</v>
      </c>
      <c r="AS571" s="159">
        <f t="shared" si="436"/>
        <v>416.39300000000003</v>
      </c>
      <c r="AT571" s="418">
        <f t="shared" si="436"/>
        <v>416.39300000000003</v>
      </c>
      <c r="AU571" s="106">
        <f t="shared" si="436"/>
        <v>129.70500000000001</v>
      </c>
      <c r="AV571" s="106">
        <f t="shared" si="436"/>
        <v>254.90600000000001</v>
      </c>
      <c r="AW571" s="106">
        <f t="shared" si="436"/>
        <v>396.87900000000002</v>
      </c>
      <c r="AX571" s="159">
        <f t="shared" si="436"/>
        <v>498.88499999999993</v>
      </c>
      <c r="AY571" s="418">
        <f t="shared" si="436"/>
        <v>498.88499999999993</v>
      </c>
      <c r="AZ571" s="106">
        <f t="shared" si="436"/>
        <v>165.01999999999998</v>
      </c>
      <c r="BA571" s="106">
        <f t="shared" si="436"/>
        <v>290.38800000000009</v>
      </c>
      <c r="BB571" s="106">
        <f t="shared" si="436"/>
        <v>456.86100000000005</v>
      </c>
      <c r="BC571" s="159">
        <f t="shared" si="436"/>
        <v>630.94100000000003</v>
      </c>
      <c r="BD571" s="418">
        <f t="shared" si="436"/>
        <v>630.94100000000003</v>
      </c>
      <c r="BE571" s="106">
        <f t="shared" si="436"/>
        <v>246.66800000000001</v>
      </c>
      <c r="BF571" s="106">
        <f t="shared" si="436"/>
        <v>431.35599999999999</v>
      </c>
      <c r="BG571" s="106">
        <f t="shared" si="436"/>
        <v>638.6930000000001</v>
      </c>
      <c r="BH571" s="159">
        <f t="shared" si="436"/>
        <v>816.64200000000017</v>
      </c>
      <c r="BI571" s="418">
        <f t="shared" si="436"/>
        <v>816.64200000000017</v>
      </c>
      <c r="BJ571" s="106">
        <f t="shared" si="436"/>
        <v>264.488</v>
      </c>
      <c r="BK571" s="106">
        <f t="shared" si="436"/>
        <v>460.45700000000005</v>
      </c>
      <c r="BL571" s="106">
        <f t="shared" si="436"/>
        <v>675.78</v>
      </c>
      <c r="BM571" s="159">
        <f t="shared" si="436"/>
        <v>894.08899999999994</v>
      </c>
      <c r="BN571" s="418">
        <f t="shared" si="436"/>
        <v>894.08899999999994</v>
      </c>
      <c r="BO571" s="106">
        <f t="shared" ref="BO571:CF571" si="437">SUM(BO549:BO570)</f>
        <v>237.19400000000002</v>
      </c>
      <c r="BP571" s="106">
        <f t="shared" si="437"/>
        <v>438.07600000000002</v>
      </c>
      <c r="BQ571" s="106">
        <f t="shared" si="437"/>
        <v>703.452</v>
      </c>
      <c r="BR571" s="159">
        <f t="shared" si="437"/>
        <v>938.70699999999988</v>
      </c>
      <c r="BS571" s="469">
        <f t="shared" si="437"/>
        <v>938.70699999999988</v>
      </c>
      <c r="BT571" s="159">
        <f t="shared" si="437"/>
        <v>0</v>
      </c>
      <c r="BU571" s="159">
        <f t="shared" si="437"/>
        <v>0</v>
      </c>
      <c r="BV571" s="159">
        <f t="shared" si="437"/>
        <v>0</v>
      </c>
      <c r="BW571" s="159">
        <f t="shared" si="437"/>
        <v>0</v>
      </c>
      <c r="BX571" s="418">
        <f t="shared" si="437"/>
        <v>0</v>
      </c>
      <c r="BY571" s="159">
        <f t="shared" si="437"/>
        <v>0</v>
      </c>
      <c r="BZ571" s="159">
        <f t="shared" si="437"/>
        <v>0</v>
      </c>
      <c r="CA571" s="159">
        <f t="shared" si="437"/>
        <v>0</v>
      </c>
      <c r="CB571" s="159">
        <f t="shared" si="437"/>
        <v>0</v>
      </c>
      <c r="CC571" s="418">
        <f t="shared" si="437"/>
        <v>0</v>
      </c>
      <c r="CD571" s="418">
        <f t="shared" si="437"/>
        <v>0</v>
      </c>
      <c r="CE571" s="418">
        <f t="shared" si="437"/>
        <v>0</v>
      </c>
      <c r="CF571" s="418">
        <f t="shared" si="437"/>
        <v>0</v>
      </c>
      <c r="CG571" s="109"/>
    </row>
    <row r="572" spans="1:85" ht="14.45" hidden="1" customHeight="1" x14ac:dyDescent="0.25">
      <c r="A572" s="96" t="s">
        <v>599</v>
      </c>
      <c r="B572" s="180"/>
      <c r="C572" s="413"/>
      <c r="D572" s="413"/>
      <c r="E572" s="413"/>
      <c r="F572" s="413"/>
      <c r="G572" s="63"/>
      <c r="H572" s="63"/>
      <c r="I572" s="63"/>
      <c r="J572" s="63"/>
      <c r="K572" s="413"/>
      <c r="L572" s="63"/>
      <c r="M572" s="63"/>
      <c r="N572" s="63"/>
      <c r="O572" s="63"/>
      <c r="P572" s="413"/>
      <c r="Q572" s="63"/>
      <c r="R572" s="63"/>
      <c r="S572" s="63"/>
      <c r="T572" s="63"/>
      <c r="U572" s="413"/>
      <c r="V572" s="63"/>
      <c r="W572" s="63"/>
      <c r="X572" s="63"/>
      <c r="Y572" s="63"/>
      <c r="Z572" s="413"/>
      <c r="AA572" s="63"/>
      <c r="AB572" s="63"/>
      <c r="AC572" s="63"/>
      <c r="AD572" s="63"/>
      <c r="AE572" s="413"/>
      <c r="AF572" s="63"/>
      <c r="AG572" s="63"/>
      <c r="AH572" s="63"/>
      <c r="AI572" s="63"/>
      <c r="AJ572" s="413"/>
      <c r="AK572" s="63"/>
      <c r="AL572" s="63"/>
      <c r="AM572" s="63"/>
      <c r="AN572" s="63"/>
      <c r="AO572" s="413"/>
      <c r="AP572" s="63"/>
      <c r="AQ572" s="63"/>
      <c r="AR572" s="63"/>
      <c r="AS572" s="63"/>
      <c r="AT572" s="413"/>
      <c r="AU572" s="63"/>
      <c r="AV572" s="63"/>
      <c r="AW572" s="63"/>
      <c r="AX572" s="63"/>
      <c r="AY572" s="413"/>
      <c r="AZ572" s="63"/>
      <c r="BA572" s="63"/>
      <c r="BB572" s="63"/>
      <c r="BC572" s="63"/>
      <c r="BD572" s="413"/>
      <c r="BE572" s="63"/>
      <c r="BF572" s="63"/>
      <c r="BG572" s="63"/>
      <c r="BH572" s="63"/>
      <c r="BI572" s="413"/>
      <c r="BJ572" s="63"/>
      <c r="BK572" s="63"/>
      <c r="BL572" s="63"/>
      <c r="BM572" s="63"/>
      <c r="BN572" s="413"/>
      <c r="BO572" s="63"/>
      <c r="BP572" s="63"/>
      <c r="BQ572" s="63"/>
      <c r="BR572" s="63"/>
      <c r="BS572" s="425"/>
      <c r="BT572" s="63"/>
      <c r="BU572" s="63"/>
      <c r="BV572" s="63"/>
      <c r="BW572" s="63"/>
      <c r="BX572" s="413"/>
      <c r="BY572" s="63"/>
      <c r="BZ572" s="63"/>
      <c r="CA572" s="63"/>
      <c r="CB572" s="63"/>
      <c r="CC572" s="413"/>
      <c r="CD572" s="413"/>
      <c r="CE572" s="413"/>
      <c r="CF572" s="413"/>
      <c r="CG572" s="99"/>
    </row>
    <row r="573" spans="1:85" ht="14.45" hidden="1" customHeight="1" x14ac:dyDescent="0.25">
      <c r="A573" s="96" t="s">
        <v>600</v>
      </c>
      <c r="B573" s="180"/>
      <c r="C573" s="413"/>
      <c r="D573" s="413"/>
      <c r="E573" s="413"/>
      <c r="F573" s="413"/>
      <c r="G573" s="63"/>
      <c r="H573" s="63"/>
      <c r="I573" s="63"/>
      <c r="J573" s="63"/>
      <c r="K573" s="413"/>
      <c r="L573" s="63"/>
      <c r="M573" s="63"/>
      <c r="N573" s="63"/>
      <c r="O573" s="63"/>
      <c r="P573" s="413"/>
      <c r="Q573" s="63"/>
      <c r="R573" s="63"/>
      <c r="S573" s="63"/>
      <c r="T573" s="63"/>
      <c r="U573" s="413"/>
      <c r="V573" s="63"/>
      <c r="W573" s="63"/>
      <c r="X573" s="63"/>
      <c r="Y573" s="63"/>
      <c r="Z573" s="413"/>
      <c r="AA573" s="63"/>
      <c r="AB573" s="63"/>
      <c r="AC573" s="63"/>
      <c r="AD573" s="63"/>
      <c r="AE573" s="413"/>
      <c r="AF573" s="63"/>
      <c r="AG573" s="63"/>
      <c r="AH573" s="63"/>
      <c r="AI573" s="63"/>
      <c r="AJ573" s="413"/>
      <c r="AK573" s="63"/>
      <c r="AL573" s="63"/>
      <c r="AM573" s="63"/>
      <c r="AN573" s="63"/>
      <c r="AO573" s="413"/>
      <c r="AP573" s="63"/>
      <c r="AQ573" s="63"/>
      <c r="AR573" s="63"/>
      <c r="AS573" s="63"/>
      <c r="AT573" s="413"/>
      <c r="AU573" s="63"/>
      <c r="AV573" s="63"/>
      <c r="AW573" s="63"/>
      <c r="AX573" s="63"/>
      <c r="AY573" s="413"/>
      <c r="AZ573" s="63"/>
      <c r="BA573" s="63"/>
      <c r="BB573" s="63"/>
      <c r="BC573" s="63"/>
      <c r="BD573" s="413"/>
      <c r="BE573" s="63"/>
      <c r="BF573" s="63"/>
      <c r="BG573" s="63"/>
      <c r="BH573" s="63"/>
      <c r="BI573" s="413"/>
      <c r="BJ573" s="63"/>
      <c r="BK573" s="63"/>
      <c r="BL573" s="63"/>
      <c r="BM573" s="63"/>
      <c r="BN573" s="413"/>
      <c r="BO573" s="63"/>
      <c r="BP573" s="63"/>
      <c r="BQ573" s="63"/>
      <c r="BR573" s="63"/>
      <c r="BS573" s="425"/>
      <c r="BT573" s="63"/>
      <c r="BU573" s="63"/>
      <c r="BV573" s="63"/>
      <c r="BW573" s="63"/>
      <c r="BX573" s="413"/>
      <c r="BY573" s="63"/>
      <c r="BZ573" s="63"/>
      <c r="CA573" s="63"/>
      <c r="CB573" s="63"/>
      <c r="CC573" s="413"/>
      <c r="CD573" s="413"/>
      <c r="CE573" s="413"/>
      <c r="CF573" s="413"/>
      <c r="CG573" s="99"/>
    </row>
    <row r="574" spans="1:85" ht="14.45" hidden="1" customHeight="1" x14ac:dyDescent="0.25">
      <c r="A574" s="96" t="s">
        <v>601</v>
      </c>
      <c r="B574" s="180"/>
      <c r="C574" s="413"/>
      <c r="D574" s="413"/>
      <c r="E574" s="413"/>
      <c r="F574" s="413"/>
      <c r="G574" s="63"/>
      <c r="H574" s="63"/>
      <c r="I574" s="63"/>
      <c r="J574" s="63"/>
      <c r="K574" s="413"/>
      <c r="L574" s="63"/>
      <c r="M574" s="63"/>
      <c r="N574" s="63"/>
      <c r="O574" s="63"/>
      <c r="P574" s="413"/>
      <c r="Q574" s="63"/>
      <c r="R574" s="63"/>
      <c r="S574" s="63"/>
      <c r="T574" s="63"/>
      <c r="U574" s="413"/>
      <c r="V574" s="63"/>
      <c r="W574" s="63"/>
      <c r="X574" s="63"/>
      <c r="Y574" s="63"/>
      <c r="Z574" s="413"/>
      <c r="AA574" s="63"/>
      <c r="AB574" s="63"/>
      <c r="AC574" s="63"/>
      <c r="AD574" s="63"/>
      <c r="AE574" s="413"/>
      <c r="AF574" s="63"/>
      <c r="AG574" s="63"/>
      <c r="AH574" s="63"/>
      <c r="AI574" s="63"/>
      <c r="AJ574" s="413"/>
      <c r="AK574" s="63"/>
      <c r="AL574" s="63"/>
      <c r="AM574" s="63"/>
      <c r="AN574" s="63"/>
      <c r="AO574" s="413"/>
      <c r="AP574" s="63"/>
      <c r="AQ574" s="63"/>
      <c r="AR574" s="63"/>
      <c r="AS574" s="63"/>
      <c r="AT574" s="413"/>
      <c r="AU574" s="63"/>
      <c r="AV574" s="63"/>
      <c r="AW574" s="63"/>
      <c r="AX574" s="63"/>
      <c r="AY574" s="413"/>
      <c r="AZ574" s="63"/>
      <c r="BA574" s="63"/>
      <c r="BB574" s="63"/>
      <c r="BC574" s="63"/>
      <c r="BD574" s="413"/>
      <c r="BE574" s="63"/>
      <c r="BF574" s="63"/>
      <c r="BG574" s="63"/>
      <c r="BH574" s="63"/>
      <c r="BI574" s="413"/>
      <c r="BJ574" s="63"/>
      <c r="BK574" s="63"/>
      <c r="BL574" s="63"/>
      <c r="BM574" s="63"/>
      <c r="BN574" s="413"/>
      <c r="BO574" s="63"/>
      <c r="BP574" s="63"/>
      <c r="BQ574" s="63"/>
      <c r="BR574" s="63"/>
      <c r="BS574" s="425"/>
      <c r="BT574" s="63"/>
      <c r="BU574" s="63"/>
      <c r="BV574" s="63"/>
      <c r="BW574" s="63"/>
      <c r="BX574" s="413"/>
      <c r="BY574" s="63"/>
      <c r="BZ574" s="63"/>
      <c r="CA574" s="63"/>
      <c r="CB574" s="63"/>
      <c r="CC574" s="413"/>
      <c r="CD574" s="413"/>
      <c r="CE574" s="413"/>
      <c r="CF574" s="413"/>
      <c r="CG574" s="99"/>
    </row>
    <row r="575" spans="1:85" ht="14.45" hidden="1" customHeight="1" x14ac:dyDescent="0.25">
      <c r="A575" s="96" t="s">
        <v>602</v>
      </c>
      <c r="B575" s="180"/>
      <c r="C575" s="410">
        <v>-27.411999999999999</v>
      </c>
      <c r="D575" s="410">
        <v>1.92</v>
      </c>
      <c r="E575" s="410">
        <v>5.5289999999999999</v>
      </c>
      <c r="F575" s="410">
        <v>-0.28799999999999998</v>
      </c>
      <c r="G575" s="98">
        <v>-27.193000000000001</v>
      </c>
      <c r="H575" s="98">
        <v>-19.542000000000002</v>
      </c>
      <c r="I575" s="98">
        <v>-4.3659999999999997</v>
      </c>
      <c r="J575" s="99">
        <f>K575</f>
        <v>0.84299999999999997</v>
      </c>
      <c r="K575" s="410">
        <v>0.84299999999999997</v>
      </c>
      <c r="L575" s="98">
        <v>-18.908999999999999</v>
      </c>
      <c r="M575" s="98">
        <v>-30.876000000000001</v>
      </c>
      <c r="N575" s="98">
        <v>-20.37</v>
      </c>
      <c r="O575" s="99">
        <f>P575</f>
        <v>-16.331</v>
      </c>
      <c r="P575" s="410">
        <v>-16.331</v>
      </c>
      <c r="Q575" s="98">
        <v>-23.898</v>
      </c>
      <c r="R575" s="98">
        <v>-29.538</v>
      </c>
      <c r="S575" s="98">
        <v>-16.381</v>
      </c>
      <c r="T575" s="99">
        <f>U575</f>
        <v>-18.262</v>
      </c>
      <c r="U575" s="410">
        <v>-18.262</v>
      </c>
      <c r="V575" s="98">
        <v>-38.926000000000002</v>
      </c>
      <c r="W575" s="98">
        <v>-27.088000000000001</v>
      </c>
      <c r="X575" s="98">
        <v>-13.622999999999999</v>
      </c>
      <c r="Y575" s="63">
        <f>Z575</f>
        <v>-39.908999999999999</v>
      </c>
      <c r="Z575" s="410">
        <v>-39.908999999999999</v>
      </c>
      <c r="AA575" s="98">
        <v>4.4630000000000001</v>
      </c>
      <c r="AB575" s="98">
        <v>10.47</v>
      </c>
      <c r="AC575" s="98">
        <v>-19.036000000000001</v>
      </c>
      <c r="AD575" s="63">
        <f>AE575</f>
        <v>0.25900000000000001</v>
      </c>
      <c r="AE575" s="410">
        <v>0.25900000000000001</v>
      </c>
      <c r="AF575" s="98">
        <v>-99.994</v>
      </c>
      <c r="AG575" s="98">
        <v>-16.126999999999999</v>
      </c>
      <c r="AH575" s="98">
        <v>-120.42100000000001</v>
      </c>
      <c r="AI575" s="63">
        <f>AJ575</f>
        <v>-26.387</v>
      </c>
      <c r="AJ575" s="410">
        <v>-26.387</v>
      </c>
      <c r="AK575" s="98">
        <v>-57.014000000000003</v>
      </c>
      <c r="AL575" s="98">
        <v>-78.841999999999999</v>
      </c>
      <c r="AM575" s="98">
        <v>-54.262999999999998</v>
      </c>
      <c r="AN575" s="63">
        <f>+AO575</f>
        <v>-31.681000000000001</v>
      </c>
      <c r="AO575" s="410">
        <v>-31.681000000000001</v>
      </c>
      <c r="AP575" s="98">
        <v>-42.31</v>
      </c>
      <c r="AQ575" s="98">
        <v>20.934999999999999</v>
      </c>
      <c r="AR575" s="98">
        <v>69.975000000000009</v>
      </c>
      <c r="AS575" s="63">
        <f>+AT575</f>
        <v>55.606999999999999</v>
      </c>
      <c r="AT575" s="410">
        <v>55.606999999999999</v>
      </c>
      <c r="AU575" s="98">
        <v>-38.661999999999999</v>
      </c>
      <c r="AV575" s="98">
        <v>24.332000000000001</v>
      </c>
      <c r="AW575" s="98">
        <v>60.545999999999999</v>
      </c>
      <c r="AX575" s="63">
        <f>+AY575</f>
        <v>30.594999999999999</v>
      </c>
      <c r="AY575" s="410">
        <v>30.594999999999999</v>
      </c>
      <c r="AZ575" s="98">
        <v>-32.414999999999999</v>
      </c>
      <c r="BA575" s="98">
        <v>-59.003999999999998</v>
      </c>
      <c r="BB575" s="98">
        <v>-61.656999999999996</v>
      </c>
      <c r="BC575" s="63">
        <f>+BD575</f>
        <v>-74.784000000000006</v>
      </c>
      <c r="BD575" s="410">
        <v>-74.784000000000006</v>
      </c>
      <c r="BE575" s="98">
        <v>-49.537999999999997</v>
      </c>
      <c r="BF575" s="98">
        <v>-41.957000000000001</v>
      </c>
      <c r="BG575" s="98">
        <v>35.790999999999997</v>
      </c>
      <c r="BH575" s="63">
        <f>+BI575</f>
        <v>29.138000000000002</v>
      </c>
      <c r="BI575" s="410">
        <v>29.138000000000002</v>
      </c>
      <c r="BJ575" s="98">
        <v>-44.256999999999998</v>
      </c>
      <c r="BK575" s="98">
        <v>0.25700000000000001</v>
      </c>
      <c r="BL575" s="98">
        <v>55.762999999999998</v>
      </c>
      <c r="BM575" s="63">
        <f>+BN575</f>
        <v>-3.774</v>
      </c>
      <c r="BN575" s="410">
        <v>-3.774</v>
      </c>
      <c r="BO575" s="98">
        <v>-19.675999999999998</v>
      </c>
      <c r="BP575" s="98">
        <v>-17.821000000000002</v>
      </c>
      <c r="BQ575" s="98">
        <v>38.581000000000003</v>
      </c>
      <c r="BR575" s="63">
        <f>+BS575</f>
        <v>10.551</v>
      </c>
      <c r="BS575" s="419">
        <v>10.551</v>
      </c>
      <c r="BT575" s="63"/>
      <c r="BU575" s="63"/>
      <c r="BV575" s="63"/>
      <c r="BW575" s="63">
        <f>BX575</f>
        <v>0</v>
      </c>
      <c r="BX575" s="413"/>
      <c r="BY575" s="63"/>
      <c r="BZ575" s="63"/>
      <c r="CA575" s="63"/>
      <c r="CB575" s="63">
        <f>CC575</f>
        <v>0</v>
      </c>
      <c r="CC575" s="413"/>
      <c r="CD575" s="413"/>
      <c r="CE575" s="413"/>
      <c r="CF575" s="413"/>
      <c r="CG575" s="99"/>
    </row>
    <row r="576" spans="1:85" ht="14.45" hidden="1" customHeight="1" x14ac:dyDescent="0.25">
      <c r="A576" s="96" t="s">
        <v>603</v>
      </c>
      <c r="B576" s="180"/>
      <c r="C576" s="410">
        <v>-13.7</v>
      </c>
      <c r="D576" s="410">
        <v>-1.726</v>
      </c>
      <c r="E576" s="410">
        <v>-4.5629999999999997</v>
      </c>
      <c r="F576" s="410">
        <v>-5.0869999999999997</v>
      </c>
      <c r="G576" s="98">
        <v>-3.33</v>
      </c>
      <c r="H576" s="98">
        <v>-4.8899999999999997</v>
      </c>
      <c r="I576" s="98">
        <v>-6.6559999999999997</v>
      </c>
      <c r="J576" s="99">
        <f>K576</f>
        <v>-3.17</v>
      </c>
      <c r="K576" s="410">
        <v>-3.17</v>
      </c>
      <c r="L576" s="98">
        <v>-1.819</v>
      </c>
      <c r="M576" s="98">
        <v>-2.7440000000000002</v>
      </c>
      <c r="N576" s="98">
        <v>-3.3620000000000001</v>
      </c>
      <c r="O576" s="99">
        <f>P576</f>
        <v>-3.1949999999999998</v>
      </c>
      <c r="P576" s="410">
        <v>-3.1949999999999998</v>
      </c>
      <c r="Q576" s="98">
        <v>-3.31</v>
      </c>
      <c r="R576" s="98">
        <v>-4.1059999999999999</v>
      </c>
      <c r="S576" s="98">
        <v>-3.4470000000000001</v>
      </c>
      <c r="T576" s="99">
        <f>U576</f>
        <v>-4.2919999999999998</v>
      </c>
      <c r="U576" s="410">
        <v>-4.2919999999999998</v>
      </c>
      <c r="V576" s="98">
        <v>-2.391</v>
      </c>
      <c r="W576" s="98">
        <v>-9.0139999999999993</v>
      </c>
      <c r="X576" s="98">
        <v>-12.613</v>
      </c>
      <c r="Y576" s="63">
        <f>Z576</f>
        <v>-14.564</v>
      </c>
      <c r="Z576" s="410">
        <v>-14.564</v>
      </c>
      <c r="AA576" s="98">
        <v>-4.0380000000000003</v>
      </c>
      <c r="AB576" s="98">
        <v>-9.984</v>
      </c>
      <c r="AC576" s="98">
        <v>-13.391</v>
      </c>
      <c r="AD576" s="63">
        <f>AE576</f>
        <v>-17.916</v>
      </c>
      <c r="AE576" s="410">
        <v>-17.916</v>
      </c>
      <c r="AF576" s="98">
        <v>2.3439999999999999</v>
      </c>
      <c r="AG576" s="98">
        <v>3.83</v>
      </c>
      <c r="AH576" s="98">
        <v>0.72399999999999998</v>
      </c>
      <c r="AI576" s="63">
        <f>AJ576</f>
        <v>4.3470000000000004</v>
      </c>
      <c r="AJ576" s="410">
        <v>4.3470000000000004</v>
      </c>
      <c r="AK576" s="98">
        <v>1.196</v>
      </c>
      <c r="AL576" s="98">
        <v>5.2279999999999998</v>
      </c>
      <c r="AM576" s="98">
        <v>12.581</v>
      </c>
      <c r="AN576" s="63">
        <f>+AO576</f>
        <v>15.201000000000001</v>
      </c>
      <c r="AO576" s="410">
        <v>15.201000000000001</v>
      </c>
      <c r="AP576" s="98">
        <v>12.223000000000001</v>
      </c>
      <c r="AQ576" s="98">
        <v>13.42</v>
      </c>
      <c r="AR576" s="98">
        <v>16.36</v>
      </c>
      <c r="AS576" s="63">
        <f>+AT576</f>
        <v>21.82</v>
      </c>
      <c r="AT576" s="410">
        <v>21.82</v>
      </c>
      <c r="AU576" s="98">
        <v>4.1970000000000001</v>
      </c>
      <c r="AV576" s="98">
        <v>6.3250000000000002</v>
      </c>
      <c r="AW576" s="98">
        <v>10.355</v>
      </c>
      <c r="AX576" s="63">
        <f>+AY576</f>
        <v>16.003</v>
      </c>
      <c r="AY576" s="410">
        <v>16.003</v>
      </c>
      <c r="AZ576" s="98">
        <v>8.1890000000000001</v>
      </c>
      <c r="BA576" s="98">
        <v>21.904</v>
      </c>
      <c r="BB576" s="98">
        <v>27.806000000000001</v>
      </c>
      <c r="BC576" s="63">
        <f>+BD576</f>
        <v>31.779</v>
      </c>
      <c r="BD576" s="410">
        <v>31.779</v>
      </c>
      <c r="BE576" s="98">
        <v>-1.43</v>
      </c>
      <c r="BF576" s="98">
        <v>5.2160000000000002</v>
      </c>
      <c r="BG576" s="98">
        <v>13.417</v>
      </c>
      <c r="BH576" s="63">
        <f>+BI576</f>
        <v>12.708</v>
      </c>
      <c r="BI576" s="410">
        <v>12.708</v>
      </c>
      <c r="BJ576" s="98">
        <v>-0.78100000000000003</v>
      </c>
      <c r="BK576" s="98">
        <v>3.758</v>
      </c>
      <c r="BL576" s="98">
        <v>7.5949999999999998</v>
      </c>
      <c r="BM576" s="63">
        <f>+BN576</f>
        <v>8.9039999999999999</v>
      </c>
      <c r="BN576" s="410">
        <v>8.9039999999999999</v>
      </c>
      <c r="BO576" s="98">
        <v>6.476</v>
      </c>
      <c r="BP576" s="98">
        <v>4.048</v>
      </c>
      <c r="BQ576" s="98">
        <v>1.4690000000000001</v>
      </c>
      <c r="BR576" s="63">
        <f>+BS576</f>
        <v>7.0540000000000003</v>
      </c>
      <c r="BS576" s="419">
        <v>7.0540000000000003</v>
      </c>
      <c r="BT576" s="63"/>
      <c r="BU576" s="63"/>
      <c r="BV576" s="63"/>
      <c r="BW576" s="63">
        <f>BX576</f>
        <v>0</v>
      </c>
      <c r="BX576" s="413"/>
      <c r="BY576" s="63"/>
      <c r="BZ576" s="63"/>
      <c r="CA576" s="63"/>
      <c r="CB576" s="63">
        <f>CC576</f>
        <v>0</v>
      </c>
      <c r="CC576" s="413"/>
      <c r="CD576" s="413"/>
      <c r="CE576" s="413"/>
      <c r="CF576" s="413"/>
      <c r="CG576" s="99"/>
    </row>
    <row r="577" spans="1:85" ht="14.45" hidden="1" customHeight="1" x14ac:dyDescent="0.25">
      <c r="A577" s="96" t="s">
        <v>604</v>
      </c>
      <c r="B577" s="180"/>
      <c r="C577" s="410">
        <v>7.4089999999999998</v>
      </c>
      <c r="D577" s="410">
        <v>2.7879999999999998</v>
      </c>
      <c r="E577" s="410">
        <v>2.6520000000000001</v>
      </c>
      <c r="F577" s="410">
        <v>-16.260999999999999</v>
      </c>
      <c r="G577" s="98">
        <v>-3.6869999999999998</v>
      </c>
      <c r="H577" s="98">
        <v>0.872</v>
      </c>
      <c r="I577" s="98">
        <v>4.8869999999999996</v>
      </c>
      <c r="J577" s="99">
        <f>K577</f>
        <v>1.569</v>
      </c>
      <c r="K577" s="410">
        <v>1.569</v>
      </c>
      <c r="L577" s="98">
        <v>-5.4850000000000003</v>
      </c>
      <c r="M577" s="98">
        <v>-5.1349999999999998</v>
      </c>
      <c r="N577" s="98">
        <v>-7.343</v>
      </c>
      <c r="O577" s="99">
        <f>P577</f>
        <v>3.3330000000000002</v>
      </c>
      <c r="P577" s="410">
        <v>3.3330000000000002</v>
      </c>
      <c r="Q577" s="98">
        <v>-2.2290000000000001</v>
      </c>
      <c r="R577" s="98">
        <v>4.1829999999999998</v>
      </c>
      <c r="S577" s="98">
        <v>-1.444</v>
      </c>
      <c r="T577" s="99">
        <f>U577</f>
        <v>-6.2140000000000004</v>
      </c>
      <c r="U577" s="410">
        <v>-6.2140000000000004</v>
      </c>
      <c r="V577" s="98">
        <v>-3.9750000000000001</v>
      </c>
      <c r="W577" s="98">
        <v>-1.788</v>
      </c>
      <c r="X577" s="98">
        <v>-3.3839999999999999</v>
      </c>
      <c r="Y577" s="63">
        <f>Z577</f>
        <v>-10.85</v>
      </c>
      <c r="Z577" s="410">
        <v>-10.85</v>
      </c>
      <c r="AA577" s="98">
        <v>-1.4390000000000001</v>
      </c>
      <c r="AB577" s="98">
        <v>0.628</v>
      </c>
      <c r="AC577" s="98">
        <v>-3.746</v>
      </c>
      <c r="AD577" s="63">
        <f>AE577</f>
        <v>-1.1000000000000001</v>
      </c>
      <c r="AE577" s="410">
        <v>-1.1000000000000001</v>
      </c>
      <c r="AF577" s="98">
        <v>0.83299999999999996</v>
      </c>
      <c r="AG577" s="98">
        <v>-2.4929999999999999</v>
      </c>
      <c r="AH577" s="98">
        <v>-18.762</v>
      </c>
      <c r="AI577" s="63">
        <f>AJ577</f>
        <v>-25.122</v>
      </c>
      <c r="AJ577" s="410">
        <v>-25.122</v>
      </c>
      <c r="AK577" s="98">
        <v>5.8979999999999997</v>
      </c>
      <c r="AL577" s="98">
        <v>4.0709999999999997</v>
      </c>
      <c r="AM577" s="98">
        <v>2.6110000000000002</v>
      </c>
      <c r="AN577" s="63">
        <f>+AO577</f>
        <v>-7.2030000000000003</v>
      </c>
      <c r="AO577" s="410">
        <v>-7.2030000000000003</v>
      </c>
      <c r="AP577" s="98">
        <v>-4.117</v>
      </c>
      <c r="AQ577" s="98">
        <v>9.8480000000000008</v>
      </c>
      <c r="AR577" s="98">
        <v>-11.451000000000001</v>
      </c>
      <c r="AS577" s="63">
        <f>+AT577</f>
        <v>0.64100000000000001</v>
      </c>
      <c r="AT577" s="410">
        <v>0.64100000000000001</v>
      </c>
      <c r="AU577" s="98">
        <v>-13.33</v>
      </c>
      <c r="AV577" s="98">
        <v>-14.178000000000001</v>
      </c>
      <c r="AW577" s="98">
        <v>-27.905000000000001</v>
      </c>
      <c r="AX577" s="63">
        <f>+AY577</f>
        <v>-23.728000000000002</v>
      </c>
      <c r="AY577" s="410">
        <v>-23.728000000000002</v>
      </c>
      <c r="AZ577" s="98">
        <v>-9.9130000000000003</v>
      </c>
      <c r="BA577" s="98">
        <v>-9.7530000000000001</v>
      </c>
      <c r="BB577" s="98">
        <v>-28.701000000000001</v>
      </c>
      <c r="BC577" s="63">
        <f>+BD577</f>
        <v>-33.43</v>
      </c>
      <c r="BD577" s="410">
        <v>-33.43</v>
      </c>
      <c r="BE577" s="98">
        <v>-11.006</v>
      </c>
      <c r="BF577" s="98">
        <v>-11.276999999999999</v>
      </c>
      <c r="BG577" s="98">
        <v>-43.351999999999997</v>
      </c>
      <c r="BH577" s="63">
        <f>+BI577</f>
        <v>-47.798000000000002</v>
      </c>
      <c r="BI577" s="410">
        <v>-47.798000000000002</v>
      </c>
      <c r="BJ577" s="98">
        <v>-25.177</v>
      </c>
      <c r="BK577" s="98">
        <v>-27.341000000000001</v>
      </c>
      <c r="BL577" s="98">
        <v>-31.245000000000001</v>
      </c>
      <c r="BM577" s="63">
        <f>+BN577</f>
        <v>-22.861999999999998</v>
      </c>
      <c r="BN577" s="410">
        <v>-22.861999999999998</v>
      </c>
      <c r="BO577" s="98">
        <v>-25.823</v>
      </c>
      <c r="BP577" s="98">
        <v>-18.082000000000001</v>
      </c>
      <c r="BQ577" s="98">
        <v>-20.588999999999999</v>
      </c>
      <c r="BR577" s="63">
        <f>+BS577</f>
        <v>-24.408000000000001</v>
      </c>
      <c r="BS577" s="419">
        <v>-24.408000000000001</v>
      </c>
      <c r="BT577" s="63"/>
      <c r="BU577" s="63"/>
      <c r="BV577" s="63"/>
      <c r="BW577" s="63">
        <f>BX577</f>
        <v>0</v>
      </c>
      <c r="BX577" s="413"/>
      <c r="BY577" s="63"/>
      <c r="BZ577" s="63"/>
      <c r="CA577" s="63"/>
      <c r="CB577" s="63">
        <f>CC577</f>
        <v>0</v>
      </c>
      <c r="CC577" s="413"/>
      <c r="CD577" s="413"/>
      <c r="CE577" s="413"/>
      <c r="CF577" s="413"/>
      <c r="CG577" s="99"/>
    </row>
    <row r="578" spans="1:85" ht="14.45" hidden="1" customHeight="1" x14ac:dyDescent="0.25">
      <c r="A578" s="110" t="s">
        <v>605</v>
      </c>
      <c r="B578" s="212"/>
      <c r="C578" s="416">
        <f t="shared" ref="C578:AH578" si="438">SUM(C571:C577)</f>
        <v>79.502999999999986</v>
      </c>
      <c r="D578" s="416">
        <f t="shared" si="438"/>
        <v>109.756</v>
      </c>
      <c r="E578" s="416">
        <f t="shared" si="438"/>
        <v>109.64999999999999</v>
      </c>
      <c r="F578" s="416">
        <f t="shared" si="438"/>
        <v>83.172000000000011</v>
      </c>
      <c r="G578" s="106">
        <f t="shared" si="438"/>
        <v>-13.786000000000001</v>
      </c>
      <c r="H578" s="106">
        <f t="shared" si="438"/>
        <v>25.048999999999992</v>
      </c>
      <c r="I578" s="106">
        <f t="shared" si="438"/>
        <v>74.972999999999999</v>
      </c>
      <c r="J578" s="106">
        <f t="shared" si="438"/>
        <v>96.374000000000009</v>
      </c>
      <c r="K578" s="416">
        <f t="shared" si="438"/>
        <v>96.374000000000009</v>
      </c>
      <c r="L578" s="106">
        <f t="shared" si="438"/>
        <v>-7.3079999999999945</v>
      </c>
      <c r="M578" s="106">
        <f t="shared" si="438"/>
        <v>11.757</v>
      </c>
      <c r="N578" s="106">
        <f t="shared" si="438"/>
        <v>49.967999999999989</v>
      </c>
      <c r="O578" s="106">
        <f t="shared" si="438"/>
        <v>91.903000000000006</v>
      </c>
      <c r="P578" s="416">
        <f t="shared" si="438"/>
        <v>91.903000000000006</v>
      </c>
      <c r="Q578" s="106">
        <f t="shared" si="438"/>
        <v>-1.7949999999999968</v>
      </c>
      <c r="R578" s="106">
        <f t="shared" si="438"/>
        <v>32.967999999999989</v>
      </c>
      <c r="S578" s="106">
        <f t="shared" si="438"/>
        <v>72.48299999999999</v>
      </c>
      <c r="T578" s="106">
        <f t="shared" si="438"/>
        <v>108.28999999999996</v>
      </c>
      <c r="U578" s="416">
        <f t="shared" si="438"/>
        <v>108.28999999999996</v>
      </c>
      <c r="V578" s="106">
        <f t="shared" si="438"/>
        <v>-15.217000000000002</v>
      </c>
      <c r="W578" s="106">
        <f t="shared" si="438"/>
        <v>61.197000000000003</v>
      </c>
      <c r="X578" s="106">
        <f t="shared" si="438"/>
        <v>128.12500000000003</v>
      </c>
      <c r="Y578" s="159">
        <f t="shared" si="438"/>
        <v>161.99500000000003</v>
      </c>
      <c r="Z578" s="418">
        <f t="shared" si="438"/>
        <v>161.99500000000003</v>
      </c>
      <c r="AA578" s="106">
        <f t="shared" si="438"/>
        <v>116.518</v>
      </c>
      <c r="AB578" s="106">
        <f t="shared" si="438"/>
        <v>178.971</v>
      </c>
      <c r="AC578" s="106">
        <f t="shared" si="438"/>
        <v>202.42500000000004</v>
      </c>
      <c r="AD578" s="159">
        <f t="shared" si="438"/>
        <v>307.81600000000003</v>
      </c>
      <c r="AE578" s="418">
        <f t="shared" si="438"/>
        <v>307.81600000000003</v>
      </c>
      <c r="AF578" s="106">
        <f t="shared" si="438"/>
        <v>-80.746000000000009</v>
      </c>
      <c r="AG578" s="106">
        <f t="shared" si="438"/>
        <v>57.241999999999983</v>
      </c>
      <c r="AH578" s="106">
        <f t="shared" si="438"/>
        <v>26.030000000000022</v>
      </c>
      <c r="AI578" s="159">
        <f t="shared" ref="AI578:BN578" si="439">SUM(AI571:AI577)</f>
        <v>168.87900000000002</v>
      </c>
      <c r="AJ578" s="418">
        <f t="shared" si="439"/>
        <v>168.87900000000002</v>
      </c>
      <c r="AK578" s="106">
        <f t="shared" si="439"/>
        <v>5.5959999999999877</v>
      </c>
      <c r="AL578" s="106">
        <f t="shared" si="439"/>
        <v>88.585999999999984</v>
      </c>
      <c r="AM578" s="106">
        <f t="shared" si="439"/>
        <v>204.58299999999997</v>
      </c>
      <c r="AN578" s="159">
        <f t="shared" si="439"/>
        <v>290.37000000000006</v>
      </c>
      <c r="AO578" s="418">
        <f t="shared" si="439"/>
        <v>290.37000000000006</v>
      </c>
      <c r="AP578" s="106">
        <f t="shared" si="439"/>
        <v>32.288999999999994</v>
      </c>
      <c r="AQ578" s="106">
        <f t="shared" si="439"/>
        <v>229.00299999999996</v>
      </c>
      <c r="AR578" s="106">
        <f t="shared" si="439"/>
        <v>376.40100000000001</v>
      </c>
      <c r="AS578" s="159">
        <f t="shared" si="439"/>
        <v>494.46100000000001</v>
      </c>
      <c r="AT578" s="418">
        <f t="shared" si="439"/>
        <v>494.46100000000001</v>
      </c>
      <c r="AU578" s="106">
        <f t="shared" si="439"/>
        <v>81.910000000000011</v>
      </c>
      <c r="AV578" s="106">
        <f t="shared" si="439"/>
        <v>271.38499999999999</v>
      </c>
      <c r="AW578" s="106">
        <f t="shared" si="439"/>
        <v>439.875</v>
      </c>
      <c r="AX578" s="159">
        <f t="shared" si="439"/>
        <v>521.755</v>
      </c>
      <c r="AY578" s="418">
        <f t="shared" si="439"/>
        <v>521.755</v>
      </c>
      <c r="AZ578" s="106">
        <f t="shared" si="439"/>
        <v>130.88099999999997</v>
      </c>
      <c r="BA578" s="106">
        <f t="shared" si="439"/>
        <v>243.53500000000008</v>
      </c>
      <c r="BB578" s="106">
        <f t="shared" si="439"/>
        <v>394.30900000000003</v>
      </c>
      <c r="BC578" s="159">
        <f t="shared" si="439"/>
        <v>554.50600000000009</v>
      </c>
      <c r="BD578" s="418">
        <f t="shared" si="439"/>
        <v>554.50600000000009</v>
      </c>
      <c r="BE578" s="106">
        <f t="shared" si="439"/>
        <v>184.69399999999999</v>
      </c>
      <c r="BF578" s="106">
        <f t="shared" si="439"/>
        <v>383.33800000000002</v>
      </c>
      <c r="BG578" s="106">
        <f t="shared" si="439"/>
        <v>644.54900000000021</v>
      </c>
      <c r="BH578" s="159">
        <f t="shared" si="439"/>
        <v>810.69000000000017</v>
      </c>
      <c r="BI578" s="418">
        <f t="shared" si="439"/>
        <v>810.69000000000017</v>
      </c>
      <c r="BJ578" s="106">
        <f t="shared" si="439"/>
        <v>194.273</v>
      </c>
      <c r="BK578" s="106">
        <f t="shared" si="439"/>
        <v>437.13100000000003</v>
      </c>
      <c r="BL578" s="106">
        <f t="shared" si="439"/>
        <v>707.89300000000003</v>
      </c>
      <c r="BM578" s="159">
        <f t="shared" si="439"/>
        <v>876.35699999999997</v>
      </c>
      <c r="BN578" s="418">
        <f t="shared" si="439"/>
        <v>876.35699999999997</v>
      </c>
      <c r="BO578" s="106">
        <f t="shared" ref="BO578:CF578" si="440">SUM(BO571:BO577)</f>
        <v>198.17100000000002</v>
      </c>
      <c r="BP578" s="106">
        <f t="shared" si="440"/>
        <v>406.221</v>
      </c>
      <c r="BQ578" s="106">
        <f t="shared" si="440"/>
        <v>722.91300000000001</v>
      </c>
      <c r="BR578" s="159">
        <f t="shared" si="440"/>
        <v>931.90399999999988</v>
      </c>
      <c r="BS578" s="469">
        <f t="shared" si="440"/>
        <v>931.90399999999988</v>
      </c>
      <c r="BT578" s="159">
        <f t="shared" si="440"/>
        <v>0</v>
      </c>
      <c r="BU578" s="159">
        <f t="shared" si="440"/>
        <v>0</v>
      </c>
      <c r="BV578" s="159">
        <f t="shared" si="440"/>
        <v>0</v>
      </c>
      <c r="BW578" s="159">
        <f t="shared" si="440"/>
        <v>0</v>
      </c>
      <c r="BX578" s="418">
        <f t="shared" si="440"/>
        <v>0</v>
      </c>
      <c r="BY578" s="159">
        <f t="shared" si="440"/>
        <v>0</v>
      </c>
      <c r="BZ578" s="159">
        <f t="shared" si="440"/>
        <v>0</v>
      </c>
      <c r="CA578" s="159">
        <f t="shared" si="440"/>
        <v>0</v>
      </c>
      <c r="CB578" s="159">
        <f t="shared" si="440"/>
        <v>0</v>
      </c>
      <c r="CC578" s="418">
        <f t="shared" si="440"/>
        <v>0</v>
      </c>
      <c r="CD578" s="418">
        <f t="shared" si="440"/>
        <v>0</v>
      </c>
      <c r="CE578" s="418">
        <f t="shared" si="440"/>
        <v>0</v>
      </c>
      <c r="CF578" s="418">
        <f t="shared" si="440"/>
        <v>0</v>
      </c>
      <c r="CG578" s="109"/>
    </row>
    <row r="579" spans="1:85" ht="14.45" hidden="1" customHeight="1" x14ac:dyDescent="0.25">
      <c r="A579" s="111"/>
      <c r="B579" s="211"/>
      <c r="C579" s="423"/>
      <c r="D579" s="423"/>
      <c r="E579" s="423"/>
      <c r="F579" s="423"/>
      <c r="G579" s="112"/>
      <c r="H579" s="112"/>
      <c r="I579" s="112"/>
      <c r="J579" s="112"/>
      <c r="K579" s="423"/>
      <c r="L579" s="112"/>
      <c r="M579" s="112"/>
      <c r="N579" s="112"/>
      <c r="O579" s="112"/>
      <c r="P579" s="423"/>
      <c r="Q579" s="112"/>
      <c r="R579" s="112"/>
      <c r="S579" s="112"/>
      <c r="T579" s="112"/>
      <c r="U579" s="423"/>
      <c r="V579" s="112"/>
      <c r="W579" s="112"/>
      <c r="X579" s="112"/>
      <c r="Y579" s="112"/>
      <c r="Z579" s="423"/>
      <c r="AA579" s="112"/>
      <c r="AB579" s="112"/>
      <c r="AC579" s="112"/>
      <c r="AD579" s="112"/>
      <c r="AE579" s="423"/>
      <c r="AF579" s="112"/>
      <c r="AG579" s="112"/>
      <c r="AH579" s="112"/>
      <c r="AI579" s="112"/>
      <c r="AJ579" s="423"/>
      <c r="AK579" s="112"/>
      <c r="AL579" s="112"/>
      <c r="AM579" s="112"/>
      <c r="AN579" s="112"/>
      <c r="AO579" s="423"/>
      <c r="AP579" s="112"/>
      <c r="AQ579" s="112"/>
      <c r="AR579" s="112"/>
      <c r="AS579" s="112"/>
      <c r="AT579" s="423"/>
      <c r="AU579" s="112"/>
      <c r="AV579" s="112"/>
      <c r="AW579" s="112"/>
      <c r="AX579" s="112"/>
      <c r="AY579" s="423"/>
      <c r="AZ579" s="112"/>
      <c r="BA579" s="112"/>
      <c r="BB579" s="112"/>
      <c r="BC579" s="112"/>
      <c r="BD579" s="423"/>
      <c r="BE579" s="112"/>
      <c r="BF579" s="112"/>
      <c r="BG579" s="112"/>
      <c r="BH579" s="112"/>
      <c r="BI579" s="423"/>
      <c r="BJ579" s="112"/>
      <c r="BK579" s="112"/>
      <c r="BL579" s="112"/>
      <c r="BM579" s="112"/>
      <c r="BN579" s="423"/>
      <c r="BO579" s="112"/>
      <c r="BP579" s="112"/>
      <c r="BQ579" s="112"/>
      <c r="BR579" s="112"/>
      <c r="BS579" s="424"/>
      <c r="BT579" s="112"/>
      <c r="BU579" s="112"/>
      <c r="BV579" s="112"/>
      <c r="BW579" s="112"/>
      <c r="BX579" s="423"/>
      <c r="BY579" s="112"/>
      <c r="BZ579" s="112"/>
      <c r="CA579" s="112"/>
      <c r="CB579" s="112"/>
      <c r="CC579" s="423"/>
      <c r="CD579" s="423"/>
      <c r="CE579" s="423"/>
      <c r="CF579" s="423"/>
      <c r="CG579" s="109"/>
    </row>
    <row r="580" spans="1:85" ht="14.45" hidden="1" customHeight="1" x14ac:dyDescent="0.25">
      <c r="A580" s="135" t="s">
        <v>91</v>
      </c>
      <c r="B580" s="211"/>
      <c r="C580" s="423"/>
      <c r="D580" s="423"/>
      <c r="E580" s="423"/>
      <c r="F580" s="423"/>
      <c r="G580" s="112"/>
      <c r="H580" s="112"/>
      <c r="I580" s="112"/>
      <c r="J580" s="112"/>
      <c r="K580" s="423"/>
      <c r="L580" s="112"/>
      <c r="M580" s="112"/>
      <c r="N580" s="112"/>
      <c r="O580" s="112"/>
      <c r="P580" s="423"/>
      <c r="Q580" s="112"/>
      <c r="R580" s="112"/>
      <c r="S580" s="112"/>
      <c r="T580" s="112"/>
      <c r="U580" s="423"/>
      <c r="V580" s="112"/>
      <c r="W580" s="112"/>
      <c r="X580" s="112"/>
      <c r="Y580" s="112"/>
      <c r="Z580" s="423"/>
      <c r="AA580" s="112"/>
      <c r="AB580" s="112"/>
      <c r="AC580" s="112"/>
      <c r="AD580" s="112"/>
      <c r="AE580" s="423"/>
      <c r="AF580" s="112"/>
      <c r="AG580" s="112"/>
      <c r="AH580" s="112"/>
      <c r="AI580" s="112"/>
      <c r="AJ580" s="423"/>
      <c r="AK580" s="112"/>
      <c r="AL580" s="112"/>
      <c r="AM580" s="112"/>
      <c r="AN580" s="112"/>
      <c r="AO580" s="423"/>
      <c r="AP580" s="112"/>
      <c r="AQ580" s="112"/>
      <c r="AR580" s="112"/>
      <c r="AS580" s="112"/>
      <c r="AT580" s="423"/>
      <c r="AU580" s="112"/>
      <c r="AV580" s="112"/>
      <c r="AW580" s="112"/>
      <c r="AX580" s="112"/>
      <c r="AY580" s="423"/>
      <c r="AZ580" s="112"/>
      <c r="BA580" s="112"/>
      <c r="BB580" s="112"/>
      <c r="BC580" s="112"/>
      <c r="BD580" s="423"/>
      <c r="BE580" s="112"/>
      <c r="BF580" s="112"/>
      <c r="BG580" s="112"/>
      <c r="BH580" s="112"/>
      <c r="BI580" s="423"/>
      <c r="BJ580" s="112"/>
      <c r="BK580" s="112"/>
      <c r="BL580" s="112"/>
      <c r="BM580" s="112"/>
      <c r="BN580" s="423"/>
      <c r="BO580" s="112"/>
      <c r="BP580" s="112"/>
      <c r="BQ580" s="112"/>
      <c r="BR580" s="112"/>
      <c r="BS580" s="424"/>
      <c r="BT580" s="112"/>
      <c r="BU580" s="112"/>
      <c r="BV580" s="112"/>
      <c r="BW580" s="112"/>
      <c r="BX580" s="423"/>
      <c r="BY580" s="112"/>
      <c r="BZ580" s="112"/>
      <c r="CA580" s="112"/>
      <c r="CB580" s="112"/>
      <c r="CC580" s="423"/>
      <c r="CD580" s="423"/>
      <c r="CE580" s="423"/>
      <c r="CF580" s="423"/>
      <c r="CG580" s="109"/>
    </row>
    <row r="581" spans="1:85" ht="14.45" hidden="1" customHeight="1" x14ac:dyDescent="0.25">
      <c r="A581" s="125" t="s">
        <v>606</v>
      </c>
      <c r="B581" s="180"/>
      <c r="C581" s="410">
        <v>-43.338999999999999</v>
      </c>
      <c r="D581" s="410">
        <v>-57.798000000000002</v>
      </c>
      <c r="E581" s="410">
        <v>-53.155999999999999</v>
      </c>
      <c r="F581" s="410">
        <v>-53.271000000000001</v>
      </c>
      <c r="G581" s="98">
        <v>-20.382999999999999</v>
      </c>
      <c r="H581" s="98">
        <v>-33.14</v>
      </c>
      <c r="I581" s="98">
        <v>-45.197000000000003</v>
      </c>
      <c r="J581" s="99">
        <f>K581</f>
        <v>-61.432000000000002</v>
      </c>
      <c r="K581" s="410">
        <v>-61.432000000000002</v>
      </c>
      <c r="L581" s="98">
        <v>-17.814</v>
      </c>
      <c r="M581" s="98">
        <v>-37.033999999999999</v>
      </c>
      <c r="N581" s="98">
        <v>-61.356999999999999</v>
      </c>
      <c r="O581" s="99">
        <f>P581</f>
        <v>-84.364000000000004</v>
      </c>
      <c r="P581" s="410">
        <v>-84.364000000000004</v>
      </c>
      <c r="Q581" s="98">
        <v>-30.841999999999999</v>
      </c>
      <c r="R581" s="98">
        <v>-57.14</v>
      </c>
      <c r="S581" s="98">
        <v>-104.422</v>
      </c>
      <c r="T581" s="99">
        <f>U581</f>
        <v>-163.887</v>
      </c>
      <c r="U581" s="410">
        <v>-163.887</v>
      </c>
      <c r="V581" s="98">
        <v>-36.784999999999997</v>
      </c>
      <c r="W581" s="98">
        <v>-79.625</v>
      </c>
      <c r="X581" s="98">
        <v>-124.599</v>
      </c>
      <c r="Y581" s="63">
        <f>Z581</f>
        <v>-172.58600000000001</v>
      </c>
      <c r="Z581" s="410">
        <v>-172.58600000000001</v>
      </c>
      <c r="AA581" s="98">
        <v>-41.58</v>
      </c>
      <c r="AB581" s="98">
        <v>-79.606999999999999</v>
      </c>
      <c r="AC581" s="98">
        <v>-114.953</v>
      </c>
      <c r="AD581" s="63">
        <f>AE581</f>
        <v>-176.601</v>
      </c>
      <c r="AE581" s="410">
        <v>-176.601</v>
      </c>
      <c r="AF581" s="98">
        <v>-42.048000000000002</v>
      </c>
      <c r="AG581" s="98">
        <v>-85.278999999999996</v>
      </c>
      <c r="AH581" s="98">
        <v>-113.104</v>
      </c>
      <c r="AI581" s="63">
        <f>AJ581</f>
        <v>-138.23500000000001</v>
      </c>
      <c r="AJ581" s="410">
        <v>-138.23500000000001</v>
      </c>
      <c r="AK581" s="98">
        <v>-29.315000000000001</v>
      </c>
      <c r="AL581" s="98">
        <v>-57.581000000000003</v>
      </c>
      <c r="AM581" s="98">
        <v>-96.747</v>
      </c>
      <c r="AN581" s="63">
        <f>AO581</f>
        <v>-171.374</v>
      </c>
      <c r="AO581" s="410">
        <v>-171.374</v>
      </c>
      <c r="AP581" s="98">
        <v>-33.093000000000004</v>
      </c>
      <c r="AQ581" s="98">
        <v>-72.885999999999996</v>
      </c>
      <c r="AR581" s="98">
        <v>-110.717</v>
      </c>
      <c r="AS581" s="63">
        <f>AT581</f>
        <v>-202.03399999999999</v>
      </c>
      <c r="AT581" s="410">
        <v>-202.03399999999999</v>
      </c>
      <c r="AU581" s="98">
        <v>-37.204000000000001</v>
      </c>
      <c r="AV581" s="98">
        <v>-80.308000000000007</v>
      </c>
      <c r="AW581" s="98">
        <v>-119.62</v>
      </c>
      <c r="AX581" s="63">
        <f>AY581</f>
        <v>-155.69300000000001</v>
      </c>
      <c r="AY581" s="410">
        <v>-155.69300000000001</v>
      </c>
      <c r="AZ581" s="98">
        <v>-104.35299999999999</v>
      </c>
      <c r="BA581" s="98">
        <v>-145.18199999999999</v>
      </c>
      <c r="BB581" s="98">
        <v>-183.929</v>
      </c>
      <c r="BC581" s="63">
        <f>BD581</f>
        <v>-298.61099999999999</v>
      </c>
      <c r="BD581" s="410">
        <v>-298.61099999999999</v>
      </c>
      <c r="BE581" s="98">
        <v>-52.7</v>
      </c>
      <c r="BF581" s="98">
        <v>-92.893000000000001</v>
      </c>
      <c r="BG581" s="98">
        <v>-152.26</v>
      </c>
      <c r="BH581" s="63">
        <f>BI581</f>
        <v>-282.30399999999997</v>
      </c>
      <c r="BI581" s="410">
        <v>-282.30399999999997</v>
      </c>
      <c r="BJ581" s="98">
        <v>-77.040000000000006</v>
      </c>
      <c r="BK581" s="98">
        <v>-159.4</v>
      </c>
      <c r="BL581" s="98">
        <v>-287.33300000000003</v>
      </c>
      <c r="BM581" s="63">
        <f t="shared" ref="BM581:BM594" si="441">BN581</f>
        <v>-371.01499999999999</v>
      </c>
      <c r="BN581" s="410">
        <v>-371.01499999999999</v>
      </c>
      <c r="BO581" s="98">
        <v>-97.866</v>
      </c>
      <c r="BP581" s="98">
        <v>-157.38300000000001</v>
      </c>
      <c r="BQ581" s="98">
        <v>-209.994</v>
      </c>
      <c r="BR581" s="63">
        <f t="shared" ref="BR581:BR594" si="442">BS581</f>
        <v>-312.315</v>
      </c>
      <c r="BS581" s="419">
        <v>-312.315</v>
      </c>
      <c r="BT581" s="63"/>
      <c r="BU581" s="63"/>
      <c r="BV581" s="63"/>
      <c r="BW581" s="63">
        <f>BX581</f>
        <v>0</v>
      </c>
      <c r="BX581" s="413"/>
      <c r="BY581" s="63"/>
      <c r="BZ581" s="63"/>
      <c r="CA581" s="63"/>
      <c r="CB581" s="63">
        <f>CC581</f>
        <v>0</v>
      </c>
      <c r="CC581" s="413"/>
      <c r="CD581" s="413"/>
      <c r="CE581" s="413"/>
      <c r="CF581" s="413"/>
      <c r="CG581" s="99"/>
    </row>
    <row r="582" spans="1:85" ht="14.45" hidden="1" customHeight="1" x14ac:dyDescent="0.25">
      <c r="A582" s="125" t="s">
        <v>607</v>
      </c>
      <c r="B582" s="180"/>
      <c r="C582" s="413"/>
      <c r="D582" s="413"/>
      <c r="E582" s="413"/>
      <c r="F582" s="413"/>
      <c r="G582" s="63"/>
      <c r="H582" s="63"/>
      <c r="I582" s="63"/>
      <c r="J582" s="63"/>
      <c r="K582" s="413"/>
      <c r="L582" s="63"/>
      <c r="M582" s="63"/>
      <c r="N582" s="63"/>
      <c r="O582" s="63"/>
      <c r="P582" s="413"/>
      <c r="Q582" s="63"/>
      <c r="R582" s="63"/>
      <c r="S582" s="63"/>
      <c r="T582" s="63"/>
      <c r="U582" s="413"/>
      <c r="V582" s="63"/>
      <c r="W582" s="63"/>
      <c r="X582" s="63"/>
      <c r="Y582" s="63"/>
      <c r="Z582" s="413"/>
      <c r="AA582" s="63"/>
      <c r="AB582" s="63"/>
      <c r="AC582" s="63"/>
      <c r="AD582" s="63"/>
      <c r="AE582" s="413"/>
      <c r="AF582" s="63"/>
      <c r="AG582" s="63"/>
      <c r="AH582" s="63"/>
      <c r="AI582" s="63"/>
      <c r="AJ582" s="413"/>
      <c r="AK582" s="63"/>
      <c r="AL582" s="63"/>
      <c r="AM582" s="63"/>
      <c r="AN582" s="63"/>
      <c r="AO582" s="413"/>
      <c r="AP582" s="63"/>
      <c r="AQ582" s="63"/>
      <c r="AR582" s="63"/>
      <c r="AS582" s="63"/>
      <c r="AT582" s="413"/>
      <c r="AU582" s="63"/>
      <c r="AV582" s="63"/>
      <c r="AW582" s="63"/>
      <c r="AX582" s="63"/>
      <c r="AY582" s="413"/>
      <c r="AZ582" s="63"/>
      <c r="BA582" s="63"/>
      <c r="BB582" s="63"/>
      <c r="BC582" s="63"/>
      <c r="BD582" s="413"/>
      <c r="BE582" s="63"/>
      <c r="BF582" s="63"/>
      <c r="BG582" s="63"/>
      <c r="BH582" s="63"/>
      <c r="BI582" s="413"/>
      <c r="BJ582" s="98">
        <v>-183.80600000000001</v>
      </c>
      <c r="BK582" s="98">
        <v>-213.12299999999999</v>
      </c>
      <c r="BL582" s="98">
        <v>-283.488</v>
      </c>
      <c r="BM582" s="63">
        <f t="shared" si="441"/>
        <v>-446.30900000000003</v>
      </c>
      <c r="BN582" s="410">
        <v>-446.30900000000003</v>
      </c>
      <c r="BO582" s="98">
        <v>-150.15700000000001</v>
      </c>
      <c r="BP582" s="98">
        <v>-270.14400000000001</v>
      </c>
      <c r="BQ582" s="98">
        <v>-350.00299999999999</v>
      </c>
      <c r="BR582" s="63">
        <f t="shared" si="442"/>
        <v>-390.11099999999999</v>
      </c>
      <c r="BS582" s="419">
        <v>-390.11099999999999</v>
      </c>
      <c r="BT582" s="63"/>
      <c r="BU582" s="63"/>
      <c r="BV582" s="63"/>
      <c r="BW582" s="63"/>
      <c r="BX582" s="413"/>
      <c r="BY582" s="63"/>
      <c r="BZ582" s="63"/>
      <c r="CA582" s="63"/>
      <c r="CB582" s="63"/>
      <c r="CC582" s="413"/>
      <c r="CD582" s="413"/>
      <c r="CE582" s="413"/>
      <c r="CF582" s="413"/>
      <c r="CG582" s="99"/>
    </row>
    <row r="583" spans="1:85" ht="14.45" hidden="1" customHeight="1" x14ac:dyDescent="0.25">
      <c r="A583" s="125" t="s">
        <v>608</v>
      </c>
      <c r="B583" s="180"/>
      <c r="C583" s="413"/>
      <c r="D583" s="413"/>
      <c r="E583" s="413"/>
      <c r="F583" s="413"/>
      <c r="G583" s="63"/>
      <c r="H583" s="63"/>
      <c r="I583" s="63"/>
      <c r="J583" s="63"/>
      <c r="K583" s="413"/>
      <c r="L583" s="63"/>
      <c r="M583" s="63"/>
      <c r="N583" s="63"/>
      <c r="O583" s="63"/>
      <c r="P583" s="413"/>
      <c r="Q583" s="63"/>
      <c r="R583" s="63"/>
      <c r="S583" s="63"/>
      <c r="T583" s="63"/>
      <c r="U583" s="413"/>
      <c r="V583" s="63"/>
      <c r="W583" s="63"/>
      <c r="X583" s="63"/>
      <c r="Y583" s="63"/>
      <c r="Z583" s="413"/>
      <c r="AA583" s="63"/>
      <c r="AB583" s="63"/>
      <c r="AC583" s="63"/>
      <c r="AD583" s="63"/>
      <c r="AE583" s="413"/>
      <c r="AF583" s="63"/>
      <c r="AG583" s="63"/>
      <c r="AH583" s="63"/>
      <c r="AI583" s="63"/>
      <c r="AJ583" s="413"/>
      <c r="AK583" s="63"/>
      <c r="AL583" s="63"/>
      <c r="AM583" s="63"/>
      <c r="AN583" s="63"/>
      <c r="AO583" s="413"/>
      <c r="AP583" s="63"/>
      <c r="AQ583" s="63"/>
      <c r="AR583" s="63"/>
      <c r="AS583" s="63"/>
      <c r="AT583" s="413"/>
      <c r="AU583" s="63"/>
      <c r="AV583" s="63"/>
      <c r="AW583" s="63"/>
      <c r="AX583" s="63"/>
      <c r="AY583" s="413"/>
      <c r="AZ583" s="63"/>
      <c r="BA583" s="63"/>
      <c r="BB583" s="63"/>
      <c r="BC583" s="63"/>
      <c r="BD583" s="413"/>
      <c r="BE583" s="63"/>
      <c r="BF583" s="63"/>
      <c r="BG583" s="63"/>
      <c r="BH583" s="63"/>
      <c r="BI583" s="413"/>
      <c r="BJ583" s="98">
        <v>1.1160000000000001</v>
      </c>
      <c r="BK583" s="98">
        <v>16.643000000000001</v>
      </c>
      <c r="BL583" s="98">
        <v>72.231999999999999</v>
      </c>
      <c r="BM583" s="63">
        <f t="shared" si="441"/>
        <v>150.274</v>
      </c>
      <c r="BN583" s="410">
        <v>150.274</v>
      </c>
      <c r="BO583" s="98">
        <v>112.755</v>
      </c>
      <c r="BP583" s="98">
        <v>224.48500000000001</v>
      </c>
      <c r="BQ583" s="98">
        <v>506.64600000000002</v>
      </c>
      <c r="BR583" s="63">
        <f t="shared" si="442"/>
        <v>696.41499999999996</v>
      </c>
      <c r="BS583" s="419">
        <v>696.41499999999996</v>
      </c>
      <c r="BT583" s="63"/>
      <c r="BU583" s="63"/>
      <c r="BV583" s="63"/>
      <c r="BW583" s="63"/>
      <c r="BX583" s="413"/>
      <c r="BY583" s="63"/>
      <c r="BZ583" s="63"/>
      <c r="CA583" s="63"/>
      <c r="CB583" s="63"/>
      <c r="CC583" s="413"/>
      <c r="CD583" s="413"/>
      <c r="CE583" s="413"/>
      <c r="CF583" s="413"/>
      <c r="CG583" s="99"/>
    </row>
    <row r="584" spans="1:85" ht="14.45" hidden="1" customHeight="1" x14ac:dyDescent="0.25">
      <c r="A584" s="125" t="s">
        <v>609</v>
      </c>
      <c r="B584" s="180"/>
      <c r="C584" s="413"/>
      <c r="D584" s="413"/>
      <c r="E584" s="413"/>
      <c r="F584" s="413"/>
      <c r="G584" s="63"/>
      <c r="H584" s="63"/>
      <c r="I584" s="63"/>
      <c r="J584" s="63"/>
      <c r="K584" s="413"/>
      <c r="L584" s="63"/>
      <c r="M584" s="63"/>
      <c r="N584" s="63"/>
      <c r="O584" s="63"/>
      <c r="P584" s="413"/>
      <c r="Q584" s="63"/>
      <c r="R584" s="63"/>
      <c r="S584" s="63"/>
      <c r="T584" s="63"/>
      <c r="U584" s="413"/>
      <c r="V584" s="63"/>
      <c r="W584" s="63"/>
      <c r="X584" s="63"/>
      <c r="Y584" s="63"/>
      <c r="Z584" s="413"/>
      <c r="AA584" s="63"/>
      <c r="AB584" s="63"/>
      <c r="AC584" s="63"/>
      <c r="AD584" s="63"/>
      <c r="AE584" s="413"/>
      <c r="AF584" s="63"/>
      <c r="AG584" s="63"/>
      <c r="AH584" s="63"/>
      <c r="AI584" s="63"/>
      <c r="AJ584" s="413"/>
      <c r="AK584" s="98">
        <v>-4.6539999999999999</v>
      </c>
      <c r="AL584" s="98">
        <v>-4.6539999999999999</v>
      </c>
      <c r="AM584" s="98">
        <v>-4.6539999999999999</v>
      </c>
      <c r="AN584" s="63">
        <f t="shared" ref="AN584:AN594" si="443">AO584</f>
        <v>-4.6539999999999999</v>
      </c>
      <c r="AO584" s="410">
        <v>-4.6539999999999999</v>
      </c>
      <c r="AP584" s="63"/>
      <c r="AQ584" s="63"/>
      <c r="AR584" s="63"/>
      <c r="AS584" s="63">
        <f t="shared" ref="AS584:AS594" si="444">AT584</f>
        <v>0</v>
      </c>
      <c r="AT584" s="413"/>
      <c r="AU584" s="98">
        <v>-1.998</v>
      </c>
      <c r="AV584" s="98">
        <v>-1.998</v>
      </c>
      <c r="AW584" s="98">
        <v>-1.998</v>
      </c>
      <c r="AX584" s="63">
        <f t="shared" ref="AX584:AX594" si="445">AY584</f>
        <v>-8.9930000000000003</v>
      </c>
      <c r="AY584" s="410">
        <v>-8.9930000000000003</v>
      </c>
      <c r="AZ584" s="98">
        <v>-30.149000000000001</v>
      </c>
      <c r="BA584" s="98">
        <v>-30.149000000000001</v>
      </c>
      <c r="BB584" s="98">
        <v>-30.149000000000001</v>
      </c>
      <c r="BC584" s="63">
        <f t="shared" ref="BC584:BC594" si="446">BD584</f>
        <v>-30.649000000000001</v>
      </c>
      <c r="BD584" s="410">
        <v>-30.649000000000001</v>
      </c>
      <c r="BE584" s="63"/>
      <c r="BF584" s="63"/>
      <c r="BG584" s="63"/>
      <c r="BH584" s="63">
        <f t="shared" ref="BH584:BH594" si="447">BI584</f>
        <v>0</v>
      </c>
      <c r="BI584" s="413"/>
      <c r="BJ584" s="63"/>
      <c r="BK584" s="63"/>
      <c r="BL584" s="63"/>
      <c r="BM584" s="63">
        <f t="shared" si="441"/>
        <v>0</v>
      </c>
      <c r="BN584" s="413"/>
      <c r="BO584" s="63"/>
      <c r="BP584" s="63"/>
      <c r="BQ584" s="63"/>
      <c r="BR584" s="63">
        <f t="shared" si="442"/>
        <v>0</v>
      </c>
      <c r="BS584" s="425"/>
      <c r="BT584" s="63"/>
      <c r="BU584" s="63"/>
      <c r="BV584" s="63"/>
      <c r="BW584" s="63">
        <f t="shared" ref="BW584:BW594" si="448">BX584</f>
        <v>0</v>
      </c>
      <c r="BX584" s="413"/>
      <c r="BY584" s="63"/>
      <c r="BZ584" s="63"/>
      <c r="CA584" s="63"/>
      <c r="CB584" s="63">
        <f t="shared" ref="CB584:CB594" si="449">CC584</f>
        <v>0</v>
      </c>
      <c r="CC584" s="413"/>
      <c r="CD584" s="413"/>
      <c r="CE584" s="413"/>
      <c r="CF584" s="413"/>
      <c r="CG584" s="99"/>
    </row>
    <row r="585" spans="1:85" ht="14.45" hidden="1" customHeight="1" x14ac:dyDescent="0.25">
      <c r="A585" s="125" t="s">
        <v>610</v>
      </c>
      <c r="B585" s="180"/>
      <c r="C585" s="410">
        <v>8.282</v>
      </c>
      <c r="D585" s="410">
        <v>1.7949999999999999</v>
      </c>
      <c r="E585" s="410">
        <v>1.772</v>
      </c>
      <c r="F585" s="410">
        <v>0.70099999999999996</v>
      </c>
      <c r="G585" s="98">
        <v>4.3019999999999996</v>
      </c>
      <c r="H585" s="98">
        <v>5.6689999999999996</v>
      </c>
      <c r="I585" s="98">
        <v>6.056</v>
      </c>
      <c r="J585" s="99">
        <f>K585</f>
        <v>6.1360000000000001</v>
      </c>
      <c r="K585" s="410">
        <v>6.1360000000000001</v>
      </c>
      <c r="L585" s="98">
        <v>0.95799999999999996</v>
      </c>
      <c r="M585" s="98">
        <v>1.0609999999999999</v>
      </c>
      <c r="N585" s="98">
        <v>1.212</v>
      </c>
      <c r="O585" s="99">
        <f>P585</f>
        <v>1.7010000000000001</v>
      </c>
      <c r="P585" s="410">
        <v>1.7010000000000001</v>
      </c>
      <c r="Q585" s="98">
        <v>0.11799999999999999</v>
      </c>
      <c r="R585" s="98">
        <v>0.14399999999999999</v>
      </c>
      <c r="S585" s="98">
        <v>0.27400000000000002</v>
      </c>
      <c r="T585" s="99">
        <f>U585</f>
        <v>1.891</v>
      </c>
      <c r="U585" s="410">
        <v>1.891</v>
      </c>
      <c r="V585" s="98">
        <v>0.13100000000000001</v>
      </c>
      <c r="W585" s="98">
        <v>0.28199999999999997</v>
      </c>
      <c r="X585" s="98">
        <v>0.33300000000000002</v>
      </c>
      <c r="Y585" s="63">
        <f>Z585</f>
        <v>1.0720000000000001</v>
      </c>
      <c r="Z585" s="410">
        <v>1.0720000000000001</v>
      </c>
      <c r="AA585" s="98">
        <v>0.21099999999999999</v>
      </c>
      <c r="AB585" s="98">
        <v>0.38400000000000001</v>
      </c>
      <c r="AC585" s="98">
        <v>0.49299999999999999</v>
      </c>
      <c r="AD585" s="63">
        <f t="shared" ref="AD585:AD594" si="450">AE585</f>
        <v>0.60799999999999998</v>
      </c>
      <c r="AE585" s="410">
        <v>0.60799999999999998</v>
      </c>
      <c r="AF585" s="98">
        <v>2.8940000000000001</v>
      </c>
      <c r="AG585" s="98">
        <v>3.0470000000000002</v>
      </c>
      <c r="AH585" s="98">
        <v>3.5550000000000002</v>
      </c>
      <c r="AI585" s="63">
        <f t="shared" ref="AI585:AI594" si="451">AJ585</f>
        <v>5.2590000000000003</v>
      </c>
      <c r="AJ585" s="410">
        <v>5.2590000000000003</v>
      </c>
      <c r="AK585" s="98">
        <v>0.68100000000000005</v>
      </c>
      <c r="AL585" s="98">
        <v>0.82299999999999995</v>
      </c>
      <c r="AM585" s="98">
        <v>1.028</v>
      </c>
      <c r="AN585" s="63">
        <f t="shared" si="443"/>
        <v>4.0640000000000001</v>
      </c>
      <c r="AO585" s="410">
        <v>4.0640000000000001</v>
      </c>
      <c r="AP585" s="98">
        <v>1.6579999999999999</v>
      </c>
      <c r="AQ585" s="98">
        <v>1.764</v>
      </c>
      <c r="AR585" s="98">
        <v>2.3969999999999998</v>
      </c>
      <c r="AS585" s="63">
        <f t="shared" si="444"/>
        <v>3.3849999999999998</v>
      </c>
      <c r="AT585" s="410">
        <v>3.3849999999999998</v>
      </c>
      <c r="AU585" s="98">
        <v>7.3999999999999996E-2</v>
      </c>
      <c r="AV585" s="98">
        <v>1.6779999999999999</v>
      </c>
      <c r="AW585" s="98">
        <v>4.2149999999999999</v>
      </c>
      <c r="AX585" s="63">
        <f t="shared" si="445"/>
        <v>5.274</v>
      </c>
      <c r="AY585" s="410">
        <v>5.274</v>
      </c>
      <c r="AZ585" s="98">
        <v>2.1779999999999999</v>
      </c>
      <c r="BA585" s="98">
        <v>5.2549999999999999</v>
      </c>
      <c r="BB585" s="98">
        <v>5.3479999999999999</v>
      </c>
      <c r="BC585" s="63">
        <f t="shared" si="446"/>
        <v>7.3689999999999998</v>
      </c>
      <c r="BD585" s="410">
        <v>7.3689999999999998</v>
      </c>
      <c r="BE585" s="98">
        <v>0.158</v>
      </c>
      <c r="BF585" s="98">
        <v>0.26700000000000002</v>
      </c>
      <c r="BG585" s="98">
        <v>0.441</v>
      </c>
      <c r="BH585" s="63">
        <f t="shared" si="447"/>
        <v>0.69499999999999995</v>
      </c>
      <c r="BI585" s="410">
        <v>0.69499999999999995</v>
      </c>
      <c r="BJ585" s="98">
        <v>0.1</v>
      </c>
      <c r="BK585" s="98">
        <v>0.25</v>
      </c>
      <c r="BL585" s="98">
        <v>0.42499999999999999</v>
      </c>
      <c r="BM585" s="63">
        <f t="shared" si="441"/>
        <v>0.56899999999999995</v>
      </c>
      <c r="BN585" s="410">
        <v>0.56899999999999995</v>
      </c>
      <c r="BO585" s="98">
        <v>0.157</v>
      </c>
      <c r="BP585" s="98">
        <v>6.2770000000000001</v>
      </c>
      <c r="BQ585" s="98">
        <v>6.3849999999999998</v>
      </c>
      <c r="BR585" s="63">
        <f t="shared" si="442"/>
        <v>6.5940000000000003</v>
      </c>
      <c r="BS585" s="419">
        <v>6.5940000000000003</v>
      </c>
      <c r="BT585" s="63"/>
      <c r="BU585" s="63"/>
      <c r="BV585" s="63"/>
      <c r="BW585" s="63">
        <f t="shared" si="448"/>
        <v>0</v>
      </c>
      <c r="BX585" s="413"/>
      <c r="BY585" s="63"/>
      <c r="BZ585" s="63"/>
      <c r="CA585" s="63"/>
      <c r="CB585" s="63">
        <f t="shared" si="449"/>
        <v>0</v>
      </c>
      <c r="CC585" s="413"/>
      <c r="CD585" s="413"/>
      <c r="CE585" s="413"/>
      <c r="CF585" s="413"/>
      <c r="CG585" s="99"/>
    </row>
    <row r="586" spans="1:85" ht="14.45" hidden="1" customHeight="1" x14ac:dyDescent="0.25">
      <c r="A586" s="125" t="s">
        <v>611</v>
      </c>
      <c r="B586" s="180"/>
      <c r="C586" s="413"/>
      <c r="D586" s="413"/>
      <c r="E586" s="413"/>
      <c r="F586" s="413"/>
      <c r="G586" s="63"/>
      <c r="H586" s="63"/>
      <c r="I586" s="63"/>
      <c r="J586" s="63"/>
      <c r="K586" s="413"/>
      <c r="L586" s="63"/>
      <c r="M586" s="63"/>
      <c r="N586" s="63"/>
      <c r="O586" s="63"/>
      <c r="P586" s="413"/>
      <c r="Q586" s="63"/>
      <c r="R586" s="63"/>
      <c r="S586" s="63"/>
      <c r="T586" s="63"/>
      <c r="U586" s="413"/>
      <c r="V586" s="63"/>
      <c r="W586" s="63"/>
      <c r="X586" s="63"/>
      <c r="Y586" s="63"/>
      <c r="Z586" s="413"/>
      <c r="AA586" s="63"/>
      <c r="AB586" s="98">
        <v>8.4</v>
      </c>
      <c r="AC586" s="98">
        <v>8.4</v>
      </c>
      <c r="AD586" s="63">
        <f t="shared" si="450"/>
        <v>8.4</v>
      </c>
      <c r="AE586" s="410">
        <v>8.4</v>
      </c>
      <c r="AF586" s="63"/>
      <c r="AG586" s="98">
        <v>3.7890000000000001</v>
      </c>
      <c r="AH586" s="98">
        <v>3.7890000000000001</v>
      </c>
      <c r="AI586" s="63">
        <f t="shared" si="451"/>
        <v>3.7890000000000001</v>
      </c>
      <c r="AJ586" s="410">
        <v>3.7890000000000001</v>
      </c>
      <c r="AK586" s="63"/>
      <c r="AL586" s="63"/>
      <c r="AM586" s="63"/>
      <c r="AN586" s="63">
        <f t="shared" si="443"/>
        <v>0</v>
      </c>
      <c r="AO586" s="413"/>
      <c r="AP586" s="63"/>
      <c r="AQ586" s="63"/>
      <c r="AR586" s="63"/>
      <c r="AS586" s="63">
        <f t="shared" si="444"/>
        <v>0</v>
      </c>
      <c r="AT586" s="413"/>
      <c r="AU586" s="63"/>
      <c r="AV586" s="63"/>
      <c r="AW586" s="63"/>
      <c r="AX586" s="63">
        <f t="shared" si="445"/>
        <v>0</v>
      </c>
      <c r="AY586" s="413"/>
      <c r="AZ586" s="63"/>
      <c r="BA586" s="63"/>
      <c r="BB586" s="63"/>
      <c r="BC586" s="63">
        <f t="shared" si="446"/>
        <v>0</v>
      </c>
      <c r="BD586" s="413"/>
      <c r="BE586" s="63"/>
      <c r="BF586" s="63"/>
      <c r="BG586" s="63"/>
      <c r="BH586" s="63">
        <f t="shared" si="447"/>
        <v>0</v>
      </c>
      <c r="BI586" s="413"/>
      <c r="BJ586" s="63"/>
      <c r="BK586" s="63"/>
      <c r="BL586" s="63"/>
      <c r="BM586" s="63">
        <f t="shared" si="441"/>
        <v>0</v>
      </c>
      <c r="BN586" s="413"/>
      <c r="BO586" s="63"/>
      <c r="BP586" s="63"/>
      <c r="BQ586" s="63"/>
      <c r="BR586" s="63">
        <f t="shared" si="442"/>
        <v>0</v>
      </c>
      <c r="BS586" s="425"/>
      <c r="BT586" s="63"/>
      <c r="BU586" s="63"/>
      <c r="BV586" s="63"/>
      <c r="BW586" s="63">
        <f t="shared" si="448"/>
        <v>0</v>
      </c>
      <c r="BX586" s="413"/>
      <c r="BY586" s="63"/>
      <c r="BZ586" s="63"/>
      <c r="CA586" s="63"/>
      <c r="CB586" s="63">
        <f t="shared" si="449"/>
        <v>0</v>
      </c>
      <c r="CC586" s="413"/>
      <c r="CD586" s="413"/>
      <c r="CE586" s="413"/>
      <c r="CF586" s="413"/>
      <c r="CG586" s="99"/>
    </row>
    <row r="587" spans="1:85" ht="14.45" hidden="1" customHeight="1" x14ac:dyDescent="0.25">
      <c r="A587" s="125" t="s">
        <v>612</v>
      </c>
      <c r="B587" s="180"/>
      <c r="C587" s="413"/>
      <c r="D587" s="413"/>
      <c r="E587" s="413"/>
      <c r="F587" s="413"/>
      <c r="G587" s="63"/>
      <c r="H587" s="63"/>
      <c r="I587" s="63"/>
      <c r="J587" s="63"/>
      <c r="K587" s="413"/>
      <c r="L587" s="63"/>
      <c r="M587" s="63"/>
      <c r="N587" s="63"/>
      <c r="O587" s="63"/>
      <c r="P587" s="413"/>
      <c r="Q587" s="63"/>
      <c r="R587" s="63"/>
      <c r="S587" s="63"/>
      <c r="T587" s="63"/>
      <c r="U587" s="413"/>
      <c r="V587" s="63"/>
      <c r="W587" s="63"/>
      <c r="X587" s="63"/>
      <c r="Y587" s="63"/>
      <c r="Z587" s="413"/>
      <c r="AA587" s="63"/>
      <c r="AB587" s="63"/>
      <c r="AC587" s="63"/>
      <c r="AD587" s="63">
        <f t="shared" si="450"/>
        <v>-19.393000000000001</v>
      </c>
      <c r="AE587" s="410">
        <v>-19.393000000000001</v>
      </c>
      <c r="AF587" s="63"/>
      <c r="AG587" s="63"/>
      <c r="AH587" s="63"/>
      <c r="AI587" s="63">
        <f t="shared" si="451"/>
        <v>-13.116</v>
      </c>
      <c r="AJ587" s="410">
        <v>-13.116</v>
      </c>
      <c r="AK587" s="63"/>
      <c r="AL587" s="63"/>
      <c r="AM587" s="63"/>
      <c r="AN587" s="63">
        <f t="shared" si="443"/>
        <v>0</v>
      </c>
      <c r="AO587" s="413"/>
      <c r="AP587" s="63"/>
      <c r="AQ587" s="63"/>
      <c r="AR587" s="63"/>
      <c r="AS587" s="63">
        <f t="shared" si="444"/>
        <v>0</v>
      </c>
      <c r="AT587" s="413"/>
      <c r="AU587" s="63"/>
      <c r="AV587" s="63"/>
      <c r="AW587" s="63"/>
      <c r="AX587" s="63">
        <f t="shared" si="445"/>
        <v>0</v>
      </c>
      <c r="AY587" s="413"/>
      <c r="AZ587" s="63"/>
      <c r="BA587" s="63"/>
      <c r="BB587" s="63"/>
      <c r="BC587" s="63">
        <f t="shared" si="446"/>
        <v>0</v>
      </c>
      <c r="BD587" s="413"/>
      <c r="BE587" s="63"/>
      <c r="BF587" s="63"/>
      <c r="BG587" s="63"/>
      <c r="BH587" s="63">
        <f t="shared" si="447"/>
        <v>0</v>
      </c>
      <c r="BI587" s="413"/>
      <c r="BJ587" s="63"/>
      <c r="BK587" s="63"/>
      <c r="BL587" s="63"/>
      <c r="BM587" s="63">
        <f t="shared" si="441"/>
        <v>0</v>
      </c>
      <c r="BN587" s="413"/>
      <c r="BO587" s="63"/>
      <c r="BP587" s="63"/>
      <c r="BQ587" s="63"/>
      <c r="BR587" s="63">
        <f t="shared" si="442"/>
        <v>0</v>
      </c>
      <c r="BS587" s="425"/>
      <c r="BT587" s="63"/>
      <c r="BU587" s="63"/>
      <c r="BV587" s="63"/>
      <c r="BW587" s="63">
        <f t="shared" si="448"/>
        <v>0</v>
      </c>
      <c r="BX587" s="413"/>
      <c r="BY587" s="63"/>
      <c r="BZ587" s="63"/>
      <c r="CA587" s="63"/>
      <c r="CB587" s="63">
        <f t="shared" si="449"/>
        <v>0</v>
      </c>
      <c r="CC587" s="413"/>
      <c r="CD587" s="413"/>
      <c r="CE587" s="413"/>
      <c r="CF587" s="413"/>
      <c r="CG587" s="99"/>
    </row>
    <row r="588" spans="1:85" ht="14.45" hidden="1" customHeight="1" x14ac:dyDescent="0.25">
      <c r="A588" s="125" t="s">
        <v>434</v>
      </c>
      <c r="B588" s="180"/>
      <c r="C588" s="413"/>
      <c r="D588" s="413"/>
      <c r="E588" s="413"/>
      <c r="F588" s="413"/>
      <c r="G588" s="63"/>
      <c r="H588" s="63"/>
      <c r="I588" s="63"/>
      <c r="J588" s="63"/>
      <c r="K588" s="413"/>
      <c r="L588" s="63"/>
      <c r="M588" s="63"/>
      <c r="N588" s="63"/>
      <c r="O588" s="63"/>
      <c r="P588" s="413"/>
      <c r="Q588" s="63"/>
      <c r="R588" s="63"/>
      <c r="S588" s="63"/>
      <c r="T588" s="63"/>
      <c r="U588" s="413"/>
      <c r="V588" s="63"/>
      <c r="W588" s="63"/>
      <c r="X588" s="63"/>
      <c r="Y588" s="63"/>
      <c r="Z588" s="413"/>
      <c r="AA588" s="63"/>
      <c r="AB588" s="63"/>
      <c r="AC588" s="63"/>
      <c r="AD588" s="63">
        <f t="shared" si="450"/>
        <v>12.364000000000001</v>
      </c>
      <c r="AE588" s="410">
        <v>12.364000000000001</v>
      </c>
      <c r="AF588" s="63"/>
      <c r="AG588" s="63"/>
      <c r="AH588" s="63"/>
      <c r="AI588" s="63">
        <f t="shared" si="451"/>
        <v>0</v>
      </c>
      <c r="AJ588" s="413"/>
      <c r="AK588" s="63"/>
      <c r="AL588" s="63"/>
      <c r="AM588" s="63"/>
      <c r="AN588" s="63">
        <f t="shared" si="443"/>
        <v>0</v>
      </c>
      <c r="AO588" s="413"/>
      <c r="AP588" s="63"/>
      <c r="AQ588" s="63"/>
      <c r="AR588" s="63"/>
      <c r="AS588" s="63">
        <f t="shared" si="444"/>
        <v>0</v>
      </c>
      <c r="AT588" s="413"/>
      <c r="AU588" s="63"/>
      <c r="AV588" s="63"/>
      <c r="AW588" s="63"/>
      <c r="AX588" s="63">
        <f t="shared" si="445"/>
        <v>0</v>
      </c>
      <c r="AY588" s="413"/>
      <c r="AZ588" s="63"/>
      <c r="BA588" s="63"/>
      <c r="BB588" s="63"/>
      <c r="BC588" s="63">
        <f t="shared" si="446"/>
        <v>0</v>
      </c>
      <c r="BD588" s="413"/>
      <c r="BE588" s="63"/>
      <c r="BF588" s="63"/>
      <c r="BG588" s="63"/>
      <c r="BH588" s="63">
        <f t="shared" si="447"/>
        <v>0</v>
      </c>
      <c r="BI588" s="413"/>
      <c r="BJ588" s="63"/>
      <c r="BK588" s="63"/>
      <c r="BL588" s="63"/>
      <c r="BM588" s="63">
        <f t="shared" si="441"/>
        <v>0</v>
      </c>
      <c r="BN588" s="413"/>
      <c r="BO588" s="63"/>
      <c r="BP588" s="63"/>
      <c r="BQ588" s="63"/>
      <c r="BR588" s="63">
        <f t="shared" si="442"/>
        <v>0</v>
      </c>
      <c r="BS588" s="425"/>
      <c r="BT588" s="63"/>
      <c r="BU588" s="63"/>
      <c r="BV588" s="63"/>
      <c r="BW588" s="63">
        <f t="shared" si="448"/>
        <v>0</v>
      </c>
      <c r="BX588" s="413"/>
      <c r="BY588" s="63"/>
      <c r="BZ588" s="63"/>
      <c r="CA588" s="63"/>
      <c r="CB588" s="63">
        <f t="shared" si="449"/>
        <v>0</v>
      </c>
      <c r="CC588" s="413"/>
      <c r="CD588" s="413"/>
      <c r="CE588" s="413"/>
      <c r="CF588" s="413"/>
      <c r="CG588" s="99"/>
    </row>
    <row r="589" spans="1:85" ht="14.45" hidden="1" customHeight="1" x14ac:dyDescent="0.25">
      <c r="A589" s="125" t="s">
        <v>613</v>
      </c>
      <c r="B589" s="180"/>
      <c r="C589" s="413"/>
      <c r="D589" s="410">
        <v>1.4179999999999999</v>
      </c>
      <c r="E589" s="413"/>
      <c r="F589" s="413"/>
      <c r="G589" s="63"/>
      <c r="H589" s="63"/>
      <c r="I589" s="63"/>
      <c r="J589" s="99">
        <f>K589</f>
        <v>0</v>
      </c>
      <c r="K589" s="413"/>
      <c r="L589" s="63"/>
      <c r="M589" s="63"/>
      <c r="N589" s="98">
        <v>0</v>
      </c>
      <c r="O589" s="99">
        <f>P589</f>
        <v>0</v>
      </c>
      <c r="P589" s="410">
        <v>0</v>
      </c>
      <c r="Q589" s="63"/>
      <c r="R589" s="63"/>
      <c r="S589" s="98">
        <v>26.36</v>
      </c>
      <c r="T589" s="99">
        <f>U589</f>
        <v>26.36</v>
      </c>
      <c r="U589" s="410">
        <v>26.36</v>
      </c>
      <c r="V589" s="63"/>
      <c r="W589" s="63"/>
      <c r="X589" s="63"/>
      <c r="Y589" s="63">
        <f>Z589</f>
        <v>0</v>
      </c>
      <c r="Z589" s="413"/>
      <c r="AA589" s="63"/>
      <c r="AB589" s="63"/>
      <c r="AC589" s="63"/>
      <c r="AD589" s="63">
        <f t="shared" si="450"/>
        <v>0</v>
      </c>
      <c r="AE589" s="413"/>
      <c r="AF589" s="63"/>
      <c r="AG589" s="63"/>
      <c r="AH589" s="63"/>
      <c r="AI589" s="63">
        <f t="shared" si="451"/>
        <v>0</v>
      </c>
      <c r="AJ589" s="413"/>
      <c r="AK589" s="63"/>
      <c r="AL589" s="63"/>
      <c r="AM589" s="63"/>
      <c r="AN589" s="63">
        <f t="shared" si="443"/>
        <v>0</v>
      </c>
      <c r="AO589" s="413"/>
      <c r="AP589" s="63"/>
      <c r="AQ589" s="63"/>
      <c r="AR589" s="63"/>
      <c r="AS589" s="63">
        <f t="shared" si="444"/>
        <v>0</v>
      </c>
      <c r="AT589" s="413"/>
      <c r="AU589" s="63"/>
      <c r="AV589" s="63"/>
      <c r="AW589" s="63"/>
      <c r="AX589" s="63">
        <f t="shared" si="445"/>
        <v>0</v>
      </c>
      <c r="AY589" s="413"/>
      <c r="AZ589" s="63"/>
      <c r="BA589" s="63"/>
      <c r="BB589" s="63"/>
      <c r="BC589" s="63">
        <f t="shared" si="446"/>
        <v>0</v>
      </c>
      <c r="BD589" s="413"/>
      <c r="BE589" s="63"/>
      <c r="BF589" s="63"/>
      <c r="BG589" s="63"/>
      <c r="BH589" s="63">
        <f t="shared" si="447"/>
        <v>0</v>
      </c>
      <c r="BI589" s="413"/>
      <c r="BJ589" s="63"/>
      <c r="BK589" s="63"/>
      <c r="BL589" s="63"/>
      <c r="BM589" s="63">
        <f t="shared" si="441"/>
        <v>0</v>
      </c>
      <c r="BN589" s="413"/>
      <c r="BO589" s="63"/>
      <c r="BP589" s="63"/>
      <c r="BQ589" s="63"/>
      <c r="BR589" s="63">
        <f t="shared" si="442"/>
        <v>0</v>
      </c>
      <c r="BS589" s="425"/>
      <c r="BT589" s="63"/>
      <c r="BU589" s="63"/>
      <c r="BV589" s="63"/>
      <c r="BW589" s="63">
        <f t="shared" si="448"/>
        <v>0</v>
      </c>
      <c r="BX589" s="413"/>
      <c r="BY589" s="63"/>
      <c r="BZ589" s="63"/>
      <c r="CA589" s="63"/>
      <c r="CB589" s="63">
        <f t="shared" si="449"/>
        <v>0</v>
      </c>
      <c r="CC589" s="413"/>
      <c r="CD589" s="413"/>
      <c r="CE589" s="413"/>
      <c r="CF589" s="413"/>
      <c r="CG589" s="99"/>
    </row>
    <row r="590" spans="1:85" ht="14.45" hidden="1" customHeight="1" x14ac:dyDescent="0.25">
      <c r="A590" s="125" t="s">
        <v>614</v>
      </c>
      <c r="B590" s="180"/>
      <c r="C590" s="413"/>
      <c r="D590" s="413"/>
      <c r="E590" s="413"/>
      <c r="F590" s="413"/>
      <c r="G590" s="63"/>
      <c r="H590" s="63"/>
      <c r="I590" s="63"/>
      <c r="J590" s="63"/>
      <c r="K590" s="413"/>
      <c r="L590" s="63"/>
      <c r="M590" s="63"/>
      <c r="N590" s="63"/>
      <c r="O590" s="63"/>
      <c r="P590" s="413"/>
      <c r="Q590" s="63"/>
      <c r="R590" s="63"/>
      <c r="S590" s="63"/>
      <c r="T590" s="63"/>
      <c r="U590" s="413"/>
      <c r="V590" s="63"/>
      <c r="W590" s="63"/>
      <c r="X590" s="63"/>
      <c r="Y590" s="63"/>
      <c r="Z590" s="413"/>
      <c r="AA590" s="63"/>
      <c r="AB590" s="63"/>
      <c r="AC590" s="98">
        <v>-56.497999999999998</v>
      </c>
      <c r="AD590" s="63">
        <f t="shared" si="450"/>
        <v>0</v>
      </c>
      <c r="AE590" s="413"/>
      <c r="AF590" s="63"/>
      <c r="AG590" s="63"/>
      <c r="AH590" s="63"/>
      <c r="AI590" s="63">
        <f t="shared" si="451"/>
        <v>0</v>
      </c>
      <c r="AJ590" s="413"/>
      <c r="AK590" s="63"/>
      <c r="AL590" s="63"/>
      <c r="AM590" s="63"/>
      <c r="AN590" s="63">
        <f t="shared" si="443"/>
        <v>0</v>
      </c>
      <c r="AO590" s="413"/>
      <c r="AP590" s="63"/>
      <c r="AQ590" s="63"/>
      <c r="AR590" s="63"/>
      <c r="AS590" s="63">
        <f t="shared" si="444"/>
        <v>0</v>
      </c>
      <c r="AT590" s="413"/>
      <c r="AU590" s="63"/>
      <c r="AV590" s="63"/>
      <c r="AW590" s="63"/>
      <c r="AX590" s="63">
        <f t="shared" si="445"/>
        <v>0</v>
      </c>
      <c r="AY590" s="413"/>
      <c r="AZ590" s="63"/>
      <c r="BA590" s="63"/>
      <c r="BB590" s="63"/>
      <c r="BC590" s="63">
        <f t="shared" si="446"/>
        <v>0</v>
      </c>
      <c r="BD590" s="413"/>
      <c r="BE590" s="63"/>
      <c r="BF590" s="63"/>
      <c r="BG590" s="63"/>
      <c r="BH590" s="63">
        <f t="shared" si="447"/>
        <v>0</v>
      </c>
      <c r="BI590" s="413"/>
      <c r="BJ590" s="63"/>
      <c r="BK590" s="63"/>
      <c r="BL590" s="63"/>
      <c r="BM590" s="63">
        <f t="shared" si="441"/>
        <v>0</v>
      </c>
      <c r="BN590" s="413"/>
      <c r="BO590" s="63"/>
      <c r="BP590" s="63"/>
      <c r="BQ590" s="63"/>
      <c r="BR590" s="63">
        <f t="shared" si="442"/>
        <v>0</v>
      </c>
      <c r="BS590" s="425"/>
      <c r="BT590" s="63"/>
      <c r="BU590" s="63"/>
      <c r="BV590" s="63"/>
      <c r="BW590" s="63">
        <f t="shared" si="448"/>
        <v>0</v>
      </c>
      <c r="BX590" s="413"/>
      <c r="BY590" s="63"/>
      <c r="BZ590" s="63"/>
      <c r="CA590" s="63"/>
      <c r="CB590" s="63">
        <f t="shared" si="449"/>
        <v>0</v>
      </c>
      <c r="CC590" s="413"/>
      <c r="CD590" s="413"/>
      <c r="CE590" s="413"/>
      <c r="CF590" s="413"/>
      <c r="CG590" s="99"/>
    </row>
    <row r="591" spans="1:85" ht="14.45" hidden="1" customHeight="1" x14ac:dyDescent="0.25">
      <c r="A591" s="125" t="s">
        <v>615</v>
      </c>
      <c r="B591" s="180"/>
      <c r="C591" s="413"/>
      <c r="D591" s="413"/>
      <c r="E591" s="413"/>
      <c r="F591" s="413"/>
      <c r="G591" s="63"/>
      <c r="H591" s="63"/>
      <c r="I591" s="63"/>
      <c r="J591" s="63"/>
      <c r="K591" s="413"/>
      <c r="L591" s="63"/>
      <c r="M591" s="63"/>
      <c r="N591" s="63"/>
      <c r="O591" s="63"/>
      <c r="P591" s="413"/>
      <c r="Q591" s="63"/>
      <c r="R591" s="63"/>
      <c r="S591" s="63"/>
      <c r="T591" s="63"/>
      <c r="U591" s="413"/>
      <c r="V591" s="63"/>
      <c r="W591" s="63"/>
      <c r="X591" s="63"/>
      <c r="Y591" s="63"/>
      <c r="Z591" s="413"/>
      <c r="AA591" s="98">
        <v>-15.598000000000001</v>
      </c>
      <c r="AB591" s="98">
        <v>-15.598000000000001</v>
      </c>
      <c r="AC591" s="98">
        <v>-15.598000000000001</v>
      </c>
      <c r="AD591" s="63">
        <f t="shared" si="450"/>
        <v>-15.598000000000001</v>
      </c>
      <c r="AE591" s="410">
        <v>-15.598000000000001</v>
      </c>
      <c r="AF591" s="63"/>
      <c r="AG591" s="63"/>
      <c r="AH591" s="63"/>
      <c r="AI591" s="63">
        <f t="shared" si="451"/>
        <v>0</v>
      </c>
      <c r="AJ591" s="413"/>
      <c r="AK591" s="63"/>
      <c r="AL591" s="63"/>
      <c r="AM591" s="63"/>
      <c r="AN591" s="63">
        <f t="shared" si="443"/>
        <v>0</v>
      </c>
      <c r="AO591" s="413"/>
      <c r="AP591" s="63"/>
      <c r="AQ591" s="63"/>
      <c r="AR591" s="63"/>
      <c r="AS591" s="63">
        <f t="shared" si="444"/>
        <v>0</v>
      </c>
      <c r="AT591" s="413"/>
      <c r="AU591" s="63"/>
      <c r="AV591" s="63"/>
      <c r="AW591" s="63"/>
      <c r="AX591" s="63">
        <f t="shared" si="445"/>
        <v>0</v>
      </c>
      <c r="AY591" s="413"/>
      <c r="AZ591" s="63"/>
      <c r="BA591" s="63"/>
      <c r="BB591" s="63"/>
      <c r="BC591" s="63">
        <f t="shared" si="446"/>
        <v>0</v>
      </c>
      <c r="BD591" s="413"/>
      <c r="BE591" s="63"/>
      <c r="BF591" s="63"/>
      <c r="BG591" s="63"/>
      <c r="BH591" s="63">
        <f t="shared" si="447"/>
        <v>0</v>
      </c>
      <c r="BI591" s="413"/>
      <c r="BJ591" s="63"/>
      <c r="BK591" s="63"/>
      <c r="BL591" s="63"/>
      <c r="BM591" s="63">
        <f t="shared" si="441"/>
        <v>0</v>
      </c>
      <c r="BN591" s="413"/>
      <c r="BO591" s="63"/>
      <c r="BP591" s="63"/>
      <c r="BQ591" s="63"/>
      <c r="BR591" s="63">
        <f t="shared" si="442"/>
        <v>0</v>
      </c>
      <c r="BS591" s="425"/>
      <c r="BT591" s="63"/>
      <c r="BU591" s="63"/>
      <c r="BV591" s="63"/>
      <c r="BW591" s="63">
        <f t="shared" si="448"/>
        <v>0</v>
      </c>
      <c r="BX591" s="413"/>
      <c r="BY591" s="63"/>
      <c r="BZ591" s="63"/>
      <c r="CA591" s="63"/>
      <c r="CB591" s="63">
        <f t="shared" si="449"/>
        <v>0</v>
      </c>
      <c r="CC591" s="413"/>
      <c r="CD591" s="413"/>
      <c r="CE591" s="413"/>
      <c r="CF591" s="413"/>
      <c r="CG591" s="99"/>
    </row>
    <row r="592" spans="1:85" ht="14.45" hidden="1" customHeight="1" x14ac:dyDescent="0.25">
      <c r="A592" s="125" t="s">
        <v>616</v>
      </c>
      <c r="B592" s="180"/>
      <c r="C592" s="413"/>
      <c r="D592" s="413"/>
      <c r="E592" s="413"/>
      <c r="F592" s="413"/>
      <c r="G592" s="63"/>
      <c r="H592" s="63"/>
      <c r="I592" s="63"/>
      <c r="J592" s="99">
        <f>K592</f>
        <v>0</v>
      </c>
      <c r="K592" s="413"/>
      <c r="L592" s="63"/>
      <c r="M592" s="63"/>
      <c r="N592" s="63"/>
      <c r="O592" s="99">
        <f>P592</f>
        <v>0</v>
      </c>
      <c r="P592" s="413"/>
      <c r="Q592" s="98">
        <v>0</v>
      </c>
      <c r="R592" s="63"/>
      <c r="S592" s="63"/>
      <c r="T592" s="99">
        <f>U592</f>
        <v>0</v>
      </c>
      <c r="U592" s="413"/>
      <c r="V592" s="98">
        <v>-1.204</v>
      </c>
      <c r="W592" s="98">
        <v>-6.6340000000000003</v>
      </c>
      <c r="X592" s="98">
        <v>-7.2160000000000002</v>
      </c>
      <c r="Y592" s="63">
        <f>Z592</f>
        <v>-7.875</v>
      </c>
      <c r="Z592" s="410">
        <v>-7.875</v>
      </c>
      <c r="AA592" s="98">
        <v>-0.13400000000000001</v>
      </c>
      <c r="AB592" s="98">
        <v>-1.0009999999999999</v>
      </c>
      <c r="AC592" s="98">
        <v>-1.976</v>
      </c>
      <c r="AD592" s="63">
        <f t="shared" si="450"/>
        <v>-3.6150000000000002</v>
      </c>
      <c r="AE592" s="410">
        <v>-3.6150000000000002</v>
      </c>
      <c r="AF592" s="98">
        <v>-1.07</v>
      </c>
      <c r="AG592" s="98">
        <v>-2.02</v>
      </c>
      <c r="AH592" s="98">
        <v>-2.0979999999999999</v>
      </c>
      <c r="AI592" s="63">
        <f t="shared" si="451"/>
        <v>-2.0979999999999999</v>
      </c>
      <c r="AJ592" s="410">
        <v>-2.0979999999999999</v>
      </c>
      <c r="AK592" s="98">
        <v>-0.48599999999999999</v>
      </c>
      <c r="AL592" s="98">
        <v>-0.48599999999999999</v>
      </c>
      <c r="AM592" s="98">
        <v>-1.7130000000000001</v>
      </c>
      <c r="AN592" s="63">
        <f t="shared" si="443"/>
        <v>-1.7130000000000001</v>
      </c>
      <c r="AO592" s="410">
        <v>-1.7130000000000001</v>
      </c>
      <c r="AP592" s="98">
        <v>-0.89300000000000002</v>
      </c>
      <c r="AQ592" s="98">
        <v>-1.5820000000000001</v>
      </c>
      <c r="AR592" s="98">
        <v>-1.77</v>
      </c>
      <c r="AS592" s="63">
        <f t="shared" si="444"/>
        <v>-1.77</v>
      </c>
      <c r="AT592" s="410">
        <v>-1.77</v>
      </c>
      <c r="AU592" s="98">
        <v>-0.51400000000000001</v>
      </c>
      <c r="AV592" s="98">
        <v>-1.724</v>
      </c>
      <c r="AW592" s="98">
        <v>-2.194</v>
      </c>
      <c r="AX592" s="63">
        <f t="shared" si="445"/>
        <v>-2.5310000000000001</v>
      </c>
      <c r="AY592" s="410">
        <v>-2.5310000000000001</v>
      </c>
      <c r="AZ592" s="98">
        <v>-0.19700000000000001</v>
      </c>
      <c r="BA592" s="98">
        <v>-1.538</v>
      </c>
      <c r="BB592" s="98">
        <v>-1.538</v>
      </c>
      <c r="BC592" s="63">
        <f t="shared" si="446"/>
        <v>-3.0939999999999999</v>
      </c>
      <c r="BD592" s="410">
        <v>-3.0939999999999999</v>
      </c>
      <c r="BE592" s="63"/>
      <c r="BF592" s="98">
        <v>-6.0330000000000004</v>
      </c>
      <c r="BG592" s="98">
        <v>-9.0440000000000005</v>
      </c>
      <c r="BH592" s="63">
        <f t="shared" si="447"/>
        <v>-13.741</v>
      </c>
      <c r="BI592" s="410">
        <v>-13.741</v>
      </c>
      <c r="BJ592" s="98">
        <v>-3.6320000000000001</v>
      </c>
      <c r="BK592" s="98">
        <v>-6.5490000000000004</v>
      </c>
      <c r="BL592" s="98">
        <v>-9.7940000000000005</v>
      </c>
      <c r="BM592" s="63">
        <f t="shared" si="441"/>
        <v>-15.72</v>
      </c>
      <c r="BN592" s="410">
        <v>-15.72</v>
      </c>
      <c r="BO592" s="98">
        <v>-4.5839999999999996</v>
      </c>
      <c r="BP592" s="98">
        <v>-10.593999999999999</v>
      </c>
      <c r="BQ592" s="98">
        <v>-14.709</v>
      </c>
      <c r="BR592" s="63">
        <f t="shared" si="442"/>
        <v>-19.600000000000001</v>
      </c>
      <c r="BS592" s="419">
        <v>-19.600000000000001</v>
      </c>
      <c r="BT592" s="63"/>
      <c r="BU592" s="63"/>
      <c r="BV592" s="63"/>
      <c r="BW592" s="63">
        <f t="shared" si="448"/>
        <v>0</v>
      </c>
      <c r="BX592" s="413"/>
      <c r="BY592" s="63"/>
      <c r="BZ592" s="63"/>
      <c r="CA592" s="63"/>
      <c r="CB592" s="63">
        <f t="shared" si="449"/>
        <v>0</v>
      </c>
      <c r="CC592" s="413"/>
      <c r="CD592" s="413"/>
      <c r="CE592" s="413"/>
      <c r="CF592" s="413"/>
      <c r="CG592" s="99"/>
    </row>
    <row r="593" spans="1:85" ht="14.45" hidden="1" customHeight="1" x14ac:dyDescent="0.25">
      <c r="A593" s="125" t="s">
        <v>617</v>
      </c>
      <c r="B593" s="180"/>
      <c r="C593" s="413"/>
      <c r="D593" s="410">
        <v>-3.2000000000000001E-2</v>
      </c>
      <c r="E593" s="413"/>
      <c r="F593" s="410">
        <v>0</v>
      </c>
      <c r="G593" s="63"/>
      <c r="H593" s="98">
        <v>0</v>
      </c>
      <c r="I593" s="98">
        <v>0</v>
      </c>
      <c r="J593" s="99">
        <f>K593</f>
        <v>0</v>
      </c>
      <c r="K593" s="410">
        <v>0</v>
      </c>
      <c r="L593" s="98">
        <v>0</v>
      </c>
      <c r="M593" s="98">
        <v>-12.163</v>
      </c>
      <c r="N593" s="98">
        <v>-12.163</v>
      </c>
      <c r="O593" s="99">
        <f>P593</f>
        <v>-41.588000000000001</v>
      </c>
      <c r="P593" s="410">
        <v>-41.588000000000001</v>
      </c>
      <c r="Q593" s="98">
        <v>-33.389000000000003</v>
      </c>
      <c r="R593" s="98">
        <v>-51.276000000000003</v>
      </c>
      <c r="S593" s="98">
        <v>-52.738999999999997</v>
      </c>
      <c r="T593" s="99">
        <f>U593</f>
        <v>-81.706999999999994</v>
      </c>
      <c r="U593" s="410">
        <v>-81.706999999999994</v>
      </c>
      <c r="V593" s="98">
        <v>-100.907</v>
      </c>
      <c r="W593" s="98">
        <v>-174.69499999999999</v>
      </c>
      <c r="X593" s="98">
        <v>-174.571</v>
      </c>
      <c r="Y593" s="63">
        <f>Z593</f>
        <v>-272.637</v>
      </c>
      <c r="Z593" s="410">
        <v>-272.637</v>
      </c>
      <c r="AA593" s="98">
        <v>-139.958</v>
      </c>
      <c r="AB593" s="98">
        <v>-227.75899999999999</v>
      </c>
      <c r="AC593" s="98">
        <v>-227.76900000000001</v>
      </c>
      <c r="AD593" s="63">
        <f t="shared" si="450"/>
        <v>-265.06</v>
      </c>
      <c r="AE593" s="410">
        <v>-265.06</v>
      </c>
      <c r="AF593" s="63"/>
      <c r="AG593" s="98">
        <v>4.7060000000000004</v>
      </c>
      <c r="AH593" s="98">
        <v>1.8109999999999999</v>
      </c>
      <c r="AI593" s="63">
        <f t="shared" si="451"/>
        <v>0.45600000000000002</v>
      </c>
      <c r="AJ593" s="410">
        <v>0.45600000000000002</v>
      </c>
      <c r="AK593" s="63"/>
      <c r="AL593" s="63"/>
      <c r="AM593" s="63"/>
      <c r="AN593" s="63">
        <f t="shared" si="443"/>
        <v>0</v>
      </c>
      <c r="AO593" s="413"/>
      <c r="AP593" s="63"/>
      <c r="AQ593" s="63"/>
      <c r="AR593" s="63"/>
      <c r="AS593" s="63">
        <f t="shared" si="444"/>
        <v>0</v>
      </c>
      <c r="AT593" s="413"/>
      <c r="AU593" s="63"/>
      <c r="AV593" s="63"/>
      <c r="AW593" s="63"/>
      <c r="AX593" s="63">
        <f t="shared" si="445"/>
        <v>0</v>
      </c>
      <c r="AY593" s="413"/>
      <c r="AZ593" s="63"/>
      <c r="BA593" s="63"/>
      <c r="BB593" s="63"/>
      <c r="BC593" s="63">
        <f t="shared" si="446"/>
        <v>0</v>
      </c>
      <c r="BD593" s="413"/>
      <c r="BE593" s="63"/>
      <c r="BF593" s="63"/>
      <c r="BG593" s="63"/>
      <c r="BH593" s="63">
        <f t="shared" si="447"/>
        <v>0</v>
      </c>
      <c r="BI593" s="413"/>
      <c r="BJ593" s="63"/>
      <c r="BK593" s="63"/>
      <c r="BL593" s="63"/>
      <c r="BM593" s="63">
        <f t="shared" si="441"/>
        <v>0</v>
      </c>
      <c r="BN593" s="413"/>
      <c r="BO593" s="63"/>
      <c r="BP593" s="63"/>
      <c r="BQ593" s="63"/>
      <c r="BR593" s="63">
        <f t="shared" si="442"/>
        <v>0</v>
      </c>
      <c r="BS593" s="425"/>
      <c r="BT593" s="63"/>
      <c r="BU593" s="63"/>
      <c r="BV593" s="63"/>
      <c r="BW593" s="63">
        <f t="shared" si="448"/>
        <v>0</v>
      </c>
      <c r="BX593" s="413"/>
      <c r="BY593" s="63"/>
      <c r="BZ593" s="63"/>
      <c r="CA593" s="63"/>
      <c r="CB593" s="63">
        <f t="shared" si="449"/>
        <v>0</v>
      </c>
      <c r="CC593" s="413"/>
      <c r="CD593" s="413"/>
      <c r="CE593" s="413"/>
      <c r="CF593" s="413"/>
      <c r="CG593" s="99"/>
    </row>
    <row r="594" spans="1:85" ht="14.45" hidden="1" customHeight="1" x14ac:dyDescent="0.25">
      <c r="A594" s="125" t="s">
        <v>618</v>
      </c>
      <c r="B594" s="180"/>
      <c r="C594" s="410">
        <v>-4.5</v>
      </c>
      <c r="D594" s="410">
        <v>1</v>
      </c>
      <c r="E594" s="410">
        <v>0.5</v>
      </c>
      <c r="F594" s="410">
        <v>3</v>
      </c>
      <c r="G594" s="63"/>
      <c r="H594" s="63"/>
      <c r="I594" s="63"/>
      <c r="J594" s="99">
        <f>K594</f>
        <v>0</v>
      </c>
      <c r="K594" s="410">
        <v>0</v>
      </c>
      <c r="L594" s="63"/>
      <c r="M594" s="63"/>
      <c r="N594" s="63"/>
      <c r="O594" s="99">
        <f>P594</f>
        <v>0</v>
      </c>
      <c r="P594" s="413"/>
      <c r="Q594" s="63"/>
      <c r="R594" s="63"/>
      <c r="S594" s="63"/>
      <c r="T594" s="99">
        <f>U594</f>
        <v>0</v>
      </c>
      <c r="U594" s="413"/>
      <c r="V594" s="63"/>
      <c r="W594" s="63"/>
      <c r="X594" s="63"/>
      <c r="Y594" s="63">
        <f>Z594</f>
        <v>0</v>
      </c>
      <c r="Z594" s="413"/>
      <c r="AA594" s="63"/>
      <c r="AB594" s="63"/>
      <c r="AC594" s="63"/>
      <c r="AD594" s="63">
        <f t="shared" si="450"/>
        <v>0</v>
      </c>
      <c r="AE594" s="413"/>
      <c r="AF594" s="63"/>
      <c r="AG594" s="63"/>
      <c r="AH594" s="63"/>
      <c r="AI594" s="63">
        <f t="shared" si="451"/>
        <v>0</v>
      </c>
      <c r="AJ594" s="413"/>
      <c r="AK594" s="63"/>
      <c r="AL594" s="63"/>
      <c r="AM594" s="63"/>
      <c r="AN594" s="63">
        <f t="shared" si="443"/>
        <v>0</v>
      </c>
      <c r="AO594" s="413"/>
      <c r="AP594" s="63"/>
      <c r="AQ594" s="63"/>
      <c r="AR594" s="63"/>
      <c r="AS594" s="63">
        <f t="shared" si="444"/>
        <v>0</v>
      </c>
      <c r="AT594" s="413"/>
      <c r="AU594" s="63"/>
      <c r="AV594" s="63"/>
      <c r="AW594" s="63"/>
      <c r="AX594" s="63">
        <f t="shared" si="445"/>
        <v>0</v>
      </c>
      <c r="AY594" s="413"/>
      <c r="AZ594" s="63"/>
      <c r="BA594" s="63"/>
      <c r="BB594" s="63"/>
      <c r="BC594" s="63">
        <f t="shared" si="446"/>
        <v>0</v>
      </c>
      <c r="BD594" s="413"/>
      <c r="BE594" s="63"/>
      <c r="BF594" s="63"/>
      <c r="BG594" s="63"/>
      <c r="BH594" s="63">
        <f t="shared" si="447"/>
        <v>0</v>
      </c>
      <c r="BI594" s="413"/>
      <c r="BJ594" s="63"/>
      <c r="BK594" s="63"/>
      <c r="BL594" s="63"/>
      <c r="BM594" s="63">
        <f t="shared" si="441"/>
        <v>0</v>
      </c>
      <c r="BN594" s="413"/>
      <c r="BO594" s="63"/>
      <c r="BP594" s="63"/>
      <c r="BQ594" s="63"/>
      <c r="BR594" s="63">
        <f t="shared" si="442"/>
        <v>0</v>
      </c>
      <c r="BS594" s="425"/>
      <c r="BT594" s="63"/>
      <c r="BU594" s="63"/>
      <c r="BV594" s="63"/>
      <c r="BW594" s="63">
        <f t="shared" si="448"/>
        <v>0</v>
      </c>
      <c r="BX594" s="413"/>
      <c r="BY594" s="63"/>
      <c r="BZ594" s="63"/>
      <c r="CA594" s="63"/>
      <c r="CB594" s="63">
        <f t="shared" si="449"/>
        <v>0</v>
      </c>
      <c r="CC594" s="413"/>
      <c r="CD594" s="413"/>
      <c r="CE594" s="413"/>
      <c r="CF594" s="413"/>
      <c r="CG594" s="99"/>
    </row>
    <row r="595" spans="1:85" ht="14.45" hidden="1" customHeight="1" x14ac:dyDescent="0.25">
      <c r="A595" s="110" t="s">
        <v>619</v>
      </c>
      <c r="B595" s="212"/>
      <c r="C595" s="416">
        <f t="shared" ref="C595:AH595" si="452">SUM(C581:C594)</f>
        <v>-39.557000000000002</v>
      </c>
      <c r="D595" s="416">
        <f t="shared" si="452"/>
        <v>-53.616999999999997</v>
      </c>
      <c r="E595" s="416">
        <f t="shared" si="452"/>
        <v>-50.884</v>
      </c>
      <c r="F595" s="416">
        <f t="shared" si="452"/>
        <v>-49.57</v>
      </c>
      <c r="G595" s="106">
        <f t="shared" si="452"/>
        <v>-16.081</v>
      </c>
      <c r="H595" s="106">
        <f t="shared" si="452"/>
        <v>-27.471</v>
      </c>
      <c r="I595" s="106">
        <f t="shared" si="452"/>
        <v>-39.141000000000005</v>
      </c>
      <c r="J595" s="106">
        <f t="shared" si="452"/>
        <v>-55.295999999999999</v>
      </c>
      <c r="K595" s="416">
        <f t="shared" si="452"/>
        <v>-55.295999999999999</v>
      </c>
      <c r="L595" s="106">
        <f t="shared" si="452"/>
        <v>-16.856000000000002</v>
      </c>
      <c r="M595" s="106">
        <f t="shared" si="452"/>
        <v>-48.135999999999996</v>
      </c>
      <c r="N595" s="106">
        <f t="shared" si="452"/>
        <v>-72.307999999999993</v>
      </c>
      <c r="O595" s="106">
        <f t="shared" si="452"/>
        <v>-124.251</v>
      </c>
      <c r="P595" s="416">
        <f t="shared" si="452"/>
        <v>-124.251</v>
      </c>
      <c r="Q595" s="106">
        <f t="shared" si="452"/>
        <v>-64.113</v>
      </c>
      <c r="R595" s="106">
        <f t="shared" si="452"/>
        <v>-108.27200000000001</v>
      </c>
      <c r="S595" s="106">
        <f t="shared" si="452"/>
        <v>-130.52699999999999</v>
      </c>
      <c r="T595" s="106">
        <f t="shared" si="452"/>
        <v>-217.34300000000002</v>
      </c>
      <c r="U595" s="416">
        <f t="shared" si="452"/>
        <v>-217.34300000000002</v>
      </c>
      <c r="V595" s="106">
        <f t="shared" si="452"/>
        <v>-138.76499999999999</v>
      </c>
      <c r="W595" s="106">
        <f t="shared" si="452"/>
        <v>-260.67200000000003</v>
      </c>
      <c r="X595" s="106">
        <f t="shared" si="452"/>
        <v>-306.053</v>
      </c>
      <c r="Y595" s="159">
        <f t="shared" si="452"/>
        <v>-452.02600000000001</v>
      </c>
      <c r="Z595" s="418">
        <f t="shared" si="452"/>
        <v>-452.02600000000001</v>
      </c>
      <c r="AA595" s="106">
        <f t="shared" si="452"/>
        <v>-197.059</v>
      </c>
      <c r="AB595" s="106">
        <f t="shared" si="452"/>
        <v>-315.18099999999998</v>
      </c>
      <c r="AC595" s="106">
        <f t="shared" si="452"/>
        <v>-407.90100000000001</v>
      </c>
      <c r="AD595" s="159">
        <f t="shared" si="452"/>
        <v>-458.89499999999998</v>
      </c>
      <c r="AE595" s="418">
        <f t="shared" si="452"/>
        <v>-458.89499999999998</v>
      </c>
      <c r="AF595" s="106">
        <f t="shared" si="452"/>
        <v>-40.224000000000004</v>
      </c>
      <c r="AG595" s="106">
        <f t="shared" si="452"/>
        <v>-75.756999999999991</v>
      </c>
      <c r="AH595" s="106">
        <f t="shared" si="452"/>
        <v>-106.047</v>
      </c>
      <c r="AI595" s="159">
        <f t="shared" ref="AI595:BN595" si="453">SUM(AI581:AI594)</f>
        <v>-143.94500000000002</v>
      </c>
      <c r="AJ595" s="418">
        <f t="shared" si="453"/>
        <v>-143.94500000000002</v>
      </c>
      <c r="AK595" s="106">
        <f t="shared" si="453"/>
        <v>-33.774000000000001</v>
      </c>
      <c r="AL595" s="106">
        <f t="shared" si="453"/>
        <v>-61.897999999999996</v>
      </c>
      <c r="AM595" s="106">
        <f t="shared" si="453"/>
        <v>-102.08599999999998</v>
      </c>
      <c r="AN595" s="159">
        <f t="shared" si="453"/>
        <v>-173.67699999999999</v>
      </c>
      <c r="AO595" s="418">
        <f t="shared" si="453"/>
        <v>-173.67699999999999</v>
      </c>
      <c r="AP595" s="106">
        <f t="shared" si="453"/>
        <v>-32.328000000000003</v>
      </c>
      <c r="AQ595" s="106">
        <f t="shared" si="453"/>
        <v>-72.703999999999994</v>
      </c>
      <c r="AR595" s="106">
        <f t="shared" si="453"/>
        <v>-110.08999999999999</v>
      </c>
      <c r="AS595" s="159">
        <f t="shared" si="453"/>
        <v>-200.41900000000001</v>
      </c>
      <c r="AT595" s="418">
        <f t="shared" si="453"/>
        <v>-200.41900000000001</v>
      </c>
      <c r="AU595" s="106">
        <f t="shared" si="453"/>
        <v>-39.642000000000003</v>
      </c>
      <c r="AV595" s="106">
        <f t="shared" si="453"/>
        <v>-82.352000000000018</v>
      </c>
      <c r="AW595" s="106">
        <f t="shared" si="453"/>
        <v>-119.59700000000001</v>
      </c>
      <c r="AX595" s="159">
        <f t="shared" si="453"/>
        <v>-161.94300000000001</v>
      </c>
      <c r="AY595" s="418">
        <f t="shared" si="453"/>
        <v>-161.94300000000001</v>
      </c>
      <c r="AZ595" s="106">
        <f t="shared" si="453"/>
        <v>-132.52100000000002</v>
      </c>
      <c r="BA595" s="106">
        <f t="shared" si="453"/>
        <v>-171.614</v>
      </c>
      <c r="BB595" s="106">
        <f t="shared" si="453"/>
        <v>-210.268</v>
      </c>
      <c r="BC595" s="159">
        <f t="shared" si="453"/>
        <v>-324.98499999999996</v>
      </c>
      <c r="BD595" s="418">
        <f t="shared" si="453"/>
        <v>-324.98499999999996</v>
      </c>
      <c r="BE595" s="106">
        <f t="shared" si="453"/>
        <v>-52.542000000000002</v>
      </c>
      <c r="BF595" s="106">
        <f t="shared" si="453"/>
        <v>-98.659000000000006</v>
      </c>
      <c r="BG595" s="106">
        <f t="shared" si="453"/>
        <v>-160.863</v>
      </c>
      <c r="BH595" s="159">
        <f t="shared" si="453"/>
        <v>-295.34999999999997</v>
      </c>
      <c r="BI595" s="418">
        <f t="shared" si="453"/>
        <v>-295.34999999999997</v>
      </c>
      <c r="BJ595" s="106">
        <f t="shared" si="453"/>
        <v>-263.262</v>
      </c>
      <c r="BK595" s="106">
        <f t="shared" si="453"/>
        <v>-362.17899999999997</v>
      </c>
      <c r="BL595" s="106">
        <f t="shared" si="453"/>
        <v>-507.95800000000003</v>
      </c>
      <c r="BM595" s="159">
        <f t="shared" si="453"/>
        <v>-682.20100000000014</v>
      </c>
      <c r="BN595" s="418">
        <f t="shared" si="453"/>
        <v>-682.20100000000014</v>
      </c>
      <c r="BO595" s="106">
        <f t="shared" ref="BO595:CF595" si="454">SUM(BO581:BO594)</f>
        <v>-139.69500000000002</v>
      </c>
      <c r="BP595" s="106">
        <f t="shared" si="454"/>
        <v>-207.35900000000004</v>
      </c>
      <c r="BQ595" s="106">
        <f t="shared" si="454"/>
        <v>-61.67499999999994</v>
      </c>
      <c r="BR595" s="159">
        <f t="shared" si="454"/>
        <v>-19.016999999999967</v>
      </c>
      <c r="BS595" s="469">
        <f t="shared" si="454"/>
        <v>-19.016999999999967</v>
      </c>
      <c r="BT595" s="159">
        <f t="shared" si="454"/>
        <v>0</v>
      </c>
      <c r="BU595" s="159">
        <f t="shared" si="454"/>
        <v>0</v>
      </c>
      <c r="BV595" s="159">
        <f t="shared" si="454"/>
        <v>0</v>
      </c>
      <c r="BW595" s="159">
        <f t="shared" si="454"/>
        <v>0</v>
      </c>
      <c r="BX595" s="418">
        <f t="shared" si="454"/>
        <v>0</v>
      </c>
      <c r="BY595" s="159">
        <f t="shared" si="454"/>
        <v>0</v>
      </c>
      <c r="BZ595" s="159">
        <f t="shared" si="454"/>
        <v>0</v>
      </c>
      <c r="CA595" s="159">
        <f t="shared" si="454"/>
        <v>0</v>
      </c>
      <c r="CB595" s="159">
        <f t="shared" si="454"/>
        <v>0</v>
      </c>
      <c r="CC595" s="418">
        <f t="shared" si="454"/>
        <v>0</v>
      </c>
      <c r="CD595" s="418">
        <f t="shared" si="454"/>
        <v>0</v>
      </c>
      <c r="CE595" s="418">
        <f t="shared" si="454"/>
        <v>0</v>
      </c>
      <c r="CF595" s="418">
        <f t="shared" si="454"/>
        <v>0</v>
      </c>
      <c r="CG595" s="109"/>
    </row>
    <row r="596" spans="1:85" ht="14.45" hidden="1" customHeight="1" x14ac:dyDescent="0.25">
      <c r="A596" s="111"/>
      <c r="B596" s="211"/>
      <c r="C596" s="423"/>
      <c r="D596" s="423"/>
      <c r="E596" s="423"/>
      <c r="F596" s="423"/>
      <c r="G596" s="112"/>
      <c r="H596" s="112"/>
      <c r="I596" s="112"/>
      <c r="J596" s="112"/>
      <c r="K596" s="423"/>
      <c r="L596" s="112"/>
      <c r="M596" s="112"/>
      <c r="N596" s="112"/>
      <c r="O596" s="112"/>
      <c r="P596" s="423"/>
      <c r="Q596" s="112"/>
      <c r="R596" s="112"/>
      <c r="S596" s="112"/>
      <c r="T596" s="112"/>
      <c r="U596" s="423"/>
      <c r="V596" s="112"/>
      <c r="W596" s="112"/>
      <c r="X596" s="112"/>
      <c r="Y596" s="112"/>
      <c r="Z596" s="423"/>
      <c r="AA596" s="112"/>
      <c r="AB596" s="112"/>
      <c r="AC596" s="112"/>
      <c r="AD596" s="112"/>
      <c r="AE596" s="423"/>
      <c r="AF596" s="112"/>
      <c r="AG596" s="112"/>
      <c r="AH596" s="112"/>
      <c r="AI596" s="112"/>
      <c r="AJ596" s="423"/>
      <c r="AK596" s="112"/>
      <c r="AL596" s="112"/>
      <c r="AM596" s="112"/>
      <c r="AN596" s="112"/>
      <c r="AO596" s="423"/>
      <c r="AP596" s="112"/>
      <c r="AQ596" s="112"/>
      <c r="AR596" s="112"/>
      <c r="AS596" s="112"/>
      <c r="AT596" s="423"/>
      <c r="AU596" s="112"/>
      <c r="AV596" s="112"/>
      <c r="AW596" s="112"/>
      <c r="AX596" s="112"/>
      <c r="AY596" s="423"/>
      <c r="AZ596" s="112"/>
      <c r="BA596" s="112"/>
      <c r="BB596" s="112"/>
      <c r="BC596" s="112"/>
      <c r="BD596" s="423"/>
      <c r="BE596" s="112"/>
      <c r="BF596" s="112"/>
      <c r="BG596" s="112"/>
      <c r="BH596" s="112"/>
      <c r="BI596" s="423"/>
      <c r="BJ596" s="112"/>
      <c r="BK596" s="112"/>
      <c r="BL596" s="112"/>
      <c r="BM596" s="112"/>
      <c r="BN596" s="423"/>
      <c r="BO596" s="112"/>
      <c r="BP596" s="112"/>
      <c r="BQ596" s="112"/>
      <c r="BR596" s="112"/>
      <c r="BS596" s="424"/>
      <c r="BT596" s="112"/>
      <c r="BU596" s="112"/>
      <c r="BV596" s="112"/>
      <c r="BW596" s="112"/>
      <c r="BX596" s="423"/>
      <c r="BY596" s="112"/>
      <c r="BZ596" s="112"/>
      <c r="CA596" s="112"/>
      <c r="CB596" s="112"/>
      <c r="CC596" s="423"/>
      <c r="CD596" s="423"/>
      <c r="CE596" s="423"/>
      <c r="CF596" s="423"/>
      <c r="CG596" s="109"/>
    </row>
    <row r="597" spans="1:85" ht="14.45" hidden="1" customHeight="1" x14ac:dyDescent="0.25">
      <c r="A597" s="135" t="s">
        <v>95</v>
      </c>
      <c r="B597" s="211"/>
      <c r="C597" s="423"/>
      <c r="D597" s="423"/>
      <c r="E597" s="423"/>
      <c r="F597" s="423"/>
      <c r="G597" s="112"/>
      <c r="H597" s="112"/>
      <c r="I597" s="112"/>
      <c r="J597" s="112"/>
      <c r="K597" s="423"/>
      <c r="L597" s="112"/>
      <c r="M597" s="112"/>
      <c r="N597" s="112"/>
      <c r="O597" s="112"/>
      <c r="P597" s="423"/>
      <c r="Q597" s="112"/>
      <c r="R597" s="112"/>
      <c r="S597" s="112"/>
      <c r="T597" s="112"/>
      <c r="U597" s="423"/>
      <c r="V597" s="112"/>
      <c r="W597" s="112"/>
      <c r="X597" s="112"/>
      <c r="Y597" s="112"/>
      <c r="Z597" s="423"/>
      <c r="AA597" s="112"/>
      <c r="AB597" s="112"/>
      <c r="AC597" s="112"/>
      <c r="AD597" s="112"/>
      <c r="AE597" s="423"/>
      <c r="AF597" s="112"/>
      <c r="AG597" s="112"/>
      <c r="AH597" s="112"/>
      <c r="AI597" s="112"/>
      <c r="AJ597" s="423"/>
      <c r="AK597" s="112"/>
      <c r="AL597" s="112"/>
      <c r="AM597" s="112"/>
      <c r="AN597" s="112"/>
      <c r="AO597" s="423"/>
      <c r="AP597" s="112"/>
      <c r="AQ597" s="112"/>
      <c r="AR597" s="112"/>
      <c r="AS597" s="112"/>
      <c r="AT597" s="423"/>
      <c r="AU597" s="112"/>
      <c r="AV597" s="112"/>
      <c r="AW597" s="112"/>
      <c r="AX597" s="112"/>
      <c r="AY597" s="423"/>
      <c r="AZ597" s="112"/>
      <c r="BA597" s="112"/>
      <c r="BB597" s="112"/>
      <c r="BC597" s="112"/>
      <c r="BD597" s="423"/>
      <c r="BE597" s="112"/>
      <c r="BF597" s="112"/>
      <c r="BG597" s="112"/>
      <c r="BH597" s="112"/>
      <c r="BI597" s="423"/>
      <c r="BJ597" s="112"/>
      <c r="BK597" s="112"/>
      <c r="BL597" s="112"/>
      <c r="BM597" s="112"/>
      <c r="BN597" s="423"/>
      <c r="BO597" s="112"/>
      <c r="BP597" s="112"/>
      <c r="BQ597" s="112"/>
      <c r="BR597" s="112"/>
      <c r="BS597" s="424"/>
      <c r="BT597" s="112"/>
      <c r="BU597" s="112"/>
      <c r="BV597" s="112"/>
      <c r="BW597" s="112"/>
      <c r="BX597" s="423"/>
      <c r="BY597" s="112"/>
      <c r="BZ597" s="112"/>
      <c r="CA597" s="112"/>
      <c r="CB597" s="112"/>
      <c r="CC597" s="423"/>
      <c r="CD597" s="423"/>
      <c r="CE597" s="423"/>
      <c r="CF597" s="423"/>
      <c r="CG597" s="109"/>
    </row>
    <row r="598" spans="1:85" ht="14.45" hidden="1" customHeight="1" x14ac:dyDescent="0.25">
      <c r="A598" s="125" t="s">
        <v>620</v>
      </c>
      <c r="B598" s="180"/>
      <c r="C598" s="410">
        <v>108.16</v>
      </c>
      <c r="D598" s="410">
        <v>0</v>
      </c>
      <c r="E598" s="410">
        <v>0</v>
      </c>
      <c r="F598" s="410">
        <v>20</v>
      </c>
      <c r="G598" s="63"/>
      <c r="H598" s="63"/>
      <c r="I598" s="63"/>
      <c r="J598" s="99">
        <f>K598</f>
        <v>0</v>
      </c>
      <c r="K598" s="410">
        <v>0</v>
      </c>
      <c r="L598" s="63"/>
      <c r="M598" s="63"/>
      <c r="N598" s="63"/>
      <c r="O598" s="99">
        <f>P598</f>
        <v>0</v>
      </c>
      <c r="P598" s="410">
        <v>0</v>
      </c>
      <c r="Q598" s="63"/>
      <c r="R598" s="63"/>
      <c r="S598" s="63"/>
      <c r="T598" s="99">
        <f>U598</f>
        <v>349.91300000000001</v>
      </c>
      <c r="U598" s="410">
        <v>349.91300000000001</v>
      </c>
      <c r="V598" s="63"/>
      <c r="W598" s="63"/>
      <c r="X598" s="63"/>
      <c r="Y598" s="63">
        <f>Z598</f>
        <v>0</v>
      </c>
      <c r="Z598" s="413"/>
      <c r="AA598" s="63"/>
      <c r="AB598" s="63"/>
      <c r="AC598" s="63"/>
      <c r="AD598" s="63">
        <f>AE598</f>
        <v>0</v>
      </c>
      <c r="AE598" s="413"/>
      <c r="AF598" s="63"/>
      <c r="AG598" s="63"/>
      <c r="AH598" s="63"/>
      <c r="AI598" s="63">
        <f t="shared" ref="AI598:AI603" si="455">AJ598</f>
        <v>0</v>
      </c>
      <c r="AJ598" s="413"/>
      <c r="AK598" s="63"/>
      <c r="AL598" s="63"/>
      <c r="AM598" s="63"/>
      <c r="AN598" s="63">
        <f t="shared" ref="AN598:AN603" si="456">AO598</f>
        <v>0</v>
      </c>
      <c r="AO598" s="413"/>
      <c r="AP598" s="63"/>
      <c r="AQ598" s="63"/>
      <c r="AR598" s="63"/>
      <c r="AS598" s="63">
        <f t="shared" ref="AS598:AS619" si="457">AT598</f>
        <v>0</v>
      </c>
      <c r="AT598" s="413"/>
      <c r="AU598" s="63"/>
      <c r="AV598" s="63"/>
      <c r="AW598" s="63"/>
      <c r="AX598" s="63">
        <f t="shared" ref="AX598:AX619" si="458">AY598</f>
        <v>0</v>
      </c>
      <c r="AY598" s="413"/>
      <c r="AZ598" s="63"/>
      <c r="BA598" s="63"/>
      <c r="BB598" s="63"/>
      <c r="BC598" s="63">
        <f t="shared" ref="BC598:BC619" si="459">BD598</f>
        <v>0</v>
      </c>
      <c r="BD598" s="413"/>
      <c r="BE598" s="63"/>
      <c r="BF598" s="63"/>
      <c r="BG598" s="63"/>
      <c r="BH598" s="63">
        <f t="shared" ref="BH598:BH619" si="460">BI598</f>
        <v>0</v>
      </c>
      <c r="BI598" s="413"/>
      <c r="BJ598" s="63"/>
      <c r="BK598" s="63"/>
      <c r="BL598" s="63"/>
      <c r="BM598" s="63">
        <f t="shared" ref="BM598:BM619" si="461">BN598</f>
        <v>0</v>
      </c>
      <c r="BN598" s="413"/>
      <c r="BO598" s="63"/>
      <c r="BP598" s="63"/>
      <c r="BQ598" s="63"/>
      <c r="BR598" s="63">
        <f t="shared" ref="BR598:BR619" si="462">BS598</f>
        <v>0</v>
      </c>
      <c r="BS598" s="425"/>
      <c r="BT598" s="63"/>
      <c r="BU598" s="63"/>
      <c r="BV598" s="63"/>
      <c r="BW598" s="63">
        <f t="shared" ref="BW598:BW621" si="463">BX598</f>
        <v>0</v>
      </c>
      <c r="BX598" s="413"/>
      <c r="BY598" s="63"/>
      <c r="BZ598" s="63"/>
      <c r="CA598" s="63"/>
      <c r="CB598" s="63">
        <f t="shared" ref="CB598:CB621" si="464">CC598</f>
        <v>0</v>
      </c>
      <c r="CC598" s="413"/>
      <c r="CD598" s="413"/>
      <c r="CE598" s="413"/>
      <c r="CF598" s="413"/>
      <c r="CG598" s="99"/>
    </row>
    <row r="599" spans="1:85" ht="14.45" hidden="1" customHeight="1" x14ac:dyDescent="0.25">
      <c r="A599" s="125" t="s">
        <v>621</v>
      </c>
      <c r="B599" s="180"/>
      <c r="C599" s="413"/>
      <c r="D599" s="413"/>
      <c r="E599" s="413"/>
      <c r="F599" s="413"/>
      <c r="G599" s="63"/>
      <c r="H599" s="63"/>
      <c r="I599" s="63"/>
      <c r="J599" s="63"/>
      <c r="K599" s="413"/>
      <c r="L599" s="63"/>
      <c r="M599" s="63"/>
      <c r="N599" s="63"/>
      <c r="O599" s="63"/>
      <c r="P599" s="413"/>
      <c r="Q599" s="63"/>
      <c r="R599" s="63"/>
      <c r="S599" s="63"/>
      <c r="T599" s="63"/>
      <c r="U599" s="413"/>
      <c r="V599" s="63"/>
      <c r="W599" s="98">
        <v>300</v>
      </c>
      <c r="X599" s="98">
        <v>300</v>
      </c>
      <c r="Y599" s="63">
        <f>Z599</f>
        <v>300</v>
      </c>
      <c r="Z599" s="410">
        <v>300</v>
      </c>
      <c r="AA599" s="63"/>
      <c r="AB599" s="63"/>
      <c r="AC599" s="63"/>
      <c r="AD599" s="63">
        <f>AE599</f>
        <v>0</v>
      </c>
      <c r="AE599" s="413"/>
      <c r="AF599" s="63"/>
      <c r="AG599" s="63"/>
      <c r="AH599" s="63"/>
      <c r="AI599" s="63">
        <f t="shared" si="455"/>
        <v>0</v>
      </c>
      <c r="AJ599" s="413"/>
      <c r="AK599" s="63"/>
      <c r="AL599" s="63"/>
      <c r="AM599" s="63"/>
      <c r="AN599" s="63">
        <f t="shared" si="456"/>
        <v>0</v>
      </c>
      <c r="AO599" s="413"/>
      <c r="AP599" s="63"/>
      <c r="AQ599" s="63"/>
      <c r="AR599" s="63"/>
      <c r="AS599" s="63">
        <f t="shared" si="457"/>
        <v>0</v>
      </c>
      <c r="AT599" s="413"/>
      <c r="AU599" s="63"/>
      <c r="AV599" s="63"/>
      <c r="AW599" s="98">
        <v>70</v>
      </c>
      <c r="AX599" s="63">
        <f t="shared" si="458"/>
        <v>70</v>
      </c>
      <c r="AY599" s="410">
        <v>70</v>
      </c>
      <c r="AZ599" s="63"/>
      <c r="BA599" s="63"/>
      <c r="BB599" s="63"/>
      <c r="BC599" s="63">
        <f t="shared" si="459"/>
        <v>0</v>
      </c>
      <c r="BD599" s="413"/>
      <c r="BE599" s="63"/>
      <c r="BF599" s="63"/>
      <c r="BG599" s="63"/>
      <c r="BH599" s="63">
        <f t="shared" si="460"/>
        <v>0</v>
      </c>
      <c r="BI599" s="413"/>
      <c r="BJ599" s="63"/>
      <c r="BK599" s="63"/>
      <c r="BL599" s="63"/>
      <c r="BM599" s="63">
        <f t="shared" si="461"/>
        <v>0</v>
      </c>
      <c r="BN599" s="413"/>
      <c r="BO599" s="63"/>
      <c r="BP599" s="63"/>
      <c r="BQ599" s="63"/>
      <c r="BR599" s="63">
        <f t="shared" si="462"/>
        <v>0</v>
      </c>
      <c r="BS599" s="425"/>
      <c r="BT599" s="63"/>
      <c r="BU599" s="63"/>
      <c r="BV599" s="63"/>
      <c r="BW599" s="63">
        <f t="shared" si="463"/>
        <v>0</v>
      </c>
      <c r="BX599" s="413"/>
      <c r="BY599" s="63"/>
      <c r="BZ599" s="63"/>
      <c r="CA599" s="63"/>
      <c r="CB599" s="63">
        <f t="shared" si="464"/>
        <v>0</v>
      </c>
      <c r="CC599" s="413"/>
      <c r="CD599" s="413"/>
      <c r="CE599" s="413"/>
      <c r="CF599" s="413"/>
      <c r="CG599" s="99"/>
    </row>
    <row r="600" spans="1:85" ht="14.45" hidden="1" customHeight="1" x14ac:dyDescent="0.25">
      <c r="A600" s="125" t="s">
        <v>622</v>
      </c>
      <c r="B600" s="180"/>
      <c r="C600" s="413"/>
      <c r="D600" s="413"/>
      <c r="E600" s="410">
        <v>0</v>
      </c>
      <c r="F600" s="410">
        <v>30</v>
      </c>
      <c r="G600" s="98">
        <v>45</v>
      </c>
      <c r="H600" s="98">
        <v>55</v>
      </c>
      <c r="I600" s="98">
        <v>55</v>
      </c>
      <c r="J600" s="99">
        <f>K600</f>
        <v>60</v>
      </c>
      <c r="K600" s="410">
        <v>60</v>
      </c>
      <c r="L600" s="98">
        <v>35</v>
      </c>
      <c r="M600" s="98">
        <v>75</v>
      </c>
      <c r="N600" s="98">
        <v>85</v>
      </c>
      <c r="O600" s="99">
        <f>P600</f>
        <v>191.624</v>
      </c>
      <c r="P600" s="410">
        <v>191.624</v>
      </c>
      <c r="Q600" s="98">
        <v>82</v>
      </c>
      <c r="R600" s="98">
        <v>239</v>
      </c>
      <c r="S600" s="98">
        <v>269</v>
      </c>
      <c r="T600" s="99">
        <f>U600</f>
        <v>334</v>
      </c>
      <c r="U600" s="410">
        <v>334</v>
      </c>
      <c r="V600" s="98">
        <v>140</v>
      </c>
      <c r="W600" s="98">
        <v>310</v>
      </c>
      <c r="X600" s="98">
        <v>310</v>
      </c>
      <c r="Y600" s="63">
        <f>Z600</f>
        <v>410</v>
      </c>
      <c r="Z600" s="410">
        <v>410</v>
      </c>
      <c r="AA600" s="98">
        <v>120</v>
      </c>
      <c r="AB600" s="98">
        <v>238</v>
      </c>
      <c r="AC600" s="98">
        <v>333</v>
      </c>
      <c r="AD600" s="63">
        <f>AE600</f>
        <v>448</v>
      </c>
      <c r="AE600" s="410">
        <v>448</v>
      </c>
      <c r="AF600" s="98">
        <v>170</v>
      </c>
      <c r="AG600" s="98">
        <v>190</v>
      </c>
      <c r="AH600" s="98">
        <v>285</v>
      </c>
      <c r="AI600" s="63">
        <f t="shared" si="455"/>
        <v>356</v>
      </c>
      <c r="AJ600" s="410">
        <v>356</v>
      </c>
      <c r="AK600" s="98">
        <v>131.339</v>
      </c>
      <c r="AL600" s="98">
        <v>206.339</v>
      </c>
      <c r="AM600" s="98">
        <v>331.339</v>
      </c>
      <c r="AN600" s="63">
        <f t="shared" si="456"/>
        <v>515.33900000000006</v>
      </c>
      <c r="AO600" s="410">
        <v>515.33900000000006</v>
      </c>
      <c r="AP600" s="98">
        <v>185</v>
      </c>
      <c r="AQ600" s="98">
        <v>235</v>
      </c>
      <c r="AR600" s="98">
        <v>235</v>
      </c>
      <c r="AS600" s="63">
        <f t="shared" si="457"/>
        <v>235</v>
      </c>
      <c r="AT600" s="410">
        <v>235</v>
      </c>
      <c r="AU600" s="63"/>
      <c r="AV600" s="98">
        <v>55</v>
      </c>
      <c r="AW600" s="98">
        <v>55</v>
      </c>
      <c r="AX600" s="63">
        <f t="shared" si="458"/>
        <v>55</v>
      </c>
      <c r="AY600" s="410">
        <v>55</v>
      </c>
      <c r="AZ600" s="63"/>
      <c r="BA600" s="98">
        <v>0</v>
      </c>
      <c r="BB600" s="63"/>
      <c r="BC600" s="63">
        <f t="shared" si="459"/>
        <v>0</v>
      </c>
      <c r="BD600" s="413"/>
      <c r="BE600" s="63"/>
      <c r="BF600" s="63"/>
      <c r="BG600" s="63"/>
      <c r="BH600" s="63">
        <f t="shared" si="460"/>
        <v>0</v>
      </c>
      <c r="BI600" s="413"/>
      <c r="BJ600" s="63"/>
      <c r="BK600" s="63"/>
      <c r="BL600" s="63"/>
      <c r="BM600" s="63">
        <f t="shared" si="461"/>
        <v>0</v>
      </c>
      <c r="BN600" s="413"/>
      <c r="BO600" s="63"/>
      <c r="BP600" s="63"/>
      <c r="BQ600" s="63"/>
      <c r="BR600" s="63">
        <f t="shared" si="462"/>
        <v>0</v>
      </c>
      <c r="BS600" s="425"/>
      <c r="BT600" s="63"/>
      <c r="BU600" s="63"/>
      <c r="BV600" s="63"/>
      <c r="BW600" s="63">
        <f t="shared" si="463"/>
        <v>0</v>
      </c>
      <c r="BX600" s="413"/>
      <c r="BY600" s="63"/>
      <c r="BZ600" s="63"/>
      <c r="CA600" s="63"/>
      <c r="CB600" s="63">
        <f t="shared" si="464"/>
        <v>0</v>
      </c>
      <c r="CC600" s="413"/>
      <c r="CD600" s="413"/>
      <c r="CE600" s="413"/>
      <c r="CF600" s="413"/>
      <c r="CG600" s="99"/>
    </row>
    <row r="601" spans="1:85" ht="14.45" hidden="1" customHeight="1" x14ac:dyDescent="0.25">
      <c r="A601" s="125" t="s">
        <v>623</v>
      </c>
      <c r="B601" s="180"/>
      <c r="C601" s="410">
        <v>15</v>
      </c>
      <c r="D601" s="410">
        <v>-15</v>
      </c>
      <c r="E601" s="410">
        <v>0</v>
      </c>
      <c r="F601" s="410">
        <v>0</v>
      </c>
      <c r="G601" s="98">
        <v>-10</v>
      </c>
      <c r="H601" s="98">
        <v>-30</v>
      </c>
      <c r="I601" s="98">
        <v>-65</v>
      </c>
      <c r="J601" s="99">
        <f>K601</f>
        <v>-85</v>
      </c>
      <c r="K601" s="410">
        <v>-85</v>
      </c>
      <c r="L601" s="63"/>
      <c r="M601" s="98">
        <v>-20</v>
      </c>
      <c r="N601" s="98">
        <v>-40</v>
      </c>
      <c r="O601" s="99">
        <f>P601</f>
        <v>-125.624</v>
      </c>
      <c r="P601" s="410">
        <v>-125.624</v>
      </c>
      <c r="Q601" s="63"/>
      <c r="R601" s="98">
        <v>-20</v>
      </c>
      <c r="S601" s="98">
        <v>-65</v>
      </c>
      <c r="T601" s="99">
        <f>U601</f>
        <v>-405</v>
      </c>
      <c r="U601" s="410">
        <v>-405</v>
      </c>
      <c r="V601" s="63"/>
      <c r="W601" s="98">
        <v>-235</v>
      </c>
      <c r="X601" s="98">
        <v>-245</v>
      </c>
      <c r="Y601" s="63">
        <f>Z601</f>
        <v>-258</v>
      </c>
      <c r="Z601" s="410">
        <v>-258</v>
      </c>
      <c r="AA601" s="98">
        <v>-150</v>
      </c>
      <c r="AB601" s="98">
        <v>-190</v>
      </c>
      <c r="AC601" s="98">
        <v>-238</v>
      </c>
      <c r="AD601" s="63">
        <f>AE601</f>
        <v>-393</v>
      </c>
      <c r="AE601" s="410">
        <v>-393</v>
      </c>
      <c r="AF601" s="98">
        <v>-197</v>
      </c>
      <c r="AG601" s="98">
        <v>-297</v>
      </c>
      <c r="AH601" s="98">
        <v>-322</v>
      </c>
      <c r="AI601" s="63">
        <f t="shared" si="455"/>
        <v>-483</v>
      </c>
      <c r="AJ601" s="410">
        <v>-483</v>
      </c>
      <c r="AK601" s="98">
        <v>-82.338999999999999</v>
      </c>
      <c r="AL601" s="98">
        <v>-186.339</v>
      </c>
      <c r="AM601" s="98">
        <v>-376.339</v>
      </c>
      <c r="AN601" s="63">
        <f t="shared" si="456"/>
        <v>-550.33900000000006</v>
      </c>
      <c r="AO601" s="410">
        <v>-550.33900000000006</v>
      </c>
      <c r="AP601" s="98">
        <v>-125</v>
      </c>
      <c r="AQ601" s="98">
        <v>-280</v>
      </c>
      <c r="AR601" s="98">
        <v>-280</v>
      </c>
      <c r="AS601" s="63">
        <f t="shared" si="457"/>
        <v>-280</v>
      </c>
      <c r="AT601" s="410">
        <v>-280</v>
      </c>
      <c r="AU601" s="63"/>
      <c r="AV601" s="63"/>
      <c r="AW601" s="98">
        <v>-55</v>
      </c>
      <c r="AX601" s="63">
        <f t="shared" si="458"/>
        <v>-55</v>
      </c>
      <c r="AY601" s="410">
        <v>-55</v>
      </c>
      <c r="AZ601" s="63"/>
      <c r="BA601" s="63"/>
      <c r="BB601" s="63"/>
      <c r="BC601" s="63">
        <f t="shared" si="459"/>
        <v>0</v>
      </c>
      <c r="BD601" s="413"/>
      <c r="BE601" s="63"/>
      <c r="BF601" s="63"/>
      <c r="BG601" s="63"/>
      <c r="BH601" s="63">
        <f t="shared" si="460"/>
        <v>0</v>
      </c>
      <c r="BI601" s="413"/>
      <c r="BJ601" s="63"/>
      <c r="BK601" s="63"/>
      <c r="BL601" s="63"/>
      <c r="BM601" s="63">
        <f t="shared" si="461"/>
        <v>0</v>
      </c>
      <c r="BN601" s="413"/>
      <c r="BO601" s="63"/>
      <c r="BP601" s="63"/>
      <c r="BQ601" s="63"/>
      <c r="BR601" s="63">
        <f t="shared" si="462"/>
        <v>0</v>
      </c>
      <c r="BS601" s="425"/>
      <c r="BT601" s="63"/>
      <c r="BU601" s="63"/>
      <c r="BV601" s="63"/>
      <c r="BW601" s="63">
        <f t="shared" si="463"/>
        <v>0</v>
      </c>
      <c r="BX601" s="413"/>
      <c r="BY601" s="63"/>
      <c r="BZ601" s="63"/>
      <c r="CA601" s="63"/>
      <c r="CB601" s="63">
        <f t="shared" si="464"/>
        <v>0</v>
      </c>
      <c r="CC601" s="413"/>
      <c r="CD601" s="413"/>
      <c r="CE601" s="413"/>
      <c r="CF601" s="413"/>
      <c r="CG601" s="99"/>
    </row>
    <row r="602" spans="1:85" ht="14.45" hidden="1" customHeight="1" x14ac:dyDescent="0.25">
      <c r="A602" s="125" t="s">
        <v>624</v>
      </c>
      <c r="B602" s="180"/>
      <c r="C602" s="410">
        <v>-176.69300000000001</v>
      </c>
      <c r="D602" s="413"/>
      <c r="E602" s="413"/>
      <c r="F602" s="413"/>
      <c r="G602" s="63"/>
      <c r="H602" s="63"/>
      <c r="I602" s="63"/>
      <c r="J602" s="99">
        <f>K602</f>
        <v>0</v>
      </c>
      <c r="K602" s="413"/>
      <c r="L602" s="63"/>
      <c r="M602" s="63"/>
      <c r="N602" s="63"/>
      <c r="O602" s="99">
        <f>P602</f>
        <v>0</v>
      </c>
      <c r="P602" s="413"/>
      <c r="Q602" s="63"/>
      <c r="R602" s="63"/>
      <c r="S602" s="63"/>
      <c r="T602" s="99">
        <f>U602</f>
        <v>0</v>
      </c>
      <c r="U602" s="413"/>
      <c r="V602" s="63"/>
      <c r="W602" s="63"/>
      <c r="X602" s="63"/>
      <c r="Y602" s="63">
        <f>Z602</f>
        <v>0</v>
      </c>
      <c r="Z602" s="413"/>
      <c r="AA602" s="63"/>
      <c r="AB602" s="63"/>
      <c r="AC602" s="63"/>
      <c r="AD602" s="63">
        <f>AE602</f>
        <v>0</v>
      </c>
      <c r="AE602" s="413"/>
      <c r="AF602" s="63"/>
      <c r="AG602" s="63"/>
      <c r="AH602" s="63"/>
      <c r="AI602" s="63">
        <f t="shared" si="455"/>
        <v>0</v>
      </c>
      <c r="AJ602" s="413"/>
      <c r="AK602" s="63"/>
      <c r="AL602" s="63"/>
      <c r="AM602" s="63"/>
      <c r="AN602" s="63">
        <f t="shared" si="456"/>
        <v>0</v>
      </c>
      <c r="AO602" s="413"/>
      <c r="AP602" s="63"/>
      <c r="AQ602" s="63"/>
      <c r="AR602" s="63"/>
      <c r="AS602" s="63">
        <f t="shared" si="457"/>
        <v>0</v>
      </c>
      <c r="AT602" s="413"/>
      <c r="AU602" s="63"/>
      <c r="AV602" s="63"/>
      <c r="AW602" s="63"/>
      <c r="AX602" s="63">
        <f t="shared" si="458"/>
        <v>0</v>
      </c>
      <c r="AY602" s="413"/>
      <c r="AZ602" s="63"/>
      <c r="BA602" s="63"/>
      <c r="BB602" s="63"/>
      <c r="BC602" s="63">
        <f t="shared" si="459"/>
        <v>0</v>
      </c>
      <c r="BD602" s="413"/>
      <c r="BE602" s="63"/>
      <c r="BF602" s="63"/>
      <c r="BG602" s="63"/>
      <c r="BH602" s="63">
        <f t="shared" si="460"/>
        <v>0</v>
      </c>
      <c r="BI602" s="413"/>
      <c r="BJ602" s="63"/>
      <c r="BK602" s="63"/>
      <c r="BL602" s="63"/>
      <c r="BM602" s="63">
        <f t="shared" si="461"/>
        <v>0</v>
      </c>
      <c r="BN602" s="413"/>
      <c r="BO602" s="63"/>
      <c r="BP602" s="63"/>
      <c r="BQ602" s="63"/>
      <c r="BR602" s="63">
        <f t="shared" si="462"/>
        <v>0</v>
      </c>
      <c r="BS602" s="425"/>
      <c r="BT602" s="63"/>
      <c r="BU602" s="63"/>
      <c r="BV602" s="63"/>
      <c r="BW602" s="63">
        <f t="shared" si="463"/>
        <v>0</v>
      </c>
      <c r="BX602" s="413"/>
      <c r="BY602" s="63"/>
      <c r="BZ602" s="63"/>
      <c r="CA602" s="63"/>
      <c r="CB602" s="63">
        <f t="shared" si="464"/>
        <v>0</v>
      </c>
      <c r="CC602" s="413"/>
      <c r="CD602" s="413"/>
      <c r="CE602" s="413"/>
      <c r="CF602" s="413"/>
      <c r="CG602" s="99"/>
    </row>
    <row r="603" spans="1:85" ht="14.45" hidden="1" customHeight="1" x14ac:dyDescent="0.25">
      <c r="A603" s="125" t="s">
        <v>625</v>
      </c>
      <c r="B603" s="180"/>
      <c r="C603" s="413"/>
      <c r="D603" s="413"/>
      <c r="E603" s="413"/>
      <c r="F603" s="413"/>
      <c r="G603" s="63"/>
      <c r="H603" s="63"/>
      <c r="I603" s="63"/>
      <c r="J603" s="63"/>
      <c r="K603" s="413"/>
      <c r="L603" s="63"/>
      <c r="M603" s="63"/>
      <c r="N603" s="63"/>
      <c r="O603" s="63"/>
      <c r="P603" s="413"/>
      <c r="Q603" s="63"/>
      <c r="R603" s="63"/>
      <c r="S603" s="63"/>
      <c r="T603" s="63"/>
      <c r="U603" s="413"/>
      <c r="V603" s="63"/>
      <c r="W603" s="63"/>
      <c r="X603" s="63"/>
      <c r="Y603" s="63"/>
      <c r="Z603" s="413"/>
      <c r="AA603" s="63"/>
      <c r="AB603" s="63"/>
      <c r="AC603" s="63"/>
      <c r="AD603" s="63"/>
      <c r="AE603" s="413"/>
      <c r="AF603" s="63"/>
      <c r="AG603" s="63"/>
      <c r="AH603" s="98">
        <v>-7.5</v>
      </c>
      <c r="AI603" s="63">
        <f t="shared" si="455"/>
        <v>-7.5</v>
      </c>
      <c r="AJ603" s="410">
        <v>-7.5</v>
      </c>
      <c r="AK603" s="98">
        <v>-15</v>
      </c>
      <c r="AL603" s="98">
        <v>-132.5</v>
      </c>
      <c r="AM603" s="98">
        <v>-132.5</v>
      </c>
      <c r="AN603" s="63">
        <f t="shared" si="456"/>
        <v>-140</v>
      </c>
      <c r="AO603" s="410">
        <v>-140</v>
      </c>
      <c r="AP603" s="98">
        <v>-7.5</v>
      </c>
      <c r="AQ603" s="98">
        <v>-15</v>
      </c>
      <c r="AR603" s="98">
        <v>-22.5</v>
      </c>
      <c r="AS603" s="63">
        <f t="shared" si="457"/>
        <v>-45</v>
      </c>
      <c r="AT603" s="410">
        <v>-45</v>
      </c>
      <c r="AU603" s="98">
        <v>-31.25</v>
      </c>
      <c r="AV603" s="98">
        <v>-217.5</v>
      </c>
      <c r="AW603" s="98">
        <v>-217.5</v>
      </c>
      <c r="AX603" s="63">
        <f t="shared" si="458"/>
        <v>-287.5</v>
      </c>
      <c r="AY603" s="410">
        <v>-287.5</v>
      </c>
      <c r="AZ603" s="63"/>
      <c r="BA603" s="98">
        <v>0</v>
      </c>
      <c r="BB603" s="98">
        <v>-125</v>
      </c>
      <c r="BC603" s="63">
        <f t="shared" si="459"/>
        <v>-125</v>
      </c>
      <c r="BD603" s="410">
        <v>-125</v>
      </c>
      <c r="BE603" s="63"/>
      <c r="BF603" s="63"/>
      <c r="BG603" s="63"/>
      <c r="BH603" s="63">
        <f t="shared" si="460"/>
        <v>0</v>
      </c>
      <c r="BI603" s="413"/>
      <c r="BJ603" s="63"/>
      <c r="BK603" s="63"/>
      <c r="BL603" s="63"/>
      <c r="BM603" s="63">
        <f t="shared" si="461"/>
        <v>0</v>
      </c>
      <c r="BN603" s="413"/>
      <c r="BO603" s="63"/>
      <c r="BP603" s="63"/>
      <c r="BQ603" s="63"/>
      <c r="BR603" s="63">
        <f t="shared" si="462"/>
        <v>0</v>
      </c>
      <c r="BS603" s="425"/>
      <c r="BT603" s="63"/>
      <c r="BU603" s="63"/>
      <c r="BV603" s="63"/>
      <c r="BW603" s="63">
        <f t="shared" si="463"/>
        <v>0</v>
      </c>
      <c r="BX603" s="413"/>
      <c r="BY603" s="63"/>
      <c r="BZ603" s="63"/>
      <c r="CA603" s="63"/>
      <c r="CB603" s="63">
        <f t="shared" si="464"/>
        <v>0</v>
      </c>
      <c r="CC603" s="413"/>
      <c r="CD603" s="413"/>
      <c r="CE603" s="413"/>
      <c r="CF603" s="413"/>
      <c r="CG603" s="99"/>
    </row>
    <row r="604" spans="1:85" ht="14.45" hidden="1" customHeight="1" x14ac:dyDescent="0.25">
      <c r="A604" s="125" t="s">
        <v>626</v>
      </c>
      <c r="B604" s="180"/>
      <c r="C604" s="413"/>
      <c r="D604" s="413"/>
      <c r="E604" s="413"/>
      <c r="F604" s="413"/>
      <c r="G604" s="63"/>
      <c r="H604" s="63"/>
      <c r="I604" s="63"/>
      <c r="J604" s="63"/>
      <c r="K604" s="413"/>
      <c r="L604" s="63"/>
      <c r="M604" s="63"/>
      <c r="N604" s="63"/>
      <c r="O604" s="63"/>
      <c r="P604" s="413"/>
      <c r="Q604" s="63"/>
      <c r="R604" s="63"/>
      <c r="S604" s="63"/>
      <c r="T604" s="63"/>
      <c r="U604" s="413"/>
      <c r="V604" s="63"/>
      <c r="W604" s="63"/>
      <c r="X604" s="63"/>
      <c r="Y604" s="63"/>
      <c r="Z604" s="413"/>
      <c r="AA604" s="63"/>
      <c r="AB604" s="63"/>
      <c r="AC604" s="63"/>
      <c r="AD604" s="63"/>
      <c r="AE604" s="413"/>
      <c r="AF604" s="63"/>
      <c r="AG604" s="63"/>
      <c r="AH604" s="63"/>
      <c r="AI604" s="63"/>
      <c r="AJ604" s="413"/>
      <c r="AK604" s="63"/>
      <c r="AL604" s="63"/>
      <c r="AM604" s="63"/>
      <c r="AN604" s="63"/>
      <c r="AO604" s="413"/>
      <c r="AP604" s="63"/>
      <c r="AQ604" s="63"/>
      <c r="AR604" s="63"/>
      <c r="AS604" s="63">
        <f t="shared" si="457"/>
        <v>-100</v>
      </c>
      <c r="AT604" s="410">
        <v>-100</v>
      </c>
      <c r="AU604" s="63"/>
      <c r="AV604" s="63"/>
      <c r="AW604" s="63"/>
      <c r="AX604" s="63">
        <f t="shared" si="458"/>
        <v>0</v>
      </c>
      <c r="AY604" s="413"/>
      <c r="AZ604" s="63"/>
      <c r="BA604" s="63"/>
      <c r="BB604" s="63"/>
      <c r="BC604" s="63">
        <f t="shared" si="459"/>
        <v>0</v>
      </c>
      <c r="BD604" s="413"/>
      <c r="BE604" s="63"/>
      <c r="BF604" s="63"/>
      <c r="BG604" s="63"/>
      <c r="BH604" s="63">
        <f t="shared" si="460"/>
        <v>0</v>
      </c>
      <c r="BI604" s="413"/>
      <c r="BJ604" s="63"/>
      <c r="BK604" s="63"/>
      <c r="BL604" s="63"/>
      <c r="BM604" s="63">
        <f t="shared" si="461"/>
        <v>0</v>
      </c>
      <c r="BN604" s="413"/>
      <c r="BO604" s="63"/>
      <c r="BP604" s="63"/>
      <c r="BQ604" s="63"/>
      <c r="BR604" s="63">
        <f t="shared" si="462"/>
        <v>0</v>
      </c>
      <c r="BS604" s="425"/>
      <c r="BT604" s="63"/>
      <c r="BU604" s="63"/>
      <c r="BV604" s="63"/>
      <c r="BW604" s="63">
        <f t="shared" si="463"/>
        <v>0</v>
      </c>
      <c r="BX604" s="413"/>
      <c r="BY604" s="63"/>
      <c r="BZ604" s="63"/>
      <c r="CA604" s="63"/>
      <c r="CB604" s="63">
        <f t="shared" si="464"/>
        <v>0</v>
      </c>
      <c r="CC604" s="413"/>
      <c r="CD604" s="413"/>
      <c r="CE604" s="413"/>
      <c r="CF604" s="413"/>
      <c r="CG604" s="99"/>
    </row>
    <row r="605" spans="1:85" ht="14.45" hidden="1" customHeight="1" x14ac:dyDescent="0.25">
      <c r="A605" s="125" t="s">
        <v>627</v>
      </c>
      <c r="B605" s="180"/>
      <c r="C605" s="413"/>
      <c r="D605" s="413"/>
      <c r="E605" s="413"/>
      <c r="F605" s="413"/>
      <c r="G605" s="63"/>
      <c r="H605" s="63"/>
      <c r="I605" s="63"/>
      <c r="J605" s="63"/>
      <c r="K605" s="413"/>
      <c r="L605" s="63"/>
      <c r="M605" s="63"/>
      <c r="N605" s="63"/>
      <c r="O605" s="63"/>
      <c r="P605" s="413"/>
      <c r="Q605" s="63"/>
      <c r="R605" s="63"/>
      <c r="S605" s="63"/>
      <c r="T605" s="63"/>
      <c r="U605" s="413"/>
      <c r="V605" s="63"/>
      <c r="W605" s="63"/>
      <c r="X605" s="63"/>
      <c r="Y605" s="63"/>
      <c r="Z605" s="413"/>
      <c r="AA605" s="98">
        <v>125</v>
      </c>
      <c r="AB605" s="98">
        <v>125</v>
      </c>
      <c r="AC605" s="98">
        <v>125</v>
      </c>
      <c r="AD605" s="63">
        <f t="shared" ref="AD605:AD619" si="465">AE605</f>
        <v>125</v>
      </c>
      <c r="AE605" s="410">
        <v>125</v>
      </c>
      <c r="AF605" s="98">
        <v>150</v>
      </c>
      <c r="AG605" s="98">
        <v>150</v>
      </c>
      <c r="AH605" s="98">
        <v>150</v>
      </c>
      <c r="AI605" s="63">
        <f t="shared" ref="AI605:AI619" si="466">AJ605</f>
        <v>150</v>
      </c>
      <c r="AJ605" s="410">
        <v>150</v>
      </c>
      <c r="AK605" s="63"/>
      <c r="AL605" s="98">
        <v>100</v>
      </c>
      <c r="AM605" s="98">
        <v>100</v>
      </c>
      <c r="AN605" s="63">
        <f t="shared" ref="AN605:AN619" si="467">AO605</f>
        <v>100</v>
      </c>
      <c r="AO605" s="410">
        <v>100</v>
      </c>
      <c r="AP605" s="63"/>
      <c r="AQ605" s="63"/>
      <c r="AR605" s="63"/>
      <c r="AS605" s="63">
        <f t="shared" si="457"/>
        <v>0</v>
      </c>
      <c r="AT605" s="413"/>
      <c r="AU605" s="63"/>
      <c r="AV605" s="63"/>
      <c r="AW605" s="63"/>
      <c r="AX605" s="63">
        <f t="shared" si="458"/>
        <v>0</v>
      </c>
      <c r="AY605" s="413"/>
      <c r="AZ605" s="63"/>
      <c r="BA605" s="63"/>
      <c r="BB605" s="63"/>
      <c r="BC605" s="63">
        <f t="shared" si="459"/>
        <v>0</v>
      </c>
      <c r="BD605" s="413"/>
      <c r="BE605" s="63"/>
      <c r="BF605" s="63"/>
      <c r="BG605" s="63"/>
      <c r="BH605" s="63">
        <f t="shared" si="460"/>
        <v>0</v>
      </c>
      <c r="BI605" s="413"/>
      <c r="BJ605" s="63"/>
      <c r="BK605" s="63"/>
      <c r="BL605" s="63"/>
      <c r="BM605" s="63">
        <f t="shared" si="461"/>
        <v>0</v>
      </c>
      <c r="BN605" s="413"/>
      <c r="BO605" s="63"/>
      <c r="BP605" s="63"/>
      <c r="BQ605" s="63"/>
      <c r="BR605" s="63">
        <f t="shared" si="462"/>
        <v>0</v>
      </c>
      <c r="BS605" s="425"/>
      <c r="BT605" s="63"/>
      <c r="BU605" s="63"/>
      <c r="BV605" s="63"/>
      <c r="BW605" s="63">
        <f t="shared" si="463"/>
        <v>0</v>
      </c>
      <c r="BX605" s="413"/>
      <c r="BY605" s="63"/>
      <c r="BZ605" s="63"/>
      <c r="CA605" s="63"/>
      <c r="CB605" s="63">
        <f t="shared" si="464"/>
        <v>0</v>
      </c>
      <c r="CC605" s="413"/>
      <c r="CD605" s="413"/>
      <c r="CE605" s="413"/>
      <c r="CF605" s="413"/>
      <c r="CG605" s="99"/>
    </row>
    <row r="606" spans="1:85" ht="14.45" hidden="1" customHeight="1" x14ac:dyDescent="0.25">
      <c r="A606" s="125" t="s">
        <v>628</v>
      </c>
      <c r="B606" s="180"/>
      <c r="C606" s="413"/>
      <c r="D606" s="410">
        <v>0</v>
      </c>
      <c r="E606" s="410">
        <v>0</v>
      </c>
      <c r="F606" s="410">
        <v>-150</v>
      </c>
      <c r="G606" s="63"/>
      <c r="H606" s="63"/>
      <c r="I606" s="63"/>
      <c r="J606" s="99">
        <f t="shared" ref="J606:J619" si="468">K606</f>
        <v>0</v>
      </c>
      <c r="K606" s="410">
        <v>0</v>
      </c>
      <c r="L606" s="63"/>
      <c r="M606" s="98">
        <v>0</v>
      </c>
      <c r="N606" s="98">
        <v>0</v>
      </c>
      <c r="O606" s="99">
        <f t="shared" ref="O606:O619" si="469">P606</f>
        <v>0</v>
      </c>
      <c r="P606" s="410">
        <v>0</v>
      </c>
      <c r="Q606" s="63"/>
      <c r="R606" s="98">
        <v>-100</v>
      </c>
      <c r="S606" s="98">
        <v>-100</v>
      </c>
      <c r="T606" s="99">
        <f t="shared" ref="T606:T619" si="470">U606</f>
        <v>-100</v>
      </c>
      <c r="U606" s="410">
        <v>-100</v>
      </c>
      <c r="V606" s="63"/>
      <c r="W606" s="98">
        <v>-164.75700000000001</v>
      </c>
      <c r="X606" s="98">
        <v>-164.75700000000001</v>
      </c>
      <c r="Y606" s="63">
        <f t="shared" ref="Y606:Y619" si="471">Z606</f>
        <v>-164.75700000000001</v>
      </c>
      <c r="Z606" s="410">
        <v>-164.75700000000001</v>
      </c>
      <c r="AA606" s="63"/>
      <c r="AB606" s="63"/>
      <c r="AC606" s="63"/>
      <c r="AD606" s="63">
        <f t="shared" si="465"/>
        <v>0</v>
      </c>
      <c r="AE606" s="413"/>
      <c r="AF606" s="63"/>
      <c r="AG606" s="63"/>
      <c r="AH606" s="63"/>
      <c r="AI606" s="63">
        <f t="shared" si="466"/>
        <v>0</v>
      </c>
      <c r="AJ606" s="413"/>
      <c r="AK606" s="63"/>
      <c r="AL606" s="63"/>
      <c r="AM606" s="63"/>
      <c r="AN606" s="63">
        <f t="shared" si="467"/>
        <v>0</v>
      </c>
      <c r="AO606" s="413"/>
      <c r="AP606" s="63"/>
      <c r="AQ606" s="63"/>
      <c r="AR606" s="63"/>
      <c r="AS606" s="63">
        <f t="shared" si="457"/>
        <v>0</v>
      </c>
      <c r="AT606" s="413"/>
      <c r="AU606" s="63"/>
      <c r="AV606" s="63"/>
      <c r="AW606" s="63"/>
      <c r="AX606" s="63">
        <f t="shared" si="458"/>
        <v>0</v>
      </c>
      <c r="AY606" s="413"/>
      <c r="AZ606" s="63"/>
      <c r="BA606" s="63"/>
      <c r="BB606" s="63"/>
      <c r="BC606" s="63">
        <f t="shared" si="459"/>
        <v>0</v>
      </c>
      <c r="BD606" s="413"/>
      <c r="BE606" s="63"/>
      <c r="BF606" s="63"/>
      <c r="BG606" s="63"/>
      <c r="BH606" s="63">
        <f t="shared" si="460"/>
        <v>0</v>
      </c>
      <c r="BI606" s="413"/>
      <c r="BJ606" s="63"/>
      <c r="BK606" s="63"/>
      <c r="BL606" s="63"/>
      <c r="BM606" s="63">
        <f t="shared" si="461"/>
        <v>0</v>
      </c>
      <c r="BN606" s="413"/>
      <c r="BO606" s="63"/>
      <c r="BP606" s="63"/>
      <c r="BQ606" s="63"/>
      <c r="BR606" s="63">
        <f t="shared" si="462"/>
        <v>0</v>
      </c>
      <c r="BS606" s="425"/>
      <c r="BT606" s="63"/>
      <c r="BU606" s="63"/>
      <c r="BV606" s="63"/>
      <c r="BW606" s="63">
        <f t="shared" si="463"/>
        <v>0</v>
      </c>
      <c r="BX606" s="413"/>
      <c r="BY606" s="63"/>
      <c r="BZ606" s="63"/>
      <c r="CA606" s="63"/>
      <c r="CB606" s="63">
        <f t="shared" si="464"/>
        <v>0</v>
      </c>
      <c r="CC606" s="413"/>
      <c r="CD606" s="413"/>
      <c r="CE606" s="413"/>
      <c r="CF606" s="413"/>
      <c r="CG606" s="99"/>
    </row>
    <row r="607" spans="1:85" ht="14.45" hidden="1" customHeight="1" x14ac:dyDescent="0.25">
      <c r="A607" s="125" t="s">
        <v>629</v>
      </c>
      <c r="B607" s="180"/>
      <c r="C607" s="413"/>
      <c r="D607" s="413"/>
      <c r="E607" s="413"/>
      <c r="F607" s="410">
        <v>0</v>
      </c>
      <c r="G607" s="63"/>
      <c r="H607" s="63"/>
      <c r="I607" s="63"/>
      <c r="J607" s="99">
        <f t="shared" si="468"/>
        <v>0</v>
      </c>
      <c r="K607" s="410">
        <v>0</v>
      </c>
      <c r="L607" s="63"/>
      <c r="M607" s="63"/>
      <c r="N607" s="63"/>
      <c r="O607" s="99">
        <f t="shared" si="469"/>
        <v>-20</v>
      </c>
      <c r="P607" s="410">
        <v>-20</v>
      </c>
      <c r="Q607" s="63"/>
      <c r="R607" s="63"/>
      <c r="S607" s="63"/>
      <c r="T607" s="99">
        <f t="shared" si="470"/>
        <v>0</v>
      </c>
      <c r="U607" s="410">
        <v>0</v>
      </c>
      <c r="V607" s="63"/>
      <c r="W607" s="63"/>
      <c r="X607" s="63"/>
      <c r="Y607" s="63">
        <f t="shared" si="471"/>
        <v>0</v>
      </c>
      <c r="Z607" s="413"/>
      <c r="AA607" s="63"/>
      <c r="AB607" s="63"/>
      <c r="AC607" s="63"/>
      <c r="AD607" s="63">
        <f t="shared" si="465"/>
        <v>0</v>
      </c>
      <c r="AE607" s="413"/>
      <c r="AF607" s="63"/>
      <c r="AG607" s="63"/>
      <c r="AH607" s="63"/>
      <c r="AI607" s="63">
        <f t="shared" si="466"/>
        <v>0</v>
      </c>
      <c r="AJ607" s="413"/>
      <c r="AK607" s="63"/>
      <c r="AL607" s="63"/>
      <c r="AM607" s="63"/>
      <c r="AN607" s="63">
        <f t="shared" si="467"/>
        <v>0</v>
      </c>
      <c r="AO607" s="413"/>
      <c r="AP607" s="63"/>
      <c r="AQ607" s="63"/>
      <c r="AR607" s="63"/>
      <c r="AS607" s="63">
        <f t="shared" si="457"/>
        <v>0</v>
      </c>
      <c r="AT607" s="413"/>
      <c r="AU607" s="63"/>
      <c r="AV607" s="63"/>
      <c r="AW607" s="63"/>
      <c r="AX607" s="63">
        <f t="shared" si="458"/>
        <v>0</v>
      </c>
      <c r="AY607" s="413"/>
      <c r="AZ607" s="63"/>
      <c r="BA607" s="63"/>
      <c r="BB607" s="63"/>
      <c r="BC607" s="63">
        <f t="shared" si="459"/>
        <v>0</v>
      </c>
      <c r="BD607" s="413"/>
      <c r="BE607" s="63"/>
      <c r="BF607" s="63"/>
      <c r="BG607" s="63"/>
      <c r="BH607" s="63">
        <f t="shared" si="460"/>
        <v>0</v>
      </c>
      <c r="BI607" s="413"/>
      <c r="BJ607" s="63"/>
      <c r="BK607" s="63"/>
      <c r="BL607" s="63"/>
      <c r="BM607" s="63">
        <f t="shared" si="461"/>
        <v>0</v>
      </c>
      <c r="BN607" s="413"/>
      <c r="BO607" s="63"/>
      <c r="BP607" s="63"/>
      <c r="BQ607" s="63"/>
      <c r="BR607" s="63">
        <f t="shared" si="462"/>
        <v>0</v>
      </c>
      <c r="BS607" s="425"/>
      <c r="BT607" s="63"/>
      <c r="BU607" s="63"/>
      <c r="BV607" s="63"/>
      <c r="BW607" s="63">
        <f t="shared" si="463"/>
        <v>0</v>
      </c>
      <c r="BX607" s="413"/>
      <c r="BY607" s="63"/>
      <c r="BZ607" s="63"/>
      <c r="CA607" s="63"/>
      <c r="CB607" s="63">
        <f t="shared" si="464"/>
        <v>0</v>
      </c>
      <c r="CC607" s="413"/>
      <c r="CD607" s="413"/>
      <c r="CE607" s="413"/>
      <c r="CF607" s="413"/>
      <c r="CG607" s="99"/>
    </row>
    <row r="608" spans="1:85" ht="14.45" hidden="1" customHeight="1" x14ac:dyDescent="0.25">
      <c r="A608" s="125" t="s">
        <v>630</v>
      </c>
      <c r="B608" s="180"/>
      <c r="C608" s="413"/>
      <c r="D608" s="413"/>
      <c r="E608" s="413"/>
      <c r="F608" s="413"/>
      <c r="G608" s="63"/>
      <c r="H608" s="63"/>
      <c r="I608" s="63"/>
      <c r="J608" s="99">
        <f t="shared" si="468"/>
        <v>0</v>
      </c>
      <c r="K608" s="413"/>
      <c r="L608" s="63"/>
      <c r="M608" s="63"/>
      <c r="N608" s="63"/>
      <c r="O608" s="99">
        <f t="shared" si="469"/>
        <v>0</v>
      </c>
      <c r="P608" s="413"/>
      <c r="Q608" s="63"/>
      <c r="R608" s="63"/>
      <c r="S608" s="63"/>
      <c r="T608" s="99">
        <f t="shared" si="470"/>
        <v>0</v>
      </c>
      <c r="U608" s="413"/>
      <c r="V608" s="63"/>
      <c r="W608" s="63"/>
      <c r="X608" s="63"/>
      <c r="Y608" s="63">
        <f t="shared" si="471"/>
        <v>0</v>
      </c>
      <c r="Z608" s="413"/>
      <c r="AA608" s="63"/>
      <c r="AB608" s="63"/>
      <c r="AC608" s="63"/>
      <c r="AD608" s="63">
        <f t="shared" si="465"/>
        <v>0</v>
      </c>
      <c r="AE608" s="413"/>
      <c r="AF608" s="63"/>
      <c r="AG608" s="63"/>
      <c r="AH608" s="63"/>
      <c r="AI608" s="63">
        <f t="shared" si="466"/>
        <v>0</v>
      </c>
      <c r="AJ608" s="413"/>
      <c r="AK608" s="63"/>
      <c r="AL608" s="63"/>
      <c r="AM608" s="63"/>
      <c r="AN608" s="63">
        <f t="shared" si="467"/>
        <v>0</v>
      </c>
      <c r="AO608" s="413"/>
      <c r="AP608" s="63"/>
      <c r="AQ608" s="63"/>
      <c r="AR608" s="63"/>
      <c r="AS608" s="63">
        <f t="shared" si="457"/>
        <v>0</v>
      </c>
      <c r="AT608" s="413"/>
      <c r="AU608" s="63"/>
      <c r="AV608" s="63"/>
      <c r="AW608" s="63"/>
      <c r="AX608" s="63">
        <f t="shared" si="458"/>
        <v>0</v>
      </c>
      <c r="AY608" s="413"/>
      <c r="AZ608" s="63"/>
      <c r="BA608" s="63"/>
      <c r="BB608" s="63"/>
      <c r="BC608" s="63">
        <f t="shared" si="459"/>
        <v>0</v>
      </c>
      <c r="BD608" s="413"/>
      <c r="BE608" s="63"/>
      <c r="BF608" s="63"/>
      <c r="BG608" s="63"/>
      <c r="BH608" s="63">
        <f t="shared" si="460"/>
        <v>0</v>
      </c>
      <c r="BI608" s="413"/>
      <c r="BJ608" s="63"/>
      <c r="BK608" s="63"/>
      <c r="BL608" s="63"/>
      <c r="BM608" s="63">
        <f t="shared" si="461"/>
        <v>0</v>
      </c>
      <c r="BN608" s="413"/>
      <c r="BO608" s="63"/>
      <c r="BP608" s="63"/>
      <c r="BQ608" s="63"/>
      <c r="BR608" s="63">
        <f t="shared" si="462"/>
        <v>1200</v>
      </c>
      <c r="BS608" s="419">
        <v>1200</v>
      </c>
      <c r="BT608" s="63"/>
      <c r="BU608" s="63"/>
      <c r="BV608" s="63"/>
      <c r="BW608" s="63">
        <f t="shared" si="463"/>
        <v>0</v>
      </c>
      <c r="BX608" s="413"/>
      <c r="BY608" s="63"/>
      <c r="BZ608" s="63"/>
      <c r="CA608" s="63"/>
      <c r="CB608" s="63">
        <f t="shared" si="464"/>
        <v>0</v>
      </c>
      <c r="CC608" s="413"/>
      <c r="CD608" s="413"/>
      <c r="CE608" s="413"/>
      <c r="CF608" s="413"/>
      <c r="CG608" s="99"/>
    </row>
    <row r="609" spans="1:85" ht="14.45" hidden="1" customHeight="1" x14ac:dyDescent="0.25">
      <c r="A609" s="125" t="s">
        <v>631</v>
      </c>
      <c r="B609" s="180"/>
      <c r="C609" s="413"/>
      <c r="D609" s="413"/>
      <c r="E609" s="413"/>
      <c r="F609" s="413"/>
      <c r="G609" s="63"/>
      <c r="H609" s="63"/>
      <c r="I609" s="63"/>
      <c r="J609" s="99">
        <f t="shared" si="468"/>
        <v>0</v>
      </c>
      <c r="K609" s="413"/>
      <c r="L609" s="63"/>
      <c r="M609" s="63"/>
      <c r="N609" s="63"/>
      <c r="O609" s="99">
        <f t="shared" si="469"/>
        <v>0</v>
      </c>
      <c r="P609" s="413"/>
      <c r="Q609" s="63"/>
      <c r="R609" s="63"/>
      <c r="S609" s="63"/>
      <c r="T609" s="99">
        <f t="shared" si="470"/>
        <v>0</v>
      </c>
      <c r="U609" s="413"/>
      <c r="V609" s="63"/>
      <c r="W609" s="63"/>
      <c r="X609" s="63"/>
      <c r="Y609" s="63">
        <f t="shared" si="471"/>
        <v>0</v>
      </c>
      <c r="Z609" s="413"/>
      <c r="AA609" s="63"/>
      <c r="AB609" s="63"/>
      <c r="AC609" s="63"/>
      <c r="AD609" s="63">
        <f t="shared" si="465"/>
        <v>0</v>
      </c>
      <c r="AE609" s="413"/>
      <c r="AF609" s="63"/>
      <c r="AG609" s="63"/>
      <c r="AH609" s="63"/>
      <c r="AI609" s="63">
        <f t="shared" si="466"/>
        <v>0</v>
      </c>
      <c r="AJ609" s="413"/>
      <c r="AK609" s="63"/>
      <c r="AL609" s="63"/>
      <c r="AM609" s="63"/>
      <c r="AN609" s="63">
        <f t="shared" si="467"/>
        <v>0</v>
      </c>
      <c r="AO609" s="413"/>
      <c r="AP609" s="63"/>
      <c r="AQ609" s="63"/>
      <c r="AR609" s="63"/>
      <c r="AS609" s="63">
        <f t="shared" si="457"/>
        <v>0</v>
      </c>
      <c r="AT609" s="413"/>
      <c r="AU609" s="63"/>
      <c r="AV609" s="63"/>
      <c r="AW609" s="63"/>
      <c r="AX609" s="63">
        <f t="shared" si="458"/>
        <v>0</v>
      </c>
      <c r="AY609" s="413"/>
      <c r="AZ609" s="63"/>
      <c r="BA609" s="63"/>
      <c r="BB609" s="63"/>
      <c r="BC609" s="63">
        <f t="shared" si="459"/>
        <v>0</v>
      </c>
      <c r="BD609" s="413"/>
      <c r="BE609" s="63"/>
      <c r="BF609" s="63"/>
      <c r="BG609" s="63"/>
      <c r="BH609" s="63">
        <f t="shared" si="460"/>
        <v>0</v>
      </c>
      <c r="BI609" s="413"/>
      <c r="BJ609" s="63"/>
      <c r="BK609" s="63"/>
      <c r="BL609" s="63"/>
      <c r="BM609" s="63">
        <f t="shared" si="461"/>
        <v>0</v>
      </c>
      <c r="BN609" s="413"/>
      <c r="BO609" s="63"/>
      <c r="BP609" s="63"/>
      <c r="BQ609" s="63"/>
      <c r="BR609" s="63">
        <f t="shared" si="462"/>
        <v>950</v>
      </c>
      <c r="BS609" s="419">
        <v>950</v>
      </c>
      <c r="BT609" s="63"/>
      <c r="BU609" s="63"/>
      <c r="BV609" s="63"/>
      <c r="BW609" s="63">
        <f t="shared" si="463"/>
        <v>0</v>
      </c>
      <c r="BX609" s="413"/>
      <c r="BY609" s="63"/>
      <c r="BZ609" s="63"/>
      <c r="CA609" s="63"/>
      <c r="CB609" s="63">
        <f t="shared" si="464"/>
        <v>0</v>
      </c>
      <c r="CC609" s="413"/>
      <c r="CD609" s="413"/>
      <c r="CE609" s="413"/>
      <c r="CF609" s="413"/>
      <c r="CG609" s="99"/>
    </row>
    <row r="610" spans="1:85" ht="14.45" hidden="1" customHeight="1" x14ac:dyDescent="0.25">
      <c r="A610" s="125" t="s">
        <v>632</v>
      </c>
      <c r="B610" s="180"/>
      <c r="C610" s="413"/>
      <c r="D610" s="413"/>
      <c r="E610" s="413"/>
      <c r="F610" s="413"/>
      <c r="G610" s="63"/>
      <c r="H610" s="63"/>
      <c r="I610" s="63"/>
      <c r="J610" s="99">
        <f t="shared" si="468"/>
        <v>0</v>
      </c>
      <c r="K610" s="413"/>
      <c r="L610" s="63"/>
      <c r="M610" s="63"/>
      <c r="N610" s="63"/>
      <c r="O610" s="99">
        <f t="shared" si="469"/>
        <v>0</v>
      </c>
      <c r="P610" s="413"/>
      <c r="Q610" s="63"/>
      <c r="R610" s="63"/>
      <c r="S610" s="63"/>
      <c r="T610" s="99">
        <f t="shared" si="470"/>
        <v>0</v>
      </c>
      <c r="U610" s="413"/>
      <c r="V610" s="63"/>
      <c r="W610" s="63"/>
      <c r="X610" s="63"/>
      <c r="Y610" s="63">
        <f t="shared" si="471"/>
        <v>0</v>
      </c>
      <c r="Z610" s="413"/>
      <c r="AA610" s="63"/>
      <c r="AB610" s="63"/>
      <c r="AC610" s="63"/>
      <c r="AD610" s="63">
        <f t="shared" si="465"/>
        <v>0</v>
      </c>
      <c r="AE610" s="413"/>
      <c r="AF610" s="63"/>
      <c r="AG610" s="63"/>
      <c r="AH610" s="63"/>
      <c r="AI610" s="63">
        <f t="shared" si="466"/>
        <v>0</v>
      </c>
      <c r="AJ610" s="413"/>
      <c r="AK610" s="63"/>
      <c r="AL610" s="63"/>
      <c r="AM610" s="63"/>
      <c r="AN610" s="63">
        <f t="shared" si="467"/>
        <v>0</v>
      </c>
      <c r="AO610" s="413"/>
      <c r="AP610" s="63"/>
      <c r="AQ610" s="63"/>
      <c r="AR610" s="63"/>
      <c r="AS610" s="63">
        <f t="shared" si="457"/>
        <v>0</v>
      </c>
      <c r="AT610" s="413"/>
      <c r="AU610" s="63"/>
      <c r="AV610" s="63"/>
      <c r="AW610" s="63"/>
      <c r="AX610" s="63">
        <f t="shared" si="458"/>
        <v>0</v>
      </c>
      <c r="AY610" s="413"/>
      <c r="AZ610" s="63"/>
      <c r="BA610" s="63"/>
      <c r="BB610" s="63"/>
      <c r="BC610" s="63">
        <f t="shared" si="459"/>
        <v>0</v>
      </c>
      <c r="BD610" s="413"/>
      <c r="BE610" s="63"/>
      <c r="BF610" s="63"/>
      <c r="BG610" s="63"/>
      <c r="BH610" s="63">
        <f t="shared" si="460"/>
        <v>0</v>
      </c>
      <c r="BI610" s="413"/>
      <c r="BJ610" s="63"/>
      <c r="BK610" s="63"/>
      <c r="BL610" s="63"/>
      <c r="BM610" s="63">
        <f t="shared" si="461"/>
        <v>0</v>
      </c>
      <c r="BN610" s="413"/>
      <c r="BO610" s="63"/>
      <c r="BP610" s="63"/>
      <c r="BQ610" s="63"/>
      <c r="BR610" s="63">
        <f t="shared" si="462"/>
        <v>-800</v>
      </c>
      <c r="BS610" s="419">
        <v>-800</v>
      </c>
      <c r="BT610" s="63"/>
      <c r="BU610" s="63"/>
      <c r="BV610" s="63"/>
      <c r="BW610" s="63">
        <f t="shared" si="463"/>
        <v>0</v>
      </c>
      <c r="BX610" s="413"/>
      <c r="BY610" s="63"/>
      <c r="BZ610" s="63"/>
      <c r="CA610" s="63"/>
      <c r="CB610" s="63">
        <f t="shared" si="464"/>
        <v>0</v>
      </c>
      <c r="CC610" s="413"/>
      <c r="CD610" s="413"/>
      <c r="CE610" s="413"/>
      <c r="CF610" s="413"/>
      <c r="CG610" s="99"/>
    </row>
    <row r="611" spans="1:85" ht="14.45" hidden="1" customHeight="1" x14ac:dyDescent="0.25">
      <c r="A611" s="125" t="s">
        <v>633</v>
      </c>
      <c r="B611" s="180"/>
      <c r="C611" s="413"/>
      <c r="D611" s="413"/>
      <c r="E611" s="413"/>
      <c r="F611" s="413"/>
      <c r="G611" s="63"/>
      <c r="H611" s="63"/>
      <c r="I611" s="63"/>
      <c r="J611" s="99">
        <f t="shared" si="468"/>
        <v>0</v>
      </c>
      <c r="K611" s="413"/>
      <c r="L611" s="63"/>
      <c r="M611" s="63"/>
      <c r="N611" s="63"/>
      <c r="O611" s="99">
        <f t="shared" si="469"/>
        <v>0</v>
      </c>
      <c r="P611" s="413"/>
      <c r="Q611" s="63"/>
      <c r="R611" s="63"/>
      <c r="S611" s="63"/>
      <c r="T611" s="99">
        <f t="shared" si="470"/>
        <v>0</v>
      </c>
      <c r="U611" s="413"/>
      <c r="V611" s="63"/>
      <c r="W611" s="63"/>
      <c r="X611" s="63"/>
      <c r="Y611" s="63">
        <f t="shared" si="471"/>
        <v>0</v>
      </c>
      <c r="Z611" s="413"/>
      <c r="AA611" s="63"/>
      <c r="AB611" s="63"/>
      <c r="AC611" s="63"/>
      <c r="AD611" s="63">
        <f t="shared" si="465"/>
        <v>0</v>
      </c>
      <c r="AE611" s="413"/>
      <c r="AF611" s="63"/>
      <c r="AG611" s="63"/>
      <c r="AH611" s="63"/>
      <c r="AI611" s="63">
        <f t="shared" si="466"/>
        <v>0</v>
      </c>
      <c r="AJ611" s="413"/>
      <c r="AK611" s="63"/>
      <c r="AL611" s="63"/>
      <c r="AM611" s="63"/>
      <c r="AN611" s="63">
        <f t="shared" si="467"/>
        <v>0</v>
      </c>
      <c r="AO611" s="413"/>
      <c r="AP611" s="63"/>
      <c r="AQ611" s="63"/>
      <c r="AR611" s="63"/>
      <c r="AS611" s="63">
        <f t="shared" si="457"/>
        <v>0</v>
      </c>
      <c r="AT611" s="413"/>
      <c r="AU611" s="63"/>
      <c r="AV611" s="63"/>
      <c r="AW611" s="63"/>
      <c r="AX611" s="63">
        <f t="shared" si="458"/>
        <v>0</v>
      </c>
      <c r="AY611" s="413"/>
      <c r="AZ611" s="63"/>
      <c r="BA611" s="63"/>
      <c r="BB611" s="63"/>
      <c r="BC611" s="63">
        <f t="shared" si="459"/>
        <v>0</v>
      </c>
      <c r="BD611" s="413"/>
      <c r="BE611" s="63"/>
      <c r="BF611" s="63"/>
      <c r="BG611" s="63"/>
      <c r="BH611" s="63">
        <f t="shared" si="460"/>
        <v>0</v>
      </c>
      <c r="BI611" s="413"/>
      <c r="BJ611" s="63"/>
      <c r="BK611" s="63"/>
      <c r="BL611" s="63"/>
      <c r="BM611" s="63">
        <f t="shared" si="461"/>
        <v>0</v>
      </c>
      <c r="BN611" s="413"/>
      <c r="BO611" s="63"/>
      <c r="BP611" s="63"/>
      <c r="BQ611" s="63"/>
      <c r="BR611" s="63">
        <f t="shared" si="462"/>
        <v>-350</v>
      </c>
      <c r="BS611" s="419">
        <v>-350</v>
      </c>
      <c r="BT611" s="63"/>
      <c r="BU611" s="63"/>
      <c r="BV611" s="63"/>
      <c r="BW611" s="63">
        <f t="shared" si="463"/>
        <v>0</v>
      </c>
      <c r="BX611" s="413"/>
      <c r="BY611" s="63"/>
      <c r="BZ611" s="63"/>
      <c r="CA611" s="63"/>
      <c r="CB611" s="63">
        <f t="shared" si="464"/>
        <v>0</v>
      </c>
      <c r="CC611" s="413"/>
      <c r="CD611" s="413"/>
      <c r="CE611" s="413"/>
      <c r="CF611" s="413"/>
      <c r="CG611" s="99"/>
    </row>
    <row r="612" spans="1:85" ht="14.45" hidden="1" customHeight="1" x14ac:dyDescent="0.25">
      <c r="A612" s="125" t="s">
        <v>634</v>
      </c>
      <c r="B612" s="180"/>
      <c r="C612" s="413"/>
      <c r="D612" s="413"/>
      <c r="E612" s="413"/>
      <c r="F612" s="413"/>
      <c r="G612" s="63"/>
      <c r="H612" s="63"/>
      <c r="I612" s="63"/>
      <c r="J612" s="99">
        <f t="shared" si="468"/>
        <v>0</v>
      </c>
      <c r="K612" s="413"/>
      <c r="L612" s="63"/>
      <c r="M612" s="63"/>
      <c r="N612" s="63"/>
      <c r="O612" s="99">
        <f t="shared" si="469"/>
        <v>0</v>
      </c>
      <c r="P612" s="413"/>
      <c r="Q612" s="63"/>
      <c r="R612" s="63"/>
      <c r="S612" s="63"/>
      <c r="T612" s="99">
        <f t="shared" si="470"/>
        <v>0</v>
      </c>
      <c r="U612" s="413"/>
      <c r="V612" s="63"/>
      <c r="W612" s="63"/>
      <c r="X612" s="63"/>
      <c r="Y612" s="63">
        <f t="shared" si="471"/>
        <v>0</v>
      </c>
      <c r="Z612" s="413"/>
      <c r="AA612" s="63"/>
      <c r="AB612" s="63"/>
      <c r="AC612" s="63"/>
      <c r="AD612" s="63">
        <f t="shared" si="465"/>
        <v>0</v>
      </c>
      <c r="AE612" s="413"/>
      <c r="AF612" s="63"/>
      <c r="AG612" s="63"/>
      <c r="AH612" s="63"/>
      <c r="AI612" s="63">
        <f t="shared" si="466"/>
        <v>0</v>
      </c>
      <c r="AJ612" s="413"/>
      <c r="AK612" s="63"/>
      <c r="AL612" s="63"/>
      <c r="AM612" s="63"/>
      <c r="AN612" s="63">
        <f t="shared" si="467"/>
        <v>0</v>
      </c>
      <c r="AO612" s="413"/>
      <c r="AP612" s="63"/>
      <c r="AQ612" s="63"/>
      <c r="AR612" s="63"/>
      <c r="AS612" s="63">
        <f t="shared" si="457"/>
        <v>0</v>
      </c>
      <c r="AT612" s="413"/>
      <c r="AU612" s="63"/>
      <c r="AV612" s="63"/>
      <c r="AW612" s="63"/>
      <c r="AX612" s="63">
        <f t="shared" si="458"/>
        <v>0</v>
      </c>
      <c r="AY612" s="413"/>
      <c r="AZ612" s="63"/>
      <c r="BA612" s="63"/>
      <c r="BB612" s="63"/>
      <c r="BC612" s="63">
        <f t="shared" si="459"/>
        <v>0</v>
      </c>
      <c r="BD612" s="413"/>
      <c r="BE612" s="63"/>
      <c r="BF612" s="63"/>
      <c r="BG612" s="63"/>
      <c r="BH612" s="63">
        <f t="shared" si="460"/>
        <v>0</v>
      </c>
      <c r="BI612" s="413"/>
      <c r="BJ612" s="63"/>
      <c r="BK612" s="98">
        <v>1200</v>
      </c>
      <c r="BL612" s="98">
        <v>1200</v>
      </c>
      <c r="BM612" s="63">
        <f t="shared" si="461"/>
        <v>1200</v>
      </c>
      <c r="BN612" s="410">
        <v>1200</v>
      </c>
      <c r="BO612" s="63"/>
      <c r="BP612" s="63"/>
      <c r="BQ612" s="63"/>
      <c r="BR612" s="63">
        <f t="shared" si="462"/>
        <v>0</v>
      </c>
      <c r="BS612" s="425"/>
      <c r="BT612" s="63"/>
      <c r="BU612" s="63"/>
      <c r="BV612" s="63"/>
      <c r="BW612" s="63">
        <f t="shared" si="463"/>
        <v>0</v>
      </c>
      <c r="BX612" s="413"/>
      <c r="BY612" s="63"/>
      <c r="BZ612" s="63"/>
      <c r="CA612" s="63"/>
      <c r="CB612" s="63">
        <f t="shared" si="464"/>
        <v>0</v>
      </c>
      <c r="CC612" s="413"/>
      <c r="CD612" s="413"/>
      <c r="CE612" s="413"/>
      <c r="CF612" s="413"/>
      <c r="CG612" s="99"/>
    </row>
    <row r="613" spans="1:85" ht="14.45" hidden="1" customHeight="1" x14ac:dyDescent="0.25">
      <c r="A613" s="125" t="s">
        <v>635</v>
      </c>
      <c r="B613" s="180"/>
      <c r="C613" s="410">
        <v>-9.1620000000000008</v>
      </c>
      <c r="D613" s="410">
        <v>-9.18</v>
      </c>
      <c r="E613" s="410">
        <v>-9.2029999999999994</v>
      </c>
      <c r="F613" s="410">
        <v>-9.2240000000000002</v>
      </c>
      <c r="G613" s="98">
        <v>-2.3069999999999999</v>
      </c>
      <c r="H613" s="98">
        <v>-4.62</v>
      </c>
      <c r="I613" s="98">
        <v>-6.9329999999999998</v>
      </c>
      <c r="J613" s="99">
        <f t="shared" si="468"/>
        <v>-9.2449999999999992</v>
      </c>
      <c r="K613" s="410">
        <v>-9.2449999999999992</v>
      </c>
      <c r="L613" s="98">
        <v>-2.3119999999999998</v>
      </c>
      <c r="M613" s="98">
        <v>-4.6310000000000002</v>
      </c>
      <c r="N613" s="98">
        <v>-6.9480000000000004</v>
      </c>
      <c r="O613" s="99">
        <f t="shared" si="469"/>
        <v>-9.266</v>
      </c>
      <c r="P613" s="410">
        <v>-9.266</v>
      </c>
      <c r="Q613" s="98">
        <v>-2.3170000000000002</v>
      </c>
      <c r="R613" s="98">
        <v>-4.641</v>
      </c>
      <c r="S613" s="98">
        <v>-6.9640000000000004</v>
      </c>
      <c r="T613" s="99">
        <f t="shared" si="470"/>
        <v>-9.2870000000000008</v>
      </c>
      <c r="U613" s="410">
        <v>-9.2870000000000008</v>
      </c>
      <c r="V613" s="98">
        <v>-2.323</v>
      </c>
      <c r="W613" s="98">
        <v>-4.6520000000000001</v>
      </c>
      <c r="X613" s="98">
        <v>-6.98</v>
      </c>
      <c r="Y613" s="63">
        <f t="shared" si="471"/>
        <v>-9.3070000000000004</v>
      </c>
      <c r="Z613" s="410">
        <v>-9.3070000000000004</v>
      </c>
      <c r="AA613" s="98">
        <v>-2.3279999999999998</v>
      </c>
      <c r="AB613" s="98">
        <v>-4.6619999999999999</v>
      </c>
      <c r="AC613" s="98">
        <v>-6.9950000000000001</v>
      </c>
      <c r="AD613" s="63">
        <f t="shared" si="465"/>
        <v>-9.3279999999999994</v>
      </c>
      <c r="AE613" s="410">
        <v>-9.3279999999999994</v>
      </c>
      <c r="AF613" s="98">
        <v>-2.3330000000000002</v>
      </c>
      <c r="AG613" s="98">
        <v>-4.6710000000000003</v>
      </c>
      <c r="AH613" s="98">
        <v>-7.0140000000000002</v>
      </c>
      <c r="AI613" s="63">
        <f t="shared" si="466"/>
        <v>-9.3529999999999998</v>
      </c>
      <c r="AJ613" s="410">
        <v>-9.3529999999999998</v>
      </c>
      <c r="AK613" s="98">
        <v>-2.339</v>
      </c>
      <c r="AL613" s="98">
        <v>-4.6820000000000004</v>
      </c>
      <c r="AM613" s="98">
        <v>-7.0259999999999998</v>
      </c>
      <c r="AN613" s="63">
        <f t="shared" si="467"/>
        <v>-9.3689999999999998</v>
      </c>
      <c r="AO613" s="410">
        <v>-9.3689999999999998</v>
      </c>
      <c r="AP613" s="98">
        <v>-2.3439999999999999</v>
      </c>
      <c r="AQ613" s="98">
        <v>-4.6859999999999999</v>
      </c>
      <c r="AR613" s="98">
        <v>-7.03</v>
      </c>
      <c r="AS613" s="63">
        <f t="shared" si="457"/>
        <v>-9.3740000000000006</v>
      </c>
      <c r="AT613" s="410">
        <v>-9.3740000000000006</v>
      </c>
      <c r="AU613" s="98">
        <v>-2.343</v>
      </c>
      <c r="AV613" s="98">
        <v>-4.6870000000000003</v>
      </c>
      <c r="AW613" s="98">
        <v>-7.03</v>
      </c>
      <c r="AX613" s="63">
        <f t="shared" si="458"/>
        <v>-9.3740000000000006</v>
      </c>
      <c r="AY613" s="410">
        <v>-9.3740000000000006</v>
      </c>
      <c r="AZ613" s="98">
        <v>-2.3439999999999999</v>
      </c>
      <c r="BA613" s="98">
        <v>-4.6870000000000003</v>
      </c>
      <c r="BB613" s="98">
        <v>-7.03</v>
      </c>
      <c r="BC613" s="63">
        <f t="shared" si="459"/>
        <v>-9.3740000000000006</v>
      </c>
      <c r="BD613" s="410">
        <v>-9.3740000000000006</v>
      </c>
      <c r="BE613" s="98">
        <v>-32.808</v>
      </c>
      <c r="BF613" s="98">
        <v>-37.494999999999997</v>
      </c>
      <c r="BG613" s="98">
        <v>-42.182000000000002</v>
      </c>
      <c r="BH613" s="63">
        <f t="shared" si="460"/>
        <v>-46.868000000000002</v>
      </c>
      <c r="BI613" s="410">
        <v>-46.868000000000002</v>
      </c>
      <c r="BJ613" s="98">
        <v>-154.666</v>
      </c>
      <c r="BK613" s="98">
        <v>-159.35300000000001</v>
      </c>
      <c r="BL613" s="98">
        <v>-163.733</v>
      </c>
      <c r="BM613" s="63">
        <f t="shared" si="461"/>
        <v>-185.63499999999999</v>
      </c>
      <c r="BN613" s="410">
        <v>-185.63499999999999</v>
      </c>
      <c r="BO613" s="98">
        <v>-21.794</v>
      </c>
      <c r="BP613" s="98">
        <v>-43.588999999999999</v>
      </c>
      <c r="BQ613" s="98">
        <v>-65.31</v>
      </c>
      <c r="BR613" s="63">
        <f t="shared" si="462"/>
        <v>-86.673000000000002</v>
      </c>
      <c r="BS613" s="419">
        <v>-86.673000000000002</v>
      </c>
      <c r="BT613" s="63"/>
      <c r="BU613" s="63"/>
      <c r="BV613" s="63"/>
      <c r="BW613" s="63">
        <f t="shared" si="463"/>
        <v>0</v>
      </c>
      <c r="BX613" s="413"/>
      <c r="BY613" s="63"/>
      <c r="BZ613" s="63"/>
      <c r="CA613" s="63"/>
      <c r="CB613" s="63">
        <f t="shared" si="464"/>
        <v>0</v>
      </c>
      <c r="CC613" s="413"/>
      <c r="CD613" s="413"/>
      <c r="CE613" s="413"/>
      <c r="CF613" s="413"/>
      <c r="CG613" s="99"/>
    </row>
    <row r="614" spans="1:85" ht="14.45" hidden="1" customHeight="1" x14ac:dyDescent="0.25">
      <c r="A614" s="125" t="s">
        <v>636</v>
      </c>
      <c r="B614" s="180"/>
      <c r="C614" s="410">
        <v>-9.8000000000000004E-2</v>
      </c>
      <c r="D614" s="410">
        <v>7.6999999999999999E-2</v>
      </c>
      <c r="E614" s="410">
        <v>6.0999999999999999E-2</v>
      </c>
      <c r="F614" s="410">
        <v>8.1000000000000003E-2</v>
      </c>
      <c r="G614" s="63"/>
      <c r="H614" s="98">
        <v>0</v>
      </c>
      <c r="I614" s="98">
        <v>0</v>
      </c>
      <c r="J614" s="99">
        <f t="shared" si="468"/>
        <v>-1.7000000000000001E-2</v>
      </c>
      <c r="K614" s="410">
        <v>-1.7000000000000001E-2</v>
      </c>
      <c r="L614" s="63"/>
      <c r="M614" s="98">
        <v>0.17599999999999999</v>
      </c>
      <c r="N614" s="98">
        <v>0.17599999999999999</v>
      </c>
      <c r="O614" s="99">
        <f t="shared" si="469"/>
        <v>0.17599999999999999</v>
      </c>
      <c r="P614" s="410">
        <v>0.17599999999999999</v>
      </c>
      <c r="Q614" s="63"/>
      <c r="R614" s="98">
        <v>0</v>
      </c>
      <c r="S614" s="98">
        <v>0</v>
      </c>
      <c r="T614" s="99">
        <f t="shared" si="470"/>
        <v>0</v>
      </c>
      <c r="U614" s="410">
        <v>0</v>
      </c>
      <c r="V614" s="63"/>
      <c r="W614" s="63"/>
      <c r="X614" s="63"/>
      <c r="Y614" s="63">
        <f t="shared" si="471"/>
        <v>0</v>
      </c>
      <c r="Z614" s="410">
        <v>0</v>
      </c>
      <c r="AA614" s="63"/>
      <c r="AB614" s="63"/>
      <c r="AC614" s="63"/>
      <c r="AD614" s="63">
        <f t="shared" si="465"/>
        <v>0</v>
      </c>
      <c r="AE614" s="413"/>
      <c r="AF614" s="63"/>
      <c r="AG614" s="63"/>
      <c r="AH614" s="63"/>
      <c r="AI614" s="63">
        <f t="shared" si="466"/>
        <v>0</v>
      </c>
      <c r="AJ614" s="413"/>
      <c r="AK614" s="63"/>
      <c r="AL614" s="63"/>
      <c r="AM614" s="63"/>
      <c r="AN614" s="63">
        <f t="shared" si="467"/>
        <v>0</v>
      </c>
      <c r="AO614" s="413"/>
      <c r="AP614" s="63"/>
      <c r="AQ614" s="63"/>
      <c r="AR614" s="63"/>
      <c r="AS614" s="63">
        <f t="shared" si="457"/>
        <v>0</v>
      </c>
      <c r="AT614" s="413"/>
      <c r="AU614" s="63"/>
      <c r="AV614" s="63"/>
      <c r="AW614" s="63"/>
      <c r="AX614" s="63">
        <f t="shared" si="458"/>
        <v>0</v>
      </c>
      <c r="AY614" s="413"/>
      <c r="AZ614" s="63"/>
      <c r="BA614" s="63"/>
      <c r="BB614" s="63"/>
      <c r="BC614" s="63">
        <f t="shared" si="459"/>
        <v>0</v>
      </c>
      <c r="BD614" s="413"/>
      <c r="BE614" s="63"/>
      <c r="BF614" s="63"/>
      <c r="BG614" s="63"/>
      <c r="BH614" s="63">
        <f t="shared" si="460"/>
        <v>0</v>
      </c>
      <c r="BI614" s="413"/>
      <c r="BJ614" s="63"/>
      <c r="BK614" s="63"/>
      <c r="BL614" s="63"/>
      <c r="BM614" s="63">
        <f t="shared" si="461"/>
        <v>0</v>
      </c>
      <c r="BN614" s="413"/>
      <c r="BO614" s="63"/>
      <c r="BP614" s="63"/>
      <c r="BQ614" s="63"/>
      <c r="BR614" s="63">
        <f t="shared" si="462"/>
        <v>0</v>
      </c>
      <c r="BS614" s="425"/>
      <c r="BT614" s="63"/>
      <c r="BU614" s="63"/>
      <c r="BV614" s="63"/>
      <c r="BW614" s="63">
        <f t="shared" si="463"/>
        <v>0</v>
      </c>
      <c r="BX614" s="413"/>
      <c r="BY614" s="63"/>
      <c r="BZ614" s="63"/>
      <c r="CA614" s="63"/>
      <c r="CB614" s="63">
        <f t="shared" si="464"/>
        <v>0</v>
      </c>
      <c r="CC614" s="413"/>
      <c r="CD614" s="413"/>
      <c r="CE614" s="413"/>
      <c r="CF614" s="413"/>
      <c r="CG614" s="99"/>
    </row>
    <row r="615" spans="1:85" ht="14.45" hidden="1" customHeight="1" x14ac:dyDescent="0.25">
      <c r="A615" s="125" t="s">
        <v>637</v>
      </c>
      <c r="B615" s="180"/>
      <c r="C615" s="413"/>
      <c r="D615" s="413"/>
      <c r="E615" s="413"/>
      <c r="F615" s="410">
        <v>0</v>
      </c>
      <c r="G615" s="63"/>
      <c r="H615" s="63"/>
      <c r="I615" s="63"/>
      <c r="J615" s="99">
        <f t="shared" si="468"/>
        <v>0</v>
      </c>
      <c r="K615" s="410">
        <v>0</v>
      </c>
      <c r="L615" s="63"/>
      <c r="M615" s="98">
        <v>0</v>
      </c>
      <c r="N615" s="98">
        <v>0</v>
      </c>
      <c r="O615" s="99">
        <f t="shared" si="469"/>
        <v>-0.21199999999999999</v>
      </c>
      <c r="P615" s="410">
        <v>-0.21199999999999999</v>
      </c>
      <c r="Q615" s="98">
        <v>0</v>
      </c>
      <c r="R615" s="98">
        <v>-0.78900000000000003</v>
      </c>
      <c r="S615" s="98">
        <v>-2.4049999999999998</v>
      </c>
      <c r="T615" s="99">
        <f t="shared" si="470"/>
        <v>-4.0389999999999997</v>
      </c>
      <c r="U615" s="410">
        <v>-4.0389999999999997</v>
      </c>
      <c r="V615" s="98">
        <v>-4.9589999999999996</v>
      </c>
      <c r="W615" s="98">
        <v>-7.9260000000000002</v>
      </c>
      <c r="X615" s="98">
        <v>-10.47</v>
      </c>
      <c r="Y615" s="63">
        <f t="shared" si="471"/>
        <v>-13.55</v>
      </c>
      <c r="Z615" s="410">
        <v>-13.55</v>
      </c>
      <c r="AA615" s="98">
        <v>0</v>
      </c>
      <c r="AB615" s="98">
        <v>-6.556</v>
      </c>
      <c r="AC615" s="98">
        <v>-11.65</v>
      </c>
      <c r="AD615" s="63">
        <f t="shared" si="465"/>
        <v>-16.738</v>
      </c>
      <c r="AE615" s="410">
        <v>-16.738</v>
      </c>
      <c r="AF615" s="98">
        <v>-5.8819999999999997</v>
      </c>
      <c r="AG615" s="98">
        <v>-11.263</v>
      </c>
      <c r="AH615" s="98">
        <v>-18.312000000000001</v>
      </c>
      <c r="AI615" s="63">
        <f t="shared" si="466"/>
        <v>-24.683</v>
      </c>
      <c r="AJ615" s="410">
        <v>-24.683</v>
      </c>
      <c r="AK615" s="98">
        <v>-6.2370000000000001</v>
      </c>
      <c r="AL615" s="98">
        <v>-12.836</v>
      </c>
      <c r="AM615" s="98">
        <v>-18.783999999999999</v>
      </c>
      <c r="AN615" s="63">
        <f t="shared" si="467"/>
        <v>-27.181999999999999</v>
      </c>
      <c r="AO615" s="410">
        <v>-27.181999999999999</v>
      </c>
      <c r="AP615" s="98">
        <v>-10.452</v>
      </c>
      <c r="AQ615" s="98">
        <v>-20.530999999999999</v>
      </c>
      <c r="AR615" s="98">
        <v>-31.998999999999999</v>
      </c>
      <c r="AS615" s="63">
        <f t="shared" si="457"/>
        <v>-43.4</v>
      </c>
      <c r="AT615" s="410">
        <v>-43.4</v>
      </c>
      <c r="AU615" s="98">
        <v>-10.045999999999999</v>
      </c>
      <c r="AV615" s="98">
        <v>-19.920000000000002</v>
      </c>
      <c r="AW615" s="98">
        <v>-28.64</v>
      </c>
      <c r="AX615" s="63">
        <f t="shared" si="458"/>
        <v>-39.097000000000001</v>
      </c>
      <c r="AY615" s="410">
        <v>-39.097000000000001</v>
      </c>
      <c r="AZ615" s="98">
        <v>-9.8219999999999992</v>
      </c>
      <c r="BA615" s="98">
        <v>-18.71</v>
      </c>
      <c r="BB615" s="98">
        <v>-28.420999999999999</v>
      </c>
      <c r="BC615" s="63">
        <f t="shared" si="459"/>
        <v>-36.515000000000001</v>
      </c>
      <c r="BD615" s="410">
        <v>-36.515000000000001</v>
      </c>
      <c r="BE615" s="98">
        <v>-6.4989999999999997</v>
      </c>
      <c r="BF615" s="98">
        <v>-13.375999999999999</v>
      </c>
      <c r="BG615" s="98">
        <v>-20.978999999999999</v>
      </c>
      <c r="BH615" s="63">
        <f t="shared" si="460"/>
        <v>-28.207999999999998</v>
      </c>
      <c r="BI615" s="410">
        <v>-28.207999999999998</v>
      </c>
      <c r="BJ615" s="98">
        <v>-9.6999999999999993</v>
      </c>
      <c r="BK615" s="98">
        <v>-23.675999999999998</v>
      </c>
      <c r="BL615" s="98">
        <v>-44.243000000000002</v>
      </c>
      <c r="BM615" s="63">
        <f t="shared" si="461"/>
        <v>-64.311999999999998</v>
      </c>
      <c r="BN615" s="410">
        <v>-64.311999999999998</v>
      </c>
      <c r="BO615" s="98">
        <v>-19.818999999999999</v>
      </c>
      <c r="BP615" s="98">
        <v>-35.209000000000003</v>
      </c>
      <c r="BQ615" s="98">
        <v>-51.639000000000003</v>
      </c>
      <c r="BR615" s="63">
        <f t="shared" si="462"/>
        <v>-68.884</v>
      </c>
      <c r="BS615" s="419">
        <v>-68.884</v>
      </c>
      <c r="BT615" s="63"/>
      <c r="BU615" s="63"/>
      <c r="BV615" s="63"/>
      <c r="BW615" s="63">
        <f t="shared" si="463"/>
        <v>0</v>
      </c>
      <c r="BX615" s="413"/>
      <c r="BY615" s="63"/>
      <c r="BZ615" s="63"/>
      <c r="CA615" s="63"/>
      <c r="CB615" s="63">
        <f t="shared" si="464"/>
        <v>0</v>
      </c>
      <c r="CC615" s="413"/>
      <c r="CD615" s="413"/>
      <c r="CE615" s="413"/>
      <c r="CF615" s="413"/>
      <c r="CG615" s="99"/>
    </row>
    <row r="616" spans="1:85" ht="14.45" hidden="1" customHeight="1" x14ac:dyDescent="0.25">
      <c r="A616" s="125" t="s">
        <v>638</v>
      </c>
      <c r="B616" s="180"/>
      <c r="C616" s="410">
        <v>-3.2629999999999999</v>
      </c>
      <c r="D616" s="410">
        <v>-3.8460000000000001</v>
      </c>
      <c r="E616" s="410">
        <v>-3.839</v>
      </c>
      <c r="F616" s="410">
        <v>-4.6820000000000004</v>
      </c>
      <c r="G616" s="98">
        <v>-1.2749999999999999</v>
      </c>
      <c r="H616" s="98">
        <v>-2.5720000000000001</v>
      </c>
      <c r="I616" s="98">
        <v>-3.9260000000000002</v>
      </c>
      <c r="J616" s="99">
        <f t="shared" si="468"/>
        <v>-5.3070000000000004</v>
      </c>
      <c r="K616" s="410">
        <v>-5.3070000000000004</v>
      </c>
      <c r="L616" s="98">
        <v>-1.4490000000000001</v>
      </c>
      <c r="M616" s="98">
        <v>-2.9249999999999998</v>
      </c>
      <c r="N616" s="98">
        <v>-4.42</v>
      </c>
      <c r="O616" s="99">
        <f t="shared" si="469"/>
        <v>-5.9390000000000001</v>
      </c>
      <c r="P616" s="410">
        <v>-5.9390000000000001</v>
      </c>
      <c r="Q616" s="98">
        <v>-1.619</v>
      </c>
      <c r="R616" s="98">
        <v>-3.258</v>
      </c>
      <c r="S616" s="98">
        <v>-4.8890000000000002</v>
      </c>
      <c r="T616" s="99">
        <f t="shared" si="470"/>
        <v>-6.5549999999999997</v>
      </c>
      <c r="U616" s="410">
        <v>-6.5549999999999997</v>
      </c>
      <c r="V616" s="98">
        <v>-1.726</v>
      </c>
      <c r="W616" s="98">
        <v>-3.488</v>
      </c>
      <c r="X616" s="98">
        <v>-5.2789999999999999</v>
      </c>
      <c r="Y616" s="63">
        <f t="shared" si="471"/>
        <v>-7.0629999999999997</v>
      </c>
      <c r="Z616" s="410">
        <v>-7.0629999999999997</v>
      </c>
      <c r="AA616" s="98">
        <v>-1.8280000000000001</v>
      </c>
      <c r="AB616" s="98">
        <v>-3.6949999999999998</v>
      </c>
      <c r="AC616" s="98">
        <v>-5.5940000000000003</v>
      </c>
      <c r="AD616" s="63">
        <f t="shared" si="465"/>
        <v>-7.4850000000000003</v>
      </c>
      <c r="AE616" s="410">
        <v>-7.4850000000000003</v>
      </c>
      <c r="AF616" s="98">
        <v>-2.0529999999999999</v>
      </c>
      <c r="AG616" s="98">
        <v>-4.194</v>
      </c>
      <c r="AH616" s="98">
        <v>-6.1909999999999998</v>
      </c>
      <c r="AI616" s="63">
        <f t="shared" si="466"/>
        <v>-8.2210000000000001</v>
      </c>
      <c r="AJ616" s="410">
        <v>-8.2210000000000001</v>
      </c>
      <c r="AK616" s="98">
        <v>-2.1139999999999999</v>
      </c>
      <c r="AL616" s="98">
        <v>-4.2610000000000001</v>
      </c>
      <c r="AM616" s="98">
        <v>-6.4409999999999998</v>
      </c>
      <c r="AN616" s="63">
        <f t="shared" si="467"/>
        <v>-8.6560000000000006</v>
      </c>
      <c r="AO616" s="410">
        <v>-8.6560000000000006</v>
      </c>
      <c r="AP616" s="98">
        <v>-1.4850000000000001</v>
      </c>
      <c r="AQ616" s="98">
        <v>-3.0009999999999999</v>
      </c>
      <c r="AR616" s="98">
        <v>-4.4279999999999999</v>
      </c>
      <c r="AS616" s="63">
        <f t="shared" si="457"/>
        <v>-5.8609999999999998</v>
      </c>
      <c r="AT616" s="410">
        <v>-5.8609999999999998</v>
      </c>
      <c r="AU616" s="98">
        <v>-1.4470000000000001</v>
      </c>
      <c r="AV616" s="98">
        <v>-2.3679999999999999</v>
      </c>
      <c r="AW616" s="98">
        <v>-3.5670000000000002</v>
      </c>
      <c r="AX616" s="63">
        <f t="shared" si="458"/>
        <v>-4.7779999999999996</v>
      </c>
      <c r="AY616" s="410">
        <v>-4.7779999999999996</v>
      </c>
      <c r="AZ616" s="98">
        <v>-1.375</v>
      </c>
      <c r="BA616" s="98">
        <v>-1.9039999999999999</v>
      </c>
      <c r="BB616" s="98">
        <v>-2.4409999999999998</v>
      </c>
      <c r="BC616" s="63">
        <f t="shared" si="459"/>
        <v>-2.988</v>
      </c>
      <c r="BD616" s="410">
        <v>-2.988</v>
      </c>
      <c r="BE616" s="98">
        <v>-0.55800000000000005</v>
      </c>
      <c r="BF616" s="98">
        <v>-1.1299999999999999</v>
      </c>
      <c r="BG616" s="98">
        <v>-1.712</v>
      </c>
      <c r="BH616" s="63">
        <f t="shared" si="460"/>
        <v>-2.3029999999999999</v>
      </c>
      <c r="BI616" s="410">
        <v>-2.3029999999999999</v>
      </c>
      <c r="BJ616" s="98">
        <v>-0.60099999999999998</v>
      </c>
      <c r="BK616" s="98">
        <v>-1.2210000000000001</v>
      </c>
      <c r="BL616" s="98">
        <v>-1.8480000000000001</v>
      </c>
      <c r="BM616" s="63">
        <f t="shared" si="461"/>
        <v>-2.488</v>
      </c>
      <c r="BN616" s="410">
        <v>-2.488</v>
      </c>
      <c r="BO616" s="98">
        <v>-0.65</v>
      </c>
      <c r="BP616" s="98">
        <v>-1.32</v>
      </c>
      <c r="BQ616" s="98">
        <v>-1.675</v>
      </c>
      <c r="BR616" s="63">
        <f t="shared" si="462"/>
        <v>-1.8089999999999999</v>
      </c>
      <c r="BS616" s="419">
        <v>-1.8089999999999999</v>
      </c>
      <c r="BT616" s="63"/>
      <c r="BU616" s="63"/>
      <c r="BV616" s="63"/>
      <c r="BW616" s="63">
        <f t="shared" si="463"/>
        <v>0</v>
      </c>
      <c r="BX616" s="413"/>
      <c r="BY616" s="63"/>
      <c r="BZ616" s="63"/>
      <c r="CA616" s="63"/>
      <c r="CB616" s="63">
        <f t="shared" si="464"/>
        <v>0</v>
      </c>
      <c r="CC616" s="413"/>
      <c r="CD616" s="413"/>
      <c r="CE616" s="413"/>
      <c r="CF616" s="413"/>
      <c r="CG616" s="99"/>
    </row>
    <row r="617" spans="1:85" ht="14.45" hidden="1" customHeight="1" x14ac:dyDescent="0.25">
      <c r="A617" s="125" t="s">
        <v>639</v>
      </c>
      <c r="B617" s="180"/>
      <c r="C617" s="410">
        <v>-0.34</v>
      </c>
      <c r="D617" s="413"/>
      <c r="E617" s="413"/>
      <c r="F617" s="413"/>
      <c r="G617" s="63"/>
      <c r="H617" s="63"/>
      <c r="I617" s="63"/>
      <c r="J617" s="99">
        <f t="shared" si="468"/>
        <v>0</v>
      </c>
      <c r="K617" s="413"/>
      <c r="L617" s="63"/>
      <c r="M617" s="63"/>
      <c r="N617" s="63"/>
      <c r="O617" s="99">
        <f t="shared" si="469"/>
        <v>0</v>
      </c>
      <c r="P617" s="413"/>
      <c r="Q617" s="63"/>
      <c r="R617" s="63"/>
      <c r="S617" s="63"/>
      <c r="T617" s="99">
        <f t="shared" si="470"/>
        <v>0</v>
      </c>
      <c r="U617" s="413"/>
      <c r="V617" s="63"/>
      <c r="W617" s="63"/>
      <c r="X617" s="63"/>
      <c r="Y617" s="63">
        <f t="shared" si="471"/>
        <v>0</v>
      </c>
      <c r="Z617" s="413"/>
      <c r="AA617" s="63"/>
      <c r="AB617" s="63"/>
      <c r="AC617" s="63"/>
      <c r="AD617" s="63">
        <f t="shared" si="465"/>
        <v>0</v>
      </c>
      <c r="AE617" s="413"/>
      <c r="AF617" s="63"/>
      <c r="AG617" s="63"/>
      <c r="AH617" s="63"/>
      <c r="AI617" s="63">
        <f t="shared" si="466"/>
        <v>0</v>
      </c>
      <c r="AJ617" s="413"/>
      <c r="AK617" s="63"/>
      <c r="AL617" s="63"/>
      <c r="AM617" s="63"/>
      <c r="AN617" s="63">
        <f t="shared" si="467"/>
        <v>0</v>
      </c>
      <c r="AO617" s="413"/>
      <c r="AP617" s="63"/>
      <c r="AQ617" s="63"/>
      <c r="AR617" s="63"/>
      <c r="AS617" s="63">
        <f t="shared" si="457"/>
        <v>0</v>
      </c>
      <c r="AT617" s="413"/>
      <c r="AU617" s="63"/>
      <c r="AV617" s="63"/>
      <c r="AW617" s="63"/>
      <c r="AX617" s="63">
        <f t="shared" si="458"/>
        <v>0</v>
      </c>
      <c r="AY617" s="413"/>
      <c r="AZ617" s="63"/>
      <c r="BA617" s="63"/>
      <c r="BB617" s="63"/>
      <c r="BC617" s="63">
        <f t="shared" si="459"/>
        <v>0</v>
      </c>
      <c r="BD617" s="413"/>
      <c r="BE617" s="63"/>
      <c r="BF617" s="63"/>
      <c r="BG617" s="63"/>
      <c r="BH617" s="63">
        <f t="shared" si="460"/>
        <v>0</v>
      </c>
      <c r="BI617" s="413"/>
      <c r="BJ617" s="63"/>
      <c r="BK617" s="63"/>
      <c r="BL617" s="63"/>
      <c r="BM617" s="63">
        <f t="shared" si="461"/>
        <v>0</v>
      </c>
      <c r="BN617" s="413"/>
      <c r="BO617" s="63"/>
      <c r="BP617" s="63"/>
      <c r="BQ617" s="63"/>
      <c r="BR617" s="63">
        <f t="shared" si="462"/>
        <v>0</v>
      </c>
      <c r="BS617" s="425"/>
      <c r="BT617" s="63"/>
      <c r="BU617" s="63"/>
      <c r="BV617" s="63"/>
      <c r="BW617" s="63">
        <f t="shared" si="463"/>
        <v>0</v>
      </c>
      <c r="BX617" s="413"/>
      <c r="BY617" s="63"/>
      <c r="BZ617" s="63"/>
      <c r="CA617" s="63"/>
      <c r="CB617" s="63">
        <f t="shared" si="464"/>
        <v>0</v>
      </c>
      <c r="CC617" s="413"/>
      <c r="CD617" s="413"/>
      <c r="CE617" s="413"/>
      <c r="CF617" s="413"/>
      <c r="CG617" s="99"/>
    </row>
    <row r="618" spans="1:85" ht="14.45" hidden="1" customHeight="1" x14ac:dyDescent="0.25">
      <c r="A618" s="125" t="s">
        <v>640</v>
      </c>
      <c r="B618" s="180"/>
      <c r="C618" s="410">
        <v>-1.042</v>
      </c>
      <c r="D618" s="410">
        <v>0</v>
      </c>
      <c r="E618" s="410">
        <v>-0.71599999999999997</v>
      </c>
      <c r="F618" s="410">
        <v>0</v>
      </c>
      <c r="G618" s="63"/>
      <c r="H618" s="63"/>
      <c r="I618" s="63"/>
      <c r="J618" s="99">
        <f t="shared" si="468"/>
        <v>0</v>
      </c>
      <c r="K618" s="410">
        <v>0</v>
      </c>
      <c r="L618" s="63"/>
      <c r="M618" s="98">
        <v>0</v>
      </c>
      <c r="N618" s="98">
        <v>0</v>
      </c>
      <c r="O618" s="99">
        <f t="shared" si="469"/>
        <v>-0.85299999999999998</v>
      </c>
      <c r="P618" s="410">
        <v>-0.85299999999999998</v>
      </c>
      <c r="Q618" s="63"/>
      <c r="R618" s="98">
        <v>-0.214</v>
      </c>
      <c r="S618" s="98">
        <v>-0.214</v>
      </c>
      <c r="T618" s="99">
        <f t="shared" si="470"/>
        <v>-3.3919999999999999</v>
      </c>
      <c r="U618" s="410">
        <v>-3.3919999999999999</v>
      </c>
      <c r="V618" s="63"/>
      <c r="W618" s="63"/>
      <c r="X618" s="63"/>
      <c r="Y618" s="63">
        <f t="shared" si="471"/>
        <v>0</v>
      </c>
      <c r="Z618" s="413"/>
      <c r="AA618" s="63"/>
      <c r="AB618" s="63"/>
      <c r="AC618" s="63"/>
      <c r="AD618" s="63">
        <f t="shared" si="465"/>
        <v>0</v>
      </c>
      <c r="AE618" s="413"/>
      <c r="AF618" s="98">
        <v>-0.185</v>
      </c>
      <c r="AG618" s="98">
        <v>-1.5349999999999999</v>
      </c>
      <c r="AH618" s="98">
        <v>-1.5309999999999999</v>
      </c>
      <c r="AI618" s="63">
        <f t="shared" si="466"/>
        <v>-1.5309999999999999</v>
      </c>
      <c r="AJ618" s="410">
        <v>-1.5309999999999999</v>
      </c>
      <c r="AK618" s="98">
        <v>-0.183</v>
      </c>
      <c r="AL618" s="98">
        <v>-0.26500000000000001</v>
      </c>
      <c r="AM618" s="98">
        <v>-0.30499999999999999</v>
      </c>
      <c r="AN618" s="63">
        <f t="shared" si="467"/>
        <v>-0.42</v>
      </c>
      <c r="AO618" s="410">
        <v>-0.42</v>
      </c>
      <c r="AP618" s="98">
        <v>-4.5999999999999999E-2</v>
      </c>
      <c r="AQ618" s="98">
        <v>-0.14499999999999999</v>
      </c>
      <c r="AR618" s="98">
        <v>-0.14499999999999999</v>
      </c>
      <c r="AS618" s="63">
        <f t="shared" si="457"/>
        <v>-0.22800000000000001</v>
      </c>
      <c r="AT618" s="410">
        <v>-0.22800000000000001</v>
      </c>
      <c r="AU618" s="98">
        <v>-0.14699999999999999</v>
      </c>
      <c r="AV618" s="98">
        <v>-0.14699999999999999</v>
      </c>
      <c r="AW618" s="98">
        <v>-1.456</v>
      </c>
      <c r="AX618" s="63">
        <f t="shared" si="458"/>
        <v>-1.542</v>
      </c>
      <c r="AY618" s="410">
        <v>-1.542</v>
      </c>
      <c r="AZ618" s="98">
        <v>-4.8000000000000001E-2</v>
      </c>
      <c r="BA618" s="98">
        <v>-0.13100000000000001</v>
      </c>
      <c r="BB618" s="98">
        <v>-0.219</v>
      </c>
      <c r="BC618" s="63">
        <f t="shared" si="459"/>
        <v>-0.31</v>
      </c>
      <c r="BD618" s="410">
        <v>-0.31</v>
      </c>
      <c r="BE618" s="98">
        <v>-0.154</v>
      </c>
      <c r="BF618" s="98">
        <v>-0.154</v>
      </c>
      <c r="BG618" s="98">
        <v>-0.24399999999999999</v>
      </c>
      <c r="BH618" s="63">
        <f t="shared" si="460"/>
        <v>-0.34</v>
      </c>
      <c r="BI618" s="410">
        <v>-0.34</v>
      </c>
      <c r="BJ618" s="98">
        <v>-5.2999999999999999E-2</v>
      </c>
      <c r="BK618" s="98">
        <v>-12.212</v>
      </c>
      <c r="BL618" s="98">
        <v>-15.365</v>
      </c>
      <c r="BM618" s="63">
        <f t="shared" si="461"/>
        <v>-15.512</v>
      </c>
      <c r="BN618" s="410">
        <v>-15.512</v>
      </c>
      <c r="BO618" s="98">
        <v>-0.23200000000000001</v>
      </c>
      <c r="BP618" s="98">
        <v>-0.23300000000000001</v>
      </c>
      <c r="BQ618" s="98">
        <v>-0.26700000000000002</v>
      </c>
      <c r="BR618" s="63">
        <f t="shared" si="462"/>
        <v>-3.3959999999999999</v>
      </c>
      <c r="BS618" s="419">
        <v>-3.3959999999999999</v>
      </c>
      <c r="BT618" s="63"/>
      <c r="BU618" s="63"/>
      <c r="BV618" s="63"/>
      <c r="BW618" s="63">
        <f t="shared" si="463"/>
        <v>0</v>
      </c>
      <c r="BX618" s="413"/>
      <c r="BY618" s="63"/>
      <c r="BZ618" s="63"/>
      <c r="CA618" s="63"/>
      <c r="CB618" s="63">
        <f t="shared" si="464"/>
        <v>0</v>
      </c>
      <c r="CC618" s="413"/>
      <c r="CD618" s="413"/>
      <c r="CE618" s="413"/>
      <c r="CF618" s="413"/>
      <c r="CG618" s="99"/>
    </row>
    <row r="619" spans="1:85" ht="14.45" hidden="1" customHeight="1" x14ac:dyDescent="0.25">
      <c r="A619" s="125" t="s">
        <v>641</v>
      </c>
      <c r="B619" s="180"/>
      <c r="C619" s="413"/>
      <c r="D619" s="413"/>
      <c r="E619" s="413"/>
      <c r="F619" s="413"/>
      <c r="G619" s="63"/>
      <c r="H619" s="63"/>
      <c r="I619" s="63"/>
      <c r="J619" s="99">
        <f t="shared" si="468"/>
        <v>0</v>
      </c>
      <c r="K619" s="413"/>
      <c r="L619" s="63"/>
      <c r="M619" s="63"/>
      <c r="N619" s="63"/>
      <c r="O619" s="99">
        <f t="shared" si="469"/>
        <v>0</v>
      </c>
      <c r="P619" s="413"/>
      <c r="Q619" s="63"/>
      <c r="R619" s="63"/>
      <c r="S619" s="63"/>
      <c r="T619" s="99">
        <f t="shared" si="470"/>
        <v>0</v>
      </c>
      <c r="U619" s="413"/>
      <c r="V619" s="63"/>
      <c r="W619" s="63"/>
      <c r="X619" s="63"/>
      <c r="Y619" s="63">
        <f t="shared" si="471"/>
        <v>0</v>
      </c>
      <c r="Z619" s="413"/>
      <c r="AA619" s="63"/>
      <c r="AB619" s="63"/>
      <c r="AC619" s="63"/>
      <c r="AD619" s="63">
        <f t="shared" si="465"/>
        <v>0</v>
      </c>
      <c r="AE619" s="413"/>
      <c r="AF619" s="63"/>
      <c r="AG619" s="63"/>
      <c r="AH619" s="63"/>
      <c r="AI619" s="63">
        <f t="shared" si="466"/>
        <v>0</v>
      </c>
      <c r="AJ619" s="413"/>
      <c r="AK619" s="63"/>
      <c r="AL619" s="63"/>
      <c r="AM619" s="63"/>
      <c r="AN619" s="63">
        <f t="shared" si="467"/>
        <v>0</v>
      </c>
      <c r="AO619" s="413"/>
      <c r="AP619" s="63"/>
      <c r="AQ619" s="63"/>
      <c r="AR619" s="63"/>
      <c r="AS619" s="63">
        <f t="shared" si="457"/>
        <v>0</v>
      </c>
      <c r="AT619" s="413"/>
      <c r="AU619" s="63"/>
      <c r="AV619" s="63"/>
      <c r="AW619" s="63"/>
      <c r="AX619" s="63">
        <f t="shared" si="458"/>
        <v>0</v>
      </c>
      <c r="AY619" s="413"/>
      <c r="AZ619" s="63"/>
      <c r="BA619" s="63"/>
      <c r="BB619" s="63"/>
      <c r="BC619" s="63">
        <f t="shared" si="459"/>
        <v>0</v>
      </c>
      <c r="BD619" s="413"/>
      <c r="BE619" s="63"/>
      <c r="BF619" s="63"/>
      <c r="BG619" s="63"/>
      <c r="BH619" s="63">
        <f t="shared" si="460"/>
        <v>0</v>
      </c>
      <c r="BI619" s="413"/>
      <c r="BJ619" s="63"/>
      <c r="BK619" s="98">
        <v>-14.471</v>
      </c>
      <c r="BL619" s="98">
        <v>-574.00900000000001</v>
      </c>
      <c r="BM619" s="63">
        <f t="shared" si="461"/>
        <v>-625.654</v>
      </c>
      <c r="BN619" s="410">
        <v>-625.654</v>
      </c>
      <c r="BO619" s="63"/>
      <c r="BP619" s="98">
        <v>-34.409999999999997</v>
      </c>
      <c r="BQ619" s="98">
        <v>-145.69800000000001</v>
      </c>
      <c r="BR619" s="63">
        <f t="shared" si="462"/>
        <v>-2606.0309999999999</v>
      </c>
      <c r="BS619" s="419">
        <v>-2606.0309999999999</v>
      </c>
      <c r="BT619" s="63"/>
      <c r="BU619" s="63"/>
      <c r="BV619" s="63"/>
      <c r="BW619" s="63">
        <f t="shared" si="463"/>
        <v>0</v>
      </c>
      <c r="BX619" s="413"/>
      <c r="BY619" s="63"/>
      <c r="BZ619" s="63"/>
      <c r="CA619" s="63"/>
      <c r="CB619" s="63">
        <f t="shared" si="464"/>
        <v>0</v>
      </c>
      <c r="CC619" s="413"/>
      <c r="CD619" s="413"/>
      <c r="CE619" s="413"/>
      <c r="CF619" s="413"/>
      <c r="CG619" s="99"/>
    </row>
    <row r="620" spans="1:85" ht="14.45" hidden="1" customHeight="1" x14ac:dyDescent="0.25">
      <c r="A620" s="125" t="s">
        <v>642</v>
      </c>
      <c r="B620" s="180"/>
      <c r="C620" s="413"/>
      <c r="D620" s="413"/>
      <c r="E620" s="413"/>
      <c r="F620" s="413"/>
      <c r="G620" s="63"/>
      <c r="H620" s="63"/>
      <c r="I620" s="63"/>
      <c r="J620" s="63"/>
      <c r="K620" s="413"/>
      <c r="L620" s="63"/>
      <c r="M620" s="63"/>
      <c r="N620" s="63"/>
      <c r="O620" s="63"/>
      <c r="P620" s="413"/>
      <c r="Q620" s="63"/>
      <c r="R620" s="63"/>
      <c r="S620" s="63"/>
      <c r="T620" s="63"/>
      <c r="U620" s="413"/>
      <c r="V620" s="63"/>
      <c r="W620" s="63"/>
      <c r="X620" s="63"/>
      <c r="Y620" s="63"/>
      <c r="Z620" s="413"/>
      <c r="AA620" s="63"/>
      <c r="AB620" s="63"/>
      <c r="AC620" s="63"/>
      <c r="AD620" s="63"/>
      <c r="AE620" s="413"/>
      <c r="AF620" s="63"/>
      <c r="AG620" s="63"/>
      <c r="AH620" s="63"/>
      <c r="AI620" s="63"/>
      <c r="AJ620" s="413"/>
      <c r="AK620" s="63"/>
      <c r="AL620" s="63"/>
      <c r="AM620" s="63"/>
      <c r="AN620" s="63"/>
      <c r="AO620" s="413"/>
      <c r="AP620" s="63"/>
      <c r="AQ620" s="63"/>
      <c r="AR620" s="63"/>
      <c r="AS620" s="63"/>
      <c r="AT620" s="413"/>
      <c r="AU620" s="63"/>
      <c r="AV620" s="63"/>
      <c r="AW620" s="63"/>
      <c r="AX620" s="63"/>
      <c r="AY620" s="413"/>
      <c r="AZ620" s="63"/>
      <c r="BA620" s="63"/>
      <c r="BB620" s="63"/>
      <c r="BC620" s="63"/>
      <c r="BD620" s="413"/>
      <c r="BE620" s="63"/>
      <c r="BF620" s="63"/>
      <c r="BG620" s="63"/>
      <c r="BH620" s="63"/>
      <c r="BI620" s="413"/>
      <c r="BJ620" s="63"/>
      <c r="BK620" s="63"/>
      <c r="BL620" s="63"/>
      <c r="BM620" s="63"/>
      <c r="BN620" s="413"/>
      <c r="BO620" s="63"/>
      <c r="BP620" s="63"/>
      <c r="BQ620" s="63"/>
      <c r="BR620" s="63"/>
      <c r="BS620" s="425"/>
      <c r="BT620" s="63"/>
      <c r="BU620" s="63"/>
      <c r="BV620" s="63"/>
      <c r="BW620" s="63">
        <f t="shared" si="463"/>
        <v>0</v>
      </c>
      <c r="BX620" s="413"/>
      <c r="BY620" s="63"/>
      <c r="BZ620" s="63"/>
      <c r="CA620" s="63"/>
      <c r="CB620" s="63">
        <f t="shared" si="464"/>
        <v>0</v>
      </c>
      <c r="CC620" s="413"/>
      <c r="CD620" s="413"/>
      <c r="CE620" s="413"/>
      <c r="CF620" s="413"/>
      <c r="CG620" s="99"/>
    </row>
    <row r="621" spans="1:85" ht="14.45" hidden="1" customHeight="1" x14ac:dyDescent="0.25">
      <c r="A621" s="125" t="s">
        <v>65</v>
      </c>
      <c r="B621" s="180"/>
      <c r="C621" s="410">
        <v>-0.14499999999999999</v>
      </c>
      <c r="D621" s="410">
        <v>-8.7999999999999995E-2</v>
      </c>
      <c r="E621" s="410">
        <v>-0.183</v>
      </c>
      <c r="F621" s="410">
        <v>-0.13600000000000001</v>
      </c>
      <c r="G621" s="98">
        <v>-0.06</v>
      </c>
      <c r="H621" s="98">
        <v>-0.06</v>
      </c>
      <c r="I621" s="98">
        <v>-8.8999999999999996E-2</v>
      </c>
      <c r="J621" s="99">
        <f>K621</f>
        <v>-0.14699999999999999</v>
      </c>
      <c r="K621" s="410">
        <v>-0.14699999999999999</v>
      </c>
      <c r="L621" s="98">
        <v>-6.2E-2</v>
      </c>
      <c r="M621" s="98">
        <v>-0.128</v>
      </c>
      <c r="N621" s="98">
        <v>-0.16200000000000001</v>
      </c>
      <c r="O621" s="99">
        <f>P621</f>
        <v>-0.224</v>
      </c>
      <c r="P621" s="410">
        <v>-0.224</v>
      </c>
      <c r="Q621" s="98">
        <v>-8.7999999999999995E-2</v>
      </c>
      <c r="R621" s="98">
        <v>-8.7999999999999995E-2</v>
      </c>
      <c r="S621" s="98">
        <v>-8.7999999999999995E-2</v>
      </c>
      <c r="T621" s="99">
        <f>U621</f>
        <v>-0.184</v>
      </c>
      <c r="U621" s="410">
        <v>-0.184</v>
      </c>
      <c r="V621" s="98">
        <v>9.1999999999999998E-2</v>
      </c>
      <c r="W621" s="98">
        <v>-0.877</v>
      </c>
      <c r="X621" s="98">
        <v>-0.86699999999999999</v>
      </c>
      <c r="Y621" s="63">
        <f>Z621</f>
        <v>-0.94</v>
      </c>
      <c r="Z621" s="410">
        <v>-0.94</v>
      </c>
      <c r="AA621" s="98">
        <v>-0.21299999999999999</v>
      </c>
      <c r="AB621" s="98">
        <v>-0.21299999999999999</v>
      </c>
      <c r="AC621" s="98">
        <v>-0.21299999999999999</v>
      </c>
      <c r="AD621" s="63">
        <f>AE621</f>
        <v>-0.318</v>
      </c>
      <c r="AE621" s="410">
        <v>-0.318</v>
      </c>
      <c r="AF621" s="63"/>
      <c r="AG621" s="63"/>
      <c r="AH621" s="63"/>
      <c r="AI621" s="63">
        <f>AJ621</f>
        <v>0</v>
      </c>
      <c r="AJ621" s="413"/>
      <c r="AK621" s="63"/>
      <c r="AL621" s="63"/>
      <c r="AM621" s="63"/>
      <c r="AN621" s="63">
        <f>AO621</f>
        <v>0</v>
      </c>
      <c r="AO621" s="413"/>
      <c r="AP621" s="63"/>
      <c r="AQ621" s="63"/>
      <c r="AR621" s="63"/>
      <c r="AS621" s="63">
        <f>AT621</f>
        <v>0</v>
      </c>
      <c r="AT621" s="413"/>
      <c r="AU621" s="63"/>
      <c r="AV621" s="63"/>
      <c r="AW621" s="63"/>
      <c r="AX621" s="63">
        <f>AY621</f>
        <v>0</v>
      </c>
      <c r="AY621" s="413"/>
      <c r="AZ621" s="63"/>
      <c r="BA621" s="63"/>
      <c r="BB621" s="63"/>
      <c r="BC621" s="63">
        <f>BD621</f>
        <v>0</v>
      </c>
      <c r="BD621" s="413"/>
      <c r="BE621" s="63"/>
      <c r="BF621" s="63"/>
      <c r="BG621" s="63"/>
      <c r="BH621" s="63">
        <f>BI621</f>
        <v>0</v>
      </c>
      <c r="BI621" s="413"/>
      <c r="BJ621" s="63"/>
      <c r="BK621" s="63"/>
      <c r="BL621" s="63"/>
      <c r="BM621" s="63">
        <f>BN621</f>
        <v>0</v>
      </c>
      <c r="BN621" s="413"/>
      <c r="BO621" s="63"/>
      <c r="BP621" s="63"/>
      <c r="BQ621" s="63"/>
      <c r="BR621" s="63">
        <f>BS621</f>
        <v>0</v>
      </c>
      <c r="BS621" s="425"/>
      <c r="BT621" s="63"/>
      <c r="BU621" s="63"/>
      <c r="BV621" s="63"/>
      <c r="BW621" s="63">
        <f t="shared" si="463"/>
        <v>0</v>
      </c>
      <c r="BX621" s="413"/>
      <c r="BY621" s="63"/>
      <c r="BZ621" s="63"/>
      <c r="CA621" s="63"/>
      <c r="CB621" s="63">
        <f t="shared" si="464"/>
        <v>0</v>
      </c>
      <c r="CC621" s="413"/>
      <c r="CD621" s="413"/>
      <c r="CE621" s="413"/>
      <c r="CF621" s="413"/>
      <c r="CG621" s="99"/>
    </row>
    <row r="622" spans="1:85" ht="14.45" hidden="1" customHeight="1" x14ac:dyDescent="0.25">
      <c r="A622" s="110" t="s">
        <v>643</v>
      </c>
      <c r="B622" s="212"/>
      <c r="C622" s="416">
        <f t="shared" ref="C622:AH622" si="472">SUM(C598:C621)</f>
        <v>-67.583000000000013</v>
      </c>
      <c r="D622" s="416">
        <f t="shared" si="472"/>
        <v>-28.036999999999999</v>
      </c>
      <c r="E622" s="416">
        <f t="shared" si="472"/>
        <v>-13.879999999999999</v>
      </c>
      <c r="F622" s="416">
        <f t="shared" si="472"/>
        <v>-113.961</v>
      </c>
      <c r="G622" s="106">
        <f t="shared" si="472"/>
        <v>31.358000000000001</v>
      </c>
      <c r="H622" s="106">
        <f t="shared" si="472"/>
        <v>17.748000000000001</v>
      </c>
      <c r="I622" s="106">
        <f t="shared" si="472"/>
        <v>-20.948</v>
      </c>
      <c r="J622" s="106">
        <f t="shared" si="472"/>
        <v>-39.716000000000001</v>
      </c>
      <c r="K622" s="416">
        <f t="shared" si="472"/>
        <v>-39.716000000000001</v>
      </c>
      <c r="L622" s="106">
        <f t="shared" si="472"/>
        <v>31.177</v>
      </c>
      <c r="M622" s="106">
        <f t="shared" si="472"/>
        <v>47.492000000000004</v>
      </c>
      <c r="N622" s="106">
        <f t="shared" si="472"/>
        <v>33.646000000000001</v>
      </c>
      <c r="O622" s="106">
        <f t="shared" si="472"/>
        <v>29.681999999999999</v>
      </c>
      <c r="P622" s="416">
        <f t="shared" si="472"/>
        <v>29.681999999999999</v>
      </c>
      <c r="Q622" s="106">
        <f t="shared" si="472"/>
        <v>77.975999999999999</v>
      </c>
      <c r="R622" s="106">
        <f t="shared" si="472"/>
        <v>110.01</v>
      </c>
      <c r="S622" s="106">
        <f t="shared" si="472"/>
        <v>89.440000000000012</v>
      </c>
      <c r="T622" s="106">
        <f t="shared" si="472"/>
        <v>155.45600000000002</v>
      </c>
      <c r="U622" s="416">
        <f t="shared" si="472"/>
        <v>155.45600000000002</v>
      </c>
      <c r="V622" s="106">
        <f t="shared" si="472"/>
        <v>131.084</v>
      </c>
      <c r="W622" s="106">
        <f t="shared" si="472"/>
        <v>193.3</v>
      </c>
      <c r="X622" s="106">
        <f t="shared" si="472"/>
        <v>176.64700000000002</v>
      </c>
      <c r="Y622" s="159">
        <f t="shared" si="472"/>
        <v>256.38299999999998</v>
      </c>
      <c r="Z622" s="418">
        <f t="shared" si="472"/>
        <v>256.38299999999998</v>
      </c>
      <c r="AA622" s="106">
        <f t="shared" si="472"/>
        <v>90.631</v>
      </c>
      <c r="AB622" s="106">
        <f t="shared" si="472"/>
        <v>157.874</v>
      </c>
      <c r="AC622" s="106">
        <f t="shared" si="472"/>
        <v>195.548</v>
      </c>
      <c r="AD622" s="159">
        <f t="shared" si="472"/>
        <v>146.13099999999997</v>
      </c>
      <c r="AE622" s="418">
        <f t="shared" si="472"/>
        <v>146.13099999999997</v>
      </c>
      <c r="AF622" s="106">
        <f t="shared" si="472"/>
        <v>112.547</v>
      </c>
      <c r="AG622" s="106">
        <f t="shared" si="472"/>
        <v>21.337000000000003</v>
      </c>
      <c r="AH622" s="106">
        <f t="shared" si="472"/>
        <v>72.451999999999998</v>
      </c>
      <c r="AI622" s="159">
        <f t="shared" ref="AI622:BN622" si="473">SUM(AI598:AI621)</f>
        <v>-28.288</v>
      </c>
      <c r="AJ622" s="418">
        <f t="shared" si="473"/>
        <v>-28.288</v>
      </c>
      <c r="AK622" s="106">
        <f t="shared" si="473"/>
        <v>23.126999999999999</v>
      </c>
      <c r="AL622" s="106">
        <f t="shared" si="473"/>
        <v>-34.544000000000004</v>
      </c>
      <c r="AM622" s="106">
        <f t="shared" si="473"/>
        <v>-110.05600000000001</v>
      </c>
      <c r="AN622" s="159">
        <f t="shared" si="473"/>
        <v>-120.62700000000001</v>
      </c>
      <c r="AO622" s="418">
        <f t="shared" si="473"/>
        <v>-120.62700000000001</v>
      </c>
      <c r="AP622" s="106">
        <f t="shared" si="473"/>
        <v>38.173000000000002</v>
      </c>
      <c r="AQ622" s="106">
        <f t="shared" si="473"/>
        <v>-88.363000000000014</v>
      </c>
      <c r="AR622" s="106">
        <f t="shared" si="473"/>
        <v>-111.10199999999999</v>
      </c>
      <c r="AS622" s="159">
        <f t="shared" si="473"/>
        <v>-248.863</v>
      </c>
      <c r="AT622" s="418">
        <f t="shared" si="473"/>
        <v>-248.863</v>
      </c>
      <c r="AU622" s="106">
        <f t="shared" si="473"/>
        <v>-45.233000000000004</v>
      </c>
      <c r="AV622" s="106">
        <f t="shared" si="473"/>
        <v>-189.62200000000001</v>
      </c>
      <c r="AW622" s="106">
        <f t="shared" si="473"/>
        <v>-188.19300000000001</v>
      </c>
      <c r="AX622" s="159">
        <f t="shared" si="473"/>
        <v>-272.291</v>
      </c>
      <c r="AY622" s="418">
        <f t="shared" si="473"/>
        <v>-272.291</v>
      </c>
      <c r="AZ622" s="106">
        <f t="shared" si="473"/>
        <v>-13.588999999999999</v>
      </c>
      <c r="BA622" s="106">
        <f t="shared" si="473"/>
        <v>-25.432000000000002</v>
      </c>
      <c r="BB622" s="106">
        <f t="shared" si="473"/>
        <v>-163.11099999999999</v>
      </c>
      <c r="BC622" s="159">
        <f t="shared" si="473"/>
        <v>-174.18700000000001</v>
      </c>
      <c r="BD622" s="418">
        <f t="shared" si="473"/>
        <v>-174.18700000000001</v>
      </c>
      <c r="BE622" s="106">
        <f t="shared" si="473"/>
        <v>-40.019000000000005</v>
      </c>
      <c r="BF622" s="106">
        <f t="shared" si="473"/>
        <v>-52.155000000000001</v>
      </c>
      <c r="BG622" s="106">
        <f t="shared" si="473"/>
        <v>-65.117000000000004</v>
      </c>
      <c r="BH622" s="159">
        <f t="shared" si="473"/>
        <v>-77.718999999999994</v>
      </c>
      <c r="BI622" s="418">
        <f t="shared" si="473"/>
        <v>-77.718999999999994</v>
      </c>
      <c r="BJ622" s="106">
        <f t="shared" si="473"/>
        <v>-165.01999999999998</v>
      </c>
      <c r="BK622" s="106">
        <f t="shared" si="473"/>
        <v>989.06699999999989</v>
      </c>
      <c r="BL622" s="106">
        <f t="shared" si="473"/>
        <v>400.80200000000002</v>
      </c>
      <c r="BM622" s="159">
        <f t="shared" si="473"/>
        <v>306.39899999999989</v>
      </c>
      <c r="BN622" s="418">
        <f t="shared" si="473"/>
        <v>306.39899999999989</v>
      </c>
      <c r="BO622" s="106">
        <f t="shared" ref="BO622:CF622" si="474">SUM(BO598:BO621)</f>
        <v>-42.494999999999997</v>
      </c>
      <c r="BP622" s="106">
        <f t="shared" si="474"/>
        <v>-114.761</v>
      </c>
      <c r="BQ622" s="106">
        <f t="shared" si="474"/>
        <v>-264.589</v>
      </c>
      <c r="BR622" s="159">
        <f t="shared" si="474"/>
        <v>-1766.7929999999999</v>
      </c>
      <c r="BS622" s="469">
        <f t="shared" si="474"/>
        <v>-1766.7929999999999</v>
      </c>
      <c r="BT622" s="159">
        <f t="shared" si="474"/>
        <v>0</v>
      </c>
      <c r="BU622" s="159">
        <f t="shared" si="474"/>
        <v>0</v>
      </c>
      <c r="BV622" s="159">
        <f t="shared" si="474"/>
        <v>0</v>
      </c>
      <c r="BW622" s="159">
        <f t="shared" si="474"/>
        <v>0</v>
      </c>
      <c r="BX622" s="418">
        <f t="shared" si="474"/>
        <v>0</v>
      </c>
      <c r="BY622" s="159">
        <f t="shared" si="474"/>
        <v>0</v>
      </c>
      <c r="BZ622" s="159">
        <f t="shared" si="474"/>
        <v>0</v>
      </c>
      <c r="CA622" s="159">
        <f t="shared" si="474"/>
        <v>0</v>
      </c>
      <c r="CB622" s="159">
        <f t="shared" si="474"/>
        <v>0</v>
      </c>
      <c r="CC622" s="418">
        <f t="shared" si="474"/>
        <v>0</v>
      </c>
      <c r="CD622" s="418">
        <f t="shared" si="474"/>
        <v>0</v>
      </c>
      <c r="CE622" s="418">
        <f t="shared" si="474"/>
        <v>0</v>
      </c>
      <c r="CF622" s="418">
        <f t="shared" si="474"/>
        <v>0</v>
      </c>
      <c r="CG622" s="109"/>
    </row>
    <row r="623" spans="1:85" ht="14.45" hidden="1" customHeight="1" x14ac:dyDescent="0.25">
      <c r="A623" s="111"/>
      <c r="B623" s="211"/>
      <c r="C623" s="423"/>
      <c r="D623" s="423"/>
      <c r="E623" s="423"/>
      <c r="F623" s="423"/>
      <c r="G623" s="112"/>
      <c r="H623" s="112"/>
      <c r="I623" s="112"/>
      <c r="J623" s="112"/>
      <c r="K623" s="423"/>
      <c r="L623" s="112"/>
      <c r="M623" s="112"/>
      <c r="N623" s="112"/>
      <c r="O623" s="112"/>
      <c r="P623" s="423"/>
      <c r="Q623" s="112"/>
      <c r="R623" s="112"/>
      <c r="S623" s="112"/>
      <c r="T623" s="112"/>
      <c r="U623" s="423"/>
      <c r="V623" s="112"/>
      <c r="W623" s="112"/>
      <c r="X623" s="112"/>
      <c r="Y623" s="112"/>
      <c r="Z623" s="423"/>
      <c r="AA623" s="112"/>
      <c r="AB623" s="112"/>
      <c r="AC623" s="112"/>
      <c r="AD623" s="112"/>
      <c r="AE623" s="423"/>
      <c r="AF623" s="112"/>
      <c r="AG623" s="112"/>
      <c r="AH623" s="112"/>
      <c r="AI623" s="112"/>
      <c r="AJ623" s="423"/>
      <c r="AK623" s="112"/>
      <c r="AL623" s="112"/>
      <c r="AM623" s="112"/>
      <c r="AN623" s="112"/>
      <c r="AO623" s="423"/>
      <c r="AP623" s="112"/>
      <c r="AQ623" s="112"/>
      <c r="AR623" s="112"/>
      <c r="AS623" s="112"/>
      <c r="AT623" s="423"/>
      <c r="AU623" s="112"/>
      <c r="AV623" s="112"/>
      <c r="AW623" s="112"/>
      <c r="AX623" s="112"/>
      <c r="AY623" s="423"/>
      <c r="AZ623" s="112"/>
      <c r="BA623" s="112"/>
      <c r="BB623" s="112"/>
      <c r="BC623" s="112"/>
      <c r="BD623" s="423"/>
      <c r="BE623" s="112"/>
      <c r="BF623" s="112"/>
      <c r="BG623" s="112"/>
      <c r="BH623" s="112"/>
      <c r="BI623" s="423"/>
      <c r="BJ623" s="112"/>
      <c r="BK623" s="112"/>
      <c r="BL623" s="112"/>
      <c r="BM623" s="112"/>
      <c r="BN623" s="423"/>
      <c r="BO623" s="112"/>
      <c r="BP623" s="112"/>
      <c r="BQ623" s="112"/>
      <c r="BR623" s="112"/>
      <c r="BS623" s="424"/>
      <c r="BT623" s="112"/>
      <c r="BU623" s="112"/>
      <c r="BV623" s="112"/>
      <c r="BW623" s="112"/>
      <c r="BX623" s="423"/>
      <c r="BY623" s="112"/>
      <c r="BZ623" s="112"/>
      <c r="CA623" s="112"/>
      <c r="CB623" s="112"/>
      <c r="CC623" s="423"/>
      <c r="CD623" s="423"/>
      <c r="CE623" s="423"/>
      <c r="CF623" s="423"/>
      <c r="CG623" s="109"/>
    </row>
    <row r="624" spans="1:85" ht="14.45" hidden="1" customHeight="1" x14ac:dyDescent="0.25">
      <c r="A624" s="135" t="s">
        <v>644</v>
      </c>
      <c r="B624" s="211"/>
      <c r="C624" s="423"/>
      <c r="D624" s="423"/>
      <c r="E624" s="423"/>
      <c r="F624" s="423"/>
      <c r="G624" s="112"/>
      <c r="H624" s="112"/>
      <c r="I624" s="112"/>
      <c r="J624" s="109">
        <f>K624</f>
        <v>0</v>
      </c>
      <c r="K624" s="423"/>
      <c r="L624" s="112"/>
      <c r="M624" s="112"/>
      <c r="N624" s="112"/>
      <c r="O624" s="109">
        <f>P624</f>
        <v>0</v>
      </c>
      <c r="P624" s="423"/>
      <c r="Q624" s="112"/>
      <c r="R624" s="112"/>
      <c r="S624" s="112"/>
      <c r="T624" s="109">
        <f>U624</f>
        <v>0</v>
      </c>
      <c r="U624" s="423"/>
      <c r="V624" s="112"/>
      <c r="W624" s="112"/>
      <c r="X624" s="112"/>
      <c r="Y624" s="112">
        <f>Z624</f>
        <v>0</v>
      </c>
      <c r="Z624" s="423"/>
      <c r="AA624" s="112"/>
      <c r="AB624" s="112"/>
      <c r="AC624" s="112"/>
      <c r="AD624" s="112">
        <f>AE624</f>
        <v>0</v>
      </c>
      <c r="AE624" s="423"/>
      <c r="AF624" s="112"/>
      <c r="AG624" s="112"/>
      <c r="AH624" s="112"/>
      <c r="AI624" s="112">
        <f>AJ624</f>
        <v>0</v>
      </c>
      <c r="AJ624" s="423"/>
      <c r="AK624" s="112"/>
      <c r="AL624" s="112"/>
      <c r="AM624" s="112"/>
      <c r="AN624" s="112">
        <f>AO624</f>
        <v>0</v>
      </c>
      <c r="AO624" s="423"/>
      <c r="AP624" s="112"/>
      <c r="AQ624" s="112"/>
      <c r="AR624" s="112"/>
      <c r="AS624" s="112">
        <f>AT624</f>
        <v>0</v>
      </c>
      <c r="AT624" s="423"/>
      <c r="AU624" s="112"/>
      <c r="AV624" s="112"/>
      <c r="AW624" s="112"/>
      <c r="AX624" s="112">
        <f>AY624</f>
        <v>0</v>
      </c>
      <c r="AY624" s="423"/>
      <c r="AZ624" s="112"/>
      <c r="BA624" s="112"/>
      <c r="BB624" s="112"/>
      <c r="BC624" s="112">
        <f>BD624</f>
        <v>0</v>
      </c>
      <c r="BD624" s="423"/>
      <c r="BE624" s="112"/>
      <c r="BF624" s="112"/>
      <c r="BG624" s="112"/>
      <c r="BH624" s="112">
        <f>BI624</f>
        <v>0</v>
      </c>
      <c r="BI624" s="423"/>
      <c r="BJ624" s="112"/>
      <c r="BK624" s="112"/>
      <c r="BL624" s="112"/>
      <c r="BM624" s="112">
        <f>BN624</f>
        <v>0</v>
      </c>
      <c r="BN624" s="423"/>
      <c r="BO624" s="112"/>
      <c r="BP624" s="112"/>
      <c r="BQ624" s="112"/>
      <c r="BR624" s="112">
        <f>BS624</f>
        <v>0</v>
      </c>
      <c r="BS624" s="424"/>
      <c r="BT624" s="112"/>
      <c r="BU624" s="112"/>
      <c r="BV624" s="112"/>
      <c r="BW624" s="112">
        <f>BX624</f>
        <v>0</v>
      </c>
      <c r="BX624" s="423"/>
      <c r="BY624" s="112"/>
      <c r="BZ624" s="112"/>
      <c r="CA624" s="112"/>
      <c r="CB624" s="112">
        <f>CC624</f>
        <v>0</v>
      </c>
      <c r="CC624" s="423"/>
      <c r="CD624" s="423"/>
      <c r="CE624" s="423"/>
      <c r="CF624" s="423"/>
      <c r="CG624" s="109"/>
    </row>
    <row r="625" spans="1:85" ht="14.45" hidden="1" customHeight="1" x14ac:dyDescent="0.25">
      <c r="A625" s="135" t="s">
        <v>645</v>
      </c>
      <c r="B625" s="211"/>
      <c r="C625" s="421">
        <f t="shared" ref="C625:AH625" si="475">C622+C595+C578+C624</f>
        <v>-27.637000000000029</v>
      </c>
      <c r="D625" s="421">
        <f t="shared" si="475"/>
        <v>28.102000000000004</v>
      </c>
      <c r="E625" s="421">
        <f t="shared" si="475"/>
        <v>44.885999999999996</v>
      </c>
      <c r="F625" s="421">
        <f t="shared" si="475"/>
        <v>-80.358999999999995</v>
      </c>
      <c r="G625" s="109">
        <f t="shared" si="475"/>
        <v>1.4909999999999997</v>
      </c>
      <c r="H625" s="109">
        <f t="shared" si="475"/>
        <v>15.325999999999993</v>
      </c>
      <c r="I625" s="109">
        <f t="shared" si="475"/>
        <v>14.883999999999993</v>
      </c>
      <c r="J625" s="109">
        <f t="shared" si="475"/>
        <v>1.362000000000009</v>
      </c>
      <c r="K625" s="421">
        <f t="shared" si="475"/>
        <v>1.362000000000009</v>
      </c>
      <c r="L625" s="109">
        <f t="shared" si="475"/>
        <v>7.0130000000000035</v>
      </c>
      <c r="M625" s="109">
        <f t="shared" si="475"/>
        <v>11.113000000000008</v>
      </c>
      <c r="N625" s="109">
        <f t="shared" si="475"/>
        <v>11.305999999999997</v>
      </c>
      <c r="O625" s="109">
        <f t="shared" si="475"/>
        <v>-2.6659999999999968</v>
      </c>
      <c r="P625" s="421">
        <f t="shared" si="475"/>
        <v>-2.6659999999999968</v>
      </c>
      <c r="Q625" s="109">
        <f t="shared" si="475"/>
        <v>12.068000000000003</v>
      </c>
      <c r="R625" s="109">
        <f t="shared" si="475"/>
        <v>34.705999999999989</v>
      </c>
      <c r="S625" s="109">
        <f t="shared" si="475"/>
        <v>31.396000000000015</v>
      </c>
      <c r="T625" s="109">
        <f t="shared" si="475"/>
        <v>46.402999999999963</v>
      </c>
      <c r="U625" s="421">
        <f t="shared" si="475"/>
        <v>46.402999999999963</v>
      </c>
      <c r="V625" s="109">
        <f t="shared" si="475"/>
        <v>-22.897999999999985</v>
      </c>
      <c r="W625" s="109">
        <f t="shared" si="475"/>
        <v>-6.1750000000000114</v>
      </c>
      <c r="X625" s="109">
        <f t="shared" si="475"/>
        <v>-1.2809999999999491</v>
      </c>
      <c r="Y625" s="112">
        <f t="shared" si="475"/>
        <v>-33.647999999999996</v>
      </c>
      <c r="Z625" s="423">
        <f t="shared" si="475"/>
        <v>-33.647999999999996</v>
      </c>
      <c r="AA625" s="109">
        <f t="shared" si="475"/>
        <v>10.090000000000003</v>
      </c>
      <c r="AB625" s="109">
        <f t="shared" si="475"/>
        <v>21.664000000000016</v>
      </c>
      <c r="AC625" s="109">
        <f t="shared" si="475"/>
        <v>-9.9279999999999688</v>
      </c>
      <c r="AD625" s="112">
        <f t="shared" si="475"/>
        <v>-4.9479999999999791</v>
      </c>
      <c r="AE625" s="423">
        <f t="shared" si="475"/>
        <v>-4.9479999999999791</v>
      </c>
      <c r="AF625" s="109">
        <f t="shared" si="475"/>
        <v>-8.423000000000016</v>
      </c>
      <c r="AG625" s="109">
        <f t="shared" si="475"/>
        <v>2.8219999999999956</v>
      </c>
      <c r="AH625" s="109">
        <f t="shared" si="475"/>
        <v>-7.5649999999999764</v>
      </c>
      <c r="AI625" s="112">
        <f t="shared" ref="AI625:BN625" si="476">AI622+AI595+AI578+AI624</f>
        <v>-3.3540000000000134</v>
      </c>
      <c r="AJ625" s="423">
        <f t="shared" si="476"/>
        <v>-3.3540000000000134</v>
      </c>
      <c r="AK625" s="109">
        <f t="shared" si="476"/>
        <v>-5.0510000000000144</v>
      </c>
      <c r="AL625" s="109">
        <f t="shared" si="476"/>
        <v>-7.856000000000023</v>
      </c>
      <c r="AM625" s="109">
        <f t="shared" si="476"/>
        <v>-7.5590000000000259</v>
      </c>
      <c r="AN625" s="112">
        <f t="shared" si="476"/>
        <v>-3.9339999999999122</v>
      </c>
      <c r="AO625" s="423">
        <f t="shared" si="476"/>
        <v>-3.9339999999999122</v>
      </c>
      <c r="AP625" s="109">
        <f t="shared" si="476"/>
        <v>38.133999999999993</v>
      </c>
      <c r="AQ625" s="109">
        <f t="shared" si="476"/>
        <v>67.93599999999995</v>
      </c>
      <c r="AR625" s="109">
        <f t="shared" si="476"/>
        <v>155.20900000000003</v>
      </c>
      <c r="AS625" s="112">
        <f t="shared" si="476"/>
        <v>45.178999999999974</v>
      </c>
      <c r="AT625" s="423">
        <f t="shared" si="476"/>
        <v>45.178999999999974</v>
      </c>
      <c r="AU625" s="109">
        <f t="shared" si="476"/>
        <v>-2.9649999999999892</v>
      </c>
      <c r="AV625" s="109">
        <f t="shared" si="476"/>
        <v>-0.58900000000005548</v>
      </c>
      <c r="AW625" s="109">
        <f t="shared" si="476"/>
        <v>132.08499999999998</v>
      </c>
      <c r="AX625" s="112">
        <f t="shared" si="476"/>
        <v>87.520999999999958</v>
      </c>
      <c r="AY625" s="423">
        <f t="shared" si="476"/>
        <v>87.520999999999958</v>
      </c>
      <c r="AZ625" s="109">
        <f t="shared" si="476"/>
        <v>-15.229000000000042</v>
      </c>
      <c r="BA625" s="109">
        <f t="shared" si="476"/>
        <v>46.48900000000009</v>
      </c>
      <c r="BB625" s="109">
        <f t="shared" si="476"/>
        <v>20.930000000000007</v>
      </c>
      <c r="BC625" s="112">
        <f t="shared" si="476"/>
        <v>55.334000000000117</v>
      </c>
      <c r="BD625" s="423">
        <f t="shared" si="476"/>
        <v>55.334000000000117</v>
      </c>
      <c r="BE625" s="109">
        <f t="shared" si="476"/>
        <v>92.132999999999981</v>
      </c>
      <c r="BF625" s="109">
        <f t="shared" si="476"/>
        <v>232.524</v>
      </c>
      <c r="BG625" s="109">
        <f t="shared" si="476"/>
        <v>418.56900000000019</v>
      </c>
      <c r="BH625" s="112">
        <f t="shared" si="476"/>
        <v>437.62100000000021</v>
      </c>
      <c r="BI625" s="423">
        <f t="shared" si="476"/>
        <v>437.62100000000021</v>
      </c>
      <c r="BJ625" s="109">
        <f t="shared" si="476"/>
        <v>-234.00899999999999</v>
      </c>
      <c r="BK625" s="109">
        <f t="shared" si="476"/>
        <v>1064.019</v>
      </c>
      <c r="BL625" s="109">
        <f t="shared" si="476"/>
        <v>600.73700000000008</v>
      </c>
      <c r="BM625" s="112">
        <f t="shared" si="476"/>
        <v>500.55499999999972</v>
      </c>
      <c r="BN625" s="423">
        <f t="shared" si="476"/>
        <v>500.55499999999972</v>
      </c>
      <c r="BO625" s="109">
        <f t="shared" ref="BO625:CF625" si="477">BO622+BO595+BO578+BO624</f>
        <v>15.980999999999995</v>
      </c>
      <c r="BP625" s="109">
        <f t="shared" si="477"/>
        <v>84.100999999999999</v>
      </c>
      <c r="BQ625" s="109">
        <f t="shared" si="477"/>
        <v>396.64900000000006</v>
      </c>
      <c r="BR625" s="112">
        <f t="shared" si="477"/>
        <v>-853.90600000000006</v>
      </c>
      <c r="BS625" s="424">
        <f t="shared" si="477"/>
        <v>-853.90600000000006</v>
      </c>
      <c r="BT625" s="112">
        <f t="shared" si="477"/>
        <v>0</v>
      </c>
      <c r="BU625" s="112">
        <f t="shared" si="477"/>
        <v>0</v>
      </c>
      <c r="BV625" s="112">
        <f t="shared" si="477"/>
        <v>0</v>
      </c>
      <c r="BW625" s="112">
        <f t="shared" si="477"/>
        <v>0</v>
      </c>
      <c r="BX625" s="423">
        <f t="shared" si="477"/>
        <v>0</v>
      </c>
      <c r="BY625" s="112">
        <f t="shared" si="477"/>
        <v>0</v>
      </c>
      <c r="BZ625" s="112">
        <f t="shared" si="477"/>
        <v>0</v>
      </c>
      <c r="CA625" s="112">
        <f t="shared" si="477"/>
        <v>0</v>
      </c>
      <c r="CB625" s="112">
        <f t="shared" si="477"/>
        <v>0</v>
      </c>
      <c r="CC625" s="423">
        <f t="shared" si="477"/>
        <v>0</v>
      </c>
      <c r="CD625" s="423">
        <f t="shared" si="477"/>
        <v>0</v>
      </c>
      <c r="CE625" s="423">
        <f t="shared" si="477"/>
        <v>0</v>
      </c>
      <c r="CF625" s="423">
        <f t="shared" si="477"/>
        <v>0</v>
      </c>
      <c r="CG625" s="109"/>
    </row>
    <row r="626" spans="1:85" ht="14.45" hidden="1" customHeight="1" x14ac:dyDescent="0.25">
      <c r="A626" s="111"/>
      <c r="B626" s="211"/>
      <c r="C626" s="423"/>
      <c r="D626" s="423"/>
      <c r="E626" s="423"/>
      <c r="F626" s="423"/>
      <c r="G626" s="112"/>
      <c r="H626" s="112"/>
      <c r="I626" s="112"/>
      <c r="J626" s="112"/>
      <c r="K626" s="423"/>
      <c r="L626" s="112"/>
      <c r="M626" s="112"/>
      <c r="N626" s="112"/>
      <c r="O626" s="112"/>
      <c r="P626" s="423"/>
      <c r="Q626" s="112"/>
      <c r="R626" s="112"/>
      <c r="S626" s="112"/>
      <c r="T626" s="112"/>
      <c r="U626" s="423"/>
      <c r="V626" s="112"/>
      <c r="W626" s="112"/>
      <c r="X626" s="112"/>
      <c r="Y626" s="112"/>
      <c r="Z626" s="423"/>
      <c r="AA626" s="112"/>
      <c r="AB626" s="112"/>
      <c r="AC626" s="112"/>
      <c r="AD626" s="112"/>
      <c r="AE626" s="423"/>
      <c r="AF626" s="112"/>
      <c r="AG626" s="112"/>
      <c r="AH626" s="112"/>
      <c r="AI626" s="112"/>
      <c r="AJ626" s="423"/>
      <c r="AK626" s="112"/>
      <c r="AL626" s="112"/>
      <c r="AM626" s="112"/>
      <c r="AN626" s="112"/>
      <c r="AO626" s="423"/>
      <c r="AP626" s="112"/>
      <c r="AQ626" s="112"/>
      <c r="AR626" s="112"/>
      <c r="AS626" s="112"/>
      <c r="AT626" s="423"/>
      <c r="AU626" s="112"/>
      <c r="AV626" s="112"/>
      <c r="AW626" s="112"/>
      <c r="AX626" s="112"/>
      <c r="AY626" s="423"/>
      <c r="AZ626" s="112"/>
      <c r="BA626" s="112"/>
      <c r="BB626" s="112"/>
      <c r="BC626" s="112"/>
      <c r="BD626" s="423"/>
      <c r="BE626" s="112"/>
      <c r="BF626" s="112"/>
      <c r="BG626" s="112"/>
      <c r="BH626" s="112"/>
      <c r="BI626" s="423"/>
      <c r="BJ626" s="112"/>
      <c r="BK626" s="112"/>
      <c r="BL626" s="112"/>
      <c r="BM626" s="112"/>
      <c r="BN626" s="423"/>
      <c r="BO626" s="112"/>
      <c r="BP626" s="112"/>
      <c r="BQ626" s="112"/>
      <c r="BR626" s="112"/>
      <c r="BS626" s="424"/>
      <c r="BT626" s="112"/>
      <c r="BU626" s="112"/>
      <c r="BV626" s="112"/>
      <c r="BW626" s="112"/>
      <c r="BX626" s="423"/>
      <c r="BY626" s="112"/>
      <c r="BZ626" s="112"/>
      <c r="CA626" s="112"/>
      <c r="CB626" s="112"/>
      <c r="CC626" s="423"/>
      <c r="CD626" s="423"/>
      <c r="CE626" s="423"/>
      <c r="CF626" s="423"/>
      <c r="CG626" s="109"/>
    </row>
    <row r="627" spans="1:85" ht="14.45" hidden="1" customHeight="1" x14ac:dyDescent="0.25">
      <c r="A627" s="135" t="s">
        <v>646</v>
      </c>
      <c r="B627" s="211"/>
      <c r="C627" s="471">
        <v>45.406999999999996</v>
      </c>
      <c r="D627" s="421">
        <f>C628</f>
        <v>17.769999999999968</v>
      </c>
      <c r="E627" s="421">
        <f>D628</f>
        <v>45.871999999999971</v>
      </c>
      <c r="F627" s="421">
        <f>E628</f>
        <v>90.757999999999967</v>
      </c>
      <c r="G627" s="109">
        <f>F628</f>
        <v>10.398999999999972</v>
      </c>
      <c r="H627" s="109">
        <f>G627</f>
        <v>10.398999999999972</v>
      </c>
      <c r="I627" s="109">
        <f>H627</f>
        <v>10.398999999999972</v>
      </c>
      <c r="J627" s="109">
        <f>I627</f>
        <v>10.398999999999972</v>
      </c>
      <c r="K627" s="421">
        <f>J627</f>
        <v>10.398999999999972</v>
      </c>
      <c r="L627" s="109">
        <f>K628</f>
        <v>11.760999999999981</v>
      </c>
      <c r="M627" s="109">
        <f>L627</f>
        <v>11.760999999999981</v>
      </c>
      <c r="N627" s="109">
        <f>M627</f>
        <v>11.760999999999981</v>
      </c>
      <c r="O627" s="109">
        <f>N627</f>
        <v>11.760999999999981</v>
      </c>
      <c r="P627" s="421">
        <f>O627</f>
        <v>11.760999999999981</v>
      </c>
      <c r="Q627" s="109">
        <f>P628</f>
        <v>9.0949999999999847</v>
      </c>
      <c r="R627" s="109">
        <f>Q627</f>
        <v>9.0949999999999847</v>
      </c>
      <c r="S627" s="109">
        <f>R627</f>
        <v>9.0949999999999847</v>
      </c>
      <c r="T627" s="109">
        <f>S627</f>
        <v>9.0949999999999847</v>
      </c>
      <c r="U627" s="421">
        <f>T627</f>
        <v>9.0949999999999847</v>
      </c>
      <c r="V627" s="109">
        <f>U628</f>
        <v>55.497999999999948</v>
      </c>
      <c r="W627" s="109">
        <f>V627</f>
        <v>55.497999999999948</v>
      </c>
      <c r="X627" s="109">
        <f>W627</f>
        <v>55.497999999999948</v>
      </c>
      <c r="Y627" s="109">
        <f>X627</f>
        <v>55.497999999999948</v>
      </c>
      <c r="Z627" s="421">
        <f>Y627</f>
        <v>55.497999999999948</v>
      </c>
      <c r="AA627" s="109">
        <f>Z628</f>
        <v>21.849999999999952</v>
      </c>
      <c r="AB627" s="109">
        <f>AA627</f>
        <v>21.849999999999952</v>
      </c>
      <c r="AC627" s="109">
        <f>AB627</f>
        <v>21.849999999999952</v>
      </c>
      <c r="AD627" s="109">
        <f>AC627</f>
        <v>21.849999999999952</v>
      </c>
      <c r="AE627" s="421">
        <f>AD627</f>
        <v>21.849999999999952</v>
      </c>
      <c r="AF627" s="109">
        <f>AE628</f>
        <v>16.901999999999973</v>
      </c>
      <c r="AG627" s="109">
        <f>AF627</f>
        <v>16.901999999999973</v>
      </c>
      <c r="AH627" s="109">
        <f>AG627</f>
        <v>16.901999999999973</v>
      </c>
      <c r="AI627" s="109">
        <f>AH627</f>
        <v>16.901999999999973</v>
      </c>
      <c r="AJ627" s="421">
        <f>AI627</f>
        <v>16.901999999999973</v>
      </c>
      <c r="AK627" s="109">
        <f>AJ628</f>
        <v>13.547999999999959</v>
      </c>
      <c r="AL627" s="109">
        <f>AK627</f>
        <v>13.547999999999959</v>
      </c>
      <c r="AM627" s="109">
        <f>AL627</f>
        <v>13.547999999999959</v>
      </c>
      <c r="AN627" s="109">
        <f>AM627</f>
        <v>13.547999999999959</v>
      </c>
      <c r="AO627" s="421">
        <f>AN627</f>
        <v>13.547999999999959</v>
      </c>
      <c r="AP627" s="109">
        <f>AO628</f>
        <v>9.614000000000047</v>
      </c>
      <c r="AQ627" s="109">
        <f>AP627</f>
        <v>9.614000000000047</v>
      </c>
      <c r="AR627" s="109">
        <f>AQ627</f>
        <v>9.614000000000047</v>
      </c>
      <c r="AS627" s="109">
        <f>AR627</f>
        <v>9.614000000000047</v>
      </c>
      <c r="AT627" s="421">
        <f>AS627</f>
        <v>9.614000000000047</v>
      </c>
      <c r="AU627" s="109">
        <f>AT628</f>
        <v>54.793000000000021</v>
      </c>
      <c r="AV627" s="109">
        <f>AU627</f>
        <v>54.793000000000021</v>
      </c>
      <c r="AW627" s="109">
        <f>AV627</f>
        <v>54.793000000000021</v>
      </c>
      <c r="AX627" s="109">
        <f>AW627</f>
        <v>54.793000000000021</v>
      </c>
      <c r="AY627" s="421">
        <f>AX627</f>
        <v>54.793000000000021</v>
      </c>
      <c r="AZ627" s="109">
        <f>AY628</f>
        <v>142.31399999999996</v>
      </c>
      <c r="BA627" s="109">
        <f>AZ627</f>
        <v>142.31399999999996</v>
      </c>
      <c r="BB627" s="109">
        <f>BA627</f>
        <v>142.31399999999996</v>
      </c>
      <c r="BC627" s="109">
        <f>BB627</f>
        <v>142.31399999999996</v>
      </c>
      <c r="BD627" s="421">
        <f>BC627</f>
        <v>142.31399999999996</v>
      </c>
      <c r="BE627" s="109">
        <f>BD628</f>
        <v>197.64800000000008</v>
      </c>
      <c r="BF627" s="109">
        <f>BE627</f>
        <v>197.64800000000008</v>
      </c>
      <c r="BG627" s="109">
        <f>BF627</f>
        <v>197.64800000000008</v>
      </c>
      <c r="BH627" s="109">
        <f>BG627</f>
        <v>197.64800000000008</v>
      </c>
      <c r="BI627" s="421">
        <f>BH627</f>
        <v>197.64800000000008</v>
      </c>
      <c r="BJ627" s="109">
        <f>BI628</f>
        <v>635.26900000000023</v>
      </c>
      <c r="BK627" s="109">
        <f>BJ627</f>
        <v>635.26900000000023</v>
      </c>
      <c r="BL627" s="109">
        <f>BK627</f>
        <v>635.26900000000023</v>
      </c>
      <c r="BM627" s="109">
        <f>BL627</f>
        <v>635.26900000000023</v>
      </c>
      <c r="BN627" s="421">
        <f>BM627</f>
        <v>635.26900000000023</v>
      </c>
      <c r="BO627" s="109">
        <f>BN628</f>
        <v>1135.8240000000001</v>
      </c>
      <c r="BP627" s="109">
        <f>BO627</f>
        <v>1135.8240000000001</v>
      </c>
      <c r="BQ627" s="109">
        <f>BP627</f>
        <v>1135.8240000000001</v>
      </c>
      <c r="BR627" s="109">
        <f>BQ627</f>
        <v>1135.8240000000001</v>
      </c>
      <c r="BS627" s="422">
        <f>BR627</f>
        <v>1135.8240000000001</v>
      </c>
      <c r="BT627" s="112"/>
      <c r="BU627" s="112"/>
      <c r="BV627" s="112"/>
      <c r="BW627" s="112"/>
      <c r="BX627" s="423"/>
      <c r="BY627" s="112"/>
      <c r="BZ627" s="112"/>
      <c r="CA627" s="112"/>
      <c r="CB627" s="112"/>
      <c r="CC627" s="423"/>
      <c r="CD627" s="423"/>
      <c r="CE627" s="423"/>
      <c r="CF627" s="423"/>
      <c r="CG627" s="109"/>
    </row>
    <row r="628" spans="1:85" ht="14.45" hidden="1" customHeight="1" x14ac:dyDescent="0.25">
      <c r="A628" s="135" t="s">
        <v>647</v>
      </c>
      <c r="B628" s="211"/>
      <c r="C628" s="421">
        <f t="shared" ref="C628:U628" si="478">C625+C627</f>
        <v>17.769999999999968</v>
      </c>
      <c r="D628" s="421">
        <f t="shared" si="478"/>
        <v>45.871999999999971</v>
      </c>
      <c r="E628" s="421">
        <f t="shared" si="478"/>
        <v>90.757999999999967</v>
      </c>
      <c r="F628" s="421">
        <f t="shared" si="478"/>
        <v>10.398999999999972</v>
      </c>
      <c r="G628" s="109">
        <f t="shared" si="478"/>
        <v>11.889999999999972</v>
      </c>
      <c r="H628" s="109">
        <f t="shared" si="478"/>
        <v>25.724999999999966</v>
      </c>
      <c r="I628" s="109">
        <f t="shared" si="478"/>
        <v>25.282999999999966</v>
      </c>
      <c r="J628" s="109">
        <f t="shared" si="478"/>
        <v>11.760999999999981</v>
      </c>
      <c r="K628" s="421">
        <f t="shared" si="478"/>
        <v>11.760999999999981</v>
      </c>
      <c r="L628" s="109">
        <f t="shared" si="478"/>
        <v>18.773999999999987</v>
      </c>
      <c r="M628" s="109">
        <f t="shared" si="478"/>
        <v>22.873999999999988</v>
      </c>
      <c r="N628" s="109">
        <f t="shared" si="478"/>
        <v>23.066999999999979</v>
      </c>
      <c r="O628" s="109">
        <f t="shared" si="478"/>
        <v>9.0949999999999847</v>
      </c>
      <c r="P628" s="421">
        <f t="shared" si="478"/>
        <v>9.0949999999999847</v>
      </c>
      <c r="Q628" s="109">
        <f t="shared" si="478"/>
        <v>21.16299999999999</v>
      </c>
      <c r="R628" s="109">
        <f t="shared" si="478"/>
        <v>43.800999999999974</v>
      </c>
      <c r="S628" s="109">
        <f t="shared" si="478"/>
        <v>40.491</v>
      </c>
      <c r="T628" s="109">
        <f t="shared" si="478"/>
        <v>55.497999999999948</v>
      </c>
      <c r="U628" s="421">
        <f t="shared" si="478"/>
        <v>55.497999999999948</v>
      </c>
      <c r="V628" s="163">
        <v>32.6</v>
      </c>
      <c r="W628" s="109">
        <f>W625+W627</f>
        <v>49.322999999999936</v>
      </c>
      <c r="X628" s="109">
        <f>X625+X627</f>
        <v>54.216999999999999</v>
      </c>
      <c r="Y628" s="109">
        <f>Y625+Y627</f>
        <v>21.849999999999952</v>
      </c>
      <c r="Z628" s="421">
        <f>Z625+Z627</f>
        <v>21.849999999999952</v>
      </c>
      <c r="AA628" s="163">
        <v>31.94</v>
      </c>
      <c r="AB628" s="109">
        <f t="shared" ref="AB628:BS628" si="479">AB625+AB627</f>
        <v>43.513999999999967</v>
      </c>
      <c r="AC628" s="109">
        <f t="shared" si="479"/>
        <v>11.921999999999983</v>
      </c>
      <c r="AD628" s="109">
        <f t="shared" si="479"/>
        <v>16.901999999999973</v>
      </c>
      <c r="AE628" s="421">
        <f t="shared" si="479"/>
        <v>16.901999999999973</v>
      </c>
      <c r="AF628" s="109">
        <f t="shared" si="479"/>
        <v>8.4789999999999566</v>
      </c>
      <c r="AG628" s="109">
        <f t="shared" si="479"/>
        <v>19.723999999999968</v>
      </c>
      <c r="AH628" s="109">
        <f t="shared" si="479"/>
        <v>9.3369999999999962</v>
      </c>
      <c r="AI628" s="109">
        <f t="shared" si="479"/>
        <v>13.547999999999959</v>
      </c>
      <c r="AJ628" s="421">
        <f t="shared" si="479"/>
        <v>13.547999999999959</v>
      </c>
      <c r="AK628" s="109">
        <f t="shared" si="479"/>
        <v>8.4969999999999448</v>
      </c>
      <c r="AL628" s="109">
        <f t="shared" si="479"/>
        <v>5.6919999999999362</v>
      </c>
      <c r="AM628" s="109">
        <f t="shared" si="479"/>
        <v>5.9889999999999333</v>
      </c>
      <c r="AN628" s="109">
        <f t="shared" si="479"/>
        <v>9.614000000000047</v>
      </c>
      <c r="AO628" s="421">
        <f t="shared" si="479"/>
        <v>9.614000000000047</v>
      </c>
      <c r="AP628" s="109">
        <f t="shared" si="479"/>
        <v>47.74800000000004</v>
      </c>
      <c r="AQ628" s="109">
        <f t="shared" si="479"/>
        <v>77.55</v>
      </c>
      <c r="AR628" s="109">
        <f t="shared" si="479"/>
        <v>164.82300000000009</v>
      </c>
      <c r="AS628" s="109">
        <f t="shared" si="479"/>
        <v>54.793000000000021</v>
      </c>
      <c r="AT628" s="421">
        <f t="shared" si="479"/>
        <v>54.793000000000021</v>
      </c>
      <c r="AU628" s="109">
        <f t="shared" si="479"/>
        <v>51.828000000000031</v>
      </c>
      <c r="AV628" s="109">
        <f t="shared" si="479"/>
        <v>54.203999999999965</v>
      </c>
      <c r="AW628" s="109">
        <f t="shared" si="479"/>
        <v>186.87799999999999</v>
      </c>
      <c r="AX628" s="109">
        <f t="shared" si="479"/>
        <v>142.31399999999996</v>
      </c>
      <c r="AY628" s="421">
        <f t="shared" si="479"/>
        <v>142.31399999999996</v>
      </c>
      <c r="AZ628" s="109">
        <f t="shared" si="479"/>
        <v>127.08499999999992</v>
      </c>
      <c r="BA628" s="109">
        <f t="shared" si="479"/>
        <v>188.80300000000005</v>
      </c>
      <c r="BB628" s="109">
        <f t="shared" si="479"/>
        <v>163.24399999999997</v>
      </c>
      <c r="BC628" s="109">
        <f t="shared" si="479"/>
        <v>197.64800000000008</v>
      </c>
      <c r="BD628" s="421">
        <f t="shared" si="479"/>
        <v>197.64800000000008</v>
      </c>
      <c r="BE628" s="109">
        <f t="shared" si="479"/>
        <v>289.78100000000006</v>
      </c>
      <c r="BF628" s="109">
        <f t="shared" si="479"/>
        <v>430.17200000000008</v>
      </c>
      <c r="BG628" s="109">
        <f t="shared" si="479"/>
        <v>616.21700000000033</v>
      </c>
      <c r="BH628" s="109">
        <f t="shared" si="479"/>
        <v>635.26900000000023</v>
      </c>
      <c r="BI628" s="421">
        <f t="shared" si="479"/>
        <v>635.26900000000023</v>
      </c>
      <c r="BJ628" s="109">
        <f t="shared" si="479"/>
        <v>401.26000000000022</v>
      </c>
      <c r="BK628" s="109">
        <f t="shared" si="479"/>
        <v>1699.2880000000002</v>
      </c>
      <c r="BL628" s="109">
        <f t="shared" si="479"/>
        <v>1236.0060000000003</v>
      </c>
      <c r="BM628" s="109">
        <f t="shared" si="479"/>
        <v>1135.8240000000001</v>
      </c>
      <c r="BN628" s="421">
        <f t="shared" si="479"/>
        <v>1135.8240000000001</v>
      </c>
      <c r="BO628" s="109">
        <f t="shared" si="479"/>
        <v>1151.8050000000001</v>
      </c>
      <c r="BP628" s="109">
        <f t="shared" si="479"/>
        <v>1219.9250000000002</v>
      </c>
      <c r="BQ628" s="109">
        <f t="shared" si="479"/>
        <v>1532.4730000000002</v>
      </c>
      <c r="BR628" s="109">
        <f t="shared" si="479"/>
        <v>281.91800000000001</v>
      </c>
      <c r="BS628" s="422">
        <f t="shared" si="479"/>
        <v>281.91800000000001</v>
      </c>
      <c r="BT628" s="112"/>
      <c r="BU628" s="112"/>
      <c r="BV628" s="112"/>
      <c r="BW628" s="112"/>
      <c r="BX628" s="423"/>
      <c r="BY628" s="112"/>
      <c r="BZ628" s="112"/>
      <c r="CA628" s="112"/>
      <c r="CB628" s="112"/>
      <c r="CC628" s="423"/>
      <c r="CD628" s="423"/>
      <c r="CE628" s="423"/>
      <c r="CF628" s="423"/>
      <c r="CG628" s="109"/>
    </row>
    <row r="629" spans="1:85" ht="14.45" hidden="1" customHeight="1" x14ac:dyDescent="0.25">
      <c r="A629" s="111"/>
      <c r="B629" s="211"/>
      <c r="C629" s="423"/>
      <c r="D629" s="423"/>
      <c r="E629" s="423"/>
      <c r="F629" s="423"/>
      <c r="G629" s="112"/>
      <c r="H629" s="112"/>
      <c r="I629" s="112"/>
      <c r="J629" s="112"/>
      <c r="K629" s="423"/>
      <c r="L629" s="112"/>
      <c r="M629" s="112"/>
      <c r="N629" s="112"/>
      <c r="O629" s="112"/>
      <c r="P629" s="423"/>
      <c r="Q629" s="112"/>
      <c r="R629" s="112"/>
      <c r="S629" s="112"/>
      <c r="T629" s="112"/>
      <c r="U629" s="423"/>
      <c r="V629" s="112"/>
      <c r="W629" s="112"/>
      <c r="X629" s="112"/>
      <c r="Y629" s="112"/>
      <c r="Z629" s="423"/>
      <c r="AA629" s="112"/>
      <c r="AB629" s="112"/>
      <c r="AC629" s="112"/>
      <c r="AD629" s="112"/>
      <c r="AE629" s="423"/>
      <c r="AF629" s="112"/>
      <c r="AG629" s="112"/>
      <c r="AH629" s="112"/>
      <c r="AI629" s="112"/>
      <c r="AJ629" s="423"/>
      <c r="AK629" s="112"/>
      <c r="AL629" s="112"/>
      <c r="AM629" s="112"/>
      <c r="AN629" s="112"/>
      <c r="AO629" s="423"/>
      <c r="AP629" s="112"/>
      <c r="AQ629" s="112"/>
      <c r="AR629" s="112"/>
      <c r="AS629" s="112"/>
      <c r="AT629" s="423"/>
      <c r="AU629" s="112"/>
      <c r="AV629" s="112"/>
      <c r="AW629" s="112"/>
      <c r="AX629" s="112"/>
      <c r="AY629" s="423"/>
      <c r="AZ629" s="112"/>
      <c r="BA629" s="112"/>
      <c r="BB629" s="112"/>
      <c r="BC629" s="112"/>
      <c r="BD629" s="423"/>
      <c r="BE629" s="112"/>
      <c r="BF629" s="112"/>
      <c r="BG629" s="112"/>
      <c r="BH629" s="112"/>
      <c r="BI629" s="423"/>
      <c r="BJ629" s="112"/>
      <c r="BK629" s="112"/>
      <c r="BL629" s="112"/>
      <c r="BM629" s="112"/>
      <c r="BN629" s="423"/>
      <c r="BO629" s="112"/>
      <c r="BP629" s="112"/>
      <c r="BQ629" s="112"/>
      <c r="BR629" s="112"/>
      <c r="BS629" s="424"/>
      <c r="BT629" s="112"/>
      <c r="BU629" s="112"/>
      <c r="BV629" s="112"/>
      <c r="BW629" s="112"/>
      <c r="BX629" s="423"/>
      <c r="BY629" s="112"/>
      <c r="BZ629" s="112"/>
      <c r="CA629" s="112"/>
      <c r="CB629" s="112"/>
      <c r="CC629" s="423"/>
      <c r="CD629" s="423"/>
      <c r="CE629" s="423"/>
      <c r="CF629" s="423"/>
      <c r="CG629" s="109"/>
    </row>
    <row r="630" spans="1:85" ht="14.45" hidden="1" customHeight="1" x14ac:dyDescent="0.25">
      <c r="A630" s="113" t="s">
        <v>648</v>
      </c>
      <c r="B630" s="180"/>
      <c r="C630" s="410">
        <v>13.824999999999999</v>
      </c>
      <c r="D630" s="410">
        <v>14.117000000000001</v>
      </c>
      <c r="E630" s="410">
        <v>20.414000000000001</v>
      </c>
      <c r="F630" s="410">
        <v>14.119</v>
      </c>
      <c r="G630" s="63"/>
      <c r="H630" s="63"/>
      <c r="I630" s="63"/>
      <c r="J630" s="99">
        <f>K630</f>
        <v>15.906000000000001</v>
      </c>
      <c r="K630" s="410">
        <v>15.906000000000001</v>
      </c>
      <c r="L630" s="63"/>
      <c r="M630" s="63"/>
      <c r="N630" s="63"/>
      <c r="O630" s="99">
        <f>P630</f>
        <v>31.009</v>
      </c>
      <c r="P630" s="410">
        <v>31.009</v>
      </c>
      <c r="Q630" s="63"/>
      <c r="R630" s="63"/>
      <c r="S630" s="63"/>
      <c r="T630" s="99">
        <f>U630</f>
        <v>31.782</v>
      </c>
      <c r="U630" s="410">
        <v>31.782</v>
      </c>
      <c r="V630" s="63"/>
      <c r="W630" s="63"/>
      <c r="X630" s="63"/>
      <c r="Y630" s="99">
        <f>Z630</f>
        <v>-7.1109999999999998</v>
      </c>
      <c r="Z630" s="410">
        <v>-7.1109999999999998</v>
      </c>
      <c r="AA630" s="63"/>
      <c r="AB630" s="63"/>
      <c r="AC630" s="63"/>
      <c r="AD630" s="99">
        <f>AE630</f>
        <v>30.965</v>
      </c>
      <c r="AE630" s="410">
        <v>30.965</v>
      </c>
      <c r="AF630" s="63"/>
      <c r="AG630" s="63"/>
      <c r="AH630" s="63"/>
      <c r="AI630" s="99">
        <f>AJ630</f>
        <v>-36.991</v>
      </c>
      <c r="AJ630" s="410">
        <v>-36.991</v>
      </c>
      <c r="AK630" s="63"/>
      <c r="AL630" s="63"/>
      <c r="AM630" s="63"/>
      <c r="AN630" s="99">
        <f>AO630</f>
        <v>6.3090000000000002</v>
      </c>
      <c r="AO630" s="410">
        <v>6.3090000000000002</v>
      </c>
      <c r="AP630" s="63"/>
      <c r="AQ630" s="63"/>
      <c r="AR630" s="63"/>
      <c r="AS630" s="99">
        <f>AT630</f>
        <v>55.755000000000003</v>
      </c>
      <c r="AT630" s="410">
        <v>55.755000000000003</v>
      </c>
      <c r="AU630" s="63"/>
      <c r="AV630" s="63"/>
      <c r="AW630" s="63"/>
      <c r="AX630" s="99">
        <f>AY630</f>
        <v>70.988</v>
      </c>
      <c r="AY630" s="410">
        <v>70.988</v>
      </c>
      <c r="AZ630" s="63"/>
      <c r="BA630" s="63"/>
      <c r="BB630" s="63"/>
      <c r="BC630" s="99">
        <f>BD630</f>
        <v>140.988</v>
      </c>
      <c r="BD630" s="410">
        <v>140.988</v>
      </c>
      <c r="BE630" s="63"/>
      <c r="BF630" s="63"/>
      <c r="BG630" s="63"/>
      <c r="BH630" s="99">
        <f>BI630</f>
        <v>200.81200000000001</v>
      </c>
      <c r="BI630" s="410">
        <v>200.81200000000001</v>
      </c>
      <c r="BJ630" s="63"/>
      <c r="BK630" s="63"/>
      <c r="BL630" s="63"/>
      <c r="BM630" s="99">
        <f>BN630</f>
        <v>223.97499999999999</v>
      </c>
      <c r="BN630" s="410">
        <v>223.97499999999999</v>
      </c>
      <c r="BO630" s="63"/>
      <c r="BP630" s="63"/>
      <c r="BQ630" s="63"/>
      <c r="BR630" s="99">
        <f>BS630</f>
        <v>196.57900000000001</v>
      </c>
      <c r="BS630" s="419">
        <v>196.57900000000001</v>
      </c>
      <c r="BT630" s="63"/>
      <c r="BU630" s="63"/>
      <c r="BV630" s="63"/>
      <c r="BW630" s="63"/>
      <c r="BX630" s="413"/>
      <c r="BY630" s="63"/>
      <c r="BZ630" s="63"/>
      <c r="CA630" s="63"/>
      <c r="CB630" s="63"/>
      <c r="CC630" s="413"/>
      <c r="CD630" s="413"/>
      <c r="CE630" s="413"/>
      <c r="CF630" s="413"/>
      <c r="CG630" s="99"/>
    </row>
    <row r="631" spans="1:85" ht="14.45" hidden="1" customHeight="1" x14ac:dyDescent="0.25">
      <c r="A631" s="113" t="s">
        <v>649</v>
      </c>
      <c r="B631" s="180"/>
      <c r="C631" s="410">
        <v>39.268000000000001</v>
      </c>
      <c r="D631" s="410">
        <v>34.116999999999997</v>
      </c>
      <c r="E631" s="410">
        <v>34.988999999999997</v>
      </c>
      <c r="F631" s="410">
        <v>35.149000000000001</v>
      </c>
      <c r="G631" s="63"/>
      <c r="H631" s="63"/>
      <c r="I631" s="63"/>
      <c r="J631" s="99">
        <f>K631</f>
        <v>28.209</v>
      </c>
      <c r="K631" s="410">
        <v>28.209</v>
      </c>
      <c r="L631" s="63"/>
      <c r="M631" s="63"/>
      <c r="N631" s="63"/>
      <c r="O631" s="99">
        <f>P631</f>
        <v>28.021000000000001</v>
      </c>
      <c r="P631" s="410">
        <v>28.021000000000001</v>
      </c>
      <c r="Q631" s="63"/>
      <c r="R631" s="63"/>
      <c r="S631" s="63"/>
      <c r="T631" s="99">
        <f>U631</f>
        <v>27.390999999999998</v>
      </c>
      <c r="U631" s="410">
        <v>27.390999999999998</v>
      </c>
      <c r="V631" s="63"/>
      <c r="W631" s="63"/>
      <c r="X631" s="63"/>
      <c r="Y631" s="99">
        <f>Z631</f>
        <v>34.764000000000003</v>
      </c>
      <c r="Z631" s="410">
        <v>34.764000000000003</v>
      </c>
      <c r="AA631" s="63"/>
      <c r="AB631" s="63"/>
      <c r="AC631" s="63"/>
      <c r="AD631" s="99">
        <f>AE631</f>
        <v>39.609000000000002</v>
      </c>
      <c r="AE631" s="410">
        <v>39.609000000000002</v>
      </c>
      <c r="AF631" s="63"/>
      <c r="AG631" s="63"/>
      <c r="AH631" s="63"/>
      <c r="AI631" s="99">
        <f>AJ631</f>
        <v>45.067</v>
      </c>
      <c r="AJ631" s="410">
        <v>45.067</v>
      </c>
      <c r="AK631" s="63"/>
      <c r="AL631" s="63"/>
      <c r="AM631" s="63"/>
      <c r="AN631" s="99">
        <f>AO631</f>
        <v>43.396999999999998</v>
      </c>
      <c r="AO631" s="410">
        <v>43.396999999999998</v>
      </c>
      <c r="AP631" s="63"/>
      <c r="AQ631" s="63"/>
      <c r="AR631" s="63"/>
      <c r="AS631" s="99">
        <f>AT631</f>
        <v>34.256999999999998</v>
      </c>
      <c r="AT631" s="410">
        <v>34.256999999999998</v>
      </c>
      <c r="AU631" s="63"/>
      <c r="AV631" s="63"/>
      <c r="AW631" s="63"/>
      <c r="AX631" s="99">
        <f>AY631</f>
        <v>29.141999999999999</v>
      </c>
      <c r="AY631" s="410">
        <v>29.141999999999999</v>
      </c>
      <c r="AZ631" s="63"/>
      <c r="BA631" s="63"/>
      <c r="BB631" s="63"/>
      <c r="BC631" s="99">
        <f>BD631</f>
        <v>28.085999999999999</v>
      </c>
      <c r="BD631" s="410">
        <v>28.085999999999999</v>
      </c>
      <c r="BE631" s="63"/>
      <c r="BF631" s="63"/>
      <c r="BG631" s="63"/>
      <c r="BH631" s="99">
        <f>BI631</f>
        <v>23.96</v>
      </c>
      <c r="BI631" s="410">
        <v>23.96</v>
      </c>
      <c r="BJ631" s="63"/>
      <c r="BK631" s="63"/>
      <c r="BL631" s="63"/>
      <c r="BM631" s="99">
        <f>BN631</f>
        <v>56.094000000000001</v>
      </c>
      <c r="BN631" s="410">
        <v>56.094000000000001</v>
      </c>
      <c r="BO631" s="63"/>
      <c r="BP631" s="63"/>
      <c r="BQ631" s="63"/>
      <c r="BR631" s="99">
        <f>BS631</f>
        <v>92.834999999999994</v>
      </c>
      <c r="BS631" s="419">
        <v>92.834999999999994</v>
      </c>
      <c r="BT631" s="63"/>
      <c r="BU631" s="63"/>
      <c r="BV631" s="63"/>
      <c r="BW631" s="63"/>
      <c r="BX631" s="413"/>
      <c r="BY631" s="63"/>
      <c r="BZ631" s="63"/>
      <c r="CA631" s="63"/>
      <c r="CB631" s="63"/>
      <c r="CC631" s="413"/>
      <c r="CD631" s="413"/>
      <c r="CE631" s="413"/>
      <c r="CF631" s="413"/>
      <c r="CG631" s="99"/>
    </row>
    <row r="632" spans="1:85" ht="14.45" customHeight="1" x14ac:dyDescent="0.25">
      <c r="A632" s="111"/>
      <c r="B632" s="211"/>
      <c r="C632" s="423"/>
      <c r="D632" s="423"/>
      <c r="E632" s="423"/>
      <c r="F632" s="423"/>
      <c r="G632" s="112"/>
      <c r="H632" s="112"/>
      <c r="I632" s="112"/>
      <c r="J632" s="112"/>
      <c r="K632" s="423"/>
      <c r="L632" s="112"/>
      <c r="M632" s="112"/>
      <c r="N632" s="112"/>
      <c r="O632" s="112"/>
      <c r="P632" s="423"/>
      <c r="Q632" s="112"/>
      <c r="R632" s="112"/>
      <c r="S632" s="112"/>
      <c r="T632" s="112"/>
      <c r="U632" s="423"/>
      <c r="V632" s="112"/>
      <c r="W632" s="112"/>
      <c r="X632" s="112"/>
      <c r="Y632" s="112"/>
      <c r="Z632" s="423"/>
      <c r="AA632" s="112"/>
      <c r="AB632" s="112"/>
      <c r="AC632" s="112"/>
      <c r="AD632" s="112"/>
      <c r="AE632" s="423"/>
      <c r="AF632" s="112"/>
      <c r="AG632" s="112"/>
      <c r="AH632" s="112"/>
      <c r="AI632" s="112"/>
      <c r="AJ632" s="423"/>
      <c r="AK632" s="112"/>
      <c r="AL632" s="112"/>
      <c r="AM632" s="112"/>
      <c r="AN632" s="112"/>
      <c r="AO632" s="423"/>
      <c r="AP632" s="112"/>
      <c r="AQ632" s="112"/>
      <c r="AR632" s="112"/>
      <c r="AS632" s="112"/>
      <c r="AT632" s="423"/>
      <c r="AU632" s="112"/>
      <c r="AV632" s="112"/>
      <c r="AW632" s="112"/>
      <c r="AX632" s="112"/>
      <c r="AY632" s="423"/>
      <c r="AZ632" s="112"/>
      <c r="BA632" s="112"/>
      <c r="BB632" s="112"/>
      <c r="BC632" s="112"/>
      <c r="BD632" s="423"/>
      <c r="BE632" s="112"/>
      <c r="BF632" s="112"/>
      <c r="BG632" s="112"/>
      <c r="BH632" s="112"/>
      <c r="BI632" s="423"/>
      <c r="BJ632" s="112"/>
      <c r="BK632" s="112"/>
      <c r="BL632" s="112"/>
      <c r="BM632" s="112"/>
      <c r="BN632" s="423"/>
      <c r="BO632" s="112"/>
      <c r="BP632" s="112"/>
      <c r="BQ632" s="112"/>
      <c r="BR632" s="112"/>
      <c r="BS632" s="424"/>
      <c r="BT632" s="112"/>
      <c r="BU632" s="112"/>
      <c r="BV632" s="112"/>
      <c r="BW632" s="112"/>
      <c r="BX632" s="423"/>
      <c r="BY632" s="112"/>
      <c r="BZ632" s="112"/>
      <c r="CA632" s="112"/>
      <c r="CB632" s="112"/>
      <c r="CC632" s="423"/>
      <c r="CD632" s="423"/>
      <c r="CE632" s="423"/>
      <c r="CF632" s="423"/>
      <c r="CG632" s="109"/>
    </row>
    <row r="633" spans="1:85" ht="14.45" customHeight="1" x14ac:dyDescent="0.25">
      <c r="A633" s="95" t="s">
        <v>650</v>
      </c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409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109"/>
    </row>
    <row r="634" spans="1:85" ht="14.45" customHeight="1" x14ac:dyDescent="0.25">
      <c r="A634" s="135" t="str">
        <f t="shared" ref="A634:A664" si="480">A548</f>
        <v>CFO</v>
      </c>
      <c r="B634" s="211"/>
      <c r="C634" s="423"/>
      <c r="D634" s="423"/>
      <c r="E634" s="423"/>
      <c r="F634" s="423"/>
      <c r="G634" s="112"/>
      <c r="H634" s="112"/>
      <c r="I634" s="112"/>
      <c r="J634" s="112"/>
      <c r="K634" s="423"/>
      <c r="L634" s="112"/>
      <c r="M634" s="112"/>
      <c r="N634" s="112"/>
      <c r="O634" s="112"/>
      <c r="P634" s="423"/>
      <c r="Q634" s="112"/>
      <c r="R634" s="112"/>
      <c r="S634" s="112"/>
      <c r="T634" s="112"/>
      <c r="U634" s="423"/>
      <c r="V634" s="112"/>
      <c r="W634" s="112"/>
      <c r="X634" s="112"/>
      <c r="Y634" s="112"/>
      <c r="Z634" s="423"/>
      <c r="AA634" s="112"/>
      <c r="AB634" s="112"/>
      <c r="AC634" s="112"/>
      <c r="AD634" s="112"/>
      <c r="AE634" s="423"/>
      <c r="AF634" s="112"/>
      <c r="AG634" s="112"/>
      <c r="AH634" s="112"/>
      <c r="AI634" s="112"/>
      <c r="AJ634" s="423"/>
      <c r="AK634" s="112"/>
      <c r="AL634" s="112"/>
      <c r="AM634" s="112"/>
      <c r="AN634" s="112"/>
      <c r="AO634" s="423"/>
      <c r="AP634" s="112"/>
      <c r="AQ634" s="112"/>
      <c r="AR634" s="112"/>
      <c r="AS634" s="112"/>
      <c r="AT634" s="423"/>
      <c r="AU634" s="112"/>
      <c r="AV634" s="112"/>
      <c r="AW634" s="112"/>
      <c r="AX634" s="112"/>
      <c r="AY634" s="423"/>
      <c r="AZ634" s="112"/>
      <c r="BA634" s="112"/>
      <c r="BB634" s="112"/>
      <c r="BC634" s="112"/>
      <c r="BD634" s="423"/>
      <c r="BE634" s="112"/>
      <c r="BF634" s="112"/>
      <c r="BG634" s="112"/>
      <c r="BH634" s="112"/>
      <c r="BI634" s="423"/>
      <c r="BJ634" s="112"/>
      <c r="BK634" s="112"/>
      <c r="BL634" s="112"/>
      <c r="BM634" s="112"/>
      <c r="BN634" s="423"/>
      <c r="BO634" s="112"/>
      <c r="BP634" s="112"/>
      <c r="BQ634" s="112"/>
      <c r="BR634" s="112"/>
      <c r="BS634" s="424"/>
      <c r="BT634" s="112"/>
      <c r="BU634" s="112"/>
      <c r="BV634" s="112"/>
      <c r="BW634" s="112"/>
      <c r="BX634" s="423"/>
      <c r="BY634" s="112"/>
      <c r="BZ634" s="112"/>
      <c r="CA634" s="112"/>
      <c r="CB634" s="112"/>
      <c r="CC634" s="423"/>
      <c r="CD634" s="423"/>
      <c r="CE634" s="423"/>
      <c r="CF634" s="423"/>
      <c r="CG634" s="109"/>
    </row>
    <row r="635" spans="1:85" ht="14.45" customHeight="1" x14ac:dyDescent="0.25">
      <c r="A635" s="125" t="str">
        <f t="shared" si="480"/>
        <v>Net income</v>
      </c>
      <c r="B635" s="180"/>
      <c r="C635" s="467">
        <f t="shared" ref="C635:G641" si="481">C549</f>
        <v>40.542999999999999</v>
      </c>
      <c r="D635" s="467">
        <f t="shared" si="481"/>
        <v>39.542000000000002</v>
      </c>
      <c r="E635" s="467">
        <f t="shared" si="481"/>
        <v>32.023000000000003</v>
      </c>
      <c r="F635" s="467">
        <f t="shared" si="481"/>
        <v>31.459</v>
      </c>
      <c r="G635" s="99">
        <f t="shared" si="481"/>
        <v>5.6689999999999996</v>
      </c>
      <c r="H635" s="99">
        <f t="shared" ref="H635:J641" si="482">H549-G549</f>
        <v>12.135999999999999</v>
      </c>
      <c r="I635" s="99">
        <f t="shared" si="482"/>
        <v>18.082999999999998</v>
      </c>
      <c r="J635" s="99">
        <f t="shared" si="482"/>
        <v>-3.7860000000000014</v>
      </c>
      <c r="K635" s="467">
        <f t="shared" ref="K635:L641" si="483">K549</f>
        <v>32.101999999999997</v>
      </c>
      <c r="L635" s="99">
        <f t="shared" si="483"/>
        <v>3.101</v>
      </c>
      <c r="M635" s="99">
        <f t="shared" ref="M635:O641" si="484">M549-L549</f>
        <v>15.332000000000001</v>
      </c>
      <c r="N635" s="99">
        <f t="shared" si="484"/>
        <v>13.704999999999998</v>
      </c>
      <c r="O635" s="99">
        <f t="shared" si="484"/>
        <v>3.9440000000000026</v>
      </c>
      <c r="P635" s="467">
        <f t="shared" ref="P635:Q641" si="485">P549</f>
        <v>36.082000000000001</v>
      </c>
      <c r="Q635" s="99">
        <f t="shared" si="485"/>
        <v>2.9529999999999998</v>
      </c>
      <c r="R635" s="99">
        <f t="shared" ref="R635:T641" si="486">R549-Q549</f>
        <v>28.920999999999999</v>
      </c>
      <c r="S635" s="99">
        <f t="shared" si="486"/>
        <v>27.559000000000001</v>
      </c>
      <c r="T635" s="99">
        <f t="shared" si="486"/>
        <v>5.6109999999999971</v>
      </c>
      <c r="U635" s="467">
        <f t="shared" ref="U635:V641" si="487">U549</f>
        <v>65.043999999999997</v>
      </c>
      <c r="V635" s="99">
        <f t="shared" si="487"/>
        <v>-9.0329999999999995</v>
      </c>
      <c r="W635" s="99">
        <f t="shared" ref="W635:Y641" si="488">W549-V549</f>
        <v>17.323999999999998</v>
      </c>
      <c r="X635" s="99">
        <f t="shared" si="488"/>
        <v>25.553000000000001</v>
      </c>
      <c r="Y635" s="99">
        <f t="shared" si="488"/>
        <v>22.818999999999996</v>
      </c>
      <c r="Z635" s="467">
        <f t="shared" ref="Z635:AA641" si="489">Z549</f>
        <v>56.662999999999997</v>
      </c>
      <c r="AA635" s="99">
        <f t="shared" si="489"/>
        <v>-4.4169999999999998</v>
      </c>
      <c r="AB635" s="99">
        <f t="shared" ref="AB635:AD656" si="490">AB549-AA549</f>
        <v>7.5809999999999995</v>
      </c>
      <c r="AC635" s="99">
        <f t="shared" si="490"/>
        <v>18.910999999999998</v>
      </c>
      <c r="AD635" s="99">
        <f t="shared" si="490"/>
        <v>80.771999999999991</v>
      </c>
      <c r="AE635" s="467">
        <f t="shared" ref="AE635:AF656" si="491">AE549</f>
        <v>102.84699999999999</v>
      </c>
      <c r="AF635" s="99">
        <f t="shared" si="491"/>
        <v>-13.561999999999999</v>
      </c>
      <c r="AG635" s="99">
        <f t="shared" ref="AG635:AI656" si="492">AG549-AF549</f>
        <v>-2.7479999999999993</v>
      </c>
      <c r="AH635" s="99">
        <f t="shared" si="492"/>
        <v>26.95</v>
      </c>
      <c r="AI635" s="99">
        <f t="shared" si="492"/>
        <v>-25.795999999999999</v>
      </c>
      <c r="AJ635" s="467">
        <f t="shared" ref="AJ635:AK656" si="493">AJ549</f>
        <v>-15.156000000000001</v>
      </c>
      <c r="AK635" s="99">
        <f t="shared" si="493"/>
        <v>-5.5780000000000003</v>
      </c>
      <c r="AL635" s="99">
        <f t="shared" ref="AL635:AN656" si="494">AL549-AK549</f>
        <v>16.856000000000002</v>
      </c>
      <c r="AM635" s="99">
        <f t="shared" si="494"/>
        <v>15.546000000000001</v>
      </c>
      <c r="AN635" s="99">
        <f t="shared" si="494"/>
        <v>-8.2640000000000029</v>
      </c>
      <c r="AO635" s="467">
        <f t="shared" ref="AO635:AP656" si="495">AO549</f>
        <v>18.559999999999999</v>
      </c>
      <c r="AP635" s="99">
        <f t="shared" si="495"/>
        <v>15.601000000000001</v>
      </c>
      <c r="AQ635" s="99">
        <f t="shared" ref="AQ635:AS656" si="496">AQ549-AP549</f>
        <v>42.613</v>
      </c>
      <c r="AR635" s="99">
        <f t="shared" si="496"/>
        <v>55.054000000000002</v>
      </c>
      <c r="AS635" s="99">
        <f t="shared" si="496"/>
        <v>68.829000000000008</v>
      </c>
      <c r="AT635" s="467">
        <f t="shared" ref="AT635:AU656" si="497">AT549</f>
        <v>182.09700000000001</v>
      </c>
      <c r="AU635" s="99">
        <f t="shared" si="497"/>
        <v>53.363</v>
      </c>
      <c r="AV635" s="99">
        <f t="shared" ref="AV635:AX656" si="498">AV549-AU549</f>
        <v>48.180000000000007</v>
      </c>
      <c r="AW635" s="99">
        <f t="shared" si="498"/>
        <v>68.930000000000007</v>
      </c>
      <c r="AX635" s="99">
        <f t="shared" si="498"/>
        <v>19.106999999999999</v>
      </c>
      <c r="AY635" s="467">
        <f t="shared" ref="AY635:AZ656" si="499">AY549</f>
        <v>189.58</v>
      </c>
      <c r="AZ635" s="99">
        <f t="shared" si="499"/>
        <v>93.39</v>
      </c>
      <c r="BA635" s="99">
        <f t="shared" ref="BA635:BC656" si="500">BA549-AZ549</f>
        <v>99.561999999999998</v>
      </c>
      <c r="BB635" s="99">
        <f t="shared" si="500"/>
        <v>118.76100000000002</v>
      </c>
      <c r="BC635" s="99">
        <f t="shared" si="500"/>
        <v>118.44499999999999</v>
      </c>
      <c r="BD635" s="467">
        <f t="shared" ref="BD635:BE656" si="501">BD549</f>
        <v>430.15800000000002</v>
      </c>
      <c r="BE635" s="99">
        <f t="shared" si="501"/>
        <v>118.127</v>
      </c>
      <c r="BF635" s="99">
        <f t="shared" ref="BF635:BH656" si="502">BF549-BE549</f>
        <v>122.319</v>
      </c>
      <c r="BG635" s="99">
        <f t="shared" si="502"/>
        <v>92.092999999999989</v>
      </c>
      <c r="BH635" s="99">
        <f t="shared" si="502"/>
        <v>75.836000000000013</v>
      </c>
      <c r="BI635" s="467">
        <f t="shared" ref="BI635:BJ656" si="503">BI549</f>
        <v>408.375</v>
      </c>
      <c r="BJ635" s="99">
        <f t="shared" si="503"/>
        <v>165.74100000000001</v>
      </c>
      <c r="BK635" s="99">
        <f t="shared" ref="BK635:BM656" si="504">BK549-BJ549</f>
        <v>172.81199999999998</v>
      </c>
      <c r="BL635" s="99">
        <f t="shared" si="504"/>
        <v>115.62400000000002</v>
      </c>
      <c r="BM635" s="99">
        <f t="shared" si="504"/>
        <v>178.94799999999998</v>
      </c>
      <c r="BN635" s="467">
        <f t="shared" ref="BN635:BO656" si="505">BN549</f>
        <v>633.125</v>
      </c>
      <c r="BO635" s="99">
        <f t="shared" si="505"/>
        <v>103.611</v>
      </c>
      <c r="BP635" s="99">
        <f t="shared" ref="BP635:BR656" si="506">BP549-BO549</f>
        <v>187.387</v>
      </c>
      <c r="BQ635" s="99">
        <f t="shared" si="506"/>
        <v>142.334</v>
      </c>
      <c r="BR635" s="99">
        <f t="shared" si="506"/>
        <v>137.25</v>
      </c>
      <c r="BS635" s="468">
        <f t="shared" ref="BS635:BS656" si="507">BS549</f>
        <v>570.58199999999999</v>
      </c>
      <c r="BT635" s="63">
        <f>BT426</f>
        <v>126.02425002554786</v>
      </c>
      <c r="BU635" s="63">
        <f>BU426</f>
        <v>170.59325881499998</v>
      </c>
      <c r="BV635" s="63">
        <f>BV426</f>
        <v>176.93352706499996</v>
      </c>
      <c r="BW635" s="63">
        <f>BW426</f>
        <v>173.96136639000008</v>
      </c>
      <c r="BX635" s="413">
        <f t="shared" ref="BX635:BX656" si="508">SUM(BT635,BU635,BV635,BW635)</f>
        <v>647.51240229554787</v>
      </c>
      <c r="BY635" s="63">
        <f>BY426</f>
        <v>144.88675821337492</v>
      </c>
      <c r="BZ635" s="63">
        <f>BZ426</f>
        <v>172.25020364737497</v>
      </c>
      <c r="CA635" s="63">
        <f>CA426</f>
        <v>178.688278912725</v>
      </c>
      <c r="CB635" s="63">
        <f>CB426</f>
        <v>175.59846737595009</v>
      </c>
      <c r="CC635" s="413">
        <f t="shared" ref="CC635:CC656" si="509">SUM(BY635,BZ635,CA635,CB635)</f>
        <v>671.42370814942501</v>
      </c>
      <c r="CD635" s="413">
        <f>CD426</f>
        <v>679.06901421038106</v>
      </c>
      <c r="CE635" s="413">
        <f>CE426</f>
        <v>686.83831055204655</v>
      </c>
      <c r="CF635" s="413">
        <f>CF426</f>
        <v>694.7339324008326</v>
      </c>
      <c r="CG635" s="99"/>
    </row>
    <row r="636" spans="1:85" ht="14.45" customHeight="1" x14ac:dyDescent="0.25">
      <c r="A636" s="125" t="str">
        <f t="shared" si="480"/>
        <v>Depreciation expense</v>
      </c>
      <c r="B636" s="180"/>
      <c r="C636" s="467">
        <f t="shared" si="481"/>
        <v>60.454999999999998</v>
      </c>
      <c r="D636" s="467">
        <f t="shared" si="481"/>
        <v>58.671999999999997</v>
      </c>
      <c r="E636" s="467">
        <f t="shared" si="481"/>
        <v>61.686</v>
      </c>
      <c r="F636" s="467">
        <f t="shared" si="481"/>
        <v>61.167999999999999</v>
      </c>
      <c r="G636" s="99">
        <f t="shared" si="481"/>
        <v>14.555999999999999</v>
      </c>
      <c r="H636" s="99">
        <f t="shared" si="482"/>
        <v>14.333</v>
      </c>
      <c r="I636" s="99">
        <f t="shared" si="482"/>
        <v>14.766000000000002</v>
      </c>
      <c r="J636" s="99">
        <f t="shared" si="482"/>
        <v>14.683</v>
      </c>
      <c r="K636" s="467">
        <f t="shared" si="483"/>
        <v>58.338000000000001</v>
      </c>
      <c r="L636" s="99">
        <f t="shared" si="483"/>
        <v>14.486000000000001</v>
      </c>
      <c r="M636" s="99">
        <f t="shared" si="484"/>
        <v>14.759</v>
      </c>
      <c r="N636" s="99">
        <f t="shared" si="484"/>
        <v>15.112999999999996</v>
      </c>
      <c r="O636" s="99">
        <f t="shared" si="484"/>
        <v>16.039000000000001</v>
      </c>
      <c r="P636" s="467">
        <f t="shared" si="485"/>
        <v>60.396999999999998</v>
      </c>
      <c r="Q636" s="99">
        <f t="shared" si="485"/>
        <v>17.065000000000001</v>
      </c>
      <c r="R636" s="99">
        <f t="shared" si="486"/>
        <v>18.928999999999998</v>
      </c>
      <c r="S636" s="99">
        <f t="shared" si="486"/>
        <v>20.305</v>
      </c>
      <c r="T636" s="99">
        <f t="shared" si="486"/>
        <v>21.797000000000004</v>
      </c>
      <c r="U636" s="467">
        <f t="shared" si="487"/>
        <v>78.096000000000004</v>
      </c>
      <c r="V636" s="99">
        <f t="shared" si="487"/>
        <v>23.363</v>
      </c>
      <c r="W636" s="99">
        <f t="shared" si="488"/>
        <v>26.539000000000001</v>
      </c>
      <c r="X636" s="99">
        <f t="shared" si="488"/>
        <v>29.997</v>
      </c>
      <c r="Y636" s="99">
        <f t="shared" si="488"/>
        <v>31.713999999999999</v>
      </c>
      <c r="Z636" s="467">
        <f t="shared" si="489"/>
        <v>111.613</v>
      </c>
      <c r="AA636" s="99">
        <f t="shared" si="489"/>
        <v>32.987000000000002</v>
      </c>
      <c r="AB636" s="99">
        <f t="shared" si="490"/>
        <v>37.342999999999996</v>
      </c>
      <c r="AC636" s="99">
        <f t="shared" si="490"/>
        <v>38.367000000000004</v>
      </c>
      <c r="AD636" s="99">
        <f t="shared" si="490"/>
        <v>41.724999999999994</v>
      </c>
      <c r="AE636" s="467">
        <f t="shared" si="491"/>
        <v>150.422</v>
      </c>
      <c r="AF636" s="99">
        <f t="shared" si="491"/>
        <v>41.572000000000003</v>
      </c>
      <c r="AG636" s="99">
        <f t="shared" si="492"/>
        <v>41.085999999999999</v>
      </c>
      <c r="AH636" s="99">
        <f t="shared" si="492"/>
        <v>40.884</v>
      </c>
      <c r="AI636" s="99">
        <f t="shared" si="492"/>
        <v>40.960000000000008</v>
      </c>
      <c r="AJ636" s="467">
        <f t="shared" si="493"/>
        <v>164.50200000000001</v>
      </c>
      <c r="AK636" s="99">
        <f t="shared" si="493"/>
        <v>39.978999999999999</v>
      </c>
      <c r="AL636" s="99">
        <f t="shared" si="494"/>
        <v>39.337000000000003</v>
      </c>
      <c r="AM636" s="99">
        <f t="shared" si="494"/>
        <v>39.828999999999994</v>
      </c>
      <c r="AN636" s="99">
        <f t="shared" si="494"/>
        <v>37.741</v>
      </c>
      <c r="AO636" s="467">
        <f t="shared" si="495"/>
        <v>156.886</v>
      </c>
      <c r="AP636" s="99">
        <f t="shared" si="495"/>
        <v>37.798999999999999</v>
      </c>
      <c r="AQ636" s="99">
        <f t="shared" si="496"/>
        <v>37.079000000000001</v>
      </c>
      <c r="AR636" s="99">
        <f t="shared" si="496"/>
        <v>42.325000000000003</v>
      </c>
      <c r="AS636" s="99">
        <f t="shared" si="496"/>
        <v>38.733000000000004</v>
      </c>
      <c r="AT636" s="467">
        <f t="shared" si="497"/>
        <v>155.93600000000001</v>
      </c>
      <c r="AU636" s="99">
        <f t="shared" si="497"/>
        <v>37.716000000000001</v>
      </c>
      <c r="AV636" s="99">
        <f t="shared" si="498"/>
        <v>38.547999999999995</v>
      </c>
      <c r="AW636" s="99">
        <f t="shared" si="498"/>
        <v>41.646000000000001</v>
      </c>
      <c r="AX636" s="99">
        <f t="shared" si="498"/>
        <v>39.409999999999997</v>
      </c>
      <c r="AY636" s="467">
        <f t="shared" si="499"/>
        <v>157.32</v>
      </c>
      <c r="AZ636" s="99">
        <f t="shared" si="499"/>
        <v>37.360999999999997</v>
      </c>
      <c r="BA636" s="99">
        <f t="shared" si="500"/>
        <v>36.676000000000009</v>
      </c>
      <c r="BB636" s="99">
        <f t="shared" si="500"/>
        <v>36.623999999999995</v>
      </c>
      <c r="BC636" s="99">
        <f t="shared" si="500"/>
        <v>37.300999999999988</v>
      </c>
      <c r="BD636" s="467">
        <f t="shared" si="501"/>
        <v>147.96199999999999</v>
      </c>
      <c r="BE636" s="99">
        <f t="shared" si="501"/>
        <v>37.600999999999999</v>
      </c>
      <c r="BF636" s="99">
        <f t="shared" si="502"/>
        <v>37.814000000000007</v>
      </c>
      <c r="BG636" s="99">
        <f t="shared" si="502"/>
        <v>38.248999999999995</v>
      </c>
      <c r="BH636" s="99">
        <f t="shared" si="502"/>
        <v>39.808000000000007</v>
      </c>
      <c r="BI636" s="467">
        <f t="shared" si="503"/>
        <v>153.47200000000001</v>
      </c>
      <c r="BJ636" s="99">
        <f t="shared" si="503"/>
        <v>40.887999999999998</v>
      </c>
      <c r="BK636" s="99">
        <f t="shared" si="504"/>
        <v>41.795999999999999</v>
      </c>
      <c r="BL636" s="99">
        <f t="shared" si="504"/>
        <v>42.909000000000006</v>
      </c>
      <c r="BM636" s="99">
        <f t="shared" si="504"/>
        <v>44.749999999999986</v>
      </c>
      <c r="BN636" s="467">
        <f t="shared" si="505"/>
        <v>170.34299999999999</v>
      </c>
      <c r="BO636" s="99">
        <f t="shared" si="505"/>
        <v>47.511000000000003</v>
      </c>
      <c r="BP636" s="99">
        <f t="shared" si="506"/>
        <v>48.901999999999994</v>
      </c>
      <c r="BQ636" s="99">
        <f t="shared" si="506"/>
        <v>49.224000000000004</v>
      </c>
      <c r="BR636" s="99">
        <f t="shared" si="506"/>
        <v>49.443999999999988</v>
      </c>
      <c r="BS636" s="468">
        <f t="shared" si="507"/>
        <v>195.08099999999999</v>
      </c>
      <c r="BT636" s="63">
        <f t="shared" ref="BT636:BW637" si="510">BT412</f>
        <v>50.006525684931503</v>
      </c>
      <c r="BU636" s="63">
        <f t="shared" si="510"/>
        <v>50.785431905024389</v>
      </c>
      <c r="BV636" s="63">
        <f t="shared" si="510"/>
        <v>51.540063992915755</v>
      </c>
      <c r="BW636" s="63">
        <f t="shared" si="510"/>
        <v>52.845586991224593</v>
      </c>
      <c r="BX636" s="413">
        <f t="shared" si="508"/>
        <v>205.17760857409624</v>
      </c>
      <c r="BY636" s="63">
        <f t="shared" ref="BY636:CB637" si="511">BY412</f>
        <v>52.961607061560699</v>
      </c>
      <c r="BZ636" s="63">
        <f t="shared" si="511"/>
        <v>53.64841999217645</v>
      </c>
      <c r="CA636" s="63">
        <f t="shared" si="511"/>
        <v>54.313828821187379</v>
      </c>
      <c r="CB636" s="63">
        <f t="shared" si="511"/>
        <v>55.562440161195234</v>
      </c>
      <c r="CC636" s="413">
        <f t="shared" si="509"/>
        <v>216.48629603611977</v>
      </c>
      <c r="CD636" s="413">
        <f t="shared" ref="CD636:CF637" si="512">CD412</f>
        <v>227.91129463609894</v>
      </c>
      <c r="CE636" s="413">
        <f t="shared" si="512"/>
        <v>237.12631032596676</v>
      </c>
      <c r="CF636" s="413">
        <f t="shared" si="512"/>
        <v>245.16338123605451</v>
      </c>
      <c r="CG636" s="99"/>
    </row>
    <row r="637" spans="1:85" ht="14.45" customHeight="1" x14ac:dyDescent="0.25">
      <c r="A637" s="125" t="str">
        <f t="shared" si="480"/>
        <v>Amortization of intangibles</v>
      </c>
      <c r="B637" s="180"/>
      <c r="C637" s="467">
        <f t="shared" si="481"/>
        <v>0.56000000000000005</v>
      </c>
      <c r="D637" s="467">
        <f t="shared" si="481"/>
        <v>0.48899999999999999</v>
      </c>
      <c r="E637" s="467">
        <f t="shared" si="481"/>
        <v>0.432</v>
      </c>
      <c r="F637" s="467">
        <f t="shared" si="481"/>
        <v>0.41599999999999998</v>
      </c>
      <c r="G637" s="99">
        <f t="shared" si="481"/>
        <v>8.4000000000000005E-2</v>
      </c>
      <c r="H637" s="99">
        <f t="shared" si="482"/>
        <v>8.2000000000000003E-2</v>
      </c>
      <c r="I637" s="99">
        <f t="shared" si="482"/>
        <v>8.3999999999999991E-2</v>
      </c>
      <c r="J637" s="99">
        <f t="shared" si="482"/>
        <v>8.3000000000000018E-2</v>
      </c>
      <c r="K637" s="467">
        <f t="shared" si="483"/>
        <v>0.33300000000000002</v>
      </c>
      <c r="L637" s="99">
        <f t="shared" si="483"/>
        <v>8.3000000000000004E-2</v>
      </c>
      <c r="M637" s="99">
        <f t="shared" si="484"/>
        <v>0.115</v>
      </c>
      <c r="N637" s="99">
        <f t="shared" si="484"/>
        <v>0.17899999999999999</v>
      </c>
      <c r="O637" s="99">
        <f t="shared" si="484"/>
        <v>0.35599999999999998</v>
      </c>
      <c r="P637" s="467">
        <f t="shared" si="485"/>
        <v>0.73299999999999998</v>
      </c>
      <c r="Q637" s="99">
        <f t="shared" si="485"/>
        <v>0.59199999999999997</v>
      </c>
      <c r="R637" s="99">
        <f t="shared" si="486"/>
        <v>0.78799999999999992</v>
      </c>
      <c r="S637" s="99">
        <f t="shared" si="486"/>
        <v>0.73</v>
      </c>
      <c r="T637" s="99">
        <f t="shared" si="486"/>
        <v>0.69</v>
      </c>
      <c r="U637" s="467">
        <f t="shared" si="487"/>
        <v>2.8</v>
      </c>
      <c r="V637" s="99">
        <f t="shared" si="487"/>
        <v>1.026</v>
      </c>
      <c r="W637" s="99">
        <f t="shared" si="488"/>
        <v>1.401</v>
      </c>
      <c r="X637" s="99">
        <f t="shared" si="488"/>
        <v>1.06</v>
      </c>
      <c r="Y637" s="99">
        <f t="shared" si="488"/>
        <v>1.5229999999999997</v>
      </c>
      <c r="Z637" s="467">
        <f t="shared" si="489"/>
        <v>5.01</v>
      </c>
      <c r="AA637" s="99">
        <f t="shared" si="489"/>
        <v>1.994</v>
      </c>
      <c r="AB637" s="99">
        <f t="shared" si="490"/>
        <v>4.7229999999999999</v>
      </c>
      <c r="AC637" s="99">
        <f t="shared" si="490"/>
        <v>4.8790000000000004</v>
      </c>
      <c r="AD637" s="99">
        <f t="shared" si="490"/>
        <v>6.8230000000000004</v>
      </c>
      <c r="AE637" s="467">
        <f t="shared" si="491"/>
        <v>18.419</v>
      </c>
      <c r="AF637" s="99">
        <f t="shared" si="491"/>
        <v>5.6479999999999997</v>
      </c>
      <c r="AG637" s="99">
        <f t="shared" si="492"/>
        <v>5.6010000000000009</v>
      </c>
      <c r="AH637" s="99">
        <f t="shared" si="492"/>
        <v>5.7050000000000001</v>
      </c>
      <c r="AI637" s="99">
        <f t="shared" si="492"/>
        <v>5.8000000000000007</v>
      </c>
      <c r="AJ637" s="467">
        <f t="shared" si="493"/>
        <v>22.754000000000001</v>
      </c>
      <c r="AK637" s="99">
        <f t="shared" si="493"/>
        <v>5.7930000000000001</v>
      </c>
      <c r="AL637" s="99">
        <f t="shared" si="494"/>
        <v>5.7190000000000003</v>
      </c>
      <c r="AM637" s="99">
        <f t="shared" si="494"/>
        <v>5.7590000000000003</v>
      </c>
      <c r="AN637" s="99">
        <f t="shared" si="494"/>
        <v>5.7590000000000003</v>
      </c>
      <c r="AO637" s="467">
        <f t="shared" si="495"/>
        <v>23.03</v>
      </c>
      <c r="AP637" s="99">
        <f t="shared" si="495"/>
        <v>5.76</v>
      </c>
      <c r="AQ637" s="99">
        <f t="shared" si="496"/>
        <v>5.7580000000000009</v>
      </c>
      <c r="AR637" s="99">
        <f t="shared" si="496"/>
        <v>5.7680000000000007</v>
      </c>
      <c r="AS637" s="99">
        <f t="shared" si="496"/>
        <v>5.7949999999999982</v>
      </c>
      <c r="AT637" s="467">
        <f t="shared" si="497"/>
        <v>23.081</v>
      </c>
      <c r="AU637" s="99">
        <f t="shared" si="497"/>
        <v>5.81</v>
      </c>
      <c r="AV637" s="99">
        <f t="shared" si="498"/>
        <v>5.8090000000000002</v>
      </c>
      <c r="AW637" s="99">
        <f t="shared" si="498"/>
        <v>5.8120000000000012</v>
      </c>
      <c r="AX637" s="99">
        <f t="shared" si="498"/>
        <v>5.8140000000000001</v>
      </c>
      <c r="AY637" s="467">
        <f t="shared" si="499"/>
        <v>23.245000000000001</v>
      </c>
      <c r="AZ637" s="99">
        <f t="shared" si="499"/>
        <v>5.9080000000000004</v>
      </c>
      <c r="BA637" s="99">
        <f t="shared" si="500"/>
        <v>5.9069999999999991</v>
      </c>
      <c r="BB637" s="99">
        <f t="shared" si="500"/>
        <v>5.9070000000000018</v>
      </c>
      <c r="BC637" s="99">
        <f t="shared" si="500"/>
        <v>5.9059999999999988</v>
      </c>
      <c r="BD637" s="467">
        <f t="shared" si="501"/>
        <v>23.628</v>
      </c>
      <c r="BE637" s="99">
        <f t="shared" si="501"/>
        <v>5.9080000000000004</v>
      </c>
      <c r="BF637" s="99">
        <f t="shared" si="502"/>
        <v>5.8619999999999992</v>
      </c>
      <c r="BG637" s="99">
        <f t="shared" si="502"/>
        <v>5.8620000000000019</v>
      </c>
      <c r="BH637" s="99">
        <f t="shared" si="502"/>
        <v>5.8619999999999983</v>
      </c>
      <c r="BI637" s="467">
        <f t="shared" si="503"/>
        <v>23.494</v>
      </c>
      <c r="BJ637" s="99">
        <f t="shared" si="503"/>
        <v>5.8630000000000004</v>
      </c>
      <c r="BK637" s="99">
        <f t="shared" si="504"/>
        <v>5.8619999999999992</v>
      </c>
      <c r="BL637" s="99">
        <f t="shared" si="504"/>
        <v>5.8609999999999989</v>
      </c>
      <c r="BM637" s="99">
        <f t="shared" si="504"/>
        <v>5.8620000000000019</v>
      </c>
      <c r="BN637" s="467">
        <f t="shared" si="505"/>
        <v>23.448</v>
      </c>
      <c r="BO637" s="99">
        <f t="shared" si="505"/>
        <v>5.8620000000000001</v>
      </c>
      <c r="BP637" s="99">
        <f t="shared" si="506"/>
        <v>5.8629999999999995</v>
      </c>
      <c r="BQ637" s="99">
        <f t="shared" si="506"/>
        <v>5.8620000000000001</v>
      </c>
      <c r="BR637" s="99">
        <f t="shared" si="506"/>
        <v>5.8620000000000019</v>
      </c>
      <c r="BS637" s="468">
        <f t="shared" si="507"/>
        <v>23.449000000000002</v>
      </c>
      <c r="BT637" s="63">
        <f t="shared" si="510"/>
        <v>5.3865208657534245</v>
      </c>
      <c r="BU637" s="63">
        <f t="shared" si="510"/>
        <v>5.348918522833042</v>
      </c>
      <c r="BV637" s="63">
        <f t="shared" si="510"/>
        <v>5.3115786751722789</v>
      </c>
      <c r="BW637" s="63">
        <f t="shared" si="510"/>
        <v>5.3324610231993352</v>
      </c>
      <c r="BX637" s="413">
        <f t="shared" si="508"/>
        <v>21.379479086958082</v>
      </c>
      <c r="BY637" s="63">
        <f t="shared" si="511"/>
        <v>5.2372745295518648</v>
      </c>
      <c r="BZ637" s="63">
        <f t="shared" si="511"/>
        <v>5.2007140487263905</v>
      </c>
      <c r="CA637" s="63">
        <f t="shared" si="511"/>
        <v>5.1644087901067879</v>
      </c>
      <c r="CB637" s="63">
        <f t="shared" si="511"/>
        <v>5.1847125431535233</v>
      </c>
      <c r="CC637" s="413">
        <f t="shared" si="509"/>
        <v>20.787109911538565</v>
      </c>
      <c r="CD637" s="413">
        <f t="shared" si="512"/>
        <v>20.424611508042094</v>
      </c>
      <c r="CE637" s="413">
        <f t="shared" si="512"/>
        <v>19.852722385816914</v>
      </c>
      <c r="CF637" s="413">
        <f t="shared" si="512"/>
        <v>19.296846159014041</v>
      </c>
      <c r="CG637" s="99"/>
    </row>
    <row r="638" spans="1:85" ht="14.45" customHeight="1" x14ac:dyDescent="0.25">
      <c r="A638" s="125" t="str">
        <f t="shared" si="480"/>
        <v>Pension plan settlement expense</v>
      </c>
      <c r="B638" s="180"/>
      <c r="C638" s="467">
        <f t="shared" si="481"/>
        <v>0</v>
      </c>
      <c r="D638" s="467">
        <f t="shared" si="481"/>
        <v>0</v>
      </c>
      <c r="E638" s="467">
        <f t="shared" si="481"/>
        <v>0</v>
      </c>
      <c r="F638" s="467">
        <f t="shared" si="481"/>
        <v>0</v>
      </c>
      <c r="G638" s="99">
        <f t="shared" si="481"/>
        <v>0</v>
      </c>
      <c r="H638" s="99">
        <f t="shared" si="482"/>
        <v>0</v>
      </c>
      <c r="I638" s="99">
        <f t="shared" si="482"/>
        <v>0</v>
      </c>
      <c r="J638" s="99">
        <f t="shared" si="482"/>
        <v>0</v>
      </c>
      <c r="K638" s="467">
        <f t="shared" si="483"/>
        <v>0</v>
      </c>
      <c r="L638" s="99">
        <f t="shared" si="483"/>
        <v>0</v>
      </c>
      <c r="M638" s="99">
        <f t="shared" si="484"/>
        <v>0</v>
      </c>
      <c r="N638" s="99">
        <f t="shared" si="484"/>
        <v>0</v>
      </c>
      <c r="O638" s="99">
        <f t="shared" si="484"/>
        <v>0</v>
      </c>
      <c r="P638" s="467">
        <f t="shared" si="485"/>
        <v>0</v>
      </c>
      <c r="Q638" s="99">
        <f t="shared" si="485"/>
        <v>0</v>
      </c>
      <c r="R638" s="99">
        <f t="shared" si="486"/>
        <v>0</v>
      </c>
      <c r="S638" s="99">
        <f t="shared" si="486"/>
        <v>0</v>
      </c>
      <c r="T638" s="99">
        <f t="shared" si="486"/>
        <v>0</v>
      </c>
      <c r="U638" s="467">
        <f t="shared" si="487"/>
        <v>0</v>
      </c>
      <c r="V638" s="99">
        <f t="shared" si="487"/>
        <v>0</v>
      </c>
      <c r="W638" s="99">
        <f t="shared" si="488"/>
        <v>0</v>
      </c>
      <c r="X638" s="99">
        <f t="shared" si="488"/>
        <v>0</v>
      </c>
      <c r="Y638" s="99">
        <f t="shared" si="488"/>
        <v>0</v>
      </c>
      <c r="Z638" s="467">
        <f t="shared" si="489"/>
        <v>0</v>
      </c>
      <c r="AA638" s="99">
        <f t="shared" si="489"/>
        <v>0</v>
      </c>
      <c r="AB638" s="99">
        <f t="shared" si="490"/>
        <v>0</v>
      </c>
      <c r="AC638" s="99">
        <f t="shared" si="490"/>
        <v>0</v>
      </c>
      <c r="AD638" s="99">
        <f t="shared" si="490"/>
        <v>0</v>
      </c>
      <c r="AE638" s="467">
        <f t="shared" si="491"/>
        <v>0</v>
      </c>
      <c r="AF638" s="99">
        <f t="shared" si="491"/>
        <v>0</v>
      </c>
      <c r="AG638" s="99">
        <f t="shared" si="492"/>
        <v>0</v>
      </c>
      <c r="AH638" s="99">
        <f t="shared" si="492"/>
        <v>0</v>
      </c>
      <c r="AI638" s="99">
        <f t="shared" si="492"/>
        <v>0</v>
      </c>
      <c r="AJ638" s="467">
        <f t="shared" si="493"/>
        <v>0</v>
      </c>
      <c r="AK638" s="99">
        <f t="shared" si="493"/>
        <v>0</v>
      </c>
      <c r="AL638" s="99">
        <f t="shared" si="494"/>
        <v>0</v>
      </c>
      <c r="AM638" s="99">
        <f t="shared" si="494"/>
        <v>0</v>
      </c>
      <c r="AN638" s="99">
        <f t="shared" si="494"/>
        <v>0</v>
      </c>
      <c r="AO638" s="467">
        <f t="shared" si="495"/>
        <v>0</v>
      </c>
      <c r="AP638" s="99">
        <f t="shared" si="495"/>
        <v>0</v>
      </c>
      <c r="AQ638" s="99">
        <f t="shared" si="496"/>
        <v>0</v>
      </c>
      <c r="AR638" s="99">
        <f t="shared" si="496"/>
        <v>0</v>
      </c>
      <c r="AS638" s="99">
        <f t="shared" si="496"/>
        <v>0</v>
      </c>
      <c r="AT638" s="467">
        <f t="shared" si="497"/>
        <v>0</v>
      </c>
      <c r="AU638" s="99">
        <f t="shared" si="497"/>
        <v>0</v>
      </c>
      <c r="AV638" s="99">
        <f t="shared" si="498"/>
        <v>0</v>
      </c>
      <c r="AW638" s="99">
        <f t="shared" si="498"/>
        <v>0</v>
      </c>
      <c r="AX638" s="99">
        <f t="shared" si="498"/>
        <v>0</v>
      </c>
      <c r="AY638" s="467">
        <f t="shared" si="499"/>
        <v>0</v>
      </c>
      <c r="AZ638" s="99">
        <f t="shared" si="499"/>
        <v>0</v>
      </c>
      <c r="BA638" s="99">
        <f t="shared" si="500"/>
        <v>0</v>
      </c>
      <c r="BB638" s="99">
        <f t="shared" si="500"/>
        <v>0</v>
      </c>
      <c r="BC638" s="99">
        <f t="shared" si="500"/>
        <v>0</v>
      </c>
      <c r="BD638" s="467">
        <f t="shared" si="501"/>
        <v>0</v>
      </c>
      <c r="BE638" s="99">
        <f t="shared" si="501"/>
        <v>0</v>
      </c>
      <c r="BF638" s="99">
        <f t="shared" si="502"/>
        <v>39.777000000000001</v>
      </c>
      <c r="BG638" s="99">
        <f t="shared" si="502"/>
        <v>77.319000000000003</v>
      </c>
      <c r="BH638" s="99">
        <f t="shared" si="502"/>
        <v>-4.2999999999999972</v>
      </c>
      <c r="BI638" s="467">
        <f t="shared" si="503"/>
        <v>112.79600000000001</v>
      </c>
      <c r="BJ638" s="99">
        <f t="shared" si="503"/>
        <v>0</v>
      </c>
      <c r="BK638" s="99">
        <f t="shared" si="504"/>
        <v>0</v>
      </c>
      <c r="BL638" s="99">
        <f t="shared" si="504"/>
        <v>0</v>
      </c>
      <c r="BM638" s="99">
        <f t="shared" si="504"/>
        <v>0</v>
      </c>
      <c r="BN638" s="467">
        <f t="shared" si="505"/>
        <v>0</v>
      </c>
      <c r="BO638" s="99">
        <f t="shared" si="505"/>
        <v>0</v>
      </c>
      <c r="BP638" s="99">
        <f t="shared" si="506"/>
        <v>0</v>
      </c>
      <c r="BQ638" s="99">
        <f t="shared" si="506"/>
        <v>0</v>
      </c>
      <c r="BR638" s="99">
        <f t="shared" si="506"/>
        <v>0</v>
      </c>
      <c r="BS638" s="468">
        <f t="shared" si="507"/>
        <v>0</v>
      </c>
      <c r="BT638" s="63"/>
      <c r="BU638" s="63"/>
      <c r="BV638" s="63"/>
      <c r="BW638" s="63"/>
      <c r="BX638" s="413">
        <f t="shared" si="508"/>
        <v>0</v>
      </c>
      <c r="BY638" s="63"/>
      <c r="BZ638" s="63"/>
      <c r="CA638" s="63"/>
      <c r="CB638" s="63"/>
      <c r="CC638" s="413">
        <f t="shared" si="509"/>
        <v>0</v>
      </c>
      <c r="CD638" s="413"/>
      <c r="CE638" s="413"/>
      <c r="CF638" s="413"/>
      <c r="CG638" s="99"/>
    </row>
    <row r="639" spans="1:85" ht="14.45" customHeight="1" x14ac:dyDescent="0.25">
      <c r="A639" s="125" t="str">
        <f t="shared" si="480"/>
        <v>Deferred payroll taxes under CARES Act</v>
      </c>
      <c r="B639" s="180"/>
      <c r="C639" s="467">
        <f t="shared" si="481"/>
        <v>0</v>
      </c>
      <c r="D639" s="467">
        <f t="shared" si="481"/>
        <v>0</v>
      </c>
      <c r="E639" s="467">
        <f t="shared" si="481"/>
        <v>0</v>
      </c>
      <c r="F639" s="467">
        <f t="shared" si="481"/>
        <v>0</v>
      </c>
      <c r="G639" s="99">
        <f t="shared" si="481"/>
        <v>0</v>
      </c>
      <c r="H639" s="99">
        <f t="shared" si="482"/>
        <v>0</v>
      </c>
      <c r="I639" s="99">
        <f t="shared" si="482"/>
        <v>0</v>
      </c>
      <c r="J639" s="99">
        <f t="shared" si="482"/>
        <v>0</v>
      </c>
      <c r="K639" s="467">
        <f t="shared" si="483"/>
        <v>0</v>
      </c>
      <c r="L639" s="99">
        <f t="shared" si="483"/>
        <v>0</v>
      </c>
      <c r="M639" s="99">
        <f t="shared" si="484"/>
        <v>0</v>
      </c>
      <c r="N639" s="99">
        <f t="shared" si="484"/>
        <v>0</v>
      </c>
      <c r="O639" s="99">
        <f t="shared" si="484"/>
        <v>0</v>
      </c>
      <c r="P639" s="467">
        <f t="shared" si="485"/>
        <v>0</v>
      </c>
      <c r="Q639" s="99">
        <f t="shared" si="485"/>
        <v>0</v>
      </c>
      <c r="R639" s="99">
        <f t="shared" si="486"/>
        <v>0</v>
      </c>
      <c r="S639" s="99">
        <f t="shared" si="486"/>
        <v>0</v>
      </c>
      <c r="T639" s="99">
        <f t="shared" si="486"/>
        <v>0</v>
      </c>
      <c r="U639" s="467">
        <f t="shared" si="487"/>
        <v>0</v>
      </c>
      <c r="V639" s="99">
        <f t="shared" si="487"/>
        <v>0</v>
      </c>
      <c r="W639" s="99">
        <f t="shared" si="488"/>
        <v>0</v>
      </c>
      <c r="X639" s="99">
        <f t="shared" si="488"/>
        <v>0</v>
      </c>
      <c r="Y639" s="99">
        <f t="shared" si="488"/>
        <v>0</v>
      </c>
      <c r="Z639" s="467">
        <f t="shared" si="489"/>
        <v>0</v>
      </c>
      <c r="AA639" s="99">
        <f t="shared" si="489"/>
        <v>0</v>
      </c>
      <c r="AB639" s="99">
        <f t="shared" si="490"/>
        <v>0</v>
      </c>
      <c r="AC639" s="99">
        <f t="shared" si="490"/>
        <v>0</v>
      </c>
      <c r="AD639" s="99">
        <f t="shared" si="490"/>
        <v>0</v>
      </c>
      <c r="AE639" s="467">
        <f t="shared" si="491"/>
        <v>0</v>
      </c>
      <c r="AF639" s="99">
        <f t="shared" si="491"/>
        <v>0</v>
      </c>
      <c r="AG639" s="99">
        <f t="shared" si="492"/>
        <v>0</v>
      </c>
      <c r="AH639" s="99">
        <f t="shared" si="492"/>
        <v>0</v>
      </c>
      <c r="AI639" s="99">
        <f t="shared" si="492"/>
        <v>0</v>
      </c>
      <c r="AJ639" s="467">
        <f t="shared" si="493"/>
        <v>0</v>
      </c>
      <c r="AK639" s="99">
        <f t="shared" si="493"/>
        <v>0</v>
      </c>
      <c r="AL639" s="99">
        <f t="shared" si="494"/>
        <v>0</v>
      </c>
      <c r="AM639" s="99">
        <f t="shared" si="494"/>
        <v>0</v>
      </c>
      <c r="AN639" s="99">
        <f t="shared" si="494"/>
        <v>0</v>
      </c>
      <c r="AO639" s="467">
        <f t="shared" si="495"/>
        <v>0</v>
      </c>
      <c r="AP639" s="99">
        <f t="shared" si="495"/>
        <v>0</v>
      </c>
      <c r="AQ639" s="99">
        <f t="shared" si="496"/>
        <v>0</v>
      </c>
      <c r="AR639" s="99">
        <f t="shared" si="496"/>
        <v>0</v>
      </c>
      <c r="AS639" s="99">
        <f t="shared" si="496"/>
        <v>0</v>
      </c>
      <c r="AT639" s="467">
        <f t="shared" si="497"/>
        <v>0</v>
      </c>
      <c r="AU639" s="99">
        <f t="shared" si="497"/>
        <v>0</v>
      </c>
      <c r="AV639" s="99">
        <f t="shared" si="498"/>
        <v>0</v>
      </c>
      <c r="AW639" s="99">
        <f t="shared" si="498"/>
        <v>-18.739000000000001</v>
      </c>
      <c r="AX639" s="99">
        <f t="shared" si="498"/>
        <v>0</v>
      </c>
      <c r="AY639" s="467">
        <f t="shared" si="499"/>
        <v>-18.739000000000001</v>
      </c>
      <c r="AZ639" s="99">
        <f t="shared" si="499"/>
        <v>0</v>
      </c>
      <c r="BA639" s="99">
        <f t="shared" si="500"/>
        <v>0</v>
      </c>
      <c r="BB639" s="99">
        <f t="shared" si="500"/>
        <v>-18.739000000000001</v>
      </c>
      <c r="BC639" s="99">
        <f t="shared" si="500"/>
        <v>0</v>
      </c>
      <c r="BD639" s="467">
        <f t="shared" si="501"/>
        <v>-18.739000000000001</v>
      </c>
      <c r="BE639" s="99">
        <f t="shared" si="501"/>
        <v>0</v>
      </c>
      <c r="BF639" s="99">
        <f t="shared" si="502"/>
        <v>0</v>
      </c>
      <c r="BG639" s="99">
        <f t="shared" si="502"/>
        <v>0</v>
      </c>
      <c r="BH639" s="99">
        <f t="shared" si="502"/>
        <v>0</v>
      </c>
      <c r="BI639" s="467">
        <f t="shared" si="503"/>
        <v>0</v>
      </c>
      <c r="BJ639" s="99">
        <f t="shared" si="503"/>
        <v>0</v>
      </c>
      <c r="BK639" s="99">
        <f t="shared" si="504"/>
        <v>0</v>
      </c>
      <c r="BL639" s="99">
        <f t="shared" si="504"/>
        <v>0</v>
      </c>
      <c r="BM639" s="99">
        <f t="shared" si="504"/>
        <v>0</v>
      </c>
      <c r="BN639" s="467">
        <f t="shared" si="505"/>
        <v>0</v>
      </c>
      <c r="BO639" s="99">
        <f t="shared" si="505"/>
        <v>0</v>
      </c>
      <c r="BP639" s="99">
        <f t="shared" si="506"/>
        <v>0</v>
      </c>
      <c r="BQ639" s="99">
        <f t="shared" si="506"/>
        <v>0</v>
      </c>
      <c r="BR639" s="99">
        <f t="shared" si="506"/>
        <v>0</v>
      </c>
      <c r="BS639" s="468">
        <f t="shared" si="507"/>
        <v>0</v>
      </c>
      <c r="BT639" s="63"/>
      <c r="BU639" s="63"/>
      <c r="BV639" s="63"/>
      <c r="BW639" s="63"/>
      <c r="BX639" s="413">
        <f t="shared" si="508"/>
        <v>0</v>
      </c>
      <c r="BY639" s="63"/>
      <c r="BZ639" s="63"/>
      <c r="CA639" s="63"/>
      <c r="CB639" s="63"/>
      <c r="CC639" s="413">
        <f t="shared" si="509"/>
        <v>0</v>
      </c>
      <c r="CD639" s="413"/>
      <c r="CE639" s="413"/>
      <c r="CF639" s="413"/>
      <c r="CG639" s="99"/>
    </row>
    <row r="640" spans="1:85" ht="14.45" customHeight="1" x14ac:dyDescent="0.25">
      <c r="A640" s="125" t="str">
        <f t="shared" si="480"/>
        <v>Deferred income taxes</v>
      </c>
      <c r="B640" s="180"/>
      <c r="C640" s="467">
        <f t="shared" si="481"/>
        <v>7.633</v>
      </c>
      <c r="D640" s="467">
        <f t="shared" si="481"/>
        <v>-4.9059999999999997</v>
      </c>
      <c r="E640" s="467">
        <f t="shared" si="481"/>
        <v>7.8879999999999999</v>
      </c>
      <c r="F640" s="467">
        <f t="shared" si="481"/>
        <v>7.1379999999999999</v>
      </c>
      <c r="G640" s="99">
        <f t="shared" si="481"/>
        <v>0.14599999999999999</v>
      </c>
      <c r="H640" s="99">
        <f t="shared" si="482"/>
        <v>0.42999999999999994</v>
      </c>
      <c r="I640" s="99">
        <f t="shared" si="482"/>
        <v>-1.952</v>
      </c>
      <c r="J640" s="99">
        <f t="shared" si="482"/>
        <v>-8.641</v>
      </c>
      <c r="K640" s="467">
        <f t="shared" si="483"/>
        <v>-10.016999999999999</v>
      </c>
      <c r="L640" s="99">
        <f t="shared" si="483"/>
        <v>0.222</v>
      </c>
      <c r="M640" s="99">
        <f t="shared" si="484"/>
        <v>0.28300000000000003</v>
      </c>
      <c r="N640" s="99">
        <f t="shared" si="484"/>
        <v>0.15000000000000002</v>
      </c>
      <c r="O640" s="99">
        <f t="shared" si="484"/>
        <v>3.5649999999999995</v>
      </c>
      <c r="P640" s="467">
        <f t="shared" si="485"/>
        <v>4.22</v>
      </c>
      <c r="Q640" s="99">
        <f t="shared" si="485"/>
        <v>4.2000000000000003E-2</v>
      </c>
      <c r="R640" s="99">
        <f t="shared" si="486"/>
        <v>-1.496</v>
      </c>
      <c r="S640" s="99">
        <f t="shared" si="486"/>
        <v>-2.0350000000000001</v>
      </c>
      <c r="T640" s="99">
        <f t="shared" si="486"/>
        <v>13.896999999999998</v>
      </c>
      <c r="U640" s="467">
        <f t="shared" si="487"/>
        <v>10.407999999999999</v>
      </c>
      <c r="V640" s="99">
        <f t="shared" si="487"/>
        <v>-5.0780000000000003</v>
      </c>
      <c r="W640" s="99">
        <f t="shared" si="488"/>
        <v>3.6020000000000003</v>
      </c>
      <c r="X640" s="99">
        <f t="shared" si="488"/>
        <v>6.9850000000000003</v>
      </c>
      <c r="Y640" s="99">
        <f t="shared" si="488"/>
        <v>37.433</v>
      </c>
      <c r="Z640" s="467">
        <f t="shared" si="489"/>
        <v>42.942</v>
      </c>
      <c r="AA640" s="99">
        <f t="shared" si="489"/>
        <v>-15.494999999999999</v>
      </c>
      <c r="AB640" s="99">
        <f t="shared" si="490"/>
        <v>-9.423</v>
      </c>
      <c r="AC640" s="99">
        <f t="shared" si="490"/>
        <v>0.1769999999999996</v>
      </c>
      <c r="AD640" s="99">
        <f t="shared" si="490"/>
        <v>-33.369999999999997</v>
      </c>
      <c r="AE640" s="467">
        <f t="shared" si="491"/>
        <v>-58.110999999999997</v>
      </c>
      <c r="AF640" s="99">
        <f t="shared" si="491"/>
        <v>-15.394</v>
      </c>
      <c r="AG640" s="99">
        <f t="shared" si="492"/>
        <v>-0.89200000000000124</v>
      </c>
      <c r="AH640" s="99">
        <f t="shared" si="492"/>
        <v>26.189</v>
      </c>
      <c r="AI640" s="99">
        <f t="shared" si="492"/>
        <v>-0.53700000000000081</v>
      </c>
      <c r="AJ640" s="467">
        <f t="shared" si="493"/>
        <v>9.3659999999999997</v>
      </c>
      <c r="AK640" s="99">
        <f t="shared" si="493"/>
        <v>-3.4449999999999998</v>
      </c>
      <c r="AL640" s="99">
        <f t="shared" si="494"/>
        <v>7.4619999999999997</v>
      </c>
      <c r="AM640" s="99">
        <f t="shared" si="494"/>
        <v>1.2369999999999992</v>
      </c>
      <c r="AN640" s="99">
        <f t="shared" si="494"/>
        <v>-1.2669999999999995</v>
      </c>
      <c r="AO640" s="467">
        <f t="shared" si="495"/>
        <v>3.9870000000000001</v>
      </c>
      <c r="AP640" s="99">
        <f t="shared" si="495"/>
        <v>5.91</v>
      </c>
      <c r="AQ640" s="99">
        <f t="shared" si="496"/>
        <v>15.760000000000002</v>
      </c>
      <c r="AR640" s="99">
        <f t="shared" si="496"/>
        <v>-16.368000000000002</v>
      </c>
      <c r="AS640" s="99">
        <f t="shared" si="496"/>
        <v>3.4350000000000005</v>
      </c>
      <c r="AT640" s="467">
        <f t="shared" si="497"/>
        <v>8.7370000000000001</v>
      </c>
      <c r="AU640" s="99">
        <f t="shared" si="497"/>
        <v>19.98</v>
      </c>
      <c r="AV640" s="99">
        <f t="shared" si="498"/>
        <v>-17.687000000000001</v>
      </c>
      <c r="AW640" s="99">
        <f t="shared" si="498"/>
        <v>8.6140000000000008</v>
      </c>
      <c r="AX640" s="99">
        <f t="shared" si="498"/>
        <v>-20.09</v>
      </c>
      <c r="AY640" s="467">
        <f t="shared" si="499"/>
        <v>-9.1829999999999998</v>
      </c>
      <c r="AZ640" s="99">
        <f t="shared" si="499"/>
        <v>33.130000000000003</v>
      </c>
      <c r="BA640" s="99">
        <f t="shared" si="500"/>
        <v>-21.941000000000003</v>
      </c>
      <c r="BB640" s="99">
        <f t="shared" si="500"/>
        <v>-0.4399999999999995</v>
      </c>
      <c r="BC640" s="99">
        <f t="shared" si="500"/>
        <v>-1.7720000000000002</v>
      </c>
      <c r="BD640" s="467">
        <f t="shared" si="501"/>
        <v>8.9770000000000003</v>
      </c>
      <c r="BE640" s="99">
        <f t="shared" si="501"/>
        <v>40.743000000000002</v>
      </c>
      <c r="BF640" s="99">
        <f t="shared" si="502"/>
        <v>-48.591000000000001</v>
      </c>
      <c r="BG640" s="99">
        <f t="shared" si="502"/>
        <v>-27.033000000000001</v>
      </c>
      <c r="BH640" s="99">
        <f t="shared" si="502"/>
        <v>-14.14</v>
      </c>
      <c r="BI640" s="467">
        <f t="shared" si="503"/>
        <v>-49.021000000000001</v>
      </c>
      <c r="BJ640" s="99">
        <f t="shared" si="503"/>
        <v>56.616</v>
      </c>
      <c r="BK640" s="99">
        <f t="shared" si="504"/>
        <v>-54.351999999999997</v>
      </c>
      <c r="BL640" s="99">
        <f t="shared" si="504"/>
        <v>-20.294</v>
      </c>
      <c r="BM640" s="99">
        <f t="shared" si="504"/>
        <v>20.559000000000001</v>
      </c>
      <c r="BN640" s="467">
        <f t="shared" si="505"/>
        <v>2.5289999999999999</v>
      </c>
      <c r="BO640" s="99">
        <f t="shared" si="505"/>
        <v>35.277999999999999</v>
      </c>
      <c r="BP640" s="99">
        <f t="shared" si="506"/>
        <v>-51.262999999999998</v>
      </c>
      <c r="BQ640" s="99">
        <f t="shared" si="506"/>
        <v>16.507999999999999</v>
      </c>
      <c r="BR640" s="99">
        <f t="shared" si="506"/>
        <v>13.181000000000001</v>
      </c>
      <c r="BS640" s="468">
        <f t="shared" si="507"/>
        <v>13.704000000000001</v>
      </c>
      <c r="BT640" s="63">
        <f>BT425</f>
        <v>8.4016166683698579</v>
      </c>
      <c r="BU640" s="63">
        <f>BU425</f>
        <v>11.372883921</v>
      </c>
      <c r="BV640" s="63">
        <f>BV425</f>
        <v>11.795568470999999</v>
      </c>
      <c r="BW640" s="63">
        <f>BW425</f>
        <v>11.597424426000007</v>
      </c>
      <c r="BX640" s="413">
        <f t="shared" si="508"/>
        <v>43.167493486369864</v>
      </c>
      <c r="BY640" s="63">
        <f>BY425</f>
        <v>9.6591172142249953</v>
      </c>
      <c r="BZ640" s="63">
        <f>BZ425</f>
        <v>11.483346909825</v>
      </c>
      <c r="CA640" s="63">
        <f>CA425</f>
        <v>11.912551927515</v>
      </c>
      <c r="CB640" s="63">
        <f>CB425</f>
        <v>11.706564491730006</v>
      </c>
      <c r="CC640" s="413">
        <f t="shared" si="509"/>
        <v>44.761580543294997</v>
      </c>
      <c r="CD640" s="413">
        <f>CD425</f>
        <v>45.271267614025362</v>
      </c>
      <c r="CE640" s="413">
        <f>CE425</f>
        <v>45.789220703469731</v>
      </c>
      <c r="CF640" s="413">
        <f>CF425</f>
        <v>46.315595493388798</v>
      </c>
      <c r="CG640" s="99"/>
    </row>
    <row r="641" spans="1:85" ht="14.45" customHeight="1" x14ac:dyDescent="0.25">
      <c r="A641" s="125" t="str">
        <f t="shared" si="480"/>
        <v>Loss on sale of property, plant and equipment</v>
      </c>
      <c r="B641" s="180"/>
      <c r="C641" s="467">
        <f t="shared" si="481"/>
        <v>1.2709999999999999</v>
      </c>
      <c r="D641" s="467">
        <f t="shared" si="481"/>
        <v>1.1950000000000001</v>
      </c>
      <c r="E641" s="467">
        <f t="shared" si="481"/>
        <v>0.54700000000000004</v>
      </c>
      <c r="F641" s="467">
        <f t="shared" si="481"/>
        <v>0.63300000000000001</v>
      </c>
      <c r="G641" s="99">
        <f t="shared" si="481"/>
        <v>-0.99</v>
      </c>
      <c r="H641" s="99">
        <f t="shared" si="482"/>
        <v>0.22699999999999998</v>
      </c>
      <c r="I641" s="99">
        <f t="shared" si="482"/>
        <v>0.499</v>
      </c>
      <c r="J641" s="99">
        <f t="shared" si="482"/>
        <v>0.31</v>
      </c>
      <c r="K641" s="467">
        <f t="shared" si="483"/>
        <v>4.5999999999999999E-2</v>
      </c>
      <c r="L641" s="99">
        <f t="shared" si="483"/>
        <v>-0.17899999999999999</v>
      </c>
      <c r="M641" s="99">
        <f t="shared" si="484"/>
        <v>0.14099999999999999</v>
      </c>
      <c r="N641" s="99">
        <f t="shared" si="484"/>
        <v>0.26900000000000002</v>
      </c>
      <c r="O641" s="99">
        <f t="shared" si="484"/>
        <v>0.44600000000000006</v>
      </c>
      <c r="P641" s="467">
        <f t="shared" si="485"/>
        <v>0.67700000000000005</v>
      </c>
      <c r="Q641" s="99">
        <f t="shared" si="485"/>
        <v>0.28199999999999997</v>
      </c>
      <c r="R641" s="99">
        <f t="shared" si="486"/>
        <v>0.16700000000000004</v>
      </c>
      <c r="S641" s="99">
        <f t="shared" si="486"/>
        <v>0.23000000000000004</v>
      </c>
      <c r="T641" s="99">
        <f t="shared" si="486"/>
        <v>0.58899999999999997</v>
      </c>
      <c r="U641" s="467">
        <f t="shared" si="487"/>
        <v>1.268</v>
      </c>
      <c r="V641" s="99">
        <f t="shared" si="487"/>
        <v>0.41699999999999998</v>
      </c>
      <c r="W641" s="99">
        <f t="shared" si="488"/>
        <v>0.93900000000000006</v>
      </c>
      <c r="X641" s="99">
        <f t="shared" si="488"/>
        <v>0.5239999999999998</v>
      </c>
      <c r="Y641" s="99">
        <f t="shared" si="488"/>
        <v>1.012</v>
      </c>
      <c r="Z641" s="467">
        <f t="shared" si="489"/>
        <v>2.8919999999999999</v>
      </c>
      <c r="AA641" s="99">
        <f t="shared" si="489"/>
        <v>0.81</v>
      </c>
      <c r="AB641" s="99">
        <f t="shared" si="490"/>
        <v>1.165</v>
      </c>
      <c r="AC641" s="99">
        <f t="shared" si="490"/>
        <v>1.4449999999999998</v>
      </c>
      <c r="AD641" s="99">
        <f t="shared" si="490"/>
        <v>1.0720000000000001</v>
      </c>
      <c r="AE641" s="467">
        <f t="shared" si="491"/>
        <v>4.492</v>
      </c>
      <c r="AF641" s="99">
        <f t="shared" si="491"/>
        <v>1.952</v>
      </c>
      <c r="AG641" s="99">
        <f t="shared" si="492"/>
        <v>2.343</v>
      </c>
      <c r="AH641" s="99">
        <f t="shared" si="492"/>
        <v>1.8280000000000003</v>
      </c>
      <c r="AI641" s="99">
        <f t="shared" si="492"/>
        <v>0.97999999999999954</v>
      </c>
      <c r="AJ641" s="467">
        <f t="shared" si="493"/>
        <v>7.1029999999999998</v>
      </c>
      <c r="AK641" s="99">
        <f t="shared" si="493"/>
        <v>1.8540000000000001</v>
      </c>
      <c r="AL641" s="99">
        <f t="shared" si="494"/>
        <v>2.4699999999999998</v>
      </c>
      <c r="AM641" s="99">
        <f t="shared" si="494"/>
        <v>1.1500000000000004</v>
      </c>
      <c r="AN641" s="99">
        <f t="shared" si="494"/>
        <v>1.024</v>
      </c>
      <c r="AO641" s="467">
        <f t="shared" si="495"/>
        <v>6.4980000000000002</v>
      </c>
      <c r="AP641" s="99">
        <f t="shared" si="495"/>
        <v>0.49099999999999999</v>
      </c>
      <c r="AQ641" s="99">
        <f t="shared" si="496"/>
        <v>0.92499999999999993</v>
      </c>
      <c r="AR641" s="99">
        <f t="shared" si="496"/>
        <v>2.2400000000000002</v>
      </c>
      <c r="AS641" s="99">
        <f t="shared" si="496"/>
        <v>1.5310000000000001</v>
      </c>
      <c r="AT641" s="467">
        <f t="shared" si="497"/>
        <v>5.1870000000000003</v>
      </c>
      <c r="AU641" s="99">
        <f t="shared" si="497"/>
        <v>1.0980000000000001</v>
      </c>
      <c r="AV641" s="99">
        <f t="shared" si="498"/>
        <v>1.3589999999999998</v>
      </c>
      <c r="AW641" s="99">
        <f t="shared" si="498"/>
        <v>1.5600000000000005</v>
      </c>
      <c r="AX641" s="99">
        <f t="shared" si="498"/>
        <v>1.9039999999999999</v>
      </c>
      <c r="AY641" s="467">
        <f t="shared" si="499"/>
        <v>5.9210000000000003</v>
      </c>
      <c r="AZ641" s="99">
        <f t="shared" si="499"/>
        <v>0.439</v>
      </c>
      <c r="BA641" s="99">
        <f t="shared" si="500"/>
        <v>0.8879999999999999</v>
      </c>
      <c r="BB641" s="99">
        <f t="shared" si="500"/>
        <v>1.528</v>
      </c>
      <c r="BC641" s="99">
        <f t="shared" si="500"/>
        <v>2.7870000000000004</v>
      </c>
      <c r="BD641" s="467">
        <f t="shared" si="501"/>
        <v>5.6420000000000003</v>
      </c>
      <c r="BE641" s="99">
        <f t="shared" si="501"/>
        <v>2.3889999999999998</v>
      </c>
      <c r="BF641" s="99">
        <f t="shared" si="502"/>
        <v>1.7390000000000003</v>
      </c>
      <c r="BG641" s="99">
        <f t="shared" si="502"/>
        <v>1.7350000000000003</v>
      </c>
      <c r="BH641" s="99">
        <f t="shared" si="502"/>
        <v>1.3179999999999996</v>
      </c>
      <c r="BI641" s="467">
        <f t="shared" si="503"/>
        <v>7.181</v>
      </c>
      <c r="BJ641" s="99">
        <f t="shared" si="503"/>
        <v>0.67</v>
      </c>
      <c r="BK641" s="99">
        <f t="shared" si="504"/>
        <v>1.5870000000000002</v>
      </c>
      <c r="BL641" s="99">
        <f t="shared" si="504"/>
        <v>1.8240000000000003</v>
      </c>
      <c r="BM641" s="99">
        <f t="shared" si="504"/>
        <v>-0.91300000000000026</v>
      </c>
      <c r="BN641" s="467">
        <f t="shared" si="505"/>
        <v>3.1680000000000001</v>
      </c>
      <c r="BO641" s="99">
        <f t="shared" si="505"/>
        <v>1.369</v>
      </c>
      <c r="BP641" s="99">
        <f t="shared" si="506"/>
        <v>-3.2250000000000001</v>
      </c>
      <c r="BQ641" s="99">
        <f t="shared" si="506"/>
        <v>1.2760000000000002</v>
      </c>
      <c r="BR641" s="99">
        <f t="shared" si="506"/>
        <v>1.224</v>
      </c>
      <c r="BS641" s="468">
        <f t="shared" si="507"/>
        <v>0.64400000000000002</v>
      </c>
      <c r="BT641" s="63"/>
      <c r="BU641" s="63"/>
      <c r="BV641" s="63"/>
      <c r="BW641" s="63"/>
      <c r="BX641" s="413">
        <f t="shared" si="508"/>
        <v>0</v>
      </c>
      <c r="BY641" s="63"/>
      <c r="BZ641" s="63"/>
      <c r="CA641" s="63"/>
      <c r="CB641" s="63"/>
      <c r="CC641" s="413">
        <f t="shared" si="509"/>
        <v>0</v>
      </c>
      <c r="CD641" s="413"/>
      <c r="CE641" s="413"/>
      <c r="CF641" s="413"/>
      <c r="CG641" s="99"/>
    </row>
    <row r="642" spans="1:85" ht="14.45" customHeight="1" x14ac:dyDescent="0.25">
      <c r="A642" s="125" t="str">
        <f t="shared" si="480"/>
        <v>Proceeds from conversion of Legacy Territory bottling agreements</v>
      </c>
      <c r="B642" s="180"/>
      <c r="C642" s="413"/>
      <c r="D642" s="413"/>
      <c r="E642" s="413"/>
      <c r="F642" s="413"/>
      <c r="G642" s="63"/>
      <c r="H642" s="63"/>
      <c r="I642" s="63"/>
      <c r="J642" s="63"/>
      <c r="K642" s="413"/>
      <c r="L642" s="63"/>
      <c r="M642" s="63"/>
      <c r="N642" s="63"/>
      <c r="O642" s="63"/>
      <c r="P642" s="413"/>
      <c r="Q642" s="63"/>
      <c r="R642" s="63"/>
      <c r="S642" s="63"/>
      <c r="T642" s="63"/>
      <c r="U642" s="413"/>
      <c r="V642" s="63"/>
      <c r="W642" s="63"/>
      <c r="X642" s="63"/>
      <c r="Y642" s="63"/>
      <c r="Z642" s="413"/>
      <c r="AA642" s="99">
        <f t="shared" ref="AA642:AA656" si="513">AA556</f>
        <v>87.066000000000003</v>
      </c>
      <c r="AB642" s="99">
        <f t="shared" si="490"/>
        <v>0</v>
      </c>
      <c r="AC642" s="99">
        <f t="shared" si="490"/>
        <v>0</v>
      </c>
      <c r="AD642" s="99">
        <f t="shared" si="490"/>
        <v>4.3840000000000003</v>
      </c>
      <c r="AE642" s="467">
        <f t="shared" si="491"/>
        <v>91.45</v>
      </c>
      <c r="AF642" s="99">
        <f t="shared" si="491"/>
        <v>0</v>
      </c>
      <c r="AG642" s="99">
        <f t="shared" si="492"/>
        <v>0</v>
      </c>
      <c r="AH642" s="99">
        <f t="shared" si="492"/>
        <v>0</v>
      </c>
      <c r="AI642" s="99">
        <f t="shared" si="492"/>
        <v>0</v>
      </c>
      <c r="AJ642" s="467">
        <f t="shared" si="493"/>
        <v>0</v>
      </c>
      <c r="AK642" s="99">
        <f t="shared" si="493"/>
        <v>0</v>
      </c>
      <c r="AL642" s="99">
        <f t="shared" si="494"/>
        <v>0</v>
      </c>
      <c r="AM642" s="99">
        <f t="shared" si="494"/>
        <v>0</v>
      </c>
      <c r="AN642" s="99">
        <f t="shared" si="494"/>
        <v>0</v>
      </c>
      <c r="AO642" s="467">
        <f t="shared" si="495"/>
        <v>0</v>
      </c>
      <c r="AP642" s="99">
        <f t="shared" si="495"/>
        <v>0</v>
      </c>
      <c r="AQ642" s="99">
        <f t="shared" si="496"/>
        <v>0</v>
      </c>
      <c r="AR642" s="99">
        <f t="shared" si="496"/>
        <v>0</v>
      </c>
      <c r="AS642" s="99">
        <f t="shared" si="496"/>
        <v>0</v>
      </c>
      <c r="AT642" s="467">
        <f t="shared" si="497"/>
        <v>0</v>
      </c>
      <c r="AU642" s="99">
        <f t="shared" si="497"/>
        <v>0</v>
      </c>
      <c r="AV642" s="99">
        <f t="shared" si="498"/>
        <v>0</v>
      </c>
      <c r="AW642" s="99">
        <f t="shared" si="498"/>
        <v>0</v>
      </c>
      <c r="AX642" s="99">
        <f t="shared" si="498"/>
        <v>0</v>
      </c>
      <c r="AY642" s="467">
        <f t="shared" si="499"/>
        <v>0</v>
      </c>
      <c r="AZ642" s="99">
        <f t="shared" si="499"/>
        <v>0</v>
      </c>
      <c r="BA642" s="99">
        <f t="shared" si="500"/>
        <v>0</v>
      </c>
      <c r="BB642" s="99">
        <f t="shared" si="500"/>
        <v>0</v>
      </c>
      <c r="BC642" s="99">
        <f t="shared" si="500"/>
        <v>0</v>
      </c>
      <c r="BD642" s="467">
        <f t="shared" si="501"/>
        <v>0</v>
      </c>
      <c r="BE642" s="99">
        <f t="shared" si="501"/>
        <v>0</v>
      </c>
      <c r="BF642" s="99">
        <f t="shared" si="502"/>
        <v>0</v>
      </c>
      <c r="BG642" s="99">
        <f t="shared" si="502"/>
        <v>0</v>
      </c>
      <c r="BH642" s="99">
        <f t="shared" si="502"/>
        <v>0</v>
      </c>
      <c r="BI642" s="467">
        <f t="shared" si="503"/>
        <v>0</v>
      </c>
      <c r="BJ642" s="99">
        <f t="shared" si="503"/>
        <v>0</v>
      </c>
      <c r="BK642" s="99">
        <f t="shared" si="504"/>
        <v>0</v>
      </c>
      <c r="BL642" s="99">
        <f t="shared" si="504"/>
        <v>0</v>
      </c>
      <c r="BM642" s="99">
        <f t="shared" si="504"/>
        <v>0</v>
      </c>
      <c r="BN642" s="467">
        <f t="shared" si="505"/>
        <v>0</v>
      </c>
      <c r="BO642" s="99">
        <f t="shared" si="505"/>
        <v>0</v>
      </c>
      <c r="BP642" s="99">
        <f t="shared" si="506"/>
        <v>0</v>
      </c>
      <c r="BQ642" s="99">
        <f t="shared" si="506"/>
        <v>0</v>
      </c>
      <c r="BR642" s="99">
        <f t="shared" si="506"/>
        <v>0</v>
      </c>
      <c r="BS642" s="468">
        <f t="shared" si="507"/>
        <v>0</v>
      </c>
      <c r="BT642" s="63"/>
      <c r="BU642" s="63"/>
      <c r="BV642" s="63"/>
      <c r="BW642" s="63"/>
      <c r="BX642" s="413">
        <f t="shared" si="508"/>
        <v>0</v>
      </c>
      <c r="BY642" s="63"/>
      <c r="BZ642" s="63"/>
      <c r="CA642" s="63"/>
      <c r="CB642" s="63"/>
      <c r="CC642" s="413">
        <f t="shared" si="509"/>
        <v>0</v>
      </c>
      <c r="CD642" s="413"/>
      <c r="CE642" s="413"/>
      <c r="CF642" s="413"/>
      <c r="CG642" s="99"/>
    </row>
    <row r="643" spans="1:85" ht="14.45" customHeight="1" x14ac:dyDescent="0.25">
      <c r="A643" s="125" t="str">
        <f t="shared" si="480"/>
        <v>Proceeds from Legacy Facilities Credit</v>
      </c>
      <c r="B643" s="180"/>
      <c r="C643" s="467">
        <f t="shared" ref="C643:G656" si="514">C557</f>
        <v>0</v>
      </c>
      <c r="D643" s="467">
        <f t="shared" si="514"/>
        <v>0</v>
      </c>
      <c r="E643" s="467">
        <f t="shared" si="514"/>
        <v>0</v>
      </c>
      <c r="F643" s="467">
        <f t="shared" si="514"/>
        <v>0</v>
      </c>
      <c r="G643" s="99">
        <f t="shared" si="514"/>
        <v>0</v>
      </c>
      <c r="H643" s="99">
        <f t="shared" ref="H643:J656" si="515">H557-G557</f>
        <v>0</v>
      </c>
      <c r="I643" s="99">
        <f t="shared" si="515"/>
        <v>0</v>
      </c>
      <c r="J643" s="99">
        <f t="shared" si="515"/>
        <v>0</v>
      </c>
      <c r="K643" s="467">
        <f t="shared" ref="K643:L656" si="516">K557</f>
        <v>0</v>
      </c>
      <c r="L643" s="99">
        <f t="shared" si="516"/>
        <v>0</v>
      </c>
      <c r="M643" s="99">
        <f t="shared" ref="M643:O656" si="517">M557-L557</f>
        <v>0</v>
      </c>
      <c r="N643" s="99">
        <f t="shared" si="517"/>
        <v>0</v>
      </c>
      <c r="O643" s="99">
        <f t="shared" si="517"/>
        <v>0</v>
      </c>
      <c r="P643" s="467">
        <f t="shared" ref="P643:Q656" si="518">P557</f>
        <v>0</v>
      </c>
      <c r="Q643" s="99">
        <f t="shared" si="518"/>
        <v>0</v>
      </c>
      <c r="R643" s="99">
        <f t="shared" ref="R643:T656" si="519">R557-Q557</f>
        <v>0</v>
      </c>
      <c r="S643" s="99">
        <f t="shared" si="519"/>
        <v>0</v>
      </c>
      <c r="T643" s="99">
        <f t="shared" si="519"/>
        <v>0</v>
      </c>
      <c r="U643" s="467">
        <f t="shared" ref="U643:V656" si="520">U557</f>
        <v>0</v>
      </c>
      <c r="V643" s="99">
        <f t="shared" si="520"/>
        <v>0</v>
      </c>
      <c r="W643" s="99">
        <f t="shared" ref="W643:Y656" si="521">W557-V557</f>
        <v>0</v>
      </c>
      <c r="X643" s="99">
        <f t="shared" si="521"/>
        <v>0</v>
      </c>
      <c r="Y643" s="99">
        <f t="shared" si="521"/>
        <v>0</v>
      </c>
      <c r="Z643" s="467">
        <f t="shared" ref="Z643:Z656" si="522">Z557</f>
        <v>0</v>
      </c>
      <c r="AA643" s="99">
        <f t="shared" si="513"/>
        <v>0</v>
      </c>
      <c r="AB643" s="99">
        <f t="shared" si="490"/>
        <v>0</v>
      </c>
      <c r="AC643" s="99">
        <f t="shared" si="490"/>
        <v>0</v>
      </c>
      <c r="AD643" s="99">
        <f t="shared" si="490"/>
        <v>30.646999999999998</v>
      </c>
      <c r="AE643" s="467">
        <f t="shared" si="491"/>
        <v>30.646999999999998</v>
      </c>
      <c r="AF643" s="99">
        <f t="shared" si="491"/>
        <v>0</v>
      </c>
      <c r="AG643" s="99">
        <f t="shared" si="492"/>
        <v>0</v>
      </c>
      <c r="AH643" s="99">
        <f t="shared" si="492"/>
        <v>0</v>
      </c>
      <c r="AI643" s="99">
        <f t="shared" si="492"/>
        <v>1.32</v>
      </c>
      <c r="AJ643" s="467">
        <f t="shared" si="493"/>
        <v>1.32</v>
      </c>
      <c r="AK643" s="99">
        <f t="shared" si="493"/>
        <v>0</v>
      </c>
      <c r="AL643" s="99">
        <f t="shared" si="494"/>
        <v>0</v>
      </c>
      <c r="AM643" s="99">
        <f t="shared" si="494"/>
        <v>0</v>
      </c>
      <c r="AN643" s="99">
        <f t="shared" si="494"/>
        <v>0</v>
      </c>
      <c r="AO643" s="467">
        <f t="shared" si="495"/>
        <v>0</v>
      </c>
      <c r="AP643" s="99">
        <f t="shared" si="495"/>
        <v>0</v>
      </c>
      <c r="AQ643" s="99">
        <f t="shared" si="496"/>
        <v>0</v>
      </c>
      <c r="AR643" s="99">
        <f t="shared" si="496"/>
        <v>0</v>
      </c>
      <c r="AS643" s="99">
        <f t="shared" si="496"/>
        <v>0</v>
      </c>
      <c r="AT643" s="467">
        <f t="shared" si="497"/>
        <v>0</v>
      </c>
      <c r="AU643" s="99">
        <f t="shared" si="497"/>
        <v>0</v>
      </c>
      <c r="AV643" s="99">
        <f t="shared" si="498"/>
        <v>0</v>
      </c>
      <c r="AW643" s="99">
        <f t="shared" si="498"/>
        <v>0</v>
      </c>
      <c r="AX643" s="99">
        <f t="shared" si="498"/>
        <v>0</v>
      </c>
      <c r="AY643" s="467">
        <f t="shared" si="499"/>
        <v>0</v>
      </c>
      <c r="AZ643" s="99">
        <f t="shared" si="499"/>
        <v>0</v>
      </c>
      <c r="BA643" s="99">
        <f t="shared" si="500"/>
        <v>0</v>
      </c>
      <c r="BB643" s="99">
        <f t="shared" si="500"/>
        <v>0</v>
      </c>
      <c r="BC643" s="99">
        <f t="shared" si="500"/>
        <v>0</v>
      </c>
      <c r="BD643" s="467">
        <f t="shared" si="501"/>
        <v>0</v>
      </c>
      <c r="BE643" s="99">
        <f t="shared" si="501"/>
        <v>0</v>
      </c>
      <c r="BF643" s="99">
        <f t="shared" si="502"/>
        <v>0</v>
      </c>
      <c r="BG643" s="99">
        <f t="shared" si="502"/>
        <v>0</v>
      </c>
      <c r="BH643" s="99">
        <f t="shared" si="502"/>
        <v>0</v>
      </c>
      <c r="BI643" s="467">
        <f t="shared" si="503"/>
        <v>0</v>
      </c>
      <c r="BJ643" s="99">
        <f t="shared" si="503"/>
        <v>0</v>
      </c>
      <c r="BK643" s="99">
        <f t="shared" si="504"/>
        <v>0</v>
      </c>
      <c r="BL643" s="99">
        <f t="shared" si="504"/>
        <v>0</v>
      </c>
      <c r="BM643" s="99">
        <f t="shared" si="504"/>
        <v>0</v>
      </c>
      <c r="BN643" s="467">
        <f t="shared" si="505"/>
        <v>0</v>
      </c>
      <c r="BO643" s="99">
        <f t="shared" si="505"/>
        <v>0</v>
      </c>
      <c r="BP643" s="99">
        <f t="shared" si="506"/>
        <v>0</v>
      </c>
      <c r="BQ643" s="99">
        <f t="shared" si="506"/>
        <v>0</v>
      </c>
      <c r="BR643" s="99">
        <f t="shared" si="506"/>
        <v>0</v>
      </c>
      <c r="BS643" s="468">
        <f t="shared" si="507"/>
        <v>0</v>
      </c>
      <c r="BT643" s="63"/>
      <c r="BU643" s="63"/>
      <c r="BV643" s="63"/>
      <c r="BW643" s="63"/>
      <c r="BX643" s="413">
        <f t="shared" si="508"/>
        <v>0</v>
      </c>
      <c r="BY643" s="63"/>
      <c r="BZ643" s="63"/>
      <c r="CA643" s="63"/>
      <c r="CB643" s="63"/>
      <c r="CC643" s="413">
        <f t="shared" si="509"/>
        <v>0</v>
      </c>
      <c r="CD643" s="413"/>
      <c r="CE643" s="413"/>
      <c r="CF643" s="413"/>
      <c r="CG643" s="99"/>
    </row>
    <row r="644" spans="1:85" ht="14.45" customHeight="1" x14ac:dyDescent="0.25">
      <c r="A644" s="125" t="str">
        <f t="shared" si="480"/>
        <v>Impairment of property, plant and equipment</v>
      </c>
      <c r="B644" s="180"/>
      <c r="C644" s="467">
        <f t="shared" si="514"/>
        <v>0.35299999999999998</v>
      </c>
      <c r="D644" s="467">
        <f t="shared" si="514"/>
        <v>3.665</v>
      </c>
      <c r="E644" s="467">
        <f t="shared" si="514"/>
        <v>0</v>
      </c>
      <c r="F644" s="467">
        <f t="shared" si="514"/>
        <v>0.27500000000000002</v>
      </c>
      <c r="G644" s="99">
        <f t="shared" si="514"/>
        <v>0</v>
      </c>
      <c r="H644" s="99">
        <f t="shared" si="515"/>
        <v>0</v>
      </c>
      <c r="I644" s="99">
        <f t="shared" si="515"/>
        <v>0</v>
      </c>
      <c r="J644" s="99">
        <f t="shared" si="515"/>
        <v>0</v>
      </c>
      <c r="K644" s="467">
        <f t="shared" si="516"/>
        <v>0</v>
      </c>
      <c r="L644" s="99">
        <f t="shared" si="516"/>
        <v>0</v>
      </c>
      <c r="M644" s="99">
        <f t="shared" si="517"/>
        <v>0</v>
      </c>
      <c r="N644" s="99">
        <f t="shared" si="517"/>
        <v>0</v>
      </c>
      <c r="O644" s="99">
        <f t="shared" si="517"/>
        <v>0</v>
      </c>
      <c r="P644" s="467">
        <f t="shared" si="518"/>
        <v>0</v>
      </c>
      <c r="Q644" s="99">
        <f t="shared" si="518"/>
        <v>0.14799999999999999</v>
      </c>
      <c r="R644" s="99">
        <f t="shared" si="519"/>
        <v>0</v>
      </c>
      <c r="S644" s="99">
        <f t="shared" si="519"/>
        <v>0</v>
      </c>
      <c r="T644" s="99">
        <f t="shared" si="519"/>
        <v>0</v>
      </c>
      <c r="U644" s="467">
        <f t="shared" si="520"/>
        <v>0.14799999999999999</v>
      </c>
      <c r="V644" s="99">
        <f t="shared" si="520"/>
        <v>0</v>
      </c>
      <c r="W644" s="99">
        <f t="shared" si="521"/>
        <v>0.38200000000000001</v>
      </c>
      <c r="X644" s="99">
        <f t="shared" si="521"/>
        <v>0</v>
      </c>
      <c r="Y644" s="99">
        <f t="shared" si="521"/>
        <v>0</v>
      </c>
      <c r="Z644" s="467">
        <f t="shared" si="522"/>
        <v>0.38200000000000001</v>
      </c>
      <c r="AA644" s="99">
        <f t="shared" si="513"/>
        <v>0</v>
      </c>
      <c r="AB644" s="99">
        <f t="shared" si="490"/>
        <v>0</v>
      </c>
      <c r="AC644" s="99">
        <f t="shared" si="490"/>
        <v>0</v>
      </c>
      <c r="AD644" s="99">
        <f t="shared" si="490"/>
        <v>0</v>
      </c>
      <c r="AE644" s="467">
        <f t="shared" si="491"/>
        <v>0</v>
      </c>
      <c r="AF644" s="99">
        <f t="shared" si="491"/>
        <v>0</v>
      </c>
      <c r="AG644" s="99">
        <f t="shared" si="492"/>
        <v>0</v>
      </c>
      <c r="AH644" s="99">
        <f t="shared" si="492"/>
        <v>0.29899999999999999</v>
      </c>
      <c r="AI644" s="99">
        <f t="shared" si="492"/>
        <v>0.15400000000000003</v>
      </c>
      <c r="AJ644" s="467">
        <f t="shared" si="493"/>
        <v>0.45300000000000001</v>
      </c>
      <c r="AK644" s="99">
        <f t="shared" si="493"/>
        <v>0</v>
      </c>
      <c r="AL644" s="99">
        <f t="shared" si="494"/>
        <v>1.155</v>
      </c>
      <c r="AM644" s="99">
        <f t="shared" si="494"/>
        <v>2.9889999999999999</v>
      </c>
      <c r="AN644" s="99">
        <f t="shared" si="494"/>
        <v>4.6539999999999999</v>
      </c>
      <c r="AO644" s="467">
        <f t="shared" si="495"/>
        <v>8.798</v>
      </c>
      <c r="AP644" s="99">
        <f t="shared" si="495"/>
        <v>0</v>
      </c>
      <c r="AQ644" s="99">
        <f t="shared" si="496"/>
        <v>1.35</v>
      </c>
      <c r="AR644" s="99">
        <f t="shared" si="496"/>
        <v>6.5579999999999998</v>
      </c>
      <c r="AS644" s="99">
        <f t="shared" si="496"/>
        <v>0.121999999999999</v>
      </c>
      <c r="AT644" s="467">
        <f t="shared" si="497"/>
        <v>8.0299999999999994</v>
      </c>
      <c r="AU644" s="99">
        <f t="shared" si="497"/>
        <v>0.5</v>
      </c>
      <c r="AV644" s="99">
        <f t="shared" si="498"/>
        <v>2.7</v>
      </c>
      <c r="AW644" s="99">
        <f t="shared" si="498"/>
        <v>0</v>
      </c>
      <c r="AX644" s="99">
        <f t="shared" si="498"/>
        <v>0</v>
      </c>
      <c r="AY644" s="467">
        <f t="shared" si="499"/>
        <v>3.2</v>
      </c>
      <c r="AZ644" s="99">
        <f t="shared" si="499"/>
        <v>0</v>
      </c>
      <c r="BA644" s="99">
        <f t="shared" si="500"/>
        <v>0</v>
      </c>
      <c r="BB644" s="99">
        <f t="shared" si="500"/>
        <v>0</v>
      </c>
      <c r="BC644" s="99">
        <f t="shared" si="500"/>
        <v>0</v>
      </c>
      <c r="BD644" s="467">
        <f t="shared" si="501"/>
        <v>0</v>
      </c>
      <c r="BE644" s="99">
        <f t="shared" si="501"/>
        <v>0</v>
      </c>
      <c r="BF644" s="99">
        <f t="shared" si="502"/>
        <v>0</v>
      </c>
      <c r="BG644" s="99">
        <f t="shared" si="502"/>
        <v>0</v>
      </c>
      <c r="BH644" s="99">
        <f t="shared" si="502"/>
        <v>0</v>
      </c>
      <c r="BI644" s="467">
        <f t="shared" si="503"/>
        <v>0</v>
      </c>
      <c r="BJ644" s="99">
        <f t="shared" si="503"/>
        <v>0</v>
      </c>
      <c r="BK644" s="99">
        <f t="shared" si="504"/>
        <v>0</v>
      </c>
      <c r="BL644" s="99">
        <f t="shared" si="504"/>
        <v>0</v>
      </c>
      <c r="BM644" s="99">
        <f t="shared" si="504"/>
        <v>0</v>
      </c>
      <c r="BN644" s="467">
        <f t="shared" si="505"/>
        <v>0</v>
      </c>
      <c r="BO644" s="99">
        <f t="shared" si="505"/>
        <v>0</v>
      </c>
      <c r="BP644" s="99">
        <f t="shared" si="506"/>
        <v>0</v>
      </c>
      <c r="BQ644" s="99">
        <f t="shared" si="506"/>
        <v>0</v>
      </c>
      <c r="BR644" s="99">
        <f t="shared" si="506"/>
        <v>0</v>
      </c>
      <c r="BS644" s="468">
        <f t="shared" si="507"/>
        <v>0</v>
      </c>
      <c r="BT644" s="63"/>
      <c r="BU644" s="63"/>
      <c r="BV644" s="63"/>
      <c r="BW644" s="63"/>
      <c r="BX644" s="413">
        <f t="shared" si="508"/>
        <v>0</v>
      </c>
      <c r="BY644" s="63"/>
      <c r="BZ644" s="63"/>
      <c r="CA644" s="63"/>
      <c r="CB644" s="63"/>
      <c r="CC644" s="413">
        <f t="shared" si="509"/>
        <v>0</v>
      </c>
      <c r="CD644" s="413"/>
      <c r="CE644" s="413"/>
      <c r="CF644" s="413"/>
      <c r="CG644" s="99"/>
    </row>
    <row r="645" spans="1:85" ht="14.45" customHeight="1" x14ac:dyDescent="0.25">
      <c r="A645" s="125" t="str">
        <f t="shared" si="480"/>
        <v>Gain on exchange of franchise territory</v>
      </c>
      <c r="B645" s="180"/>
      <c r="C645" s="467">
        <f t="shared" si="514"/>
        <v>0</v>
      </c>
      <c r="D645" s="467">
        <f t="shared" si="514"/>
        <v>-0.89200000000000002</v>
      </c>
      <c r="E645" s="467">
        <f t="shared" si="514"/>
        <v>0</v>
      </c>
      <c r="F645" s="467">
        <f t="shared" si="514"/>
        <v>0</v>
      </c>
      <c r="G645" s="99">
        <f t="shared" si="514"/>
        <v>0</v>
      </c>
      <c r="H645" s="99">
        <f t="shared" si="515"/>
        <v>0</v>
      </c>
      <c r="I645" s="99">
        <f t="shared" si="515"/>
        <v>0</v>
      </c>
      <c r="J645" s="99">
        <f t="shared" si="515"/>
        <v>0</v>
      </c>
      <c r="K645" s="467">
        <f t="shared" si="516"/>
        <v>0</v>
      </c>
      <c r="L645" s="99">
        <f t="shared" si="516"/>
        <v>0</v>
      </c>
      <c r="M645" s="99">
        <f t="shared" si="517"/>
        <v>0</v>
      </c>
      <c r="N645" s="99">
        <f t="shared" si="517"/>
        <v>0</v>
      </c>
      <c r="O645" s="99">
        <f t="shared" si="517"/>
        <v>0</v>
      </c>
      <c r="P645" s="467">
        <f t="shared" si="518"/>
        <v>0</v>
      </c>
      <c r="Q645" s="99">
        <f t="shared" si="518"/>
        <v>0</v>
      </c>
      <c r="R645" s="99">
        <f t="shared" si="519"/>
        <v>-8.8070000000000004</v>
      </c>
      <c r="S645" s="99">
        <f t="shared" si="519"/>
        <v>0</v>
      </c>
      <c r="T645" s="99">
        <f t="shared" si="519"/>
        <v>0</v>
      </c>
      <c r="U645" s="467">
        <f t="shared" si="520"/>
        <v>-8.8070000000000004</v>
      </c>
      <c r="V645" s="99">
        <f t="shared" si="520"/>
        <v>0</v>
      </c>
      <c r="W645" s="99">
        <f t="shared" si="521"/>
        <v>0.69199999999999995</v>
      </c>
      <c r="X645" s="99">
        <f t="shared" si="521"/>
        <v>0</v>
      </c>
      <c r="Y645" s="99">
        <f t="shared" si="521"/>
        <v>0</v>
      </c>
      <c r="Z645" s="467">
        <f t="shared" si="522"/>
        <v>0.69199999999999995</v>
      </c>
      <c r="AA645" s="99">
        <f t="shared" si="513"/>
        <v>0</v>
      </c>
      <c r="AB645" s="99">
        <f t="shared" si="490"/>
        <v>0</v>
      </c>
      <c r="AC645" s="99">
        <f t="shared" si="490"/>
        <v>0</v>
      </c>
      <c r="AD645" s="99">
        <f t="shared" si="490"/>
        <v>-12.893000000000001</v>
      </c>
      <c r="AE645" s="467">
        <f t="shared" si="491"/>
        <v>-12.893000000000001</v>
      </c>
      <c r="AF645" s="99">
        <f t="shared" si="491"/>
        <v>0</v>
      </c>
      <c r="AG645" s="99">
        <f t="shared" si="492"/>
        <v>0</v>
      </c>
      <c r="AH645" s="99">
        <f t="shared" si="492"/>
        <v>-10.17</v>
      </c>
      <c r="AI645" s="99">
        <f t="shared" si="492"/>
        <v>0</v>
      </c>
      <c r="AJ645" s="467">
        <f t="shared" si="493"/>
        <v>-10.17</v>
      </c>
      <c r="AK645" s="99">
        <f t="shared" si="493"/>
        <v>0</v>
      </c>
      <c r="AL645" s="99">
        <f t="shared" si="494"/>
        <v>0</v>
      </c>
      <c r="AM645" s="99">
        <f t="shared" si="494"/>
        <v>0</v>
      </c>
      <c r="AN645" s="99">
        <f t="shared" si="494"/>
        <v>0</v>
      </c>
      <c r="AO645" s="467">
        <f t="shared" si="495"/>
        <v>0</v>
      </c>
      <c r="AP645" s="99">
        <f t="shared" si="495"/>
        <v>0</v>
      </c>
      <c r="AQ645" s="99">
        <f t="shared" si="496"/>
        <v>0</v>
      </c>
      <c r="AR645" s="99">
        <f t="shared" si="496"/>
        <v>0</v>
      </c>
      <c r="AS645" s="99">
        <f t="shared" si="496"/>
        <v>0</v>
      </c>
      <c r="AT645" s="467">
        <f t="shared" si="497"/>
        <v>0</v>
      </c>
      <c r="AU645" s="99">
        <f t="shared" si="497"/>
        <v>0</v>
      </c>
      <c r="AV645" s="99">
        <f t="shared" si="498"/>
        <v>0</v>
      </c>
      <c r="AW645" s="99">
        <f t="shared" si="498"/>
        <v>0</v>
      </c>
      <c r="AX645" s="99">
        <f t="shared" si="498"/>
        <v>0</v>
      </c>
      <c r="AY645" s="467">
        <f t="shared" si="499"/>
        <v>0</v>
      </c>
      <c r="AZ645" s="99">
        <f t="shared" si="499"/>
        <v>0</v>
      </c>
      <c r="BA645" s="99">
        <f t="shared" si="500"/>
        <v>0</v>
      </c>
      <c r="BB645" s="99">
        <f t="shared" si="500"/>
        <v>0</v>
      </c>
      <c r="BC645" s="99">
        <f t="shared" si="500"/>
        <v>0</v>
      </c>
      <c r="BD645" s="467">
        <f t="shared" si="501"/>
        <v>0</v>
      </c>
      <c r="BE645" s="99">
        <f t="shared" si="501"/>
        <v>0</v>
      </c>
      <c r="BF645" s="99">
        <f t="shared" si="502"/>
        <v>0</v>
      </c>
      <c r="BG645" s="99">
        <f t="shared" si="502"/>
        <v>0</v>
      </c>
      <c r="BH645" s="99">
        <f t="shared" si="502"/>
        <v>0</v>
      </c>
      <c r="BI645" s="467">
        <f t="shared" si="503"/>
        <v>0</v>
      </c>
      <c r="BJ645" s="99">
        <f t="shared" si="503"/>
        <v>0</v>
      </c>
      <c r="BK645" s="99">
        <f t="shared" si="504"/>
        <v>0</v>
      </c>
      <c r="BL645" s="99">
        <f t="shared" si="504"/>
        <v>0</v>
      </c>
      <c r="BM645" s="99">
        <f t="shared" si="504"/>
        <v>0</v>
      </c>
      <c r="BN645" s="467">
        <f t="shared" si="505"/>
        <v>0</v>
      </c>
      <c r="BO645" s="99">
        <f t="shared" si="505"/>
        <v>0</v>
      </c>
      <c r="BP645" s="99">
        <f t="shared" si="506"/>
        <v>0</v>
      </c>
      <c r="BQ645" s="99">
        <f t="shared" si="506"/>
        <v>0</v>
      </c>
      <c r="BR645" s="99">
        <f t="shared" si="506"/>
        <v>0</v>
      </c>
      <c r="BS645" s="468">
        <f t="shared" si="507"/>
        <v>0</v>
      </c>
      <c r="BT645" s="63"/>
      <c r="BU645" s="63"/>
      <c r="BV645" s="63"/>
      <c r="BW645" s="63"/>
      <c r="BX645" s="413">
        <f t="shared" si="508"/>
        <v>0</v>
      </c>
      <c r="BY645" s="63"/>
      <c r="BZ645" s="63"/>
      <c r="CA645" s="63"/>
      <c r="CB645" s="63"/>
      <c r="CC645" s="413">
        <f t="shared" si="509"/>
        <v>0</v>
      </c>
      <c r="CD645" s="413"/>
      <c r="CE645" s="413"/>
      <c r="CF645" s="413"/>
      <c r="CG645" s="99"/>
    </row>
    <row r="646" spans="1:85" ht="14.45" customHeight="1" x14ac:dyDescent="0.25">
      <c r="A646" s="125" t="str">
        <f t="shared" si="480"/>
        <v>Gain on sale of business</v>
      </c>
      <c r="B646" s="180"/>
      <c r="C646" s="467">
        <f t="shared" si="514"/>
        <v>0</v>
      </c>
      <c r="D646" s="467">
        <f t="shared" si="514"/>
        <v>0</v>
      </c>
      <c r="E646" s="467">
        <f t="shared" si="514"/>
        <v>0</v>
      </c>
      <c r="F646" s="467">
        <f t="shared" si="514"/>
        <v>0</v>
      </c>
      <c r="G646" s="99">
        <f t="shared" si="514"/>
        <v>0</v>
      </c>
      <c r="H646" s="99">
        <f t="shared" si="515"/>
        <v>0</v>
      </c>
      <c r="I646" s="99">
        <f t="shared" si="515"/>
        <v>0</v>
      </c>
      <c r="J646" s="99">
        <f t="shared" si="515"/>
        <v>0</v>
      </c>
      <c r="K646" s="467">
        <f t="shared" si="516"/>
        <v>0</v>
      </c>
      <c r="L646" s="99">
        <f t="shared" si="516"/>
        <v>0</v>
      </c>
      <c r="M646" s="99">
        <f t="shared" si="517"/>
        <v>0</v>
      </c>
      <c r="N646" s="99">
        <f t="shared" si="517"/>
        <v>0</v>
      </c>
      <c r="O646" s="99">
        <f t="shared" si="517"/>
        <v>0</v>
      </c>
      <c r="P646" s="467">
        <f t="shared" si="518"/>
        <v>0</v>
      </c>
      <c r="Q646" s="99">
        <f t="shared" si="518"/>
        <v>0</v>
      </c>
      <c r="R646" s="99">
        <f t="shared" si="519"/>
        <v>0</v>
      </c>
      <c r="S646" s="99">
        <f t="shared" si="519"/>
        <v>-22.651</v>
      </c>
      <c r="T646" s="99">
        <f t="shared" si="519"/>
        <v>0</v>
      </c>
      <c r="U646" s="467">
        <f t="shared" si="520"/>
        <v>-22.651</v>
      </c>
      <c r="V646" s="99">
        <f t="shared" si="520"/>
        <v>0</v>
      </c>
      <c r="W646" s="99">
        <f t="shared" si="521"/>
        <v>0</v>
      </c>
      <c r="X646" s="99">
        <f t="shared" si="521"/>
        <v>0</v>
      </c>
      <c r="Y646" s="99">
        <f t="shared" si="521"/>
        <v>0</v>
      </c>
      <c r="Z646" s="467">
        <f t="shared" si="522"/>
        <v>0</v>
      </c>
      <c r="AA646" s="99">
        <f t="shared" si="513"/>
        <v>0</v>
      </c>
      <c r="AB646" s="99">
        <f t="shared" si="490"/>
        <v>0</v>
      </c>
      <c r="AC646" s="99">
        <f t="shared" si="490"/>
        <v>0</v>
      </c>
      <c r="AD646" s="99">
        <f t="shared" si="490"/>
        <v>0</v>
      </c>
      <c r="AE646" s="467">
        <f t="shared" si="491"/>
        <v>0</v>
      </c>
      <c r="AF646" s="99">
        <f t="shared" si="491"/>
        <v>0</v>
      </c>
      <c r="AG646" s="99">
        <f t="shared" si="492"/>
        <v>0</v>
      </c>
      <c r="AH646" s="99">
        <f t="shared" si="492"/>
        <v>0</v>
      </c>
      <c r="AI646" s="99">
        <f t="shared" si="492"/>
        <v>0</v>
      </c>
      <c r="AJ646" s="467">
        <f t="shared" si="493"/>
        <v>0</v>
      </c>
      <c r="AK646" s="99">
        <f t="shared" si="493"/>
        <v>0</v>
      </c>
      <c r="AL646" s="99">
        <f t="shared" si="494"/>
        <v>0</v>
      </c>
      <c r="AM646" s="99">
        <f t="shared" si="494"/>
        <v>0</v>
      </c>
      <c r="AN646" s="99">
        <f t="shared" si="494"/>
        <v>0</v>
      </c>
      <c r="AO646" s="467">
        <f t="shared" si="495"/>
        <v>0</v>
      </c>
      <c r="AP646" s="99">
        <f t="shared" si="495"/>
        <v>0</v>
      </c>
      <c r="AQ646" s="99">
        <f t="shared" si="496"/>
        <v>0</v>
      </c>
      <c r="AR646" s="99">
        <f t="shared" si="496"/>
        <v>0</v>
      </c>
      <c r="AS646" s="99">
        <f t="shared" si="496"/>
        <v>0</v>
      </c>
      <c r="AT646" s="467">
        <f t="shared" si="497"/>
        <v>0</v>
      </c>
      <c r="AU646" s="99">
        <f t="shared" si="497"/>
        <v>0</v>
      </c>
      <c r="AV646" s="99">
        <f t="shared" si="498"/>
        <v>0</v>
      </c>
      <c r="AW646" s="99">
        <f t="shared" si="498"/>
        <v>0</v>
      </c>
      <c r="AX646" s="99">
        <f t="shared" si="498"/>
        <v>0</v>
      </c>
      <c r="AY646" s="467">
        <f t="shared" si="499"/>
        <v>0</v>
      </c>
      <c r="AZ646" s="99">
        <f t="shared" si="499"/>
        <v>0</v>
      </c>
      <c r="BA646" s="99">
        <f t="shared" si="500"/>
        <v>0</v>
      </c>
      <c r="BB646" s="99">
        <f t="shared" si="500"/>
        <v>0</v>
      </c>
      <c r="BC646" s="99">
        <f t="shared" si="500"/>
        <v>0</v>
      </c>
      <c r="BD646" s="467">
        <f t="shared" si="501"/>
        <v>0</v>
      </c>
      <c r="BE646" s="99">
        <f t="shared" si="501"/>
        <v>0</v>
      </c>
      <c r="BF646" s="99">
        <f t="shared" si="502"/>
        <v>0</v>
      </c>
      <c r="BG646" s="99">
        <f t="shared" si="502"/>
        <v>0</v>
      </c>
      <c r="BH646" s="99">
        <f t="shared" si="502"/>
        <v>0</v>
      </c>
      <c r="BI646" s="467">
        <f t="shared" si="503"/>
        <v>0</v>
      </c>
      <c r="BJ646" s="99">
        <f t="shared" si="503"/>
        <v>0</v>
      </c>
      <c r="BK646" s="99">
        <f t="shared" si="504"/>
        <v>0</v>
      </c>
      <c r="BL646" s="99">
        <f t="shared" si="504"/>
        <v>0</v>
      </c>
      <c r="BM646" s="99">
        <f t="shared" si="504"/>
        <v>0</v>
      </c>
      <c r="BN646" s="467">
        <f t="shared" si="505"/>
        <v>0</v>
      </c>
      <c r="BO646" s="99">
        <f t="shared" si="505"/>
        <v>0</v>
      </c>
      <c r="BP646" s="99">
        <f t="shared" si="506"/>
        <v>0</v>
      </c>
      <c r="BQ646" s="99">
        <f t="shared" si="506"/>
        <v>0</v>
      </c>
      <c r="BR646" s="99">
        <f t="shared" si="506"/>
        <v>0</v>
      </c>
      <c r="BS646" s="468">
        <f t="shared" si="507"/>
        <v>0</v>
      </c>
      <c r="BT646" s="63"/>
      <c r="BU646" s="63"/>
      <c r="BV646" s="63"/>
      <c r="BW646" s="63"/>
      <c r="BX646" s="413">
        <f t="shared" si="508"/>
        <v>0</v>
      </c>
      <c r="BY646" s="63"/>
      <c r="BZ646" s="63"/>
      <c r="CA646" s="63"/>
      <c r="CB646" s="63"/>
      <c r="CC646" s="413">
        <f t="shared" si="509"/>
        <v>0</v>
      </c>
      <c r="CD646" s="413"/>
      <c r="CE646" s="413"/>
      <c r="CF646" s="413"/>
      <c r="CG646" s="99"/>
    </row>
    <row r="647" spans="1:85" ht="14.45" customHeight="1" x14ac:dyDescent="0.25">
      <c r="A647" s="125" t="str">
        <f t="shared" si="480"/>
        <v>Bargain purchase gain</v>
      </c>
      <c r="B647" s="180"/>
      <c r="C647" s="467">
        <f t="shared" si="514"/>
        <v>0</v>
      </c>
      <c r="D647" s="467">
        <f t="shared" si="514"/>
        <v>0</v>
      </c>
      <c r="E647" s="467">
        <f t="shared" si="514"/>
        <v>0</v>
      </c>
      <c r="F647" s="467">
        <f t="shared" si="514"/>
        <v>0</v>
      </c>
      <c r="G647" s="99">
        <f t="shared" si="514"/>
        <v>0</v>
      </c>
      <c r="H647" s="99">
        <f t="shared" si="515"/>
        <v>0</v>
      </c>
      <c r="I647" s="99">
        <f t="shared" si="515"/>
        <v>0</v>
      </c>
      <c r="J647" s="99">
        <f t="shared" si="515"/>
        <v>0</v>
      </c>
      <c r="K647" s="467">
        <f t="shared" si="516"/>
        <v>0</v>
      </c>
      <c r="L647" s="99">
        <f t="shared" si="516"/>
        <v>0</v>
      </c>
      <c r="M647" s="99">
        <f t="shared" si="517"/>
        <v>0</v>
      </c>
      <c r="N647" s="99">
        <f t="shared" si="517"/>
        <v>0</v>
      </c>
      <c r="O647" s="99">
        <f t="shared" si="517"/>
        <v>0</v>
      </c>
      <c r="P647" s="467">
        <f t="shared" si="518"/>
        <v>0</v>
      </c>
      <c r="Q647" s="99">
        <f t="shared" si="518"/>
        <v>0</v>
      </c>
      <c r="R647" s="99">
        <f t="shared" si="519"/>
        <v>0</v>
      </c>
      <c r="S647" s="99">
        <f t="shared" si="519"/>
        <v>0</v>
      </c>
      <c r="T647" s="99">
        <f t="shared" si="519"/>
        <v>-2.0110000000000001</v>
      </c>
      <c r="U647" s="467">
        <f t="shared" si="520"/>
        <v>-2.0110000000000001</v>
      </c>
      <c r="V647" s="99">
        <f t="shared" si="520"/>
        <v>0</v>
      </c>
      <c r="W647" s="99">
        <f t="shared" si="521"/>
        <v>0</v>
      </c>
      <c r="X647" s="99">
        <f t="shared" si="521"/>
        <v>0</v>
      </c>
      <c r="Y647" s="99">
        <f t="shared" si="521"/>
        <v>0</v>
      </c>
      <c r="Z647" s="467">
        <f t="shared" si="522"/>
        <v>0</v>
      </c>
      <c r="AA647" s="99">
        <f t="shared" si="513"/>
        <v>0</v>
      </c>
      <c r="AB647" s="99">
        <f t="shared" si="490"/>
        <v>0</v>
      </c>
      <c r="AC647" s="99">
        <f t="shared" si="490"/>
        <v>0</v>
      </c>
      <c r="AD647" s="99">
        <f t="shared" si="490"/>
        <v>0</v>
      </c>
      <c r="AE647" s="467">
        <f t="shared" si="491"/>
        <v>0</v>
      </c>
      <c r="AF647" s="99">
        <f t="shared" si="491"/>
        <v>0</v>
      </c>
      <c r="AG647" s="99">
        <f t="shared" si="492"/>
        <v>0</v>
      </c>
      <c r="AH647" s="99">
        <f t="shared" si="492"/>
        <v>0</v>
      </c>
      <c r="AI647" s="99">
        <f t="shared" si="492"/>
        <v>0</v>
      </c>
      <c r="AJ647" s="467">
        <f t="shared" si="493"/>
        <v>0</v>
      </c>
      <c r="AK647" s="99">
        <f t="shared" si="493"/>
        <v>0</v>
      </c>
      <c r="AL647" s="99">
        <f t="shared" si="494"/>
        <v>0</v>
      </c>
      <c r="AM647" s="99">
        <f t="shared" si="494"/>
        <v>0</v>
      </c>
      <c r="AN647" s="99">
        <f t="shared" si="494"/>
        <v>0</v>
      </c>
      <c r="AO647" s="467">
        <f t="shared" si="495"/>
        <v>0</v>
      </c>
      <c r="AP647" s="99">
        <f t="shared" si="495"/>
        <v>0</v>
      </c>
      <c r="AQ647" s="99">
        <f t="shared" si="496"/>
        <v>0</v>
      </c>
      <c r="AR647" s="99">
        <f t="shared" si="496"/>
        <v>0</v>
      </c>
      <c r="AS647" s="99">
        <f t="shared" si="496"/>
        <v>0</v>
      </c>
      <c r="AT647" s="467">
        <f t="shared" si="497"/>
        <v>0</v>
      </c>
      <c r="AU647" s="99">
        <f t="shared" si="497"/>
        <v>0</v>
      </c>
      <c r="AV647" s="99">
        <f t="shared" si="498"/>
        <v>0</v>
      </c>
      <c r="AW647" s="99">
        <f t="shared" si="498"/>
        <v>0</v>
      </c>
      <c r="AX647" s="99">
        <f t="shared" si="498"/>
        <v>0</v>
      </c>
      <c r="AY647" s="467">
        <f t="shared" si="499"/>
        <v>0</v>
      </c>
      <c r="AZ647" s="99">
        <f t="shared" si="499"/>
        <v>0</v>
      </c>
      <c r="BA647" s="99">
        <f t="shared" si="500"/>
        <v>0</v>
      </c>
      <c r="BB647" s="99">
        <f t="shared" si="500"/>
        <v>0</v>
      </c>
      <c r="BC647" s="99">
        <f t="shared" si="500"/>
        <v>0</v>
      </c>
      <c r="BD647" s="467">
        <f t="shared" si="501"/>
        <v>0</v>
      </c>
      <c r="BE647" s="99">
        <f t="shared" si="501"/>
        <v>0</v>
      </c>
      <c r="BF647" s="99">
        <f t="shared" si="502"/>
        <v>0</v>
      </c>
      <c r="BG647" s="99">
        <f t="shared" si="502"/>
        <v>0</v>
      </c>
      <c r="BH647" s="99">
        <f t="shared" si="502"/>
        <v>0</v>
      </c>
      <c r="BI647" s="467">
        <f t="shared" si="503"/>
        <v>0</v>
      </c>
      <c r="BJ647" s="99">
        <f t="shared" si="503"/>
        <v>0</v>
      </c>
      <c r="BK647" s="99">
        <f t="shared" si="504"/>
        <v>0</v>
      </c>
      <c r="BL647" s="99">
        <f t="shared" si="504"/>
        <v>0</v>
      </c>
      <c r="BM647" s="99">
        <f t="shared" si="504"/>
        <v>0</v>
      </c>
      <c r="BN647" s="467">
        <f t="shared" si="505"/>
        <v>0</v>
      </c>
      <c r="BO647" s="99">
        <f t="shared" si="505"/>
        <v>0</v>
      </c>
      <c r="BP647" s="99">
        <f t="shared" si="506"/>
        <v>0</v>
      </c>
      <c r="BQ647" s="99">
        <f t="shared" si="506"/>
        <v>0</v>
      </c>
      <c r="BR647" s="99">
        <f t="shared" si="506"/>
        <v>0</v>
      </c>
      <c r="BS647" s="468">
        <f t="shared" si="507"/>
        <v>0</v>
      </c>
      <c r="BT647" s="63"/>
      <c r="BU647" s="63"/>
      <c r="BV647" s="63"/>
      <c r="BW647" s="63"/>
      <c r="BX647" s="413">
        <f t="shared" si="508"/>
        <v>0</v>
      </c>
      <c r="BY647" s="63"/>
      <c r="BZ647" s="63"/>
      <c r="CA647" s="63"/>
      <c r="CB647" s="63"/>
      <c r="CC647" s="413">
        <f t="shared" si="509"/>
        <v>0</v>
      </c>
      <c r="CD647" s="413"/>
      <c r="CE647" s="413"/>
      <c r="CF647" s="413"/>
      <c r="CG647" s="99"/>
    </row>
    <row r="648" spans="1:85" ht="14.45" customHeight="1" x14ac:dyDescent="0.25">
      <c r="A648" s="125" t="str">
        <f t="shared" si="480"/>
        <v>Amortization of debt costs</v>
      </c>
      <c r="B648" s="180"/>
      <c r="C648" s="467">
        <f t="shared" si="514"/>
        <v>2.3029999999999999</v>
      </c>
      <c r="D648" s="467">
        <f t="shared" si="514"/>
        <v>2.33</v>
      </c>
      <c r="E648" s="467">
        <f t="shared" si="514"/>
        <v>2.33</v>
      </c>
      <c r="F648" s="467">
        <f t="shared" si="514"/>
        <v>2.242</v>
      </c>
      <c r="G648" s="99">
        <f t="shared" si="514"/>
        <v>0.48699999999999999</v>
      </c>
      <c r="H648" s="99">
        <f t="shared" si="515"/>
        <v>0.48399999999999999</v>
      </c>
      <c r="I648" s="99">
        <f t="shared" si="515"/>
        <v>0.4820000000000001</v>
      </c>
      <c r="J648" s="99">
        <f t="shared" si="515"/>
        <v>0.48</v>
      </c>
      <c r="K648" s="467">
        <f t="shared" si="516"/>
        <v>1.9330000000000001</v>
      </c>
      <c r="L648" s="99">
        <f t="shared" si="516"/>
        <v>0.47799999999999998</v>
      </c>
      <c r="M648" s="99">
        <f t="shared" si="517"/>
        <v>0.48</v>
      </c>
      <c r="N648" s="99">
        <f t="shared" si="517"/>
        <v>0.48</v>
      </c>
      <c r="O648" s="99">
        <f t="shared" si="517"/>
        <v>0.5</v>
      </c>
      <c r="P648" s="467">
        <f t="shared" si="518"/>
        <v>1.9379999999999999</v>
      </c>
      <c r="Q648" s="99">
        <f t="shared" si="518"/>
        <v>0.504</v>
      </c>
      <c r="R648" s="99">
        <f t="shared" si="519"/>
        <v>0.49199999999999999</v>
      </c>
      <c r="S648" s="99">
        <f t="shared" si="519"/>
        <v>0.49500000000000011</v>
      </c>
      <c r="T648" s="99">
        <f t="shared" si="519"/>
        <v>0.52</v>
      </c>
      <c r="U648" s="467">
        <f t="shared" si="520"/>
        <v>2.0110000000000001</v>
      </c>
      <c r="V648" s="99">
        <f t="shared" si="520"/>
        <v>0.57499999999999996</v>
      </c>
      <c r="W648" s="99">
        <f t="shared" si="521"/>
        <v>0.59099999999999997</v>
      </c>
      <c r="X648" s="99">
        <f t="shared" si="521"/>
        <v>0.34400000000000008</v>
      </c>
      <c r="Y648" s="99">
        <f t="shared" si="521"/>
        <v>0.34499999999999997</v>
      </c>
      <c r="Z648" s="467">
        <f t="shared" si="522"/>
        <v>1.855</v>
      </c>
      <c r="AA648" s="99">
        <f t="shared" si="513"/>
        <v>0.26800000000000002</v>
      </c>
      <c r="AB648" s="99">
        <f t="shared" si="490"/>
        <v>0.26900000000000002</v>
      </c>
      <c r="AC648" s="99">
        <f t="shared" si="490"/>
        <v>0.26900000000000002</v>
      </c>
      <c r="AD648" s="99">
        <f t="shared" si="490"/>
        <v>0.27600000000000002</v>
      </c>
      <c r="AE648" s="467">
        <f t="shared" si="491"/>
        <v>1.0820000000000001</v>
      </c>
      <c r="AF648" s="99">
        <f t="shared" si="491"/>
        <v>0.27600000000000002</v>
      </c>
      <c r="AG648" s="99">
        <f t="shared" si="492"/>
        <v>0.45399999999999996</v>
      </c>
      <c r="AH648" s="99">
        <f t="shared" si="492"/>
        <v>0.373</v>
      </c>
      <c r="AI648" s="99">
        <f t="shared" si="492"/>
        <v>0.37400000000000011</v>
      </c>
      <c r="AJ648" s="467">
        <f t="shared" si="493"/>
        <v>1.4770000000000001</v>
      </c>
      <c r="AK648" s="99">
        <f t="shared" si="493"/>
        <v>0.38500000000000001</v>
      </c>
      <c r="AL648" s="99">
        <f t="shared" si="494"/>
        <v>0.36699999999999999</v>
      </c>
      <c r="AM648" s="99">
        <f t="shared" si="494"/>
        <v>0.28000000000000003</v>
      </c>
      <c r="AN648" s="99">
        <f t="shared" si="494"/>
        <v>0.28099999999999992</v>
      </c>
      <c r="AO648" s="467">
        <f t="shared" si="495"/>
        <v>1.3129999999999999</v>
      </c>
      <c r="AP648" s="99">
        <f t="shared" si="495"/>
        <v>0.22</v>
      </c>
      <c r="AQ648" s="99">
        <f t="shared" si="496"/>
        <v>0.27400000000000002</v>
      </c>
      <c r="AR648" s="99">
        <f t="shared" si="496"/>
        <v>0.28400000000000003</v>
      </c>
      <c r="AS648" s="99">
        <f t="shared" si="496"/>
        <v>0.27200000000000002</v>
      </c>
      <c r="AT648" s="467">
        <f t="shared" si="497"/>
        <v>1.05</v>
      </c>
      <c r="AU648" s="99">
        <f t="shared" si="497"/>
        <v>0.27700000000000002</v>
      </c>
      <c r="AV648" s="99">
        <f t="shared" si="498"/>
        <v>0.27200000000000002</v>
      </c>
      <c r="AW648" s="99">
        <f t="shared" si="498"/>
        <v>0.24099999999999999</v>
      </c>
      <c r="AX648" s="99">
        <f t="shared" si="498"/>
        <v>0.46599999999999997</v>
      </c>
      <c r="AY648" s="467">
        <f t="shared" si="499"/>
        <v>1.256</v>
      </c>
      <c r="AZ648" s="99">
        <f t="shared" si="499"/>
        <v>0.249</v>
      </c>
      <c r="BA648" s="99">
        <f t="shared" si="500"/>
        <v>0.255</v>
      </c>
      <c r="BB648" s="99">
        <f t="shared" si="500"/>
        <v>0.26400000000000001</v>
      </c>
      <c r="BC648" s="99">
        <f t="shared" si="500"/>
        <v>0.24399999999999999</v>
      </c>
      <c r="BD648" s="467">
        <f t="shared" si="501"/>
        <v>1.012</v>
      </c>
      <c r="BE648" s="99">
        <f t="shared" si="501"/>
        <v>0.246</v>
      </c>
      <c r="BF648" s="99">
        <f t="shared" si="502"/>
        <v>0.248</v>
      </c>
      <c r="BG648" s="99">
        <f t="shared" si="502"/>
        <v>0.248</v>
      </c>
      <c r="BH648" s="99">
        <f t="shared" si="502"/>
        <v>0.249</v>
      </c>
      <c r="BI648" s="467">
        <f t="shared" si="503"/>
        <v>0.99099999999999999</v>
      </c>
      <c r="BJ648" s="99">
        <f t="shared" si="503"/>
        <v>0.251</v>
      </c>
      <c r="BK648" s="99">
        <f t="shared" si="504"/>
        <v>0.43799999999999994</v>
      </c>
      <c r="BL648" s="99">
        <f t="shared" si="504"/>
        <v>0.80700000000000005</v>
      </c>
      <c r="BM648" s="99">
        <f t="shared" si="504"/>
        <v>0.81400000000000006</v>
      </c>
      <c r="BN648" s="467">
        <f t="shared" si="505"/>
        <v>2.31</v>
      </c>
      <c r="BO648" s="99">
        <f t="shared" si="505"/>
        <v>0.83499999999999996</v>
      </c>
      <c r="BP648" s="99">
        <f t="shared" si="506"/>
        <v>0.82800000000000007</v>
      </c>
      <c r="BQ648" s="99">
        <f t="shared" si="506"/>
        <v>0.82199999999999984</v>
      </c>
      <c r="BR648" s="99">
        <f t="shared" si="506"/>
        <v>0.86100000000000021</v>
      </c>
      <c r="BS648" s="468">
        <f t="shared" si="507"/>
        <v>3.3460000000000001</v>
      </c>
      <c r="BT648" s="63"/>
      <c r="BU648" s="63"/>
      <c r="BV648" s="63"/>
      <c r="BW648" s="63"/>
      <c r="BX648" s="413">
        <f t="shared" si="508"/>
        <v>0</v>
      </c>
      <c r="BY648" s="63"/>
      <c r="BZ648" s="63"/>
      <c r="CA648" s="63"/>
      <c r="CB648" s="63"/>
      <c r="CC648" s="413">
        <f t="shared" si="509"/>
        <v>0</v>
      </c>
      <c r="CD648" s="413"/>
      <c r="CE648" s="413"/>
      <c r="CF648" s="413"/>
      <c r="CG648" s="99"/>
    </row>
    <row r="649" spans="1:85" ht="14.45" customHeight="1" x14ac:dyDescent="0.25">
      <c r="A649" s="125" t="str">
        <f t="shared" si="480"/>
        <v>Stock compensation expense</v>
      </c>
      <c r="B649" s="180"/>
      <c r="C649" s="467">
        <f t="shared" si="514"/>
        <v>2.161</v>
      </c>
      <c r="D649" s="467">
        <f t="shared" si="514"/>
        <v>2.2229999999999999</v>
      </c>
      <c r="E649" s="467">
        <f t="shared" si="514"/>
        <v>2.3420000000000001</v>
      </c>
      <c r="F649" s="467">
        <f t="shared" si="514"/>
        <v>2.6230000000000002</v>
      </c>
      <c r="G649" s="99">
        <f t="shared" si="514"/>
        <v>0.60299999999999998</v>
      </c>
      <c r="H649" s="99">
        <f t="shared" si="515"/>
        <v>0.62000000000000011</v>
      </c>
      <c r="I649" s="99">
        <f t="shared" si="515"/>
        <v>0.67799999999999994</v>
      </c>
      <c r="J649" s="99">
        <f t="shared" si="515"/>
        <v>1.018</v>
      </c>
      <c r="K649" s="467">
        <f t="shared" si="516"/>
        <v>2.919</v>
      </c>
      <c r="L649" s="99">
        <f t="shared" si="516"/>
        <v>0.85299999999999998</v>
      </c>
      <c r="M649" s="99">
        <f t="shared" si="517"/>
        <v>0.63800000000000012</v>
      </c>
      <c r="N649" s="99">
        <f t="shared" si="517"/>
        <v>0.78099999999999969</v>
      </c>
      <c r="O649" s="99">
        <f t="shared" si="517"/>
        <v>1.27</v>
      </c>
      <c r="P649" s="467">
        <f t="shared" si="518"/>
        <v>3.5419999999999998</v>
      </c>
      <c r="Q649" s="99">
        <f t="shared" si="518"/>
        <v>1.1160000000000001</v>
      </c>
      <c r="R649" s="99">
        <f t="shared" si="519"/>
        <v>1.8639999999999999</v>
      </c>
      <c r="S649" s="99">
        <f t="shared" si="519"/>
        <v>2.6940000000000004</v>
      </c>
      <c r="T649" s="99">
        <f t="shared" si="519"/>
        <v>1.6259999999999994</v>
      </c>
      <c r="U649" s="467">
        <f t="shared" si="520"/>
        <v>7.3</v>
      </c>
      <c r="V649" s="99">
        <f t="shared" si="520"/>
        <v>1.627</v>
      </c>
      <c r="W649" s="99">
        <f t="shared" si="521"/>
        <v>1.2689999999999999</v>
      </c>
      <c r="X649" s="99">
        <f t="shared" si="521"/>
        <v>1.5490000000000004</v>
      </c>
      <c r="Y649" s="99">
        <f t="shared" si="521"/>
        <v>2.7089999999999996</v>
      </c>
      <c r="Z649" s="467">
        <f t="shared" si="522"/>
        <v>7.1539999999999999</v>
      </c>
      <c r="AA649" s="99">
        <f t="shared" si="513"/>
        <v>2.06</v>
      </c>
      <c r="AB649" s="99">
        <f t="shared" si="490"/>
        <v>2.5169999999999999</v>
      </c>
      <c r="AC649" s="99">
        <f t="shared" si="490"/>
        <v>1.8959999999999999</v>
      </c>
      <c r="AD649" s="99">
        <f t="shared" si="490"/>
        <v>1.4489999999999998</v>
      </c>
      <c r="AE649" s="467">
        <f t="shared" si="491"/>
        <v>7.9219999999999997</v>
      </c>
      <c r="AF649" s="99">
        <f t="shared" si="491"/>
        <v>0.752</v>
      </c>
      <c r="AG649" s="99">
        <f t="shared" si="492"/>
        <v>0.97599999999999998</v>
      </c>
      <c r="AH649" s="99">
        <f t="shared" si="492"/>
        <v>2.766</v>
      </c>
      <c r="AI649" s="99">
        <f t="shared" si="492"/>
        <v>1.1120000000000001</v>
      </c>
      <c r="AJ649" s="467">
        <f t="shared" si="493"/>
        <v>5.6059999999999999</v>
      </c>
      <c r="AK649" s="99">
        <f t="shared" si="493"/>
        <v>2.0449999999999999</v>
      </c>
      <c r="AL649" s="99">
        <f t="shared" si="494"/>
        <v>0</v>
      </c>
      <c r="AM649" s="99">
        <f t="shared" si="494"/>
        <v>0</v>
      </c>
      <c r="AN649" s="99">
        <f t="shared" si="494"/>
        <v>0</v>
      </c>
      <c r="AO649" s="467">
        <f t="shared" si="495"/>
        <v>2.0449999999999999</v>
      </c>
      <c r="AP649" s="99">
        <f t="shared" si="495"/>
        <v>0</v>
      </c>
      <c r="AQ649" s="99">
        <f t="shared" si="496"/>
        <v>0</v>
      </c>
      <c r="AR649" s="99">
        <f t="shared" si="496"/>
        <v>0</v>
      </c>
      <c r="AS649" s="99">
        <f t="shared" si="496"/>
        <v>0</v>
      </c>
      <c r="AT649" s="467">
        <f t="shared" si="497"/>
        <v>0</v>
      </c>
      <c r="AU649" s="99">
        <f t="shared" si="497"/>
        <v>0</v>
      </c>
      <c r="AV649" s="99">
        <f t="shared" si="498"/>
        <v>0</v>
      </c>
      <c r="AW649" s="99">
        <f t="shared" si="498"/>
        <v>0</v>
      </c>
      <c r="AX649" s="99">
        <f t="shared" si="498"/>
        <v>0</v>
      </c>
      <c r="AY649" s="467">
        <f t="shared" si="499"/>
        <v>0</v>
      </c>
      <c r="AZ649" s="99">
        <f t="shared" si="499"/>
        <v>0</v>
      </c>
      <c r="BA649" s="99">
        <f t="shared" si="500"/>
        <v>0</v>
      </c>
      <c r="BB649" s="99">
        <f t="shared" si="500"/>
        <v>0</v>
      </c>
      <c r="BC649" s="99">
        <f t="shared" si="500"/>
        <v>0</v>
      </c>
      <c r="BD649" s="467">
        <f t="shared" si="501"/>
        <v>0</v>
      </c>
      <c r="BE649" s="99">
        <f t="shared" si="501"/>
        <v>0</v>
      </c>
      <c r="BF649" s="99">
        <f t="shared" si="502"/>
        <v>0</v>
      </c>
      <c r="BG649" s="99">
        <f t="shared" si="502"/>
        <v>0</v>
      </c>
      <c r="BH649" s="99">
        <f t="shared" si="502"/>
        <v>0</v>
      </c>
      <c r="BI649" s="467">
        <f t="shared" si="503"/>
        <v>0</v>
      </c>
      <c r="BJ649" s="99">
        <f t="shared" si="503"/>
        <v>0</v>
      </c>
      <c r="BK649" s="99">
        <f t="shared" si="504"/>
        <v>0</v>
      </c>
      <c r="BL649" s="99">
        <f t="shared" si="504"/>
        <v>0</v>
      </c>
      <c r="BM649" s="99">
        <f t="shared" si="504"/>
        <v>0</v>
      </c>
      <c r="BN649" s="467">
        <f t="shared" si="505"/>
        <v>0</v>
      </c>
      <c r="BO649" s="99">
        <f t="shared" si="505"/>
        <v>0</v>
      </c>
      <c r="BP649" s="99">
        <f t="shared" si="506"/>
        <v>0</v>
      </c>
      <c r="BQ649" s="99">
        <f t="shared" si="506"/>
        <v>0</v>
      </c>
      <c r="BR649" s="99">
        <f t="shared" si="506"/>
        <v>0</v>
      </c>
      <c r="BS649" s="468">
        <f t="shared" si="507"/>
        <v>0</v>
      </c>
      <c r="BT649" s="63">
        <f>BT414</f>
        <v>0</v>
      </c>
      <c r="BU649" s="63">
        <f>BU414</f>
        <v>0</v>
      </c>
      <c r="BV649" s="63">
        <f>BV414</f>
        <v>0</v>
      </c>
      <c r="BW649" s="63">
        <f>BW414</f>
        <v>0</v>
      </c>
      <c r="BX649" s="413">
        <f t="shared" si="508"/>
        <v>0</v>
      </c>
      <c r="BY649" s="63">
        <f>BY414</f>
        <v>0</v>
      </c>
      <c r="BZ649" s="63">
        <f>BZ414</f>
        <v>0</v>
      </c>
      <c r="CA649" s="63">
        <f>CA414</f>
        <v>0</v>
      </c>
      <c r="CB649" s="63">
        <f>CB414</f>
        <v>0</v>
      </c>
      <c r="CC649" s="413">
        <f t="shared" si="509"/>
        <v>0</v>
      </c>
      <c r="CD649" s="413">
        <f>CD414</f>
        <v>0</v>
      </c>
      <c r="CE649" s="413">
        <f>CE414</f>
        <v>0</v>
      </c>
      <c r="CF649" s="413">
        <f>CF414</f>
        <v>0</v>
      </c>
      <c r="CG649" s="99"/>
    </row>
    <row r="650" spans="1:85" ht="14.45" customHeight="1" x14ac:dyDescent="0.25">
      <c r="A650" s="125" t="str">
        <f t="shared" si="480"/>
        <v>Amortization of deferred gains related to terminated interest rate agreements</v>
      </c>
      <c r="B650" s="180"/>
      <c r="C650" s="467">
        <f t="shared" si="514"/>
        <v>-2.0710000000000002</v>
      </c>
      <c r="D650" s="467">
        <f t="shared" si="514"/>
        <v>-1.2110000000000001</v>
      </c>
      <c r="E650" s="467">
        <f t="shared" si="514"/>
        <v>-1.2210000000000001</v>
      </c>
      <c r="F650" s="467">
        <f t="shared" si="514"/>
        <v>-1.145</v>
      </c>
      <c r="G650" s="99">
        <f t="shared" si="514"/>
        <v>-0.13600000000000001</v>
      </c>
      <c r="H650" s="99">
        <f t="shared" si="515"/>
        <v>-0.13700000000000001</v>
      </c>
      <c r="I650" s="99">
        <f t="shared" si="515"/>
        <v>-0.13799999999999996</v>
      </c>
      <c r="J650" s="99">
        <f t="shared" si="515"/>
        <v>-0.13800000000000007</v>
      </c>
      <c r="K650" s="467">
        <f t="shared" si="516"/>
        <v>-0.54900000000000004</v>
      </c>
      <c r="L650" s="99">
        <f t="shared" si="516"/>
        <v>-0.13900000000000001</v>
      </c>
      <c r="M650" s="99">
        <f t="shared" si="517"/>
        <v>-0.14000000000000001</v>
      </c>
      <c r="N650" s="99">
        <f t="shared" si="517"/>
        <v>-0.14099999999999996</v>
      </c>
      <c r="O650" s="99">
        <f t="shared" si="517"/>
        <v>-0.14100000000000007</v>
      </c>
      <c r="P650" s="467">
        <f t="shared" si="518"/>
        <v>-0.56100000000000005</v>
      </c>
      <c r="Q650" s="99">
        <f t="shared" si="518"/>
        <v>0</v>
      </c>
      <c r="R650" s="99">
        <f t="shared" si="519"/>
        <v>-0.13300000000000001</v>
      </c>
      <c r="S650" s="99">
        <f t="shared" si="519"/>
        <v>8.0000000000000071E-3</v>
      </c>
      <c r="T650" s="99">
        <f t="shared" si="519"/>
        <v>8.9999999999999941E-3</v>
      </c>
      <c r="U650" s="467">
        <f t="shared" si="520"/>
        <v>-0.11600000000000001</v>
      </c>
      <c r="V650" s="99">
        <f t="shared" si="520"/>
        <v>0</v>
      </c>
      <c r="W650" s="99">
        <f t="shared" si="521"/>
        <v>0</v>
      </c>
      <c r="X650" s="99">
        <f t="shared" si="521"/>
        <v>0</v>
      </c>
      <c r="Y650" s="99">
        <f t="shared" si="521"/>
        <v>0</v>
      </c>
      <c r="Z650" s="467">
        <f t="shared" si="522"/>
        <v>0</v>
      </c>
      <c r="AA650" s="99">
        <f t="shared" si="513"/>
        <v>0</v>
      </c>
      <c r="AB650" s="99">
        <f t="shared" si="490"/>
        <v>0</v>
      </c>
      <c r="AC650" s="99">
        <f t="shared" si="490"/>
        <v>0</v>
      </c>
      <c r="AD650" s="99">
        <f t="shared" si="490"/>
        <v>0</v>
      </c>
      <c r="AE650" s="467">
        <f t="shared" si="491"/>
        <v>0</v>
      </c>
      <c r="AF650" s="99">
        <f t="shared" si="491"/>
        <v>0</v>
      </c>
      <c r="AG650" s="99">
        <f t="shared" si="492"/>
        <v>0</v>
      </c>
      <c r="AH650" s="99">
        <f t="shared" si="492"/>
        <v>0</v>
      </c>
      <c r="AI650" s="99">
        <f t="shared" si="492"/>
        <v>0</v>
      </c>
      <c r="AJ650" s="467">
        <f t="shared" si="493"/>
        <v>0</v>
      </c>
      <c r="AK650" s="99">
        <f t="shared" si="493"/>
        <v>0</v>
      </c>
      <c r="AL650" s="99">
        <f t="shared" si="494"/>
        <v>0</v>
      </c>
      <c r="AM650" s="99">
        <f t="shared" si="494"/>
        <v>0</v>
      </c>
      <c r="AN650" s="99">
        <f t="shared" si="494"/>
        <v>0</v>
      </c>
      <c r="AO650" s="467">
        <f t="shared" si="495"/>
        <v>0</v>
      </c>
      <c r="AP650" s="99">
        <f t="shared" si="495"/>
        <v>0</v>
      </c>
      <c r="AQ650" s="99">
        <f t="shared" si="496"/>
        <v>0</v>
      </c>
      <c r="AR650" s="99">
        <f t="shared" si="496"/>
        <v>0</v>
      </c>
      <c r="AS650" s="99">
        <f t="shared" si="496"/>
        <v>0</v>
      </c>
      <c r="AT650" s="467">
        <f t="shared" si="497"/>
        <v>0</v>
      </c>
      <c r="AU650" s="99">
        <f t="shared" si="497"/>
        <v>0</v>
      </c>
      <c r="AV650" s="99">
        <f t="shared" si="498"/>
        <v>0</v>
      </c>
      <c r="AW650" s="99">
        <f t="shared" si="498"/>
        <v>0</v>
      </c>
      <c r="AX650" s="99">
        <f t="shared" si="498"/>
        <v>0</v>
      </c>
      <c r="AY650" s="467">
        <f t="shared" si="499"/>
        <v>0</v>
      </c>
      <c r="AZ650" s="99">
        <f t="shared" si="499"/>
        <v>0</v>
      </c>
      <c r="BA650" s="99">
        <f t="shared" si="500"/>
        <v>0</v>
      </c>
      <c r="BB650" s="99">
        <f t="shared" si="500"/>
        <v>0</v>
      </c>
      <c r="BC650" s="99">
        <f t="shared" si="500"/>
        <v>0</v>
      </c>
      <c r="BD650" s="467">
        <f t="shared" si="501"/>
        <v>0</v>
      </c>
      <c r="BE650" s="99">
        <f t="shared" si="501"/>
        <v>0</v>
      </c>
      <c r="BF650" s="99">
        <f t="shared" si="502"/>
        <v>0</v>
      </c>
      <c r="BG650" s="99">
        <f t="shared" si="502"/>
        <v>0</v>
      </c>
      <c r="BH650" s="99">
        <f t="shared" si="502"/>
        <v>0</v>
      </c>
      <c r="BI650" s="467">
        <f t="shared" si="503"/>
        <v>0</v>
      </c>
      <c r="BJ650" s="99">
        <f t="shared" si="503"/>
        <v>0</v>
      </c>
      <c r="BK650" s="99">
        <f t="shared" si="504"/>
        <v>0</v>
      </c>
      <c r="BL650" s="99">
        <f t="shared" si="504"/>
        <v>0</v>
      </c>
      <c r="BM650" s="99">
        <f t="shared" si="504"/>
        <v>0</v>
      </c>
      <c r="BN650" s="467">
        <f t="shared" si="505"/>
        <v>0</v>
      </c>
      <c r="BO650" s="99">
        <f t="shared" si="505"/>
        <v>0</v>
      </c>
      <c r="BP650" s="99">
        <f t="shared" si="506"/>
        <v>0</v>
      </c>
      <c r="BQ650" s="99">
        <f t="shared" si="506"/>
        <v>0</v>
      </c>
      <c r="BR650" s="99">
        <f t="shared" si="506"/>
        <v>0</v>
      </c>
      <c r="BS650" s="468">
        <f t="shared" si="507"/>
        <v>0</v>
      </c>
      <c r="BT650" s="63"/>
      <c r="BU650" s="63"/>
      <c r="BV650" s="63"/>
      <c r="BW650" s="63"/>
      <c r="BX650" s="413">
        <f t="shared" si="508"/>
        <v>0</v>
      </c>
      <c r="BY650" s="63"/>
      <c r="BZ650" s="63"/>
      <c r="CA650" s="63"/>
      <c r="CB650" s="63"/>
      <c r="CC650" s="413">
        <f t="shared" si="509"/>
        <v>0</v>
      </c>
      <c r="CD650" s="413"/>
      <c r="CE650" s="413"/>
      <c r="CF650" s="413"/>
      <c r="CG650" s="99"/>
    </row>
    <row r="651" spans="1:85" ht="14.45" customHeight="1" x14ac:dyDescent="0.25">
      <c r="A651" s="125" t="str">
        <f t="shared" si="480"/>
        <v>Insurance proceeds received for flood damage</v>
      </c>
      <c r="B651" s="180"/>
      <c r="C651" s="467">
        <f t="shared" si="514"/>
        <v>0</v>
      </c>
      <c r="D651" s="467">
        <f t="shared" si="514"/>
        <v>5.6820000000000004</v>
      </c>
      <c r="E651" s="467">
        <f t="shared" si="514"/>
        <v>0</v>
      </c>
      <c r="F651" s="467">
        <f t="shared" si="514"/>
        <v>0</v>
      </c>
      <c r="G651" s="99">
        <f t="shared" si="514"/>
        <v>0</v>
      </c>
      <c r="H651" s="99">
        <f t="shared" si="515"/>
        <v>0</v>
      </c>
      <c r="I651" s="99">
        <f t="shared" si="515"/>
        <v>0</v>
      </c>
      <c r="J651" s="99">
        <f t="shared" si="515"/>
        <v>0</v>
      </c>
      <c r="K651" s="467">
        <f t="shared" si="516"/>
        <v>0</v>
      </c>
      <c r="L651" s="99">
        <f t="shared" si="516"/>
        <v>0</v>
      </c>
      <c r="M651" s="99">
        <f t="shared" si="517"/>
        <v>0</v>
      </c>
      <c r="N651" s="99">
        <f t="shared" si="517"/>
        <v>0</v>
      </c>
      <c r="O651" s="99">
        <f t="shared" si="517"/>
        <v>0</v>
      </c>
      <c r="P651" s="467">
        <f t="shared" si="518"/>
        <v>0</v>
      </c>
      <c r="Q651" s="99">
        <f t="shared" si="518"/>
        <v>0</v>
      </c>
      <c r="R651" s="99">
        <f t="shared" si="519"/>
        <v>0</v>
      </c>
      <c r="S651" s="99">
        <f t="shared" si="519"/>
        <v>0</v>
      </c>
      <c r="T651" s="99">
        <f t="shared" si="519"/>
        <v>0</v>
      </c>
      <c r="U651" s="467">
        <f t="shared" si="520"/>
        <v>0</v>
      </c>
      <c r="V651" s="99">
        <f t="shared" si="520"/>
        <v>0</v>
      </c>
      <c r="W651" s="99">
        <f t="shared" si="521"/>
        <v>0</v>
      </c>
      <c r="X651" s="99">
        <f t="shared" si="521"/>
        <v>0</v>
      </c>
      <c r="Y651" s="99">
        <f t="shared" si="521"/>
        <v>0</v>
      </c>
      <c r="Z651" s="467">
        <f t="shared" si="522"/>
        <v>0</v>
      </c>
      <c r="AA651" s="99">
        <f t="shared" si="513"/>
        <v>0</v>
      </c>
      <c r="AB651" s="99">
        <f t="shared" si="490"/>
        <v>0</v>
      </c>
      <c r="AC651" s="99">
        <f t="shared" si="490"/>
        <v>0</v>
      </c>
      <c r="AD651" s="99">
        <f t="shared" si="490"/>
        <v>0</v>
      </c>
      <c r="AE651" s="467">
        <f t="shared" si="491"/>
        <v>0</v>
      </c>
      <c r="AF651" s="99">
        <f t="shared" si="491"/>
        <v>0</v>
      </c>
      <c r="AG651" s="99">
        <f t="shared" si="492"/>
        <v>0</v>
      </c>
      <c r="AH651" s="99">
        <f t="shared" si="492"/>
        <v>0</v>
      </c>
      <c r="AI651" s="99">
        <f t="shared" si="492"/>
        <v>0</v>
      </c>
      <c r="AJ651" s="467">
        <f t="shared" si="493"/>
        <v>0</v>
      </c>
      <c r="AK651" s="99">
        <f t="shared" si="493"/>
        <v>0</v>
      </c>
      <c r="AL651" s="99">
        <f t="shared" si="494"/>
        <v>0</v>
      </c>
      <c r="AM651" s="99">
        <f t="shared" si="494"/>
        <v>0</v>
      </c>
      <c r="AN651" s="99">
        <f t="shared" si="494"/>
        <v>0</v>
      </c>
      <c r="AO651" s="467">
        <f t="shared" si="495"/>
        <v>0</v>
      </c>
      <c r="AP651" s="99">
        <f t="shared" si="495"/>
        <v>0</v>
      </c>
      <c r="AQ651" s="99">
        <f t="shared" si="496"/>
        <v>0</v>
      </c>
      <c r="AR651" s="99">
        <f t="shared" si="496"/>
        <v>0</v>
      </c>
      <c r="AS651" s="99">
        <f t="shared" si="496"/>
        <v>0</v>
      </c>
      <c r="AT651" s="467">
        <f t="shared" si="497"/>
        <v>0</v>
      </c>
      <c r="AU651" s="99">
        <f t="shared" si="497"/>
        <v>0</v>
      </c>
      <c r="AV651" s="99">
        <f t="shared" si="498"/>
        <v>0</v>
      </c>
      <c r="AW651" s="99">
        <f t="shared" si="498"/>
        <v>0</v>
      </c>
      <c r="AX651" s="99">
        <f t="shared" si="498"/>
        <v>0</v>
      </c>
      <c r="AY651" s="467">
        <f t="shared" si="499"/>
        <v>0</v>
      </c>
      <c r="AZ651" s="99">
        <f t="shared" si="499"/>
        <v>0</v>
      </c>
      <c r="BA651" s="99">
        <f t="shared" si="500"/>
        <v>0</v>
      </c>
      <c r="BB651" s="99">
        <f t="shared" si="500"/>
        <v>0</v>
      </c>
      <c r="BC651" s="99">
        <f t="shared" si="500"/>
        <v>0</v>
      </c>
      <c r="BD651" s="467">
        <f t="shared" si="501"/>
        <v>0</v>
      </c>
      <c r="BE651" s="99">
        <f t="shared" si="501"/>
        <v>0</v>
      </c>
      <c r="BF651" s="99">
        <f t="shared" si="502"/>
        <v>0</v>
      </c>
      <c r="BG651" s="99">
        <f t="shared" si="502"/>
        <v>0</v>
      </c>
      <c r="BH651" s="99">
        <f t="shared" si="502"/>
        <v>0</v>
      </c>
      <c r="BI651" s="467">
        <f t="shared" si="503"/>
        <v>0</v>
      </c>
      <c r="BJ651" s="99">
        <f t="shared" si="503"/>
        <v>0</v>
      </c>
      <c r="BK651" s="99">
        <f t="shared" si="504"/>
        <v>0</v>
      </c>
      <c r="BL651" s="99">
        <f t="shared" si="504"/>
        <v>0</v>
      </c>
      <c r="BM651" s="99">
        <f t="shared" si="504"/>
        <v>0</v>
      </c>
      <c r="BN651" s="467">
        <f t="shared" si="505"/>
        <v>0</v>
      </c>
      <c r="BO651" s="99">
        <f t="shared" si="505"/>
        <v>0</v>
      </c>
      <c r="BP651" s="99">
        <f t="shared" si="506"/>
        <v>0</v>
      </c>
      <c r="BQ651" s="99">
        <f t="shared" si="506"/>
        <v>0</v>
      </c>
      <c r="BR651" s="99">
        <f t="shared" si="506"/>
        <v>0</v>
      </c>
      <c r="BS651" s="468">
        <f t="shared" si="507"/>
        <v>0</v>
      </c>
      <c r="BT651" s="63"/>
      <c r="BU651" s="63"/>
      <c r="BV651" s="63"/>
      <c r="BW651" s="63"/>
      <c r="BX651" s="413">
        <f t="shared" si="508"/>
        <v>0</v>
      </c>
      <c r="BY651" s="63"/>
      <c r="BZ651" s="63"/>
      <c r="CA651" s="63"/>
      <c r="CB651" s="63"/>
      <c r="CC651" s="413">
        <f t="shared" si="509"/>
        <v>0</v>
      </c>
      <c r="CD651" s="413"/>
      <c r="CE651" s="413"/>
      <c r="CF651" s="413"/>
      <c r="CG651" s="99"/>
    </row>
    <row r="652" spans="1:85" ht="14.45" customHeight="1" x14ac:dyDescent="0.25">
      <c r="A652" s="125" t="str">
        <f t="shared" si="480"/>
        <v>Loss on voluntary pension settlement</v>
      </c>
      <c r="B652" s="180"/>
      <c r="C652" s="467">
        <f t="shared" si="514"/>
        <v>0</v>
      </c>
      <c r="D652" s="467">
        <f t="shared" si="514"/>
        <v>0</v>
      </c>
      <c r="E652" s="467">
        <f t="shared" si="514"/>
        <v>0</v>
      </c>
      <c r="F652" s="467">
        <f t="shared" si="514"/>
        <v>0</v>
      </c>
      <c r="G652" s="99">
        <f t="shared" si="514"/>
        <v>0</v>
      </c>
      <c r="H652" s="99">
        <f t="shared" si="515"/>
        <v>0</v>
      </c>
      <c r="I652" s="99">
        <f t="shared" si="515"/>
        <v>0</v>
      </c>
      <c r="J652" s="99">
        <f t="shared" si="515"/>
        <v>12.013999999999999</v>
      </c>
      <c r="K652" s="467">
        <f t="shared" si="516"/>
        <v>12.013999999999999</v>
      </c>
      <c r="L652" s="99">
        <f t="shared" si="516"/>
        <v>0</v>
      </c>
      <c r="M652" s="99">
        <f t="shared" si="517"/>
        <v>0</v>
      </c>
      <c r="N652" s="99">
        <f t="shared" si="517"/>
        <v>0</v>
      </c>
      <c r="O652" s="99">
        <f t="shared" si="517"/>
        <v>0</v>
      </c>
      <c r="P652" s="467">
        <f t="shared" si="518"/>
        <v>0</v>
      </c>
      <c r="Q652" s="99">
        <f t="shared" si="518"/>
        <v>0</v>
      </c>
      <c r="R652" s="99">
        <f t="shared" si="519"/>
        <v>0</v>
      </c>
      <c r="S652" s="99">
        <f t="shared" si="519"/>
        <v>0</v>
      </c>
      <c r="T652" s="99">
        <f t="shared" si="519"/>
        <v>0</v>
      </c>
      <c r="U652" s="467">
        <f t="shared" si="520"/>
        <v>0</v>
      </c>
      <c r="V652" s="99">
        <f t="shared" si="520"/>
        <v>0</v>
      </c>
      <c r="W652" s="99">
        <f t="shared" si="521"/>
        <v>0</v>
      </c>
      <c r="X652" s="99">
        <f t="shared" si="521"/>
        <v>0</v>
      </c>
      <c r="Y652" s="99">
        <f t="shared" si="521"/>
        <v>0</v>
      </c>
      <c r="Z652" s="467">
        <f t="shared" si="522"/>
        <v>0</v>
      </c>
      <c r="AA652" s="99">
        <f t="shared" si="513"/>
        <v>0</v>
      </c>
      <c r="AB652" s="99">
        <f t="shared" si="490"/>
        <v>0</v>
      </c>
      <c r="AC652" s="99">
        <f t="shared" si="490"/>
        <v>0</v>
      </c>
      <c r="AD652" s="99">
        <f t="shared" si="490"/>
        <v>0</v>
      </c>
      <c r="AE652" s="467">
        <f t="shared" si="491"/>
        <v>0</v>
      </c>
      <c r="AF652" s="99">
        <f t="shared" si="491"/>
        <v>0</v>
      </c>
      <c r="AG652" s="99">
        <f t="shared" si="492"/>
        <v>0</v>
      </c>
      <c r="AH652" s="99">
        <f t="shared" si="492"/>
        <v>0</v>
      </c>
      <c r="AI652" s="99">
        <f t="shared" si="492"/>
        <v>0</v>
      </c>
      <c r="AJ652" s="467">
        <f t="shared" si="493"/>
        <v>0</v>
      </c>
      <c r="AK652" s="99">
        <f t="shared" si="493"/>
        <v>0</v>
      </c>
      <c r="AL652" s="99">
        <f t="shared" si="494"/>
        <v>0</v>
      </c>
      <c r="AM652" s="99">
        <f t="shared" si="494"/>
        <v>0</v>
      </c>
      <c r="AN652" s="99">
        <f t="shared" si="494"/>
        <v>0</v>
      </c>
      <c r="AO652" s="467">
        <f t="shared" si="495"/>
        <v>0</v>
      </c>
      <c r="AP652" s="99">
        <f t="shared" si="495"/>
        <v>0</v>
      </c>
      <c r="AQ652" s="99">
        <f t="shared" si="496"/>
        <v>0</v>
      </c>
      <c r="AR652" s="99">
        <f t="shared" si="496"/>
        <v>0</v>
      </c>
      <c r="AS652" s="99">
        <f t="shared" si="496"/>
        <v>0</v>
      </c>
      <c r="AT652" s="467">
        <f t="shared" si="497"/>
        <v>0</v>
      </c>
      <c r="AU652" s="99">
        <f t="shared" si="497"/>
        <v>0</v>
      </c>
      <c r="AV652" s="99">
        <f t="shared" si="498"/>
        <v>0</v>
      </c>
      <c r="AW652" s="99">
        <f t="shared" si="498"/>
        <v>0</v>
      </c>
      <c r="AX652" s="99">
        <f t="shared" si="498"/>
        <v>0</v>
      </c>
      <c r="AY652" s="467">
        <f t="shared" si="499"/>
        <v>0</v>
      </c>
      <c r="AZ652" s="99">
        <f t="shared" si="499"/>
        <v>0</v>
      </c>
      <c r="BA652" s="99">
        <f t="shared" si="500"/>
        <v>0</v>
      </c>
      <c r="BB652" s="99">
        <f t="shared" si="500"/>
        <v>0</v>
      </c>
      <c r="BC652" s="99">
        <f t="shared" si="500"/>
        <v>0</v>
      </c>
      <c r="BD652" s="467">
        <f t="shared" si="501"/>
        <v>0</v>
      </c>
      <c r="BE652" s="99">
        <f t="shared" si="501"/>
        <v>0</v>
      </c>
      <c r="BF652" s="99">
        <f t="shared" si="502"/>
        <v>0</v>
      </c>
      <c r="BG652" s="99">
        <f t="shared" si="502"/>
        <v>0</v>
      </c>
      <c r="BH652" s="99">
        <f t="shared" si="502"/>
        <v>0</v>
      </c>
      <c r="BI652" s="467">
        <f t="shared" si="503"/>
        <v>0</v>
      </c>
      <c r="BJ652" s="99">
        <f t="shared" si="503"/>
        <v>0</v>
      </c>
      <c r="BK652" s="99">
        <f t="shared" si="504"/>
        <v>0</v>
      </c>
      <c r="BL652" s="99">
        <f t="shared" si="504"/>
        <v>0</v>
      </c>
      <c r="BM652" s="99">
        <f t="shared" si="504"/>
        <v>0</v>
      </c>
      <c r="BN652" s="467">
        <f t="shared" si="505"/>
        <v>0</v>
      </c>
      <c r="BO652" s="99">
        <f t="shared" si="505"/>
        <v>0</v>
      </c>
      <c r="BP652" s="99">
        <f t="shared" si="506"/>
        <v>0</v>
      </c>
      <c r="BQ652" s="99">
        <f t="shared" si="506"/>
        <v>0</v>
      </c>
      <c r="BR652" s="99">
        <f t="shared" si="506"/>
        <v>0</v>
      </c>
      <c r="BS652" s="468">
        <f t="shared" si="507"/>
        <v>0</v>
      </c>
      <c r="BT652" s="63"/>
      <c r="BU652" s="63"/>
      <c r="BV652" s="63"/>
      <c r="BW652" s="63"/>
      <c r="BX652" s="413">
        <f t="shared" si="508"/>
        <v>0</v>
      </c>
      <c r="BY652" s="63"/>
      <c r="BZ652" s="63"/>
      <c r="CA652" s="63"/>
      <c r="CB652" s="63"/>
      <c r="CC652" s="413">
        <f t="shared" si="509"/>
        <v>0</v>
      </c>
      <c r="CD652" s="413"/>
      <c r="CE652" s="413"/>
      <c r="CF652" s="413"/>
      <c r="CG652" s="99"/>
    </row>
    <row r="653" spans="1:85" ht="14.45" customHeight="1" x14ac:dyDescent="0.25">
      <c r="A653" s="125" t="str">
        <f t="shared" si="480"/>
        <v>System Transformation Transactions settlements</v>
      </c>
      <c r="B653" s="180"/>
      <c r="C653" s="467">
        <f t="shared" si="514"/>
        <v>0</v>
      </c>
      <c r="D653" s="467">
        <f t="shared" si="514"/>
        <v>0</v>
      </c>
      <c r="E653" s="467">
        <f t="shared" si="514"/>
        <v>0</v>
      </c>
      <c r="F653" s="467">
        <f t="shared" si="514"/>
        <v>0</v>
      </c>
      <c r="G653" s="99">
        <f t="shared" si="514"/>
        <v>0</v>
      </c>
      <c r="H653" s="99">
        <f t="shared" si="515"/>
        <v>0</v>
      </c>
      <c r="I653" s="99">
        <f t="shared" si="515"/>
        <v>0</v>
      </c>
      <c r="J653" s="99">
        <f t="shared" si="515"/>
        <v>0</v>
      </c>
      <c r="K653" s="467">
        <f t="shared" si="516"/>
        <v>0</v>
      </c>
      <c r="L653" s="99">
        <f t="shared" si="516"/>
        <v>0</v>
      </c>
      <c r="M653" s="99">
        <f t="shared" si="517"/>
        <v>0</v>
      </c>
      <c r="N653" s="99">
        <f t="shared" si="517"/>
        <v>0</v>
      </c>
      <c r="O653" s="99">
        <f t="shared" si="517"/>
        <v>0</v>
      </c>
      <c r="P653" s="467">
        <f t="shared" si="518"/>
        <v>0</v>
      </c>
      <c r="Q653" s="99">
        <f t="shared" si="518"/>
        <v>0</v>
      </c>
      <c r="R653" s="99">
        <f t="shared" si="519"/>
        <v>0</v>
      </c>
      <c r="S653" s="99">
        <f t="shared" si="519"/>
        <v>0</v>
      </c>
      <c r="T653" s="99">
        <f t="shared" si="519"/>
        <v>0</v>
      </c>
      <c r="U653" s="467">
        <f t="shared" si="520"/>
        <v>0</v>
      </c>
      <c r="V653" s="99">
        <f t="shared" si="520"/>
        <v>0</v>
      </c>
      <c r="W653" s="99">
        <f t="shared" si="521"/>
        <v>0</v>
      </c>
      <c r="X653" s="99">
        <f t="shared" si="521"/>
        <v>0</v>
      </c>
      <c r="Y653" s="99">
        <f t="shared" si="521"/>
        <v>0</v>
      </c>
      <c r="Z653" s="467">
        <f t="shared" si="522"/>
        <v>0</v>
      </c>
      <c r="AA653" s="99">
        <f t="shared" si="513"/>
        <v>0</v>
      </c>
      <c r="AB653" s="99">
        <f t="shared" si="490"/>
        <v>0</v>
      </c>
      <c r="AC653" s="99">
        <f t="shared" si="490"/>
        <v>0</v>
      </c>
      <c r="AD653" s="99">
        <f t="shared" si="490"/>
        <v>-6.9960000000000004</v>
      </c>
      <c r="AE653" s="467">
        <f t="shared" si="491"/>
        <v>-6.9960000000000004</v>
      </c>
      <c r="AF653" s="99">
        <f t="shared" si="491"/>
        <v>0</v>
      </c>
      <c r="AG653" s="99">
        <f t="shared" si="492"/>
        <v>0</v>
      </c>
      <c r="AH653" s="99">
        <f t="shared" si="492"/>
        <v>0</v>
      </c>
      <c r="AI653" s="99">
        <f t="shared" si="492"/>
        <v>0</v>
      </c>
      <c r="AJ653" s="467">
        <f t="shared" si="493"/>
        <v>0</v>
      </c>
      <c r="AK653" s="99">
        <f t="shared" si="493"/>
        <v>0</v>
      </c>
      <c r="AL653" s="99">
        <f t="shared" si="494"/>
        <v>0</v>
      </c>
      <c r="AM653" s="99">
        <f t="shared" si="494"/>
        <v>0</v>
      </c>
      <c r="AN653" s="99">
        <f t="shared" si="494"/>
        <v>0</v>
      </c>
      <c r="AO653" s="467">
        <f t="shared" si="495"/>
        <v>0</v>
      </c>
      <c r="AP653" s="99">
        <f t="shared" si="495"/>
        <v>0</v>
      </c>
      <c r="AQ653" s="99">
        <f t="shared" si="496"/>
        <v>0</v>
      </c>
      <c r="AR653" s="99">
        <f t="shared" si="496"/>
        <v>0</v>
      </c>
      <c r="AS653" s="99">
        <f t="shared" si="496"/>
        <v>0</v>
      </c>
      <c r="AT653" s="467">
        <f t="shared" si="497"/>
        <v>0</v>
      </c>
      <c r="AU653" s="99">
        <f t="shared" si="497"/>
        <v>0</v>
      </c>
      <c r="AV653" s="99">
        <f t="shared" si="498"/>
        <v>0</v>
      </c>
      <c r="AW653" s="99">
        <f t="shared" si="498"/>
        <v>0</v>
      </c>
      <c r="AX653" s="99">
        <f t="shared" si="498"/>
        <v>0</v>
      </c>
      <c r="AY653" s="467">
        <f t="shared" si="499"/>
        <v>0</v>
      </c>
      <c r="AZ653" s="99">
        <f t="shared" si="499"/>
        <v>0</v>
      </c>
      <c r="BA653" s="99">
        <f t="shared" si="500"/>
        <v>0</v>
      </c>
      <c r="BB653" s="99">
        <f t="shared" si="500"/>
        <v>0</v>
      </c>
      <c r="BC653" s="99">
        <f t="shared" si="500"/>
        <v>0</v>
      </c>
      <c r="BD653" s="467">
        <f t="shared" si="501"/>
        <v>0</v>
      </c>
      <c r="BE653" s="99">
        <f t="shared" si="501"/>
        <v>0</v>
      </c>
      <c r="BF653" s="99">
        <f t="shared" si="502"/>
        <v>0</v>
      </c>
      <c r="BG653" s="99">
        <f t="shared" si="502"/>
        <v>0</v>
      </c>
      <c r="BH653" s="99">
        <f t="shared" si="502"/>
        <v>0</v>
      </c>
      <c r="BI653" s="467">
        <f t="shared" si="503"/>
        <v>0</v>
      </c>
      <c r="BJ653" s="99">
        <f t="shared" si="503"/>
        <v>0</v>
      </c>
      <c r="BK653" s="99">
        <f t="shared" si="504"/>
        <v>0</v>
      </c>
      <c r="BL653" s="99">
        <f t="shared" si="504"/>
        <v>0</v>
      </c>
      <c r="BM653" s="99">
        <f t="shared" si="504"/>
        <v>0</v>
      </c>
      <c r="BN653" s="467">
        <f t="shared" si="505"/>
        <v>0</v>
      </c>
      <c r="BO653" s="99">
        <f t="shared" si="505"/>
        <v>0</v>
      </c>
      <c r="BP653" s="99">
        <f t="shared" si="506"/>
        <v>0</v>
      </c>
      <c r="BQ653" s="99">
        <f t="shared" si="506"/>
        <v>0</v>
      </c>
      <c r="BR653" s="99">
        <f t="shared" si="506"/>
        <v>0</v>
      </c>
      <c r="BS653" s="468">
        <f t="shared" si="507"/>
        <v>0</v>
      </c>
      <c r="BT653" s="63"/>
      <c r="BU653" s="63"/>
      <c r="BV653" s="63"/>
      <c r="BW653" s="63"/>
      <c r="BX653" s="413">
        <f t="shared" si="508"/>
        <v>0</v>
      </c>
      <c r="BY653" s="63"/>
      <c r="BZ653" s="63"/>
      <c r="CA653" s="63"/>
      <c r="CB653" s="63"/>
      <c r="CC653" s="413">
        <f t="shared" si="509"/>
        <v>0</v>
      </c>
      <c r="CD653" s="413"/>
      <c r="CE653" s="413"/>
      <c r="CF653" s="413"/>
      <c r="CG653" s="99"/>
    </row>
    <row r="654" spans="1:85" ht="14.45" customHeight="1" x14ac:dyDescent="0.25">
      <c r="A654" s="125" t="str">
        <f t="shared" si="480"/>
        <v>Gain on acquisition of Southeastern Container preferred shares in CCR redistribution</v>
      </c>
      <c r="B654" s="180"/>
      <c r="C654" s="467">
        <f t="shared" si="514"/>
        <v>0</v>
      </c>
      <c r="D654" s="467">
        <f t="shared" si="514"/>
        <v>0</v>
      </c>
      <c r="E654" s="467">
        <f t="shared" si="514"/>
        <v>0</v>
      </c>
      <c r="F654" s="467">
        <f t="shared" si="514"/>
        <v>0</v>
      </c>
      <c r="G654" s="99">
        <f t="shared" si="514"/>
        <v>0</v>
      </c>
      <c r="H654" s="99">
        <f t="shared" si="515"/>
        <v>0</v>
      </c>
      <c r="I654" s="99">
        <f t="shared" si="515"/>
        <v>0</v>
      </c>
      <c r="J654" s="99">
        <f t="shared" si="515"/>
        <v>0</v>
      </c>
      <c r="K654" s="467">
        <f t="shared" si="516"/>
        <v>0</v>
      </c>
      <c r="L654" s="99">
        <f t="shared" si="516"/>
        <v>0</v>
      </c>
      <c r="M654" s="99">
        <f t="shared" si="517"/>
        <v>0</v>
      </c>
      <c r="N654" s="99">
        <f t="shared" si="517"/>
        <v>0</v>
      </c>
      <c r="O654" s="99">
        <f t="shared" si="517"/>
        <v>0</v>
      </c>
      <c r="P654" s="467">
        <f t="shared" si="518"/>
        <v>0</v>
      </c>
      <c r="Q654" s="99">
        <f t="shared" si="518"/>
        <v>0</v>
      </c>
      <c r="R654" s="99">
        <f t="shared" si="519"/>
        <v>0</v>
      </c>
      <c r="S654" s="99">
        <f t="shared" si="519"/>
        <v>0</v>
      </c>
      <c r="T654" s="99">
        <f t="shared" si="519"/>
        <v>0</v>
      </c>
      <c r="U654" s="467">
        <f t="shared" si="520"/>
        <v>0</v>
      </c>
      <c r="V654" s="99">
        <f t="shared" si="520"/>
        <v>0</v>
      </c>
      <c r="W654" s="99">
        <f t="shared" si="521"/>
        <v>0</v>
      </c>
      <c r="X654" s="99">
        <f t="shared" si="521"/>
        <v>0</v>
      </c>
      <c r="Y654" s="99">
        <f t="shared" si="521"/>
        <v>0</v>
      </c>
      <c r="Z654" s="467">
        <f t="shared" si="522"/>
        <v>0</v>
      </c>
      <c r="AA654" s="99">
        <f t="shared" si="513"/>
        <v>0</v>
      </c>
      <c r="AB654" s="99">
        <f t="shared" si="490"/>
        <v>0</v>
      </c>
      <c r="AC654" s="99">
        <f t="shared" si="490"/>
        <v>0</v>
      </c>
      <c r="AD654" s="99">
        <f t="shared" si="490"/>
        <v>-6.0119999999999996</v>
      </c>
      <c r="AE654" s="467">
        <f t="shared" si="491"/>
        <v>-6.0119999999999996</v>
      </c>
      <c r="AF654" s="99">
        <f t="shared" si="491"/>
        <v>0</v>
      </c>
      <c r="AG654" s="99">
        <f t="shared" si="492"/>
        <v>0</v>
      </c>
      <c r="AH654" s="99">
        <f t="shared" si="492"/>
        <v>0</v>
      </c>
      <c r="AI654" s="99">
        <f t="shared" si="492"/>
        <v>0</v>
      </c>
      <c r="AJ654" s="467">
        <f t="shared" si="493"/>
        <v>0</v>
      </c>
      <c r="AK654" s="99">
        <f t="shared" si="493"/>
        <v>0</v>
      </c>
      <c r="AL654" s="99">
        <f t="shared" si="494"/>
        <v>0</v>
      </c>
      <c r="AM654" s="99">
        <f t="shared" si="494"/>
        <v>0</v>
      </c>
      <c r="AN654" s="99">
        <f t="shared" si="494"/>
        <v>0</v>
      </c>
      <c r="AO654" s="467">
        <f t="shared" si="495"/>
        <v>0</v>
      </c>
      <c r="AP654" s="99">
        <f t="shared" si="495"/>
        <v>0</v>
      </c>
      <c r="AQ654" s="99">
        <f t="shared" si="496"/>
        <v>0</v>
      </c>
      <c r="AR654" s="99">
        <f t="shared" si="496"/>
        <v>0</v>
      </c>
      <c r="AS654" s="99">
        <f t="shared" si="496"/>
        <v>0</v>
      </c>
      <c r="AT654" s="467">
        <f t="shared" si="497"/>
        <v>0</v>
      </c>
      <c r="AU654" s="99">
        <f t="shared" si="497"/>
        <v>0</v>
      </c>
      <c r="AV654" s="99">
        <f t="shared" si="498"/>
        <v>0</v>
      </c>
      <c r="AW654" s="99">
        <f t="shared" si="498"/>
        <v>0</v>
      </c>
      <c r="AX654" s="99">
        <f t="shared" si="498"/>
        <v>0</v>
      </c>
      <c r="AY654" s="467">
        <f t="shared" si="499"/>
        <v>0</v>
      </c>
      <c r="AZ654" s="99">
        <f t="shared" si="499"/>
        <v>0</v>
      </c>
      <c r="BA654" s="99">
        <f t="shared" si="500"/>
        <v>0</v>
      </c>
      <c r="BB654" s="99">
        <f t="shared" si="500"/>
        <v>0</v>
      </c>
      <c r="BC654" s="99">
        <f t="shared" si="500"/>
        <v>0</v>
      </c>
      <c r="BD654" s="467">
        <f t="shared" si="501"/>
        <v>0</v>
      </c>
      <c r="BE654" s="99">
        <f t="shared" si="501"/>
        <v>0</v>
      </c>
      <c r="BF654" s="99">
        <f t="shared" si="502"/>
        <v>0</v>
      </c>
      <c r="BG654" s="99">
        <f t="shared" si="502"/>
        <v>0</v>
      </c>
      <c r="BH654" s="99">
        <f t="shared" si="502"/>
        <v>0</v>
      </c>
      <c r="BI654" s="467">
        <f t="shared" si="503"/>
        <v>0</v>
      </c>
      <c r="BJ654" s="99">
        <f t="shared" si="503"/>
        <v>0</v>
      </c>
      <c r="BK654" s="99">
        <f t="shared" si="504"/>
        <v>0</v>
      </c>
      <c r="BL654" s="99">
        <f t="shared" si="504"/>
        <v>0</v>
      </c>
      <c r="BM654" s="99">
        <f t="shared" si="504"/>
        <v>0</v>
      </c>
      <c r="BN654" s="467">
        <f t="shared" si="505"/>
        <v>0</v>
      </c>
      <c r="BO654" s="99">
        <f t="shared" si="505"/>
        <v>0</v>
      </c>
      <c r="BP654" s="99">
        <f t="shared" si="506"/>
        <v>0</v>
      </c>
      <c r="BQ654" s="99">
        <f t="shared" si="506"/>
        <v>0</v>
      </c>
      <c r="BR654" s="99">
        <f t="shared" si="506"/>
        <v>0</v>
      </c>
      <c r="BS654" s="468">
        <f t="shared" si="507"/>
        <v>0</v>
      </c>
      <c r="BT654" s="63"/>
      <c r="BU654" s="63"/>
      <c r="BV654" s="63"/>
      <c r="BW654" s="63"/>
      <c r="BX654" s="413">
        <f t="shared" si="508"/>
        <v>0</v>
      </c>
      <c r="BY654" s="63"/>
      <c r="BZ654" s="63"/>
      <c r="CA654" s="63"/>
      <c r="CB654" s="63"/>
      <c r="CC654" s="413">
        <f t="shared" si="509"/>
        <v>0</v>
      </c>
      <c r="CD654" s="413"/>
      <c r="CE654" s="413"/>
      <c r="CF654" s="413"/>
      <c r="CG654" s="99"/>
    </row>
    <row r="655" spans="1:85" ht="14.45" customHeight="1" x14ac:dyDescent="0.25">
      <c r="A655" s="125" t="str">
        <f t="shared" si="480"/>
        <v>Fair value adjustment of acquisition related contingent consideration</v>
      </c>
      <c r="B655" s="180"/>
      <c r="C655" s="467">
        <f t="shared" si="514"/>
        <v>0</v>
      </c>
      <c r="D655" s="467">
        <f t="shared" si="514"/>
        <v>0</v>
      </c>
      <c r="E655" s="467">
        <f t="shared" si="514"/>
        <v>0</v>
      </c>
      <c r="F655" s="467">
        <f t="shared" si="514"/>
        <v>0</v>
      </c>
      <c r="G655" s="99">
        <f t="shared" si="514"/>
        <v>0</v>
      </c>
      <c r="H655" s="99">
        <f t="shared" si="515"/>
        <v>0</v>
      </c>
      <c r="I655" s="99">
        <f t="shared" si="515"/>
        <v>0</v>
      </c>
      <c r="J655" s="99">
        <f t="shared" si="515"/>
        <v>0</v>
      </c>
      <c r="K655" s="467">
        <f t="shared" si="516"/>
        <v>0</v>
      </c>
      <c r="L655" s="99">
        <f t="shared" si="516"/>
        <v>0</v>
      </c>
      <c r="M655" s="99">
        <f t="shared" si="517"/>
        <v>0</v>
      </c>
      <c r="N655" s="99">
        <f t="shared" si="517"/>
        <v>0</v>
      </c>
      <c r="O655" s="99">
        <f t="shared" si="517"/>
        <v>1.077</v>
      </c>
      <c r="P655" s="467">
        <f t="shared" si="518"/>
        <v>1.077</v>
      </c>
      <c r="Q655" s="99">
        <f t="shared" si="518"/>
        <v>5.0890000000000004</v>
      </c>
      <c r="R655" s="99">
        <f t="shared" si="519"/>
        <v>-6.0780000000000003</v>
      </c>
      <c r="S655" s="99">
        <f t="shared" si="519"/>
        <v>3.992</v>
      </c>
      <c r="T655" s="99">
        <f t="shared" si="519"/>
        <v>0.57299999999999995</v>
      </c>
      <c r="U655" s="467">
        <f t="shared" si="520"/>
        <v>3.5760000000000001</v>
      </c>
      <c r="V655" s="99">
        <f t="shared" si="520"/>
        <v>17.151</v>
      </c>
      <c r="W655" s="99">
        <f t="shared" si="521"/>
        <v>16.273999999999997</v>
      </c>
      <c r="X655" s="99">
        <f t="shared" si="521"/>
        <v>-7.3649999999999984</v>
      </c>
      <c r="Y655" s="99">
        <f t="shared" si="521"/>
        <v>-27.97</v>
      </c>
      <c r="Z655" s="467">
        <f t="shared" si="522"/>
        <v>-1.91</v>
      </c>
      <c r="AA655" s="99">
        <f t="shared" si="513"/>
        <v>12.246</v>
      </c>
      <c r="AB655" s="99">
        <f t="shared" si="490"/>
        <v>16.119</v>
      </c>
      <c r="AC655" s="99">
        <f t="shared" si="490"/>
        <v>-5.2249999999999979</v>
      </c>
      <c r="AD655" s="99">
        <f t="shared" si="490"/>
        <v>-19.914000000000001</v>
      </c>
      <c r="AE655" s="467">
        <f t="shared" si="491"/>
        <v>3.226</v>
      </c>
      <c r="AF655" s="99">
        <f t="shared" si="491"/>
        <v>-5.1859999999999999</v>
      </c>
      <c r="AG655" s="99">
        <f t="shared" si="492"/>
        <v>9.1430000000000007</v>
      </c>
      <c r="AH655" s="99">
        <f t="shared" si="492"/>
        <v>-2.3729999999999998</v>
      </c>
      <c r="AI655" s="99">
        <f t="shared" si="492"/>
        <v>27.183</v>
      </c>
      <c r="AJ655" s="467">
        <f t="shared" si="493"/>
        <v>28.766999999999999</v>
      </c>
      <c r="AK655" s="99">
        <f t="shared" si="493"/>
        <v>14.045999999999999</v>
      </c>
      <c r="AL655" s="99">
        <f t="shared" si="494"/>
        <v>29.222000000000001</v>
      </c>
      <c r="AM655" s="99">
        <f t="shared" si="494"/>
        <v>18.749000000000002</v>
      </c>
      <c r="AN655" s="99">
        <f t="shared" si="494"/>
        <v>30.770999999999994</v>
      </c>
      <c r="AO655" s="467">
        <f t="shared" si="495"/>
        <v>92.787999999999997</v>
      </c>
      <c r="AP655" s="99">
        <f t="shared" si="495"/>
        <v>0.71199999999999997</v>
      </c>
      <c r="AQ655" s="99">
        <f t="shared" si="496"/>
        <v>14.548</v>
      </c>
      <c r="AR655" s="99">
        <f t="shared" si="496"/>
        <v>19.808</v>
      </c>
      <c r="AS655" s="99">
        <f t="shared" si="496"/>
        <v>-3.857999999999997</v>
      </c>
      <c r="AT655" s="467">
        <f t="shared" si="497"/>
        <v>31.21</v>
      </c>
      <c r="AU655" s="99">
        <f t="shared" si="497"/>
        <v>10.997999999999999</v>
      </c>
      <c r="AV655" s="99">
        <f t="shared" si="498"/>
        <v>45.983000000000004</v>
      </c>
      <c r="AW655" s="99">
        <f t="shared" si="498"/>
        <v>33.923999999999999</v>
      </c>
      <c r="AX655" s="99">
        <f t="shared" si="498"/>
        <v>55.402999999999992</v>
      </c>
      <c r="AY655" s="467">
        <f t="shared" si="499"/>
        <v>146.30799999999999</v>
      </c>
      <c r="AZ655" s="99">
        <f t="shared" si="499"/>
        <v>-5.4569999999999999</v>
      </c>
      <c r="BA655" s="99">
        <f t="shared" si="500"/>
        <v>4.0209999999999999</v>
      </c>
      <c r="BB655" s="99">
        <f t="shared" si="500"/>
        <v>22.568000000000001</v>
      </c>
      <c r="BC655" s="99">
        <f t="shared" si="500"/>
        <v>11.169</v>
      </c>
      <c r="BD655" s="467">
        <f t="shared" si="501"/>
        <v>32.301000000000002</v>
      </c>
      <c r="BE655" s="99">
        <f t="shared" si="501"/>
        <v>41.654000000000003</v>
      </c>
      <c r="BF655" s="99">
        <f t="shared" si="502"/>
        <v>25.520000000000003</v>
      </c>
      <c r="BG655" s="99">
        <f t="shared" si="502"/>
        <v>18.86399999999999</v>
      </c>
      <c r="BH655" s="99">
        <f t="shared" si="502"/>
        <v>73.316000000000017</v>
      </c>
      <c r="BI655" s="467">
        <f t="shared" si="503"/>
        <v>159.35400000000001</v>
      </c>
      <c r="BJ655" s="99">
        <f t="shared" si="503"/>
        <v>-5.5410000000000004</v>
      </c>
      <c r="BK655" s="99">
        <f t="shared" si="504"/>
        <v>27.826000000000001</v>
      </c>
      <c r="BL655" s="99">
        <f t="shared" si="504"/>
        <v>68.591999999999999</v>
      </c>
      <c r="BM655" s="99">
        <f t="shared" si="504"/>
        <v>-31.710999999999999</v>
      </c>
      <c r="BN655" s="467">
        <f t="shared" si="505"/>
        <v>59.165999999999997</v>
      </c>
      <c r="BO655" s="99">
        <f t="shared" si="505"/>
        <v>42.728000000000002</v>
      </c>
      <c r="BP655" s="99">
        <f t="shared" si="506"/>
        <v>12.39</v>
      </c>
      <c r="BQ655" s="99">
        <f t="shared" si="506"/>
        <v>49.35</v>
      </c>
      <c r="BR655" s="99">
        <f t="shared" si="506"/>
        <v>27.433000000000007</v>
      </c>
      <c r="BS655" s="468">
        <f t="shared" si="507"/>
        <v>131.90100000000001</v>
      </c>
      <c r="BT655" s="63"/>
      <c r="BU655" s="63"/>
      <c r="BV655" s="63"/>
      <c r="BW655" s="63"/>
      <c r="BX655" s="413">
        <f t="shared" si="508"/>
        <v>0</v>
      </c>
      <c r="BY655" s="63"/>
      <c r="BZ655" s="63"/>
      <c r="CA655" s="63"/>
      <c r="CB655" s="63"/>
      <c r="CC655" s="413">
        <f t="shared" si="509"/>
        <v>0</v>
      </c>
      <c r="CD655" s="413"/>
      <c r="CE655" s="413"/>
      <c r="CF655" s="413"/>
      <c r="CG655" s="99"/>
    </row>
    <row r="656" spans="1:85" ht="14.45" customHeight="1" x14ac:dyDescent="0.25">
      <c r="A656" s="130" t="str">
        <f t="shared" si="480"/>
        <v>Other</v>
      </c>
      <c r="B656" s="190"/>
      <c r="C656" s="520">
        <f t="shared" si="514"/>
        <v>-2E-3</v>
      </c>
      <c r="D656" s="520">
        <f t="shared" si="514"/>
        <v>-1.4999999999999999E-2</v>
      </c>
      <c r="E656" s="520">
        <f t="shared" si="514"/>
        <v>5.0000000000000001E-3</v>
      </c>
      <c r="F656" s="520">
        <f t="shared" si="514"/>
        <v>-1E-3</v>
      </c>
      <c r="G656" s="103">
        <f t="shared" si="514"/>
        <v>5.0000000000000001E-3</v>
      </c>
      <c r="H656" s="103">
        <f t="shared" si="515"/>
        <v>9.9999999999999985E-3</v>
      </c>
      <c r="I656" s="103">
        <f t="shared" si="515"/>
        <v>-2.9999999999999992E-3</v>
      </c>
      <c r="J656" s="103">
        <f t="shared" si="515"/>
        <v>9.9999999999999915E-4</v>
      </c>
      <c r="K656" s="520">
        <f t="shared" si="516"/>
        <v>1.2999999999999999E-2</v>
      </c>
      <c r="L656" s="103">
        <f t="shared" si="516"/>
        <v>0</v>
      </c>
      <c r="M656" s="103">
        <f t="shared" si="517"/>
        <v>-1E-3</v>
      </c>
      <c r="N656" s="103">
        <f t="shared" si="517"/>
        <v>-5.0000000000000001E-3</v>
      </c>
      <c r="O656" s="103">
        <f t="shared" si="517"/>
        <v>-2.9999999999999992E-3</v>
      </c>
      <c r="P656" s="520">
        <f t="shared" si="518"/>
        <v>-8.9999999999999993E-3</v>
      </c>
      <c r="Q656" s="103">
        <f t="shared" si="518"/>
        <v>-0.14899999999999999</v>
      </c>
      <c r="R656" s="103">
        <f t="shared" si="519"/>
        <v>0.13999999999999999</v>
      </c>
      <c r="S656" s="103">
        <f t="shared" si="519"/>
        <v>-1.0000000000000009E-3</v>
      </c>
      <c r="T656" s="103">
        <f t="shared" si="519"/>
        <v>2E-3</v>
      </c>
      <c r="U656" s="520">
        <f t="shared" si="520"/>
        <v>-8.0000000000000002E-3</v>
      </c>
      <c r="V656" s="103">
        <f t="shared" si="520"/>
        <v>2.7E-2</v>
      </c>
      <c r="W656" s="103">
        <f t="shared" si="521"/>
        <v>-1.0000000000000009E-3</v>
      </c>
      <c r="X656" s="103">
        <f t="shared" si="521"/>
        <v>1.0999999999999999E-2</v>
      </c>
      <c r="Y656" s="103">
        <f t="shared" si="521"/>
        <v>-1.1999999999999997E-2</v>
      </c>
      <c r="Z656" s="520">
        <f t="shared" si="522"/>
        <v>2.5000000000000001E-2</v>
      </c>
      <c r="AA656" s="103">
        <f t="shared" si="513"/>
        <v>1.2999999999999999E-2</v>
      </c>
      <c r="AB656" s="103">
        <f t="shared" si="490"/>
        <v>3.1E-2</v>
      </c>
      <c r="AC656" s="103">
        <f t="shared" si="490"/>
        <v>2.2000000000000006E-2</v>
      </c>
      <c r="AD656" s="103">
        <f t="shared" si="490"/>
        <v>1.1999999999999997E-2</v>
      </c>
      <c r="AE656" s="520">
        <f t="shared" si="491"/>
        <v>7.8E-2</v>
      </c>
      <c r="AF656" s="103">
        <f t="shared" si="491"/>
        <v>1.2999999999999999E-2</v>
      </c>
      <c r="AG656" s="103">
        <f t="shared" si="492"/>
        <v>-2E-3</v>
      </c>
      <c r="AH656" s="103">
        <f t="shared" si="492"/>
        <v>6.0000000000000019E-3</v>
      </c>
      <c r="AI656" s="103">
        <f t="shared" si="492"/>
        <v>1.9999999999999983E-3</v>
      </c>
      <c r="AJ656" s="520">
        <f t="shared" si="493"/>
        <v>1.9E-2</v>
      </c>
      <c r="AK656" s="103">
        <f t="shared" si="493"/>
        <v>0.437</v>
      </c>
      <c r="AL656" s="103">
        <f t="shared" si="494"/>
        <v>2.5000000000000022E-2</v>
      </c>
      <c r="AM656" s="103">
        <f t="shared" si="494"/>
        <v>-1.4000000000000012E-2</v>
      </c>
      <c r="AN656" s="103">
        <f t="shared" si="494"/>
        <v>-0.30000000000000004</v>
      </c>
      <c r="AO656" s="520">
        <f t="shared" si="495"/>
        <v>0.14799999999999999</v>
      </c>
      <c r="AP656" s="103">
        <f t="shared" si="495"/>
        <v>0</v>
      </c>
      <c r="AQ656" s="103">
        <f t="shared" si="496"/>
        <v>0</v>
      </c>
      <c r="AR656" s="103">
        <f t="shared" si="496"/>
        <v>1.048</v>
      </c>
      <c r="AS656" s="103">
        <f t="shared" si="496"/>
        <v>1.6999999999999904E-2</v>
      </c>
      <c r="AT656" s="520">
        <f t="shared" si="497"/>
        <v>1.0649999999999999</v>
      </c>
      <c r="AU656" s="103">
        <f t="shared" si="497"/>
        <v>-3.6999999999999998E-2</v>
      </c>
      <c r="AV656" s="103">
        <f t="shared" si="498"/>
        <v>3.6999999999999998E-2</v>
      </c>
      <c r="AW656" s="103">
        <f t="shared" si="498"/>
        <v>-1.4999999999999999E-2</v>
      </c>
      <c r="AX656" s="103">
        <f t="shared" si="498"/>
        <v>-8.0000000000000002E-3</v>
      </c>
      <c r="AY656" s="520">
        <f t="shared" si="499"/>
        <v>-2.3E-2</v>
      </c>
      <c r="AZ656" s="103">
        <f t="shared" si="499"/>
        <v>0</v>
      </c>
      <c r="BA656" s="103">
        <f t="shared" si="500"/>
        <v>0</v>
      </c>
      <c r="BB656" s="103">
        <f t="shared" si="500"/>
        <v>0</v>
      </c>
      <c r="BC656" s="103">
        <f t="shared" si="500"/>
        <v>0</v>
      </c>
      <c r="BD656" s="520">
        <f t="shared" si="501"/>
        <v>0</v>
      </c>
      <c r="BE656" s="103">
        <f t="shared" si="501"/>
        <v>0</v>
      </c>
      <c r="BF656" s="103">
        <f t="shared" si="502"/>
        <v>0</v>
      </c>
      <c r="BG656" s="103">
        <f t="shared" si="502"/>
        <v>0</v>
      </c>
      <c r="BH656" s="103">
        <f t="shared" si="502"/>
        <v>0</v>
      </c>
      <c r="BI656" s="520">
        <f t="shared" si="503"/>
        <v>0</v>
      </c>
      <c r="BJ656" s="103">
        <f t="shared" si="503"/>
        <v>0</v>
      </c>
      <c r="BK656" s="103">
        <f t="shared" si="504"/>
        <v>0</v>
      </c>
      <c r="BL656" s="103">
        <f t="shared" si="504"/>
        <v>0</v>
      </c>
      <c r="BM656" s="103">
        <f t="shared" si="504"/>
        <v>0</v>
      </c>
      <c r="BN656" s="520">
        <f t="shared" si="505"/>
        <v>0</v>
      </c>
      <c r="BO656" s="103">
        <f t="shared" si="505"/>
        <v>0</v>
      </c>
      <c r="BP656" s="103">
        <f t="shared" si="506"/>
        <v>0</v>
      </c>
      <c r="BQ656" s="103">
        <f t="shared" si="506"/>
        <v>0</v>
      </c>
      <c r="BR656" s="103">
        <f t="shared" si="506"/>
        <v>0</v>
      </c>
      <c r="BS656" s="521">
        <f t="shared" si="507"/>
        <v>0</v>
      </c>
      <c r="BT656" s="158"/>
      <c r="BU656" s="158"/>
      <c r="BV656" s="158"/>
      <c r="BW656" s="158"/>
      <c r="BX656" s="415">
        <f t="shared" si="508"/>
        <v>0</v>
      </c>
      <c r="BY656" s="158"/>
      <c r="BZ656" s="158"/>
      <c r="CA656" s="158"/>
      <c r="CB656" s="158"/>
      <c r="CC656" s="415">
        <f t="shared" si="509"/>
        <v>0</v>
      </c>
      <c r="CD656" s="415"/>
      <c r="CE656" s="415"/>
      <c r="CF656" s="415"/>
      <c r="CG656" s="99"/>
    </row>
    <row r="657" spans="1:85" ht="14.45" customHeight="1" x14ac:dyDescent="0.25">
      <c r="A657" s="110" t="str">
        <f t="shared" si="480"/>
        <v>CFO before WC</v>
      </c>
      <c r="B657" s="212"/>
      <c r="C657" s="416">
        <f t="shared" ref="C657:AH657" si="523">SUM(C635:C656)</f>
        <v>113.20599999999999</v>
      </c>
      <c r="D657" s="416">
        <f t="shared" si="523"/>
        <v>106.774</v>
      </c>
      <c r="E657" s="416">
        <f t="shared" si="523"/>
        <v>106.032</v>
      </c>
      <c r="F657" s="416">
        <f t="shared" si="523"/>
        <v>104.80800000000001</v>
      </c>
      <c r="G657" s="106">
        <f t="shared" si="523"/>
        <v>20.423999999999999</v>
      </c>
      <c r="H657" s="106">
        <f t="shared" si="523"/>
        <v>28.185000000000002</v>
      </c>
      <c r="I657" s="106">
        <f t="shared" si="523"/>
        <v>32.499000000000009</v>
      </c>
      <c r="J657" s="106">
        <f t="shared" si="523"/>
        <v>16.023999999999997</v>
      </c>
      <c r="K657" s="416">
        <f t="shared" si="523"/>
        <v>97.132000000000005</v>
      </c>
      <c r="L657" s="106">
        <f t="shared" si="523"/>
        <v>18.905000000000005</v>
      </c>
      <c r="M657" s="106">
        <f t="shared" si="523"/>
        <v>31.606999999999999</v>
      </c>
      <c r="N657" s="106">
        <f t="shared" si="523"/>
        <v>30.530999999999992</v>
      </c>
      <c r="O657" s="106">
        <f t="shared" si="523"/>
        <v>27.053000000000004</v>
      </c>
      <c r="P657" s="416">
        <f t="shared" si="523"/>
        <v>108.096</v>
      </c>
      <c r="Q657" s="106">
        <f t="shared" si="523"/>
        <v>27.642000000000003</v>
      </c>
      <c r="R657" s="106">
        <f t="shared" si="523"/>
        <v>34.786999999999978</v>
      </c>
      <c r="S657" s="106">
        <f t="shared" si="523"/>
        <v>31.325999999999993</v>
      </c>
      <c r="T657" s="106">
        <f t="shared" si="523"/>
        <v>43.303000000000004</v>
      </c>
      <c r="U657" s="416">
        <f t="shared" si="523"/>
        <v>137.05799999999996</v>
      </c>
      <c r="V657" s="106">
        <f t="shared" si="523"/>
        <v>30.074999999999999</v>
      </c>
      <c r="W657" s="106">
        <f t="shared" si="523"/>
        <v>69.011999999999986</v>
      </c>
      <c r="X657" s="106">
        <f t="shared" si="523"/>
        <v>58.658000000000008</v>
      </c>
      <c r="Y657" s="106">
        <f t="shared" si="523"/>
        <v>69.573000000000008</v>
      </c>
      <c r="Z657" s="416">
        <f t="shared" si="523"/>
        <v>227.31800000000001</v>
      </c>
      <c r="AA657" s="106">
        <f t="shared" si="523"/>
        <v>117.53200000000001</v>
      </c>
      <c r="AB657" s="106">
        <f t="shared" si="523"/>
        <v>60.324999999999989</v>
      </c>
      <c r="AC657" s="106">
        <f t="shared" si="523"/>
        <v>60.741000000000007</v>
      </c>
      <c r="AD657" s="106">
        <f t="shared" si="523"/>
        <v>87.974999999999994</v>
      </c>
      <c r="AE657" s="416">
        <f t="shared" si="523"/>
        <v>326.57300000000004</v>
      </c>
      <c r="AF657" s="106">
        <f t="shared" si="523"/>
        <v>16.071000000000002</v>
      </c>
      <c r="AG657" s="106">
        <f t="shared" si="523"/>
        <v>55.960999999999999</v>
      </c>
      <c r="AH657" s="106">
        <f t="shared" si="523"/>
        <v>92.457000000000022</v>
      </c>
      <c r="AI657" s="106">
        <f t="shared" ref="AI657:BN657" si="524">SUM(AI635:AI656)</f>
        <v>51.552000000000007</v>
      </c>
      <c r="AJ657" s="416">
        <f t="shared" si="524"/>
        <v>216.04100000000003</v>
      </c>
      <c r="AK657" s="106">
        <f t="shared" si="524"/>
        <v>55.515999999999991</v>
      </c>
      <c r="AL657" s="106">
        <f t="shared" si="524"/>
        <v>102.61300000000003</v>
      </c>
      <c r="AM657" s="106">
        <f t="shared" si="524"/>
        <v>85.524999999999991</v>
      </c>
      <c r="AN657" s="106">
        <f t="shared" si="524"/>
        <v>70.398999999999987</v>
      </c>
      <c r="AO657" s="416">
        <f t="shared" si="524"/>
        <v>314.053</v>
      </c>
      <c r="AP657" s="106">
        <f t="shared" si="524"/>
        <v>66.492999999999995</v>
      </c>
      <c r="AQ657" s="106">
        <f t="shared" si="524"/>
        <v>118.307</v>
      </c>
      <c r="AR657" s="106">
        <f t="shared" si="524"/>
        <v>116.71700000000001</v>
      </c>
      <c r="AS657" s="106">
        <f t="shared" si="524"/>
        <v>114.87600000000003</v>
      </c>
      <c r="AT657" s="416">
        <f t="shared" si="524"/>
        <v>416.39300000000003</v>
      </c>
      <c r="AU657" s="106">
        <f t="shared" si="524"/>
        <v>129.70500000000001</v>
      </c>
      <c r="AV657" s="106">
        <f t="shared" si="524"/>
        <v>125.20100000000002</v>
      </c>
      <c r="AW657" s="106">
        <f t="shared" si="524"/>
        <v>141.97300000000001</v>
      </c>
      <c r="AX657" s="106">
        <f t="shared" si="524"/>
        <v>102.00599999999999</v>
      </c>
      <c r="AY657" s="416">
        <f t="shared" si="524"/>
        <v>498.88499999999993</v>
      </c>
      <c r="AZ657" s="106">
        <f t="shared" si="524"/>
        <v>165.01999999999998</v>
      </c>
      <c r="BA657" s="106">
        <f t="shared" si="524"/>
        <v>125.36800000000001</v>
      </c>
      <c r="BB657" s="106">
        <f t="shared" si="524"/>
        <v>166.47300000000004</v>
      </c>
      <c r="BC657" s="106">
        <f t="shared" si="524"/>
        <v>174.08</v>
      </c>
      <c r="BD657" s="416">
        <f t="shared" si="524"/>
        <v>630.94100000000003</v>
      </c>
      <c r="BE657" s="106">
        <f t="shared" si="524"/>
        <v>246.66800000000001</v>
      </c>
      <c r="BF657" s="106">
        <f t="shared" si="524"/>
        <v>184.68799999999999</v>
      </c>
      <c r="BG657" s="106">
        <f t="shared" si="524"/>
        <v>207.33699999999993</v>
      </c>
      <c r="BH657" s="106">
        <f t="shared" si="524"/>
        <v>177.94900000000001</v>
      </c>
      <c r="BI657" s="416">
        <f t="shared" si="524"/>
        <v>816.64200000000017</v>
      </c>
      <c r="BJ657" s="106">
        <f t="shared" si="524"/>
        <v>264.488</v>
      </c>
      <c r="BK657" s="106">
        <f t="shared" si="524"/>
        <v>195.96899999999994</v>
      </c>
      <c r="BL657" s="106">
        <f t="shared" si="524"/>
        <v>215.32299999999998</v>
      </c>
      <c r="BM657" s="106">
        <f t="shared" si="524"/>
        <v>218.30899999999997</v>
      </c>
      <c r="BN657" s="416">
        <f t="shared" si="524"/>
        <v>894.08899999999994</v>
      </c>
      <c r="BO657" s="106">
        <f t="shared" ref="BO657:CF657" si="525">SUM(BO635:BO656)</f>
        <v>237.19400000000002</v>
      </c>
      <c r="BP657" s="106">
        <f t="shared" si="525"/>
        <v>200.88200000000001</v>
      </c>
      <c r="BQ657" s="106">
        <f t="shared" si="525"/>
        <v>265.37600000000003</v>
      </c>
      <c r="BR657" s="106">
        <f t="shared" si="525"/>
        <v>235.255</v>
      </c>
      <c r="BS657" s="417">
        <f t="shared" si="525"/>
        <v>938.70699999999988</v>
      </c>
      <c r="BT657" s="159">
        <f t="shared" si="525"/>
        <v>189.81891324460264</v>
      </c>
      <c r="BU657" s="159">
        <f t="shared" si="525"/>
        <v>238.10049316385741</v>
      </c>
      <c r="BV657" s="159">
        <f t="shared" si="525"/>
        <v>245.58073820408799</v>
      </c>
      <c r="BW657" s="159">
        <f t="shared" si="525"/>
        <v>243.73683883042401</v>
      </c>
      <c r="BX657" s="418">
        <f t="shared" si="525"/>
        <v>917.23698344297202</v>
      </c>
      <c r="BY657" s="159">
        <f t="shared" si="525"/>
        <v>212.74475701871248</v>
      </c>
      <c r="BZ657" s="159">
        <f t="shared" si="525"/>
        <v>242.58268459810282</v>
      </c>
      <c r="CA657" s="159">
        <f t="shared" si="525"/>
        <v>250.07906845153417</v>
      </c>
      <c r="CB657" s="159">
        <f t="shared" si="525"/>
        <v>248.05218457202886</v>
      </c>
      <c r="CC657" s="418">
        <f t="shared" si="525"/>
        <v>953.45869464037833</v>
      </c>
      <c r="CD657" s="418">
        <f t="shared" si="525"/>
        <v>972.67618796854754</v>
      </c>
      <c r="CE657" s="418">
        <f t="shared" si="525"/>
        <v>989.60656396729996</v>
      </c>
      <c r="CF657" s="418">
        <f t="shared" si="525"/>
        <v>1005.5097552892901</v>
      </c>
      <c r="CG657" s="109"/>
    </row>
    <row r="658" spans="1:85" ht="14.45" customHeight="1" x14ac:dyDescent="0.25">
      <c r="A658" s="125" t="str">
        <f t="shared" si="480"/>
        <v>Change in account receivable</v>
      </c>
      <c r="B658" s="180"/>
      <c r="C658" s="467">
        <f t="shared" ref="C658:G663" si="526">C572</f>
        <v>0</v>
      </c>
      <c r="D658" s="467">
        <f t="shared" si="526"/>
        <v>0</v>
      </c>
      <c r="E658" s="467">
        <f t="shared" si="526"/>
        <v>0</v>
      </c>
      <c r="F658" s="467">
        <f t="shared" si="526"/>
        <v>0</v>
      </c>
      <c r="G658" s="99">
        <f t="shared" si="526"/>
        <v>0</v>
      </c>
      <c r="H658" s="99">
        <f t="shared" ref="H658:J663" si="527">H572-G572</f>
        <v>0</v>
      </c>
      <c r="I658" s="99">
        <f t="shared" si="527"/>
        <v>0</v>
      </c>
      <c r="J658" s="99">
        <f t="shared" si="527"/>
        <v>0</v>
      </c>
      <c r="K658" s="467">
        <f t="shared" ref="K658:L663" si="528">K572</f>
        <v>0</v>
      </c>
      <c r="L658" s="99">
        <f t="shared" si="528"/>
        <v>0</v>
      </c>
      <c r="M658" s="99">
        <f t="shared" ref="M658:O663" si="529">M572-L572</f>
        <v>0</v>
      </c>
      <c r="N658" s="99">
        <f t="shared" si="529"/>
        <v>0</v>
      </c>
      <c r="O658" s="99">
        <f t="shared" si="529"/>
        <v>0</v>
      </c>
      <c r="P658" s="467">
        <f t="shared" ref="P658:Q663" si="530">P572</f>
        <v>0</v>
      </c>
      <c r="Q658" s="99">
        <f t="shared" si="530"/>
        <v>0</v>
      </c>
      <c r="R658" s="99">
        <f t="shared" ref="R658:T663" si="531">R572-Q572</f>
        <v>0</v>
      </c>
      <c r="S658" s="99">
        <f t="shared" si="531"/>
        <v>0</v>
      </c>
      <c r="T658" s="99">
        <f t="shared" si="531"/>
        <v>0</v>
      </c>
      <c r="U658" s="467">
        <f t="shared" ref="U658:V663" si="532">U572</f>
        <v>0</v>
      </c>
      <c r="V658" s="99">
        <f t="shared" si="532"/>
        <v>0</v>
      </c>
      <c r="W658" s="99">
        <f t="shared" ref="W658:Y663" si="533">W572-V572</f>
        <v>0</v>
      </c>
      <c r="X658" s="99">
        <f t="shared" si="533"/>
        <v>0</v>
      </c>
      <c r="Y658" s="99">
        <f t="shared" si="533"/>
        <v>0</v>
      </c>
      <c r="Z658" s="467">
        <f t="shared" ref="Z658:AA663" si="534">Z572</f>
        <v>0</v>
      </c>
      <c r="AA658" s="99">
        <f t="shared" si="534"/>
        <v>0</v>
      </c>
      <c r="AB658" s="99">
        <f t="shared" ref="AB658:AD663" si="535">AB572-AA572</f>
        <v>0</v>
      </c>
      <c r="AC658" s="99">
        <f t="shared" si="535"/>
        <v>0</v>
      </c>
      <c r="AD658" s="99">
        <f t="shared" si="535"/>
        <v>0</v>
      </c>
      <c r="AE658" s="467">
        <f t="shared" ref="AE658:AF663" si="536">AE572</f>
        <v>0</v>
      </c>
      <c r="AF658" s="99">
        <f t="shared" si="536"/>
        <v>0</v>
      </c>
      <c r="AG658" s="99">
        <f t="shared" ref="AG658:AI663" si="537">AG572-AF572</f>
        <v>0</v>
      </c>
      <c r="AH658" s="99">
        <f t="shared" si="537"/>
        <v>0</v>
      </c>
      <c r="AI658" s="99">
        <f t="shared" si="537"/>
        <v>0</v>
      </c>
      <c r="AJ658" s="467">
        <f t="shared" ref="AJ658:AK663" si="538">AJ572</f>
        <v>0</v>
      </c>
      <c r="AK658" s="99">
        <f t="shared" si="538"/>
        <v>0</v>
      </c>
      <c r="AL658" s="99">
        <f t="shared" ref="AL658:AN663" si="539">AL572-AK572</f>
        <v>0</v>
      </c>
      <c r="AM658" s="99">
        <f t="shared" si="539"/>
        <v>0</v>
      </c>
      <c r="AN658" s="99">
        <f t="shared" si="539"/>
        <v>0</v>
      </c>
      <c r="AO658" s="467">
        <f t="shared" ref="AO658:AP663" si="540">AO572</f>
        <v>0</v>
      </c>
      <c r="AP658" s="99">
        <f t="shared" si="540"/>
        <v>0</v>
      </c>
      <c r="AQ658" s="99">
        <f t="shared" ref="AQ658:AS663" si="541">AQ572-AP572</f>
        <v>0</v>
      </c>
      <c r="AR658" s="99">
        <f t="shared" si="541"/>
        <v>0</v>
      </c>
      <c r="AS658" s="99">
        <f t="shared" si="541"/>
        <v>0</v>
      </c>
      <c r="AT658" s="467">
        <f t="shared" ref="AT658:AU663" si="542">AT572</f>
        <v>0</v>
      </c>
      <c r="AU658" s="99">
        <f t="shared" si="542"/>
        <v>0</v>
      </c>
      <c r="AV658" s="99">
        <f t="shared" ref="AV658:AX663" si="543">AV572-AU572</f>
        <v>0</v>
      </c>
      <c r="AW658" s="99">
        <f t="shared" si="543"/>
        <v>0</v>
      </c>
      <c r="AX658" s="99">
        <f t="shared" si="543"/>
        <v>0</v>
      </c>
      <c r="AY658" s="467">
        <f t="shared" ref="AY658:AZ663" si="544">AY572</f>
        <v>0</v>
      </c>
      <c r="AZ658" s="99">
        <f t="shared" si="544"/>
        <v>0</v>
      </c>
      <c r="BA658" s="99">
        <f t="shared" ref="BA658:BC663" si="545">BA572-AZ572</f>
        <v>0</v>
      </c>
      <c r="BB658" s="99">
        <f t="shared" si="545"/>
        <v>0</v>
      </c>
      <c r="BC658" s="99">
        <f t="shared" si="545"/>
        <v>0</v>
      </c>
      <c r="BD658" s="467">
        <f t="shared" ref="BD658:BE663" si="546">BD572</f>
        <v>0</v>
      </c>
      <c r="BE658" s="99">
        <f t="shared" si="546"/>
        <v>0</v>
      </c>
      <c r="BF658" s="99">
        <f t="shared" ref="BF658:BH663" si="547">BF572-BE572</f>
        <v>0</v>
      </c>
      <c r="BG658" s="99">
        <f t="shared" si="547"/>
        <v>0</v>
      </c>
      <c r="BH658" s="99">
        <f t="shared" si="547"/>
        <v>0</v>
      </c>
      <c r="BI658" s="467">
        <f t="shared" ref="BI658:BJ663" si="548">BI572</f>
        <v>0</v>
      </c>
      <c r="BJ658" s="99">
        <f t="shared" si="548"/>
        <v>0</v>
      </c>
      <c r="BK658" s="99">
        <f t="shared" ref="BK658:BM663" si="549">BK572-BJ572</f>
        <v>0</v>
      </c>
      <c r="BL658" s="99">
        <f t="shared" si="549"/>
        <v>0</v>
      </c>
      <c r="BM658" s="99">
        <f t="shared" si="549"/>
        <v>0</v>
      </c>
      <c r="BN658" s="467">
        <f t="shared" ref="BN658:BO663" si="550">BN572</f>
        <v>0</v>
      </c>
      <c r="BO658" s="99">
        <f t="shared" si="550"/>
        <v>0</v>
      </c>
      <c r="BP658" s="99">
        <f t="shared" ref="BP658:BR663" si="551">BP572-BO572</f>
        <v>0</v>
      </c>
      <c r="BQ658" s="99">
        <f t="shared" si="551"/>
        <v>0</v>
      </c>
      <c r="BR658" s="99">
        <f t="shared" si="551"/>
        <v>0</v>
      </c>
      <c r="BS658" s="468">
        <f t="shared" ref="BS658:BS663" si="552">BS572</f>
        <v>0</v>
      </c>
      <c r="BT658" s="63">
        <f t="shared" ref="BT658:BW659" si="553">BS761-BT761</f>
        <v>-20.734122974963157</v>
      </c>
      <c r="BU658" s="63">
        <f t="shared" si="553"/>
        <v>-33.365966517033939</v>
      </c>
      <c r="BV658" s="63">
        <f t="shared" si="553"/>
        <v>13.838904073250546</v>
      </c>
      <c r="BW658" s="63">
        <f t="shared" si="553"/>
        <v>24.689529411403214</v>
      </c>
      <c r="BX658" s="413">
        <f t="shared" ref="BX658:BX663" si="554">SUM(BT658,BU658,BV658,BW658)</f>
        <v>-15.571656007343336</v>
      </c>
      <c r="BY658" s="63">
        <f t="shared" ref="BY658:CB659" si="555">BX761-BY761</f>
        <v>-21.225077653370136</v>
      </c>
      <c r="BZ658" s="63">
        <f t="shared" si="555"/>
        <v>-31.78703348478507</v>
      </c>
      <c r="CA658" s="63">
        <f t="shared" si="555"/>
        <v>20.097089303535654</v>
      </c>
      <c r="CB658" s="63">
        <f t="shared" si="555"/>
        <v>26.008540157471771</v>
      </c>
      <c r="CC658" s="413">
        <f t="shared" ref="CC658:CC663" si="556">SUM(BY658,BZ658,CA658,CB658)</f>
        <v>-6.9064816771477808</v>
      </c>
      <c r="CD658" s="413">
        <f t="shared" ref="CD658:CF659" si="557">CC761-CD761</f>
        <v>-8.2230839291748907</v>
      </c>
      <c r="CE658" s="413">
        <f t="shared" si="557"/>
        <v>-8.3564445136360064</v>
      </c>
      <c r="CF658" s="413">
        <f t="shared" si="557"/>
        <v>-8.4923168043155783</v>
      </c>
      <c r="CG658" s="99"/>
    </row>
    <row r="659" spans="1:85" ht="14.45" customHeight="1" x14ac:dyDescent="0.25">
      <c r="A659" s="125" t="str">
        <f t="shared" si="480"/>
        <v>Change in inventory</v>
      </c>
      <c r="B659" s="180"/>
      <c r="C659" s="467">
        <f t="shared" si="526"/>
        <v>0</v>
      </c>
      <c r="D659" s="467">
        <f t="shared" si="526"/>
        <v>0</v>
      </c>
      <c r="E659" s="467">
        <f t="shared" si="526"/>
        <v>0</v>
      </c>
      <c r="F659" s="467">
        <f t="shared" si="526"/>
        <v>0</v>
      </c>
      <c r="G659" s="99">
        <f t="shared" si="526"/>
        <v>0</v>
      </c>
      <c r="H659" s="99">
        <f t="shared" si="527"/>
        <v>0</v>
      </c>
      <c r="I659" s="99">
        <f t="shared" si="527"/>
        <v>0</v>
      </c>
      <c r="J659" s="99">
        <f t="shared" si="527"/>
        <v>0</v>
      </c>
      <c r="K659" s="467">
        <f t="shared" si="528"/>
        <v>0</v>
      </c>
      <c r="L659" s="99">
        <f t="shared" si="528"/>
        <v>0</v>
      </c>
      <c r="M659" s="99">
        <f t="shared" si="529"/>
        <v>0</v>
      </c>
      <c r="N659" s="99">
        <f t="shared" si="529"/>
        <v>0</v>
      </c>
      <c r="O659" s="99">
        <f t="shared" si="529"/>
        <v>0</v>
      </c>
      <c r="P659" s="467">
        <f t="shared" si="530"/>
        <v>0</v>
      </c>
      <c r="Q659" s="99">
        <f t="shared" si="530"/>
        <v>0</v>
      </c>
      <c r="R659" s="99">
        <f t="shared" si="531"/>
        <v>0</v>
      </c>
      <c r="S659" s="99">
        <f t="shared" si="531"/>
        <v>0</v>
      </c>
      <c r="T659" s="99">
        <f t="shared" si="531"/>
        <v>0</v>
      </c>
      <c r="U659" s="467">
        <f t="shared" si="532"/>
        <v>0</v>
      </c>
      <c r="V659" s="99">
        <f t="shared" si="532"/>
        <v>0</v>
      </c>
      <c r="W659" s="99">
        <f t="shared" si="533"/>
        <v>0</v>
      </c>
      <c r="X659" s="99">
        <f t="shared" si="533"/>
        <v>0</v>
      </c>
      <c r="Y659" s="99">
        <f t="shared" si="533"/>
        <v>0</v>
      </c>
      <c r="Z659" s="467">
        <f t="shared" si="534"/>
        <v>0</v>
      </c>
      <c r="AA659" s="99">
        <f t="shared" si="534"/>
        <v>0</v>
      </c>
      <c r="AB659" s="99">
        <f t="shared" si="535"/>
        <v>0</v>
      </c>
      <c r="AC659" s="99">
        <f t="shared" si="535"/>
        <v>0</v>
      </c>
      <c r="AD659" s="99">
        <f t="shared" si="535"/>
        <v>0</v>
      </c>
      <c r="AE659" s="467">
        <f t="shared" si="536"/>
        <v>0</v>
      </c>
      <c r="AF659" s="99">
        <f t="shared" si="536"/>
        <v>0</v>
      </c>
      <c r="AG659" s="99">
        <f t="shared" si="537"/>
        <v>0</v>
      </c>
      <c r="AH659" s="99">
        <f t="shared" si="537"/>
        <v>0</v>
      </c>
      <c r="AI659" s="99">
        <f t="shared" si="537"/>
        <v>0</v>
      </c>
      <c r="AJ659" s="467">
        <f t="shared" si="538"/>
        <v>0</v>
      </c>
      <c r="AK659" s="99">
        <f t="shared" si="538"/>
        <v>0</v>
      </c>
      <c r="AL659" s="99">
        <f t="shared" si="539"/>
        <v>0</v>
      </c>
      <c r="AM659" s="99">
        <f t="shared" si="539"/>
        <v>0</v>
      </c>
      <c r="AN659" s="99">
        <f t="shared" si="539"/>
        <v>0</v>
      </c>
      <c r="AO659" s="467">
        <f t="shared" si="540"/>
        <v>0</v>
      </c>
      <c r="AP659" s="99">
        <f t="shared" si="540"/>
        <v>0</v>
      </c>
      <c r="AQ659" s="99">
        <f t="shared" si="541"/>
        <v>0</v>
      </c>
      <c r="AR659" s="99">
        <f t="shared" si="541"/>
        <v>0</v>
      </c>
      <c r="AS659" s="99">
        <f t="shared" si="541"/>
        <v>0</v>
      </c>
      <c r="AT659" s="467">
        <f t="shared" si="542"/>
        <v>0</v>
      </c>
      <c r="AU659" s="99">
        <f t="shared" si="542"/>
        <v>0</v>
      </c>
      <c r="AV659" s="99">
        <f t="shared" si="543"/>
        <v>0</v>
      </c>
      <c r="AW659" s="99">
        <f t="shared" si="543"/>
        <v>0</v>
      </c>
      <c r="AX659" s="99">
        <f t="shared" si="543"/>
        <v>0</v>
      </c>
      <c r="AY659" s="467">
        <f t="shared" si="544"/>
        <v>0</v>
      </c>
      <c r="AZ659" s="99">
        <f t="shared" si="544"/>
        <v>0</v>
      </c>
      <c r="BA659" s="99">
        <f t="shared" si="545"/>
        <v>0</v>
      </c>
      <c r="BB659" s="99">
        <f t="shared" si="545"/>
        <v>0</v>
      </c>
      <c r="BC659" s="99">
        <f t="shared" si="545"/>
        <v>0</v>
      </c>
      <c r="BD659" s="467">
        <f t="shared" si="546"/>
        <v>0</v>
      </c>
      <c r="BE659" s="99">
        <f t="shared" si="546"/>
        <v>0</v>
      </c>
      <c r="BF659" s="99">
        <f t="shared" si="547"/>
        <v>0</v>
      </c>
      <c r="BG659" s="99">
        <f t="shared" si="547"/>
        <v>0</v>
      </c>
      <c r="BH659" s="99">
        <f t="shared" si="547"/>
        <v>0</v>
      </c>
      <c r="BI659" s="467">
        <f t="shared" si="548"/>
        <v>0</v>
      </c>
      <c r="BJ659" s="99">
        <f t="shared" si="548"/>
        <v>0</v>
      </c>
      <c r="BK659" s="99">
        <f t="shared" si="549"/>
        <v>0</v>
      </c>
      <c r="BL659" s="99">
        <f t="shared" si="549"/>
        <v>0</v>
      </c>
      <c r="BM659" s="99">
        <f t="shared" si="549"/>
        <v>0</v>
      </c>
      <c r="BN659" s="467">
        <f t="shared" si="550"/>
        <v>0</v>
      </c>
      <c r="BO659" s="99">
        <f t="shared" si="550"/>
        <v>0</v>
      </c>
      <c r="BP659" s="99">
        <f t="shared" si="551"/>
        <v>0</v>
      </c>
      <c r="BQ659" s="99">
        <f t="shared" si="551"/>
        <v>0</v>
      </c>
      <c r="BR659" s="99">
        <f t="shared" si="551"/>
        <v>0</v>
      </c>
      <c r="BS659" s="468">
        <f t="shared" si="552"/>
        <v>0</v>
      </c>
      <c r="BT659" s="63">
        <f t="shared" si="553"/>
        <v>-21.328062818258388</v>
      </c>
      <c r="BU659" s="63">
        <f t="shared" si="553"/>
        <v>-8.2750706958648266</v>
      </c>
      <c r="BV659" s="63">
        <f t="shared" si="553"/>
        <v>-3.4052117904427064</v>
      </c>
      <c r="BW659" s="63">
        <f t="shared" si="553"/>
        <v>25.521682478864875</v>
      </c>
      <c r="BX659" s="413">
        <f t="shared" si="554"/>
        <v>-7.4866628257010461</v>
      </c>
      <c r="BY659" s="63">
        <f t="shared" si="555"/>
        <v>-21.817377492078322</v>
      </c>
      <c r="BZ659" s="63">
        <f t="shared" si="555"/>
        <v>-7.3316969163681165</v>
      </c>
      <c r="CA659" s="63">
        <f t="shared" si="555"/>
        <v>-0.47907637555857718</v>
      </c>
      <c r="CB659" s="63">
        <f t="shared" si="555"/>
        <v>26.307598390328678</v>
      </c>
      <c r="CC659" s="413">
        <f t="shared" si="556"/>
        <v>-3.320552393676337</v>
      </c>
      <c r="CD659" s="413">
        <f t="shared" si="557"/>
        <v>-3.9535587439217466</v>
      </c>
      <c r="CE659" s="413">
        <f t="shared" si="557"/>
        <v>-4.0176768909979614</v>
      </c>
      <c r="CF659" s="413">
        <f t="shared" si="557"/>
        <v>-4.0830026358765394</v>
      </c>
      <c r="CG659" s="99"/>
    </row>
    <row r="660" spans="1:85" ht="14.45" customHeight="1" x14ac:dyDescent="0.25">
      <c r="A660" s="125" t="str">
        <f t="shared" si="480"/>
        <v>Change in account payable</v>
      </c>
      <c r="B660" s="180"/>
      <c r="C660" s="467">
        <f t="shared" si="526"/>
        <v>0</v>
      </c>
      <c r="D660" s="467">
        <f t="shared" si="526"/>
        <v>0</v>
      </c>
      <c r="E660" s="467">
        <f t="shared" si="526"/>
        <v>0</v>
      </c>
      <c r="F660" s="467">
        <f t="shared" si="526"/>
        <v>0</v>
      </c>
      <c r="G660" s="99">
        <f t="shared" si="526"/>
        <v>0</v>
      </c>
      <c r="H660" s="99">
        <f t="shared" si="527"/>
        <v>0</v>
      </c>
      <c r="I660" s="99">
        <f t="shared" si="527"/>
        <v>0</v>
      </c>
      <c r="J660" s="99">
        <f t="shared" si="527"/>
        <v>0</v>
      </c>
      <c r="K660" s="467">
        <f t="shared" si="528"/>
        <v>0</v>
      </c>
      <c r="L660" s="99">
        <f t="shared" si="528"/>
        <v>0</v>
      </c>
      <c r="M660" s="99">
        <f t="shared" si="529"/>
        <v>0</v>
      </c>
      <c r="N660" s="99">
        <f t="shared" si="529"/>
        <v>0</v>
      </c>
      <c r="O660" s="99">
        <f t="shared" si="529"/>
        <v>0</v>
      </c>
      <c r="P660" s="467">
        <f t="shared" si="530"/>
        <v>0</v>
      </c>
      <c r="Q660" s="99">
        <f t="shared" si="530"/>
        <v>0</v>
      </c>
      <c r="R660" s="99">
        <f t="shared" si="531"/>
        <v>0</v>
      </c>
      <c r="S660" s="99">
        <f t="shared" si="531"/>
        <v>0</v>
      </c>
      <c r="T660" s="99">
        <f t="shared" si="531"/>
        <v>0</v>
      </c>
      <c r="U660" s="467">
        <f t="shared" si="532"/>
        <v>0</v>
      </c>
      <c r="V660" s="99">
        <f t="shared" si="532"/>
        <v>0</v>
      </c>
      <c r="W660" s="99">
        <f t="shared" si="533"/>
        <v>0</v>
      </c>
      <c r="X660" s="99">
        <f t="shared" si="533"/>
        <v>0</v>
      </c>
      <c r="Y660" s="99">
        <f t="shared" si="533"/>
        <v>0</v>
      </c>
      <c r="Z660" s="467">
        <f t="shared" si="534"/>
        <v>0</v>
      </c>
      <c r="AA660" s="99">
        <f t="shared" si="534"/>
        <v>0</v>
      </c>
      <c r="AB660" s="99">
        <f t="shared" si="535"/>
        <v>0</v>
      </c>
      <c r="AC660" s="99">
        <f t="shared" si="535"/>
        <v>0</v>
      </c>
      <c r="AD660" s="99">
        <f t="shared" si="535"/>
        <v>0</v>
      </c>
      <c r="AE660" s="467">
        <f t="shared" si="536"/>
        <v>0</v>
      </c>
      <c r="AF660" s="99">
        <f t="shared" si="536"/>
        <v>0</v>
      </c>
      <c r="AG660" s="99">
        <f t="shared" si="537"/>
        <v>0</v>
      </c>
      <c r="AH660" s="99">
        <f t="shared" si="537"/>
        <v>0</v>
      </c>
      <c r="AI660" s="99">
        <f t="shared" si="537"/>
        <v>0</v>
      </c>
      <c r="AJ660" s="467">
        <f t="shared" si="538"/>
        <v>0</v>
      </c>
      <c r="AK660" s="99">
        <f t="shared" si="538"/>
        <v>0</v>
      </c>
      <c r="AL660" s="99">
        <f t="shared" si="539"/>
        <v>0</v>
      </c>
      <c r="AM660" s="99">
        <f t="shared" si="539"/>
        <v>0</v>
      </c>
      <c r="AN660" s="99">
        <f t="shared" si="539"/>
        <v>0</v>
      </c>
      <c r="AO660" s="467">
        <f t="shared" si="540"/>
        <v>0</v>
      </c>
      <c r="AP660" s="99">
        <f t="shared" si="540"/>
        <v>0</v>
      </c>
      <c r="AQ660" s="99">
        <f t="shared" si="541"/>
        <v>0</v>
      </c>
      <c r="AR660" s="99">
        <f t="shared" si="541"/>
        <v>0</v>
      </c>
      <c r="AS660" s="99">
        <f t="shared" si="541"/>
        <v>0</v>
      </c>
      <c r="AT660" s="467">
        <f t="shared" si="542"/>
        <v>0</v>
      </c>
      <c r="AU660" s="99">
        <f t="shared" si="542"/>
        <v>0</v>
      </c>
      <c r="AV660" s="99">
        <f t="shared" si="543"/>
        <v>0</v>
      </c>
      <c r="AW660" s="99">
        <f t="shared" si="543"/>
        <v>0</v>
      </c>
      <c r="AX660" s="99">
        <f t="shared" si="543"/>
        <v>0</v>
      </c>
      <c r="AY660" s="467">
        <f t="shared" si="544"/>
        <v>0</v>
      </c>
      <c r="AZ660" s="99">
        <f t="shared" si="544"/>
        <v>0</v>
      </c>
      <c r="BA660" s="99">
        <f t="shared" si="545"/>
        <v>0</v>
      </c>
      <c r="BB660" s="99">
        <f t="shared" si="545"/>
        <v>0</v>
      </c>
      <c r="BC660" s="99">
        <f t="shared" si="545"/>
        <v>0</v>
      </c>
      <c r="BD660" s="467">
        <f t="shared" si="546"/>
        <v>0</v>
      </c>
      <c r="BE660" s="99">
        <f t="shared" si="546"/>
        <v>0</v>
      </c>
      <c r="BF660" s="99">
        <f t="shared" si="547"/>
        <v>0</v>
      </c>
      <c r="BG660" s="99">
        <f t="shared" si="547"/>
        <v>0</v>
      </c>
      <c r="BH660" s="99">
        <f t="shared" si="547"/>
        <v>0</v>
      </c>
      <c r="BI660" s="467">
        <f t="shared" si="548"/>
        <v>0</v>
      </c>
      <c r="BJ660" s="99">
        <f t="shared" si="548"/>
        <v>0</v>
      </c>
      <c r="BK660" s="99">
        <f t="shared" si="549"/>
        <v>0</v>
      </c>
      <c r="BL660" s="99">
        <f t="shared" si="549"/>
        <v>0</v>
      </c>
      <c r="BM660" s="99">
        <f t="shared" si="549"/>
        <v>0</v>
      </c>
      <c r="BN660" s="467">
        <f t="shared" si="550"/>
        <v>0</v>
      </c>
      <c r="BO660" s="99">
        <f t="shared" si="550"/>
        <v>0</v>
      </c>
      <c r="BP660" s="99">
        <f t="shared" si="551"/>
        <v>0</v>
      </c>
      <c r="BQ660" s="99">
        <f t="shared" si="551"/>
        <v>0</v>
      </c>
      <c r="BR660" s="99">
        <f t="shared" si="551"/>
        <v>0</v>
      </c>
      <c r="BS660" s="468">
        <f t="shared" si="552"/>
        <v>0</v>
      </c>
      <c r="BT660" s="63">
        <f>BT787-BS787</f>
        <v>50.734467114143285</v>
      </c>
      <c r="BU660" s="63">
        <f>BU787-BT787</f>
        <v>56.049953944929712</v>
      </c>
      <c r="BV660" s="63">
        <f>BV787-BU787</f>
        <v>-34.125430653871035</v>
      </c>
      <c r="BW660" s="63">
        <f>BW787-BV787</f>
        <v>-60.606634100533142</v>
      </c>
      <c r="BX660" s="413">
        <f t="shared" si="554"/>
        <v>12.05235630466882</v>
      </c>
      <c r="BY660" s="63">
        <f>BY787-BX787</f>
        <v>51.887835482034006</v>
      </c>
      <c r="BZ660" s="63">
        <f>BZ787-BY787</f>
        <v>55.301739288428507</v>
      </c>
      <c r="CA660" s="63">
        <f>CA787-BZ787</f>
        <v>-39.755170600505494</v>
      </c>
      <c r="CB660" s="63">
        <f>CB787-CA787</f>
        <v>-62.088834119771036</v>
      </c>
      <c r="CC660" s="413">
        <f t="shared" si="556"/>
        <v>5.3455700501859837</v>
      </c>
      <c r="CD660" s="413">
        <f>CD787-CC787</f>
        <v>6.3646112777520329</v>
      </c>
      <c r="CE660" s="413">
        <f>CE787-CD787</f>
        <v>6.4678314670604777</v>
      </c>
      <c r="CF660" s="413">
        <f>CF787-CE787</f>
        <v>6.5729956999736032</v>
      </c>
      <c r="CG660" s="99"/>
    </row>
    <row r="661" spans="1:85" ht="14.45" customHeight="1" x14ac:dyDescent="0.25">
      <c r="A661" s="125" t="str">
        <f t="shared" si="480"/>
        <v>Change in current assets less current liabilities (exclusive of acquisitions)</v>
      </c>
      <c r="B661" s="180"/>
      <c r="C661" s="467">
        <f t="shared" si="526"/>
        <v>-27.411999999999999</v>
      </c>
      <c r="D661" s="467">
        <f t="shared" si="526"/>
        <v>1.92</v>
      </c>
      <c r="E661" s="467">
        <f t="shared" si="526"/>
        <v>5.5289999999999999</v>
      </c>
      <c r="F661" s="467">
        <f t="shared" si="526"/>
        <v>-0.28799999999999998</v>
      </c>
      <c r="G661" s="99">
        <f t="shared" si="526"/>
        <v>-27.193000000000001</v>
      </c>
      <c r="H661" s="99">
        <f t="shared" si="527"/>
        <v>7.6509999999999998</v>
      </c>
      <c r="I661" s="99">
        <f t="shared" si="527"/>
        <v>15.176000000000002</v>
      </c>
      <c r="J661" s="99">
        <f t="shared" si="527"/>
        <v>5.2089999999999996</v>
      </c>
      <c r="K661" s="467">
        <f t="shared" si="528"/>
        <v>0.84299999999999997</v>
      </c>
      <c r="L661" s="99">
        <f t="shared" si="528"/>
        <v>-18.908999999999999</v>
      </c>
      <c r="M661" s="99">
        <f t="shared" si="529"/>
        <v>-11.967000000000002</v>
      </c>
      <c r="N661" s="99">
        <f t="shared" si="529"/>
        <v>10.506</v>
      </c>
      <c r="O661" s="99">
        <f t="shared" si="529"/>
        <v>4.0390000000000015</v>
      </c>
      <c r="P661" s="467">
        <f t="shared" si="530"/>
        <v>-16.331</v>
      </c>
      <c r="Q661" s="99">
        <f t="shared" si="530"/>
        <v>-23.898</v>
      </c>
      <c r="R661" s="99">
        <f t="shared" si="531"/>
        <v>-5.6400000000000006</v>
      </c>
      <c r="S661" s="99">
        <f t="shared" si="531"/>
        <v>13.157</v>
      </c>
      <c r="T661" s="99">
        <f t="shared" si="531"/>
        <v>-1.8810000000000002</v>
      </c>
      <c r="U661" s="467">
        <f t="shared" si="532"/>
        <v>-18.262</v>
      </c>
      <c r="V661" s="99">
        <f t="shared" si="532"/>
        <v>-38.926000000000002</v>
      </c>
      <c r="W661" s="99">
        <f t="shared" si="533"/>
        <v>11.838000000000001</v>
      </c>
      <c r="X661" s="99">
        <f t="shared" si="533"/>
        <v>13.465000000000002</v>
      </c>
      <c r="Y661" s="99">
        <f t="shared" si="533"/>
        <v>-26.286000000000001</v>
      </c>
      <c r="Z661" s="467">
        <f t="shared" si="534"/>
        <v>-39.908999999999999</v>
      </c>
      <c r="AA661" s="99">
        <f t="shared" si="534"/>
        <v>4.4630000000000001</v>
      </c>
      <c r="AB661" s="99">
        <f t="shared" si="535"/>
        <v>6.0070000000000006</v>
      </c>
      <c r="AC661" s="99">
        <f t="shared" si="535"/>
        <v>-29.506</v>
      </c>
      <c r="AD661" s="99">
        <f t="shared" si="535"/>
        <v>19.295000000000002</v>
      </c>
      <c r="AE661" s="467">
        <f t="shared" si="536"/>
        <v>0.25900000000000001</v>
      </c>
      <c r="AF661" s="99">
        <f t="shared" si="536"/>
        <v>-99.994</v>
      </c>
      <c r="AG661" s="99">
        <f t="shared" si="537"/>
        <v>83.867000000000004</v>
      </c>
      <c r="AH661" s="99">
        <f t="shared" si="537"/>
        <v>-104.29400000000001</v>
      </c>
      <c r="AI661" s="99">
        <f t="shared" si="537"/>
        <v>94.034000000000006</v>
      </c>
      <c r="AJ661" s="467">
        <f t="shared" si="538"/>
        <v>-26.387</v>
      </c>
      <c r="AK661" s="99">
        <f t="shared" si="538"/>
        <v>-57.014000000000003</v>
      </c>
      <c r="AL661" s="99">
        <f t="shared" si="539"/>
        <v>-21.827999999999996</v>
      </c>
      <c r="AM661" s="99">
        <f t="shared" si="539"/>
        <v>24.579000000000001</v>
      </c>
      <c r="AN661" s="99">
        <f t="shared" si="539"/>
        <v>22.581999999999997</v>
      </c>
      <c r="AO661" s="467">
        <f t="shared" si="540"/>
        <v>-31.681000000000001</v>
      </c>
      <c r="AP661" s="99">
        <f t="shared" si="540"/>
        <v>-42.31</v>
      </c>
      <c r="AQ661" s="99">
        <f t="shared" si="541"/>
        <v>63.245000000000005</v>
      </c>
      <c r="AR661" s="99">
        <f t="shared" si="541"/>
        <v>49.040000000000006</v>
      </c>
      <c r="AS661" s="99">
        <f t="shared" si="541"/>
        <v>-14.368000000000009</v>
      </c>
      <c r="AT661" s="467">
        <f t="shared" si="542"/>
        <v>55.606999999999999</v>
      </c>
      <c r="AU661" s="99">
        <f t="shared" si="542"/>
        <v>-38.661999999999999</v>
      </c>
      <c r="AV661" s="99">
        <f t="shared" si="543"/>
        <v>62.994</v>
      </c>
      <c r="AW661" s="99">
        <f t="shared" si="543"/>
        <v>36.213999999999999</v>
      </c>
      <c r="AX661" s="99">
        <f t="shared" si="543"/>
        <v>-29.951000000000001</v>
      </c>
      <c r="AY661" s="467">
        <f t="shared" si="544"/>
        <v>30.594999999999999</v>
      </c>
      <c r="AZ661" s="99">
        <f t="shared" si="544"/>
        <v>-32.414999999999999</v>
      </c>
      <c r="BA661" s="99">
        <f t="shared" si="545"/>
        <v>-26.588999999999999</v>
      </c>
      <c r="BB661" s="99">
        <f t="shared" si="545"/>
        <v>-2.6529999999999987</v>
      </c>
      <c r="BC661" s="99">
        <f t="shared" si="545"/>
        <v>-13.12700000000001</v>
      </c>
      <c r="BD661" s="467">
        <f t="shared" si="546"/>
        <v>-74.784000000000006</v>
      </c>
      <c r="BE661" s="99">
        <f t="shared" si="546"/>
        <v>-49.537999999999997</v>
      </c>
      <c r="BF661" s="99">
        <f t="shared" si="547"/>
        <v>7.580999999999996</v>
      </c>
      <c r="BG661" s="99">
        <f t="shared" si="547"/>
        <v>77.74799999999999</v>
      </c>
      <c r="BH661" s="99">
        <f t="shared" si="547"/>
        <v>-6.6529999999999951</v>
      </c>
      <c r="BI661" s="467">
        <f t="shared" si="548"/>
        <v>29.138000000000002</v>
      </c>
      <c r="BJ661" s="99">
        <f t="shared" si="548"/>
        <v>-44.256999999999998</v>
      </c>
      <c r="BK661" s="99">
        <f t="shared" si="549"/>
        <v>44.513999999999996</v>
      </c>
      <c r="BL661" s="99">
        <f t="shared" si="549"/>
        <v>55.506</v>
      </c>
      <c r="BM661" s="99">
        <f t="shared" si="549"/>
        <v>-59.536999999999999</v>
      </c>
      <c r="BN661" s="467">
        <f t="shared" si="550"/>
        <v>-3.774</v>
      </c>
      <c r="BO661" s="99">
        <f t="shared" si="550"/>
        <v>-19.675999999999998</v>
      </c>
      <c r="BP661" s="99">
        <f t="shared" si="551"/>
        <v>1.8549999999999969</v>
      </c>
      <c r="BQ661" s="99">
        <f t="shared" si="551"/>
        <v>56.402000000000001</v>
      </c>
      <c r="BR661" s="99">
        <f t="shared" si="551"/>
        <v>-28.03</v>
      </c>
      <c r="BS661" s="468">
        <f t="shared" si="552"/>
        <v>10.551</v>
      </c>
      <c r="BT661" s="63"/>
      <c r="BU661" s="63"/>
      <c r="BV661" s="63"/>
      <c r="BW661" s="63"/>
      <c r="BX661" s="413">
        <f t="shared" si="554"/>
        <v>0</v>
      </c>
      <c r="BY661" s="63"/>
      <c r="BZ661" s="63"/>
      <c r="CA661" s="63"/>
      <c r="CB661" s="63"/>
      <c r="CC661" s="413">
        <f t="shared" si="556"/>
        <v>0</v>
      </c>
      <c r="CD661" s="413"/>
      <c r="CE661" s="413"/>
      <c r="CF661" s="413"/>
      <c r="CG661" s="99"/>
    </row>
    <row r="662" spans="1:85" ht="14.45" customHeight="1" x14ac:dyDescent="0.25">
      <c r="A662" s="125" t="str">
        <f t="shared" si="480"/>
        <v>Change in other noncurrent assets (exclusive of acquisitions)</v>
      </c>
      <c r="B662" s="180"/>
      <c r="C662" s="467">
        <f t="shared" si="526"/>
        <v>-13.7</v>
      </c>
      <c r="D662" s="467">
        <f t="shared" si="526"/>
        <v>-1.726</v>
      </c>
      <c r="E662" s="467">
        <f t="shared" si="526"/>
        <v>-4.5629999999999997</v>
      </c>
      <c r="F662" s="467">
        <f t="shared" si="526"/>
        <v>-5.0869999999999997</v>
      </c>
      <c r="G662" s="99">
        <f t="shared" si="526"/>
        <v>-3.33</v>
      </c>
      <c r="H662" s="99">
        <f t="shared" si="527"/>
        <v>-1.5599999999999996</v>
      </c>
      <c r="I662" s="99">
        <f t="shared" si="527"/>
        <v>-1.766</v>
      </c>
      <c r="J662" s="99">
        <f t="shared" si="527"/>
        <v>3.4859999999999998</v>
      </c>
      <c r="K662" s="467">
        <f t="shared" si="528"/>
        <v>-3.17</v>
      </c>
      <c r="L662" s="99">
        <f t="shared" si="528"/>
        <v>-1.819</v>
      </c>
      <c r="M662" s="99">
        <f t="shared" si="529"/>
        <v>-0.92500000000000027</v>
      </c>
      <c r="N662" s="99">
        <f t="shared" si="529"/>
        <v>-0.61799999999999988</v>
      </c>
      <c r="O662" s="99">
        <f t="shared" si="529"/>
        <v>0.16700000000000026</v>
      </c>
      <c r="P662" s="467">
        <f t="shared" si="530"/>
        <v>-3.1949999999999998</v>
      </c>
      <c r="Q662" s="99">
        <f t="shared" si="530"/>
        <v>-3.31</v>
      </c>
      <c r="R662" s="99">
        <f t="shared" si="531"/>
        <v>-0.79599999999999982</v>
      </c>
      <c r="S662" s="99">
        <f t="shared" si="531"/>
        <v>0.65899999999999981</v>
      </c>
      <c r="T662" s="99">
        <f t="shared" si="531"/>
        <v>-0.84499999999999975</v>
      </c>
      <c r="U662" s="467">
        <f t="shared" si="532"/>
        <v>-4.2919999999999998</v>
      </c>
      <c r="V662" s="99">
        <f t="shared" si="532"/>
        <v>-2.391</v>
      </c>
      <c r="W662" s="99">
        <f t="shared" si="533"/>
        <v>-6.6229999999999993</v>
      </c>
      <c r="X662" s="99">
        <f t="shared" si="533"/>
        <v>-3.5990000000000002</v>
      </c>
      <c r="Y662" s="99">
        <f t="shared" si="533"/>
        <v>-1.9510000000000005</v>
      </c>
      <c r="Z662" s="467">
        <f t="shared" si="534"/>
        <v>-14.564</v>
      </c>
      <c r="AA662" s="99">
        <f t="shared" si="534"/>
        <v>-4.0380000000000003</v>
      </c>
      <c r="AB662" s="99">
        <f t="shared" si="535"/>
        <v>-5.9459999999999997</v>
      </c>
      <c r="AC662" s="99">
        <f t="shared" si="535"/>
        <v>-3.407</v>
      </c>
      <c r="AD662" s="99">
        <f t="shared" si="535"/>
        <v>-4.5250000000000004</v>
      </c>
      <c r="AE662" s="467">
        <f t="shared" si="536"/>
        <v>-17.916</v>
      </c>
      <c r="AF662" s="99">
        <f t="shared" si="536"/>
        <v>2.3439999999999999</v>
      </c>
      <c r="AG662" s="99">
        <f t="shared" si="537"/>
        <v>1.4860000000000002</v>
      </c>
      <c r="AH662" s="99">
        <f t="shared" si="537"/>
        <v>-3.1059999999999999</v>
      </c>
      <c r="AI662" s="99">
        <f t="shared" si="537"/>
        <v>3.6230000000000002</v>
      </c>
      <c r="AJ662" s="467">
        <f t="shared" si="538"/>
        <v>4.3470000000000004</v>
      </c>
      <c r="AK662" s="99">
        <f t="shared" si="538"/>
        <v>1.196</v>
      </c>
      <c r="AL662" s="99">
        <f t="shared" si="539"/>
        <v>4.032</v>
      </c>
      <c r="AM662" s="99">
        <f t="shared" si="539"/>
        <v>7.3529999999999998</v>
      </c>
      <c r="AN662" s="99">
        <f t="shared" si="539"/>
        <v>2.620000000000001</v>
      </c>
      <c r="AO662" s="467">
        <f t="shared" si="540"/>
        <v>15.201000000000001</v>
      </c>
      <c r="AP662" s="99">
        <f t="shared" si="540"/>
        <v>12.223000000000001</v>
      </c>
      <c r="AQ662" s="99">
        <f t="shared" si="541"/>
        <v>1.1969999999999992</v>
      </c>
      <c r="AR662" s="99">
        <f t="shared" si="541"/>
        <v>2.9399999999999995</v>
      </c>
      <c r="AS662" s="99">
        <f t="shared" si="541"/>
        <v>5.4600000000000009</v>
      </c>
      <c r="AT662" s="467">
        <f t="shared" si="542"/>
        <v>21.82</v>
      </c>
      <c r="AU662" s="99">
        <f t="shared" si="542"/>
        <v>4.1970000000000001</v>
      </c>
      <c r="AV662" s="99">
        <f t="shared" si="543"/>
        <v>2.1280000000000001</v>
      </c>
      <c r="AW662" s="99">
        <f t="shared" si="543"/>
        <v>4.03</v>
      </c>
      <c r="AX662" s="99">
        <f t="shared" si="543"/>
        <v>5.6479999999999997</v>
      </c>
      <c r="AY662" s="467">
        <f t="shared" si="544"/>
        <v>16.003</v>
      </c>
      <c r="AZ662" s="99">
        <f t="shared" si="544"/>
        <v>8.1890000000000001</v>
      </c>
      <c r="BA662" s="99">
        <f t="shared" si="545"/>
        <v>13.715</v>
      </c>
      <c r="BB662" s="99">
        <f t="shared" si="545"/>
        <v>5.902000000000001</v>
      </c>
      <c r="BC662" s="99">
        <f t="shared" si="545"/>
        <v>3.972999999999999</v>
      </c>
      <c r="BD662" s="467">
        <f t="shared" si="546"/>
        <v>31.779</v>
      </c>
      <c r="BE662" s="99">
        <f t="shared" si="546"/>
        <v>-1.43</v>
      </c>
      <c r="BF662" s="99">
        <f t="shared" si="547"/>
        <v>6.6459999999999999</v>
      </c>
      <c r="BG662" s="99">
        <f t="shared" si="547"/>
        <v>8.2010000000000005</v>
      </c>
      <c r="BH662" s="99">
        <f t="shared" si="547"/>
        <v>-0.70899999999999963</v>
      </c>
      <c r="BI662" s="467">
        <f t="shared" si="548"/>
        <v>12.708</v>
      </c>
      <c r="BJ662" s="99">
        <f t="shared" si="548"/>
        <v>-0.78100000000000003</v>
      </c>
      <c r="BK662" s="99">
        <f t="shared" si="549"/>
        <v>4.5389999999999997</v>
      </c>
      <c r="BL662" s="99">
        <f t="shared" si="549"/>
        <v>3.8369999999999997</v>
      </c>
      <c r="BM662" s="99">
        <f t="shared" si="549"/>
        <v>1.3090000000000002</v>
      </c>
      <c r="BN662" s="467">
        <f t="shared" si="550"/>
        <v>8.9039999999999999</v>
      </c>
      <c r="BO662" s="99">
        <f t="shared" si="550"/>
        <v>6.476</v>
      </c>
      <c r="BP662" s="99">
        <f t="shared" si="551"/>
        <v>-2.4279999999999999</v>
      </c>
      <c r="BQ662" s="99">
        <f t="shared" si="551"/>
        <v>-2.5789999999999997</v>
      </c>
      <c r="BR662" s="99">
        <f t="shared" si="551"/>
        <v>5.585</v>
      </c>
      <c r="BS662" s="468">
        <f t="shared" si="552"/>
        <v>7.0540000000000003</v>
      </c>
      <c r="BT662" s="63"/>
      <c r="BU662" s="63"/>
      <c r="BV662" s="63"/>
      <c r="BW662" s="63"/>
      <c r="BX662" s="413">
        <f t="shared" si="554"/>
        <v>0</v>
      </c>
      <c r="BY662" s="63"/>
      <c r="BZ662" s="63"/>
      <c r="CA662" s="63"/>
      <c r="CB662" s="63"/>
      <c r="CC662" s="413">
        <f t="shared" si="556"/>
        <v>0</v>
      </c>
      <c r="CD662" s="413"/>
      <c r="CE662" s="413"/>
      <c r="CF662" s="413"/>
      <c r="CG662" s="99"/>
    </row>
    <row r="663" spans="1:85" ht="14.45" customHeight="1" x14ac:dyDescent="0.25">
      <c r="A663" s="130" t="str">
        <f t="shared" si="480"/>
        <v>Change in other noncurrent liabilities (exclusive of acquisitions)</v>
      </c>
      <c r="B663" s="190"/>
      <c r="C663" s="520">
        <f t="shared" si="526"/>
        <v>7.4089999999999998</v>
      </c>
      <c r="D663" s="520">
        <f t="shared" si="526"/>
        <v>2.7879999999999998</v>
      </c>
      <c r="E663" s="520">
        <f t="shared" si="526"/>
        <v>2.6520000000000001</v>
      </c>
      <c r="F663" s="520">
        <f t="shared" si="526"/>
        <v>-16.260999999999999</v>
      </c>
      <c r="G663" s="103">
        <f t="shared" si="526"/>
        <v>-3.6869999999999998</v>
      </c>
      <c r="H663" s="103">
        <f t="shared" si="527"/>
        <v>4.5590000000000002</v>
      </c>
      <c r="I663" s="103">
        <f t="shared" si="527"/>
        <v>4.0149999999999997</v>
      </c>
      <c r="J663" s="103">
        <f t="shared" si="527"/>
        <v>-3.3179999999999996</v>
      </c>
      <c r="K663" s="520">
        <f t="shared" si="528"/>
        <v>1.569</v>
      </c>
      <c r="L663" s="103">
        <f t="shared" si="528"/>
        <v>-5.4850000000000003</v>
      </c>
      <c r="M663" s="103">
        <f t="shared" si="529"/>
        <v>0.35000000000000053</v>
      </c>
      <c r="N663" s="103">
        <f t="shared" si="529"/>
        <v>-2.2080000000000002</v>
      </c>
      <c r="O663" s="103">
        <f t="shared" si="529"/>
        <v>10.676</v>
      </c>
      <c r="P663" s="520">
        <f t="shared" si="530"/>
        <v>3.3330000000000002</v>
      </c>
      <c r="Q663" s="103">
        <f t="shared" si="530"/>
        <v>-2.2290000000000001</v>
      </c>
      <c r="R663" s="103">
        <f t="shared" si="531"/>
        <v>6.4119999999999999</v>
      </c>
      <c r="S663" s="103">
        <f t="shared" si="531"/>
        <v>-5.6269999999999998</v>
      </c>
      <c r="T663" s="103">
        <f t="shared" si="531"/>
        <v>-4.7700000000000005</v>
      </c>
      <c r="U663" s="520">
        <f t="shared" si="532"/>
        <v>-6.2140000000000004</v>
      </c>
      <c r="V663" s="103">
        <f t="shared" si="532"/>
        <v>-3.9750000000000001</v>
      </c>
      <c r="W663" s="103">
        <f t="shared" si="533"/>
        <v>2.1870000000000003</v>
      </c>
      <c r="X663" s="103">
        <f t="shared" si="533"/>
        <v>-1.5959999999999999</v>
      </c>
      <c r="Y663" s="103">
        <f t="shared" si="533"/>
        <v>-7.4659999999999993</v>
      </c>
      <c r="Z663" s="520">
        <f t="shared" si="534"/>
        <v>-10.85</v>
      </c>
      <c r="AA663" s="103">
        <f t="shared" si="534"/>
        <v>-1.4390000000000001</v>
      </c>
      <c r="AB663" s="103">
        <f t="shared" si="535"/>
        <v>2.0670000000000002</v>
      </c>
      <c r="AC663" s="103">
        <f t="shared" si="535"/>
        <v>-4.3739999999999997</v>
      </c>
      <c r="AD663" s="103">
        <f t="shared" si="535"/>
        <v>2.6459999999999999</v>
      </c>
      <c r="AE663" s="520">
        <f t="shared" si="536"/>
        <v>-1.1000000000000001</v>
      </c>
      <c r="AF663" s="103">
        <f t="shared" si="536"/>
        <v>0.83299999999999996</v>
      </c>
      <c r="AG663" s="103">
        <f t="shared" si="537"/>
        <v>-3.3259999999999996</v>
      </c>
      <c r="AH663" s="103">
        <f t="shared" si="537"/>
        <v>-16.269000000000002</v>
      </c>
      <c r="AI663" s="103">
        <f t="shared" si="537"/>
        <v>-6.3599999999999994</v>
      </c>
      <c r="AJ663" s="520">
        <f t="shared" si="538"/>
        <v>-25.122</v>
      </c>
      <c r="AK663" s="103">
        <f t="shared" si="538"/>
        <v>5.8979999999999997</v>
      </c>
      <c r="AL663" s="103">
        <f t="shared" si="539"/>
        <v>-1.827</v>
      </c>
      <c r="AM663" s="103">
        <f t="shared" si="539"/>
        <v>-1.4599999999999995</v>
      </c>
      <c r="AN663" s="103">
        <f t="shared" si="539"/>
        <v>-9.8140000000000001</v>
      </c>
      <c r="AO663" s="520">
        <f t="shared" si="540"/>
        <v>-7.2030000000000003</v>
      </c>
      <c r="AP663" s="103">
        <f t="shared" si="540"/>
        <v>-4.117</v>
      </c>
      <c r="AQ663" s="103">
        <f t="shared" si="541"/>
        <v>13.965</v>
      </c>
      <c r="AR663" s="103">
        <f t="shared" si="541"/>
        <v>-21.298999999999999</v>
      </c>
      <c r="AS663" s="103">
        <f t="shared" si="541"/>
        <v>12.092000000000001</v>
      </c>
      <c r="AT663" s="520">
        <f t="shared" si="542"/>
        <v>0.64100000000000001</v>
      </c>
      <c r="AU663" s="103">
        <f t="shared" si="542"/>
        <v>-13.33</v>
      </c>
      <c r="AV663" s="103">
        <f t="shared" si="543"/>
        <v>-0.84800000000000075</v>
      </c>
      <c r="AW663" s="103">
        <f t="shared" si="543"/>
        <v>-13.727</v>
      </c>
      <c r="AX663" s="103">
        <f t="shared" si="543"/>
        <v>4.1769999999999996</v>
      </c>
      <c r="AY663" s="520">
        <f t="shared" si="544"/>
        <v>-23.728000000000002</v>
      </c>
      <c r="AZ663" s="103">
        <f t="shared" si="544"/>
        <v>-9.9130000000000003</v>
      </c>
      <c r="BA663" s="103">
        <f t="shared" si="545"/>
        <v>0.16000000000000014</v>
      </c>
      <c r="BB663" s="103">
        <f t="shared" si="545"/>
        <v>-18.948</v>
      </c>
      <c r="BC663" s="103">
        <f t="shared" si="545"/>
        <v>-4.7289999999999992</v>
      </c>
      <c r="BD663" s="520">
        <f t="shared" si="546"/>
        <v>-33.43</v>
      </c>
      <c r="BE663" s="103">
        <f t="shared" si="546"/>
        <v>-11.006</v>
      </c>
      <c r="BF663" s="103">
        <f t="shared" si="547"/>
        <v>-0.27099999999999902</v>
      </c>
      <c r="BG663" s="103">
        <f t="shared" si="547"/>
        <v>-32.074999999999996</v>
      </c>
      <c r="BH663" s="103">
        <f t="shared" si="547"/>
        <v>-4.4460000000000051</v>
      </c>
      <c r="BI663" s="520">
        <f t="shared" si="548"/>
        <v>-47.798000000000002</v>
      </c>
      <c r="BJ663" s="103">
        <f t="shared" si="548"/>
        <v>-25.177</v>
      </c>
      <c r="BK663" s="103">
        <f t="shared" si="549"/>
        <v>-2.1640000000000015</v>
      </c>
      <c r="BL663" s="103">
        <f t="shared" si="549"/>
        <v>-3.9039999999999999</v>
      </c>
      <c r="BM663" s="103">
        <f t="shared" si="549"/>
        <v>8.3830000000000027</v>
      </c>
      <c r="BN663" s="520">
        <f t="shared" si="550"/>
        <v>-22.861999999999998</v>
      </c>
      <c r="BO663" s="103">
        <f t="shared" si="550"/>
        <v>-25.823</v>
      </c>
      <c r="BP663" s="103">
        <f t="shared" si="551"/>
        <v>7.7409999999999997</v>
      </c>
      <c r="BQ663" s="103">
        <f t="shared" si="551"/>
        <v>-2.5069999999999979</v>
      </c>
      <c r="BR663" s="103">
        <f t="shared" si="551"/>
        <v>-3.8190000000000026</v>
      </c>
      <c r="BS663" s="521">
        <f t="shared" si="552"/>
        <v>-24.408000000000001</v>
      </c>
      <c r="BT663" s="158"/>
      <c r="BU663" s="158"/>
      <c r="BV663" s="158"/>
      <c r="BW663" s="158"/>
      <c r="BX663" s="415">
        <f t="shared" si="554"/>
        <v>0</v>
      </c>
      <c r="BY663" s="158"/>
      <c r="BZ663" s="158"/>
      <c r="CA663" s="158"/>
      <c r="CB663" s="158"/>
      <c r="CC663" s="415">
        <f t="shared" si="556"/>
        <v>0</v>
      </c>
      <c r="CD663" s="415"/>
      <c r="CE663" s="415"/>
      <c r="CF663" s="415"/>
      <c r="CG663" s="99"/>
    </row>
    <row r="664" spans="1:85" ht="14.45" customHeight="1" x14ac:dyDescent="0.25">
      <c r="A664" s="110" t="str">
        <f t="shared" si="480"/>
        <v>Net CFO</v>
      </c>
      <c r="B664" s="212"/>
      <c r="C664" s="416">
        <f t="shared" ref="C664:AH664" si="558">SUM(C657:C663)</f>
        <v>79.502999999999986</v>
      </c>
      <c r="D664" s="416">
        <f t="shared" si="558"/>
        <v>109.756</v>
      </c>
      <c r="E664" s="416">
        <f t="shared" si="558"/>
        <v>109.64999999999999</v>
      </c>
      <c r="F664" s="416">
        <f t="shared" si="558"/>
        <v>83.172000000000011</v>
      </c>
      <c r="G664" s="106">
        <f t="shared" si="558"/>
        <v>-13.786000000000001</v>
      </c>
      <c r="H664" s="106">
        <f t="shared" si="558"/>
        <v>38.834999999999994</v>
      </c>
      <c r="I664" s="106">
        <f t="shared" si="558"/>
        <v>49.924000000000014</v>
      </c>
      <c r="J664" s="106">
        <f t="shared" si="558"/>
        <v>21.400999999999996</v>
      </c>
      <c r="K664" s="416">
        <f t="shared" si="558"/>
        <v>96.374000000000009</v>
      </c>
      <c r="L664" s="106">
        <f t="shared" si="558"/>
        <v>-7.3079999999999945</v>
      </c>
      <c r="M664" s="106">
        <f t="shared" si="558"/>
        <v>19.064999999999998</v>
      </c>
      <c r="N664" s="106">
        <f t="shared" si="558"/>
        <v>38.210999999999991</v>
      </c>
      <c r="O664" s="106">
        <f t="shared" si="558"/>
        <v>41.935000000000009</v>
      </c>
      <c r="P664" s="416">
        <f t="shared" si="558"/>
        <v>91.903000000000006</v>
      </c>
      <c r="Q664" s="106">
        <f t="shared" si="558"/>
        <v>-1.7949999999999968</v>
      </c>
      <c r="R664" s="106">
        <f t="shared" si="558"/>
        <v>34.762999999999977</v>
      </c>
      <c r="S664" s="106">
        <f t="shared" si="558"/>
        <v>39.514999999999986</v>
      </c>
      <c r="T664" s="106">
        <f t="shared" si="558"/>
        <v>35.807000000000002</v>
      </c>
      <c r="U664" s="416">
        <f t="shared" si="558"/>
        <v>108.28999999999996</v>
      </c>
      <c r="V664" s="106">
        <f t="shared" si="558"/>
        <v>-15.217000000000002</v>
      </c>
      <c r="W664" s="106">
        <f t="shared" si="558"/>
        <v>76.413999999999987</v>
      </c>
      <c r="X664" s="106">
        <f t="shared" si="558"/>
        <v>66.927999999999997</v>
      </c>
      <c r="Y664" s="106">
        <f t="shared" si="558"/>
        <v>33.870000000000005</v>
      </c>
      <c r="Z664" s="416">
        <f t="shared" si="558"/>
        <v>161.99500000000003</v>
      </c>
      <c r="AA664" s="106">
        <f t="shared" si="558"/>
        <v>116.518</v>
      </c>
      <c r="AB664" s="106">
        <f t="shared" si="558"/>
        <v>62.452999999999996</v>
      </c>
      <c r="AC664" s="106">
        <f t="shared" si="558"/>
        <v>23.454000000000008</v>
      </c>
      <c r="AD664" s="106">
        <f t="shared" si="558"/>
        <v>105.39099999999999</v>
      </c>
      <c r="AE664" s="416">
        <f t="shared" si="558"/>
        <v>307.81600000000003</v>
      </c>
      <c r="AF664" s="106">
        <f t="shared" si="558"/>
        <v>-80.746000000000009</v>
      </c>
      <c r="AG664" s="106">
        <f t="shared" si="558"/>
        <v>137.988</v>
      </c>
      <c r="AH664" s="106">
        <f t="shared" si="558"/>
        <v>-31.211999999999989</v>
      </c>
      <c r="AI664" s="106">
        <f t="shared" ref="AI664:BN664" si="559">SUM(AI657:AI663)</f>
        <v>142.84899999999999</v>
      </c>
      <c r="AJ664" s="416">
        <f t="shared" si="559"/>
        <v>168.87900000000002</v>
      </c>
      <c r="AK664" s="106">
        <f t="shared" si="559"/>
        <v>5.5959999999999877</v>
      </c>
      <c r="AL664" s="106">
        <f t="shared" si="559"/>
        <v>82.990000000000023</v>
      </c>
      <c r="AM664" s="106">
        <f t="shared" si="559"/>
        <v>115.99699999999999</v>
      </c>
      <c r="AN664" s="106">
        <f t="shared" si="559"/>
        <v>85.786999999999978</v>
      </c>
      <c r="AO664" s="416">
        <f t="shared" si="559"/>
        <v>290.37000000000006</v>
      </c>
      <c r="AP664" s="106">
        <f t="shared" si="559"/>
        <v>32.288999999999994</v>
      </c>
      <c r="AQ664" s="106">
        <f t="shared" si="559"/>
        <v>196.71400000000003</v>
      </c>
      <c r="AR664" s="106">
        <f t="shared" si="559"/>
        <v>147.398</v>
      </c>
      <c r="AS664" s="106">
        <f t="shared" si="559"/>
        <v>118.06000000000002</v>
      </c>
      <c r="AT664" s="416">
        <f t="shared" si="559"/>
        <v>494.46100000000001</v>
      </c>
      <c r="AU664" s="106">
        <f t="shared" si="559"/>
        <v>81.910000000000011</v>
      </c>
      <c r="AV664" s="106">
        <f t="shared" si="559"/>
        <v>189.47500000000002</v>
      </c>
      <c r="AW664" s="106">
        <f t="shared" si="559"/>
        <v>168.49</v>
      </c>
      <c r="AX664" s="106">
        <f t="shared" si="559"/>
        <v>81.879999999999967</v>
      </c>
      <c r="AY664" s="416">
        <f t="shared" si="559"/>
        <v>521.755</v>
      </c>
      <c r="AZ664" s="106">
        <f t="shared" si="559"/>
        <v>130.88099999999997</v>
      </c>
      <c r="BA664" s="106">
        <f t="shared" si="559"/>
        <v>112.65400000000001</v>
      </c>
      <c r="BB664" s="106">
        <f t="shared" si="559"/>
        <v>150.77400000000003</v>
      </c>
      <c r="BC664" s="106">
        <f t="shared" si="559"/>
        <v>160.197</v>
      </c>
      <c r="BD664" s="416">
        <f t="shared" si="559"/>
        <v>554.50600000000009</v>
      </c>
      <c r="BE664" s="106">
        <f t="shared" si="559"/>
        <v>184.69399999999999</v>
      </c>
      <c r="BF664" s="106">
        <f t="shared" si="559"/>
        <v>198.64399999999998</v>
      </c>
      <c r="BG664" s="106">
        <f t="shared" si="559"/>
        <v>261.21099999999996</v>
      </c>
      <c r="BH664" s="106">
        <f t="shared" si="559"/>
        <v>166.14100000000002</v>
      </c>
      <c r="BI664" s="416">
        <f t="shared" si="559"/>
        <v>810.69000000000017</v>
      </c>
      <c r="BJ664" s="106">
        <f t="shared" si="559"/>
        <v>194.273</v>
      </c>
      <c r="BK664" s="106">
        <f t="shared" si="559"/>
        <v>242.85799999999995</v>
      </c>
      <c r="BL664" s="106">
        <f t="shared" si="559"/>
        <v>270.76199999999994</v>
      </c>
      <c r="BM664" s="106">
        <f t="shared" si="559"/>
        <v>168.46399999999997</v>
      </c>
      <c r="BN664" s="416">
        <f t="shared" si="559"/>
        <v>876.35699999999997</v>
      </c>
      <c r="BO664" s="106">
        <f t="shared" ref="BO664:CF664" si="560">SUM(BO657:BO663)</f>
        <v>198.17100000000002</v>
      </c>
      <c r="BP664" s="106">
        <f t="shared" si="560"/>
        <v>208.05</v>
      </c>
      <c r="BQ664" s="106">
        <f t="shared" si="560"/>
        <v>316.69200000000001</v>
      </c>
      <c r="BR664" s="106">
        <f t="shared" si="560"/>
        <v>208.99099999999999</v>
      </c>
      <c r="BS664" s="417">
        <f t="shared" si="560"/>
        <v>931.90399999999988</v>
      </c>
      <c r="BT664" s="159">
        <f t="shared" si="560"/>
        <v>198.49119456552438</v>
      </c>
      <c r="BU664" s="159">
        <f t="shared" si="560"/>
        <v>252.50940989588835</v>
      </c>
      <c r="BV664" s="159">
        <f t="shared" si="560"/>
        <v>221.8889998330248</v>
      </c>
      <c r="BW664" s="159">
        <f t="shared" si="560"/>
        <v>233.34141662015895</v>
      </c>
      <c r="BX664" s="418">
        <f t="shared" si="560"/>
        <v>906.23102091459646</v>
      </c>
      <c r="BY664" s="159">
        <f t="shared" si="560"/>
        <v>221.59013735529803</v>
      </c>
      <c r="BZ664" s="159">
        <f t="shared" si="560"/>
        <v>258.76569348537816</v>
      </c>
      <c r="CA664" s="159">
        <f t="shared" si="560"/>
        <v>229.94191077900575</v>
      </c>
      <c r="CB664" s="159">
        <f t="shared" si="560"/>
        <v>238.27948900005828</v>
      </c>
      <c r="CC664" s="418">
        <f t="shared" si="560"/>
        <v>948.57723061974013</v>
      </c>
      <c r="CD664" s="418">
        <f t="shared" si="560"/>
        <v>966.86415657320288</v>
      </c>
      <c r="CE664" s="418">
        <f t="shared" si="560"/>
        <v>983.70027402972642</v>
      </c>
      <c r="CF664" s="418">
        <f t="shared" si="560"/>
        <v>999.50743154907161</v>
      </c>
      <c r="CG664" s="109"/>
    </row>
    <row r="665" spans="1:85" ht="14.45" customHeight="1" x14ac:dyDescent="0.25">
      <c r="A665" s="111"/>
      <c r="B665" s="211"/>
      <c r="C665" s="423"/>
      <c r="D665" s="423"/>
      <c r="E665" s="423"/>
      <c r="F665" s="423"/>
      <c r="G665" s="112"/>
      <c r="H665" s="112"/>
      <c r="I665" s="112"/>
      <c r="J665" s="112"/>
      <c r="K665" s="423"/>
      <c r="L665" s="112"/>
      <c r="M665" s="112"/>
      <c r="N665" s="112"/>
      <c r="O665" s="112"/>
      <c r="P665" s="423"/>
      <c r="Q665" s="112"/>
      <c r="R665" s="112"/>
      <c r="S665" s="112"/>
      <c r="T665" s="112"/>
      <c r="U665" s="423"/>
      <c r="V665" s="112"/>
      <c r="W665" s="112"/>
      <c r="X665" s="112"/>
      <c r="Y665" s="112"/>
      <c r="Z665" s="423"/>
      <c r="AA665" s="112"/>
      <c r="AB665" s="112"/>
      <c r="AC665" s="112"/>
      <c r="AD665" s="112"/>
      <c r="AE665" s="423"/>
      <c r="AF665" s="112"/>
      <c r="AG665" s="112"/>
      <c r="AH665" s="112"/>
      <c r="AI665" s="112"/>
      <c r="AJ665" s="423"/>
      <c r="AK665" s="112"/>
      <c r="AL665" s="112"/>
      <c r="AM665" s="112"/>
      <c r="AN665" s="112"/>
      <c r="AO665" s="423"/>
      <c r="AP665" s="112"/>
      <c r="AQ665" s="112"/>
      <c r="AR665" s="112"/>
      <c r="AS665" s="112"/>
      <c r="AT665" s="423"/>
      <c r="AU665" s="112"/>
      <c r="AV665" s="112"/>
      <c r="AW665" s="112"/>
      <c r="AX665" s="112"/>
      <c r="AY665" s="423"/>
      <c r="AZ665" s="112"/>
      <c r="BA665" s="112"/>
      <c r="BB665" s="112"/>
      <c r="BC665" s="112"/>
      <c r="BD665" s="423"/>
      <c r="BE665" s="112"/>
      <c r="BF665" s="112"/>
      <c r="BG665" s="112"/>
      <c r="BH665" s="112"/>
      <c r="BI665" s="423"/>
      <c r="BJ665" s="112"/>
      <c r="BK665" s="112"/>
      <c r="BL665" s="112"/>
      <c r="BM665" s="112"/>
      <c r="BN665" s="423"/>
      <c r="BO665" s="112"/>
      <c r="BP665" s="112"/>
      <c r="BQ665" s="112"/>
      <c r="BR665" s="112"/>
      <c r="BS665" s="424"/>
      <c r="BT665" s="112"/>
      <c r="BU665" s="112"/>
      <c r="BV665" s="112"/>
      <c r="BW665" s="112"/>
      <c r="BX665" s="423"/>
      <c r="BY665" s="112"/>
      <c r="BZ665" s="112"/>
      <c r="CA665" s="112"/>
      <c r="CB665" s="112"/>
      <c r="CC665" s="423"/>
      <c r="CD665" s="423"/>
      <c r="CE665" s="423"/>
      <c r="CF665" s="423"/>
      <c r="CG665" s="109"/>
    </row>
    <row r="666" spans="1:85" ht="14.45" customHeight="1" x14ac:dyDescent="0.25">
      <c r="A666" s="135" t="str">
        <f t="shared" ref="A666:A681" si="561">A580</f>
        <v>CFI</v>
      </c>
      <c r="B666" s="211"/>
      <c r="C666" s="423"/>
      <c r="D666" s="423"/>
      <c r="E666" s="423"/>
      <c r="F666" s="423"/>
      <c r="G666" s="112"/>
      <c r="H666" s="112"/>
      <c r="I666" s="112"/>
      <c r="J666" s="112"/>
      <c r="K666" s="423"/>
      <c r="L666" s="112"/>
      <c r="M666" s="112"/>
      <c r="N666" s="112"/>
      <c r="O666" s="112"/>
      <c r="P666" s="423"/>
      <c r="Q666" s="112"/>
      <c r="R666" s="112"/>
      <c r="S666" s="112"/>
      <c r="T666" s="112"/>
      <c r="U666" s="423"/>
      <c r="V666" s="112"/>
      <c r="W666" s="112"/>
      <c r="X666" s="112"/>
      <c r="Y666" s="112"/>
      <c r="Z666" s="423"/>
      <c r="AA666" s="112"/>
      <c r="AB666" s="112"/>
      <c r="AC666" s="112"/>
      <c r="AD666" s="112"/>
      <c r="AE666" s="423"/>
      <c r="AF666" s="112"/>
      <c r="AG666" s="112"/>
      <c r="AH666" s="112"/>
      <c r="AI666" s="112"/>
      <c r="AJ666" s="423"/>
      <c r="AK666" s="112"/>
      <c r="AL666" s="112"/>
      <c r="AM666" s="112"/>
      <c r="AN666" s="112"/>
      <c r="AO666" s="423"/>
      <c r="AP666" s="112"/>
      <c r="AQ666" s="112"/>
      <c r="AR666" s="112"/>
      <c r="AS666" s="112"/>
      <c r="AT666" s="423"/>
      <c r="AU666" s="112"/>
      <c r="AV666" s="112"/>
      <c r="AW666" s="112"/>
      <c r="AX666" s="112"/>
      <c r="AY666" s="423"/>
      <c r="AZ666" s="112"/>
      <c r="BA666" s="112"/>
      <c r="BB666" s="112"/>
      <c r="BC666" s="112"/>
      <c r="BD666" s="423"/>
      <c r="BE666" s="112"/>
      <c r="BF666" s="112"/>
      <c r="BG666" s="112"/>
      <c r="BH666" s="112"/>
      <c r="BI666" s="423"/>
      <c r="BJ666" s="112"/>
      <c r="BK666" s="112"/>
      <c r="BL666" s="112"/>
      <c r="BM666" s="112"/>
      <c r="BN666" s="423"/>
      <c r="BO666" s="112"/>
      <c r="BP666" s="112"/>
      <c r="BQ666" s="112"/>
      <c r="BR666" s="112"/>
      <c r="BS666" s="424"/>
      <c r="BT666" s="112"/>
      <c r="BU666" s="112"/>
      <c r="BV666" s="112"/>
      <c r="BW666" s="112"/>
      <c r="BX666" s="423"/>
      <c r="BY666" s="112"/>
      <c r="BZ666" s="112"/>
      <c r="CA666" s="112"/>
      <c r="CB666" s="112"/>
      <c r="CC666" s="423"/>
      <c r="CD666" s="423"/>
      <c r="CE666" s="423"/>
      <c r="CF666" s="423"/>
      <c r="CG666" s="109"/>
    </row>
    <row r="667" spans="1:85" ht="14.45" customHeight="1" x14ac:dyDescent="0.25">
      <c r="A667" s="125" t="str">
        <f t="shared" si="561"/>
        <v>Additions to property, plant and equipment (exclusive of acquisitions)</v>
      </c>
      <c r="B667" s="63"/>
      <c r="C667" s="467">
        <f t="shared" ref="C667:G676" si="562">C581</f>
        <v>-43.338999999999999</v>
      </c>
      <c r="D667" s="467">
        <f t="shared" si="562"/>
        <v>-57.798000000000002</v>
      </c>
      <c r="E667" s="467">
        <f t="shared" si="562"/>
        <v>-53.155999999999999</v>
      </c>
      <c r="F667" s="467">
        <f t="shared" si="562"/>
        <v>-53.271000000000001</v>
      </c>
      <c r="G667" s="99">
        <f t="shared" si="562"/>
        <v>-20.382999999999999</v>
      </c>
      <c r="H667" s="99">
        <f t="shared" ref="H667:J676" si="563">H581-G581</f>
        <v>-12.757000000000001</v>
      </c>
      <c r="I667" s="99">
        <f t="shared" si="563"/>
        <v>-12.057000000000002</v>
      </c>
      <c r="J667" s="99">
        <f t="shared" si="563"/>
        <v>-16.234999999999999</v>
      </c>
      <c r="K667" s="467">
        <f t="shared" ref="K667:L676" si="564">K581</f>
        <v>-61.432000000000002</v>
      </c>
      <c r="L667" s="99">
        <f t="shared" si="564"/>
        <v>-17.814</v>
      </c>
      <c r="M667" s="99">
        <f t="shared" ref="M667:O676" si="565">M581-L581</f>
        <v>-19.22</v>
      </c>
      <c r="N667" s="99">
        <f t="shared" si="565"/>
        <v>-24.323</v>
      </c>
      <c r="O667" s="99">
        <f t="shared" si="565"/>
        <v>-23.007000000000005</v>
      </c>
      <c r="P667" s="467">
        <f t="shared" ref="P667:Q676" si="566">P581</f>
        <v>-84.364000000000004</v>
      </c>
      <c r="Q667" s="99">
        <f t="shared" si="566"/>
        <v>-30.841999999999999</v>
      </c>
      <c r="R667" s="99">
        <f t="shared" ref="R667:T676" si="567">R581-Q581</f>
        <v>-26.298000000000002</v>
      </c>
      <c r="S667" s="99">
        <f t="shared" si="567"/>
        <v>-47.281999999999996</v>
      </c>
      <c r="T667" s="99">
        <f t="shared" si="567"/>
        <v>-59.465000000000003</v>
      </c>
      <c r="U667" s="467">
        <f t="shared" ref="U667:V676" si="568">U581</f>
        <v>-163.887</v>
      </c>
      <c r="V667" s="99">
        <f t="shared" si="568"/>
        <v>-36.784999999999997</v>
      </c>
      <c r="W667" s="99">
        <f t="shared" ref="W667:Y676" si="569">W581-V581</f>
        <v>-42.84</v>
      </c>
      <c r="X667" s="99">
        <f t="shared" si="569"/>
        <v>-44.974000000000004</v>
      </c>
      <c r="Y667" s="99">
        <f t="shared" si="569"/>
        <v>-47.987000000000009</v>
      </c>
      <c r="Z667" s="467">
        <f t="shared" ref="Z667:AA676" si="570">Z581</f>
        <v>-172.58600000000001</v>
      </c>
      <c r="AA667" s="99">
        <f t="shared" si="570"/>
        <v>-41.58</v>
      </c>
      <c r="AB667" s="99">
        <f t="shared" ref="AB667:AD680" si="571">AB581-AA581</f>
        <v>-38.027000000000001</v>
      </c>
      <c r="AC667" s="99">
        <f t="shared" si="571"/>
        <v>-35.346000000000004</v>
      </c>
      <c r="AD667" s="99">
        <f t="shared" si="571"/>
        <v>-61.647999999999996</v>
      </c>
      <c r="AE667" s="467">
        <f t="shared" ref="AE667:AF680" si="572">AE581</f>
        <v>-176.601</v>
      </c>
      <c r="AF667" s="99">
        <f t="shared" si="572"/>
        <v>-42.048000000000002</v>
      </c>
      <c r="AG667" s="99">
        <f t="shared" ref="AG667:AI680" si="573">AG581-AF581</f>
        <v>-43.230999999999995</v>
      </c>
      <c r="AH667" s="99">
        <f t="shared" si="573"/>
        <v>-27.825000000000003</v>
      </c>
      <c r="AI667" s="99">
        <f t="shared" si="573"/>
        <v>-25.131000000000014</v>
      </c>
      <c r="AJ667" s="467">
        <f t="shared" ref="AJ667:AK680" si="574">AJ581</f>
        <v>-138.23500000000001</v>
      </c>
      <c r="AK667" s="99">
        <f t="shared" si="574"/>
        <v>-29.315000000000001</v>
      </c>
      <c r="AL667" s="99">
        <f t="shared" ref="AL667:AN680" si="575">AL581-AK581</f>
        <v>-28.266000000000002</v>
      </c>
      <c r="AM667" s="99">
        <f t="shared" si="575"/>
        <v>-39.165999999999997</v>
      </c>
      <c r="AN667" s="99">
        <f t="shared" si="575"/>
        <v>-74.626999999999995</v>
      </c>
      <c r="AO667" s="467">
        <f t="shared" ref="AO667:AP680" si="576">AO581</f>
        <v>-171.374</v>
      </c>
      <c r="AP667" s="99">
        <f t="shared" si="576"/>
        <v>-33.093000000000004</v>
      </c>
      <c r="AQ667" s="99">
        <f t="shared" ref="AQ667:AS680" si="577">AQ581-AP581</f>
        <v>-39.792999999999992</v>
      </c>
      <c r="AR667" s="99">
        <f t="shared" si="577"/>
        <v>-37.831000000000003</v>
      </c>
      <c r="AS667" s="99">
        <f t="shared" si="577"/>
        <v>-91.316999999999993</v>
      </c>
      <c r="AT667" s="467">
        <f t="shared" ref="AT667:AU680" si="578">AT581</f>
        <v>-202.03399999999999</v>
      </c>
      <c r="AU667" s="99">
        <f t="shared" si="578"/>
        <v>-37.204000000000001</v>
      </c>
      <c r="AV667" s="99">
        <f t="shared" ref="AV667:AX680" si="579">AV581-AU581</f>
        <v>-43.104000000000006</v>
      </c>
      <c r="AW667" s="99">
        <f t="shared" si="579"/>
        <v>-39.311999999999998</v>
      </c>
      <c r="AX667" s="99">
        <f t="shared" si="579"/>
        <v>-36.073000000000008</v>
      </c>
      <c r="AY667" s="467">
        <f t="shared" ref="AY667:AZ680" si="580">AY581</f>
        <v>-155.69300000000001</v>
      </c>
      <c r="AZ667" s="99">
        <f t="shared" si="580"/>
        <v>-104.35299999999999</v>
      </c>
      <c r="BA667" s="99">
        <f t="shared" ref="BA667:BC680" si="581">BA581-AZ581</f>
        <v>-40.828999999999994</v>
      </c>
      <c r="BB667" s="99">
        <f t="shared" si="581"/>
        <v>-38.747000000000014</v>
      </c>
      <c r="BC667" s="99">
        <f t="shared" si="581"/>
        <v>-114.68199999999999</v>
      </c>
      <c r="BD667" s="467">
        <f t="shared" ref="BD667:BE680" si="582">BD581</f>
        <v>-298.61099999999999</v>
      </c>
      <c r="BE667" s="99">
        <f t="shared" si="582"/>
        <v>-52.7</v>
      </c>
      <c r="BF667" s="99">
        <f t="shared" ref="BF667:BH680" si="583">BF581-BE581</f>
        <v>-40.192999999999998</v>
      </c>
      <c r="BG667" s="99">
        <f t="shared" si="583"/>
        <v>-59.36699999999999</v>
      </c>
      <c r="BH667" s="99">
        <f t="shared" si="583"/>
        <v>-130.04399999999998</v>
      </c>
      <c r="BI667" s="467">
        <f t="shared" ref="BI667:BJ680" si="584">BI581</f>
        <v>-282.30399999999997</v>
      </c>
      <c r="BJ667" s="99">
        <f t="shared" si="584"/>
        <v>-77.040000000000006</v>
      </c>
      <c r="BK667" s="99">
        <f t="shared" ref="BK667:BM680" si="585">BK581-BJ581</f>
        <v>-82.36</v>
      </c>
      <c r="BL667" s="99">
        <f t="shared" si="585"/>
        <v>-127.93300000000002</v>
      </c>
      <c r="BM667" s="99">
        <f t="shared" si="585"/>
        <v>-83.68199999999996</v>
      </c>
      <c r="BN667" s="467">
        <f t="shared" ref="BN667:BO680" si="586">BN581</f>
        <v>-371.01499999999999</v>
      </c>
      <c r="BO667" s="99">
        <f t="shared" si="586"/>
        <v>-97.866</v>
      </c>
      <c r="BP667" s="99">
        <f t="shared" ref="BP667:BR680" si="587">BP581-BO581</f>
        <v>-59.51700000000001</v>
      </c>
      <c r="BQ667" s="99">
        <f t="shared" si="587"/>
        <v>-52.61099999999999</v>
      </c>
      <c r="BR667" s="99">
        <f t="shared" si="587"/>
        <v>-102.321</v>
      </c>
      <c r="BS667" s="468">
        <f t="shared" ref="BS667:BS680" si="588">BS581</f>
        <v>-312.315</v>
      </c>
      <c r="BT667" s="63">
        <f>BT484</f>
        <v>-75</v>
      </c>
      <c r="BU667" s="63">
        <f>BU484</f>
        <v>-75</v>
      </c>
      <c r="BV667" s="63">
        <f>BV484</f>
        <v>-75</v>
      </c>
      <c r="BW667" s="63">
        <f>BW484</f>
        <v>-75</v>
      </c>
      <c r="BX667" s="413">
        <f t="shared" ref="BX667:BX680" si="589">SUM(BT667,BU667,BV667,BW667)</f>
        <v>-300</v>
      </c>
      <c r="BY667" s="63">
        <f>BY484</f>
        <v>-75</v>
      </c>
      <c r="BZ667" s="63">
        <f>BZ484</f>
        <v>-75</v>
      </c>
      <c r="CA667" s="63">
        <f>CA484</f>
        <v>-75</v>
      </c>
      <c r="CB667" s="63">
        <f>CB484</f>
        <v>-75</v>
      </c>
      <c r="CC667" s="413">
        <f t="shared" ref="CC667:CC680" si="590">SUM(BY667,BZ667,CA667,CB667)</f>
        <v>-300</v>
      </c>
      <c r="CD667" s="413">
        <f>CD484</f>
        <v>-300</v>
      </c>
      <c r="CE667" s="413">
        <f>CE484</f>
        <v>-300</v>
      </c>
      <c r="CF667" s="413">
        <f>CF484</f>
        <v>-300</v>
      </c>
      <c r="CG667" s="99"/>
    </row>
    <row r="668" spans="1:85" ht="14.45" customHeight="1" x14ac:dyDescent="0.25">
      <c r="A668" s="125" t="str">
        <f t="shared" si="561"/>
        <v>Purchases of short-term investments</v>
      </c>
      <c r="B668" s="63"/>
      <c r="C668" s="467">
        <f t="shared" si="562"/>
        <v>0</v>
      </c>
      <c r="D668" s="467">
        <f t="shared" si="562"/>
        <v>0</v>
      </c>
      <c r="E668" s="467">
        <f t="shared" si="562"/>
        <v>0</v>
      </c>
      <c r="F668" s="467">
        <f t="shared" si="562"/>
        <v>0</v>
      </c>
      <c r="G668" s="99">
        <f t="shared" si="562"/>
        <v>0</v>
      </c>
      <c r="H668" s="99">
        <f t="shared" si="563"/>
        <v>0</v>
      </c>
      <c r="I668" s="99">
        <f t="shared" si="563"/>
        <v>0</v>
      </c>
      <c r="J668" s="99">
        <f t="shared" si="563"/>
        <v>0</v>
      </c>
      <c r="K668" s="467">
        <f t="shared" si="564"/>
        <v>0</v>
      </c>
      <c r="L668" s="99">
        <f t="shared" si="564"/>
        <v>0</v>
      </c>
      <c r="M668" s="99">
        <f t="shared" si="565"/>
        <v>0</v>
      </c>
      <c r="N668" s="99">
        <f t="shared" si="565"/>
        <v>0</v>
      </c>
      <c r="O668" s="99">
        <f t="shared" si="565"/>
        <v>0</v>
      </c>
      <c r="P668" s="467">
        <f t="shared" si="566"/>
        <v>0</v>
      </c>
      <c r="Q668" s="99">
        <f t="shared" si="566"/>
        <v>0</v>
      </c>
      <c r="R668" s="99">
        <f t="shared" si="567"/>
        <v>0</v>
      </c>
      <c r="S668" s="99">
        <f t="shared" si="567"/>
        <v>0</v>
      </c>
      <c r="T668" s="99">
        <f t="shared" si="567"/>
        <v>0</v>
      </c>
      <c r="U668" s="467">
        <f t="shared" si="568"/>
        <v>0</v>
      </c>
      <c r="V668" s="99">
        <f t="shared" si="568"/>
        <v>0</v>
      </c>
      <c r="W668" s="99">
        <f t="shared" si="569"/>
        <v>0</v>
      </c>
      <c r="X668" s="99">
        <f t="shared" si="569"/>
        <v>0</v>
      </c>
      <c r="Y668" s="99">
        <f t="shared" si="569"/>
        <v>0</v>
      </c>
      <c r="Z668" s="467">
        <f t="shared" si="570"/>
        <v>0</v>
      </c>
      <c r="AA668" s="99">
        <f t="shared" si="570"/>
        <v>0</v>
      </c>
      <c r="AB668" s="99">
        <f t="shared" si="571"/>
        <v>0</v>
      </c>
      <c r="AC668" s="99">
        <f t="shared" si="571"/>
        <v>0</v>
      </c>
      <c r="AD668" s="99">
        <f t="shared" si="571"/>
        <v>0</v>
      </c>
      <c r="AE668" s="467">
        <f t="shared" si="572"/>
        <v>0</v>
      </c>
      <c r="AF668" s="99">
        <f t="shared" si="572"/>
        <v>0</v>
      </c>
      <c r="AG668" s="99">
        <f t="shared" si="573"/>
        <v>0</v>
      </c>
      <c r="AH668" s="99">
        <f t="shared" si="573"/>
        <v>0</v>
      </c>
      <c r="AI668" s="99">
        <f t="shared" si="573"/>
        <v>0</v>
      </c>
      <c r="AJ668" s="467">
        <f t="shared" si="574"/>
        <v>0</v>
      </c>
      <c r="AK668" s="99">
        <f t="shared" si="574"/>
        <v>0</v>
      </c>
      <c r="AL668" s="99">
        <f t="shared" si="575"/>
        <v>0</v>
      </c>
      <c r="AM668" s="99">
        <f t="shared" si="575"/>
        <v>0</v>
      </c>
      <c r="AN668" s="99">
        <f t="shared" si="575"/>
        <v>0</v>
      </c>
      <c r="AO668" s="467">
        <f t="shared" si="576"/>
        <v>0</v>
      </c>
      <c r="AP668" s="99">
        <f t="shared" si="576"/>
        <v>0</v>
      </c>
      <c r="AQ668" s="99">
        <f t="shared" si="577"/>
        <v>0</v>
      </c>
      <c r="AR668" s="99">
        <f t="shared" si="577"/>
        <v>0</v>
      </c>
      <c r="AS668" s="99">
        <f t="shared" si="577"/>
        <v>0</v>
      </c>
      <c r="AT668" s="467">
        <f t="shared" si="578"/>
        <v>0</v>
      </c>
      <c r="AU668" s="99">
        <f t="shared" si="578"/>
        <v>0</v>
      </c>
      <c r="AV668" s="99">
        <f t="shared" si="579"/>
        <v>0</v>
      </c>
      <c r="AW668" s="99">
        <f t="shared" si="579"/>
        <v>0</v>
      </c>
      <c r="AX668" s="99">
        <f t="shared" si="579"/>
        <v>0</v>
      </c>
      <c r="AY668" s="467">
        <f t="shared" si="580"/>
        <v>0</v>
      </c>
      <c r="AZ668" s="99">
        <f t="shared" si="580"/>
        <v>0</v>
      </c>
      <c r="BA668" s="99">
        <f t="shared" si="581"/>
        <v>0</v>
      </c>
      <c r="BB668" s="99">
        <f t="shared" si="581"/>
        <v>0</v>
      </c>
      <c r="BC668" s="99">
        <f t="shared" si="581"/>
        <v>0</v>
      </c>
      <c r="BD668" s="467">
        <f t="shared" si="582"/>
        <v>0</v>
      </c>
      <c r="BE668" s="99">
        <f t="shared" si="582"/>
        <v>0</v>
      </c>
      <c r="BF668" s="99">
        <f t="shared" si="583"/>
        <v>0</v>
      </c>
      <c r="BG668" s="99">
        <f t="shared" si="583"/>
        <v>0</v>
      </c>
      <c r="BH668" s="99">
        <f t="shared" si="583"/>
        <v>0</v>
      </c>
      <c r="BI668" s="467">
        <f t="shared" si="584"/>
        <v>0</v>
      </c>
      <c r="BJ668" s="99">
        <f t="shared" si="584"/>
        <v>-183.80600000000001</v>
      </c>
      <c r="BK668" s="99">
        <f t="shared" si="585"/>
        <v>-29.316999999999979</v>
      </c>
      <c r="BL668" s="99">
        <f t="shared" si="585"/>
        <v>-70.365000000000009</v>
      </c>
      <c r="BM668" s="99">
        <f t="shared" si="585"/>
        <v>-162.82100000000003</v>
      </c>
      <c r="BN668" s="467">
        <f t="shared" si="586"/>
        <v>-446.30900000000003</v>
      </c>
      <c r="BO668" s="99">
        <f t="shared" si="586"/>
        <v>-150.15700000000001</v>
      </c>
      <c r="BP668" s="99">
        <f t="shared" si="587"/>
        <v>-119.98699999999999</v>
      </c>
      <c r="BQ668" s="99">
        <f t="shared" si="587"/>
        <v>-79.85899999999998</v>
      </c>
      <c r="BR668" s="99">
        <f t="shared" si="587"/>
        <v>-40.108000000000004</v>
      </c>
      <c r="BS668" s="468">
        <f t="shared" si="588"/>
        <v>-390.11099999999999</v>
      </c>
      <c r="BT668" s="63"/>
      <c r="BU668" s="63"/>
      <c r="BV668" s="63"/>
      <c r="BW668" s="63"/>
      <c r="BX668" s="413">
        <f t="shared" si="589"/>
        <v>0</v>
      </c>
      <c r="BY668" s="63"/>
      <c r="BZ668" s="63"/>
      <c r="CA668" s="63"/>
      <c r="CB668" s="63"/>
      <c r="CC668" s="413">
        <f t="shared" si="590"/>
        <v>0</v>
      </c>
      <c r="CD668" s="413"/>
      <c r="CE668" s="413"/>
      <c r="CF668" s="413"/>
      <c r="CG668" s="99"/>
    </row>
    <row r="669" spans="1:85" ht="14.45" customHeight="1" x14ac:dyDescent="0.25">
      <c r="A669" s="125" t="str">
        <f t="shared" si="561"/>
        <v>Proceeds from the disposal of short-term investments</v>
      </c>
      <c r="B669" s="63"/>
      <c r="C669" s="467">
        <f t="shared" si="562"/>
        <v>0</v>
      </c>
      <c r="D669" s="467">
        <f t="shared" si="562"/>
        <v>0</v>
      </c>
      <c r="E669" s="467">
        <f t="shared" si="562"/>
        <v>0</v>
      </c>
      <c r="F669" s="467">
        <f t="shared" si="562"/>
        <v>0</v>
      </c>
      <c r="G669" s="99">
        <f t="shared" si="562"/>
        <v>0</v>
      </c>
      <c r="H669" s="99">
        <f t="shared" si="563"/>
        <v>0</v>
      </c>
      <c r="I669" s="99">
        <f t="shared" si="563"/>
        <v>0</v>
      </c>
      <c r="J669" s="99">
        <f t="shared" si="563"/>
        <v>0</v>
      </c>
      <c r="K669" s="467">
        <f t="shared" si="564"/>
        <v>0</v>
      </c>
      <c r="L669" s="99">
        <f t="shared" si="564"/>
        <v>0</v>
      </c>
      <c r="M669" s="99">
        <f t="shared" si="565"/>
        <v>0</v>
      </c>
      <c r="N669" s="99">
        <f t="shared" si="565"/>
        <v>0</v>
      </c>
      <c r="O669" s="99">
        <f t="shared" si="565"/>
        <v>0</v>
      </c>
      <c r="P669" s="467">
        <f t="shared" si="566"/>
        <v>0</v>
      </c>
      <c r="Q669" s="99">
        <f t="shared" si="566"/>
        <v>0</v>
      </c>
      <c r="R669" s="99">
        <f t="shared" si="567"/>
        <v>0</v>
      </c>
      <c r="S669" s="99">
        <f t="shared" si="567"/>
        <v>0</v>
      </c>
      <c r="T669" s="99">
        <f t="shared" si="567"/>
        <v>0</v>
      </c>
      <c r="U669" s="467">
        <f t="shared" si="568"/>
        <v>0</v>
      </c>
      <c r="V669" s="99">
        <f t="shared" si="568"/>
        <v>0</v>
      </c>
      <c r="W669" s="99">
        <f t="shared" si="569"/>
        <v>0</v>
      </c>
      <c r="X669" s="99">
        <f t="shared" si="569"/>
        <v>0</v>
      </c>
      <c r="Y669" s="99">
        <f t="shared" si="569"/>
        <v>0</v>
      </c>
      <c r="Z669" s="467">
        <f t="shared" si="570"/>
        <v>0</v>
      </c>
      <c r="AA669" s="99">
        <f t="shared" si="570"/>
        <v>0</v>
      </c>
      <c r="AB669" s="99">
        <f t="shared" si="571"/>
        <v>0</v>
      </c>
      <c r="AC669" s="99">
        <f t="shared" si="571"/>
        <v>0</v>
      </c>
      <c r="AD669" s="99">
        <f t="shared" si="571"/>
        <v>0</v>
      </c>
      <c r="AE669" s="467">
        <f t="shared" si="572"/>
        <v>0</v>
      </c>
      <c r="AF669" s="99">
        <f t="shared" si="572"/>
        <v>0</v>
      </c>
      <c r="AG669" s="99">
        <f t="shared" si="573"/>
        <v>0</v>
      </c>
      <c r="AH669" s="99">
        <f t="shared" si="573"/>
        <v>0</v>
      </c>
      <c r="AI669" s="99">
        <f t="shared" si="573"/>
        <v>0</v>
      </c>
      <c r="AJ669" s="467">
        <f t="shared" si="574"/>
        <v>0</v>
      </c>
      <c r="AK669" s="99">
        <f t="shared" si="574"/>
        <v>0</v>
      </c>
      <c r="AL669" s="99">
        <f t="shared" si="575"/>
        <v>0</v>
      </c>
      <c r="AM669" s="99">
        <f t="shared" si="575"/>
        <v>0</v>
      </c>
      <c r="AN669" s="99">
        <f t="shared" si="575"/>
        <v>0</v>
      </c>
      <c r="AO669" s="467">
        <f t="shared" si="576"/>
        <v>0</v>
      </c>
      <c r="AP669" s="99">
        <f t="shared" si="576"/>
        <v>0</v>
      </c>
      <c r="AQ669" s="99">
        <f t="shared" si="577"/>
        <v>0</v>
      </c>
      <c r="AR669" s="99">
        <f t="shared" si="577"/>
        <v>0</v>
      </c>
      <c r="AS669" s="99">
        <f t="shared" si="577"/>
        <v>0</v>
      </c>
      <c r="AT669" s="467">
        <f t="shared" si="578"/>
        <v>0</v>
      </c>
      <c r="AU669" s="99">
        <f t="shared" si="578"/>
        <v>0</v>
      </c>
      <c r="AV669" s="99">
        <f t="shared" si="579"/>
        <v>0</v>
      </c>
      <c r="AW669" s="99">
        <f t="shared" si="579"/>
        <v>0</v>
      </c>
      <c r="AX669" s="99">
        <f t="shared" si="579"/>
        <v>0</v>
      </c>
      <c r="AY669" s="467">
        <f t="shared" si="580"/>
        <v>0</v>
      </c>
      <c r="AZ669" s="99">
        <f t="shared" si="580"/>
        <v>0</v>
      </c>
      <c r="BA669" s="99">
        <f t="shared" si="581"/>
        <v>0</v>
      </c>
      <c r="BB669" s="99">
        <f t="shared" si="581"/>
        <v>0</v>
      </c>
      <c r="BC669" s="99">
        <f t="shared" si="581"/>
        <v>0</v>
      </c>
      <c r="BD669" s="467">
        <f t="shared" si="582"/>
        <v>0</v>
      </c>
      <c r="BE669" s="99">
        <f t="shared" si="582"/>
        <v>0</v>
      </c>
      <c r="BF669" s="99">
        <f t="shared" si="583"/>
        <v>0</v>
      </c>
      <c r="BG669" s="99">
        <f t="shared" si="583"/>
        <v>0</v>
      </c>
      <c r="BH669" s="99">
        <f t="shared" si="583"/>
        <v>0</v>
      </c>
      <c r="BI669" s="467">
        <f t="shared" si="584"/>
        <v>0</v>
      </c>
      <c r="BJ669" s="99">
        <f t="shared" si="584"/>
        <v>1.1160000000000001</v>
      </c>
      <c r="BK669" s="99">
        <f t="shared" si="585"/>
        <v>15.527000000000001</v>
      </c>
      <c r="BL669" s="99">
        <f t="shared" si="585"/>
        <v>55.588999999999999</v>
      </c>
      <c r="BM669" s="99">
        <f t="shared" si="585"/>
        <v>78.042000000000002</v>
      </c>
      <c r="BN669" s="467">
        <f t="shared" si="586"/>
        <v>150.274</v>
      </c>
      <c r="BO669" s="99">
        <f t="shared" si="586"/>
        <v>112.755</v>
      </c>
      <c r="BP669" s="99">
        <f t="shared" si="587"/>
        <v>111.73000000000002</v>
      </c>
      <c r="BQ669" s="99">
        <f t="shared" si="587"/>
        <v>282.161</v>
      </c>
      <c r="BR669" s="99">
        <f t="shared" si="587"/>
        <v>189.76899999999995</v>
      </c>
      <c r="BS669" s="468">
        <f t="shared" si="588"/>
        <v>696.41499999999996</v>
      </c>
      <c r="BT669" s="63"/>
      <c r="BU669" s="63"/>
      <c r="BV669" s="63"/>
      <c r="BW669" s="63"/>
      <c r="BX669" s="413">
        <f t="shared" si="589"/>
        <v>0</v>
      </c>
      <c r="BY669" s="63"/>
      <c r="BZ669" s="63"/>
      <c r="CA669" s="63"/>
      <c r="CB669" s="63"/>
      <c r="CC669" s="413">
        <f t="shared" si="590"/>
        <v>0</v>
      </c>
      <c r="CD669" s="413"/>
      <c r="CE669" s="413"/>
      <c r="CF669" s="413"/>
      <c r="CG669" s="99"/>
    </row>
    <row r="670" spans="1:85" ht="14.45" customHeight="1" x14ac:dyDescent="0.25">
      <c r="A670" s="125" t="str">
        <f t="shared" si="561"/>
        <v>Other distribution agreements</v>
      </c>
      <c r="B670" s="63"/>
      <c r="C670" s="467">
        <f t="shared" si="562"/>
        <v>0</v>
      </c>
      <c r="D670" s="467">
        <f t="shared" si="562"/>
        <v>0</v>
      </c>
      <c r="E670" s="467">
        <f t="shared" si="562"/>
        <v>0</v>
      </c>
      <c r="F670" s="467">
        <f t="shared" si="562"/>
        <v>0</v>
      </c>
      <c r="G670" s="99">
        <f t="shared" si="562"/>
        <v>0</v>
      </c>
      <c r="H670" s="99">
        <f t="shared" si="563"/>
        <v>0</v>
      </c>
      <c r="I670" s="99">
        <f t="shared" si="563"/>
        <v>0</v>
      </c>
      <c r="J670" s="99">
        <f t="shared" si="563"/>
        <v>0</v>
      </c>
      <c r="K670" s="467">
        <f t="shared" si="564"/>
        <v>0</v>
      </c>
      <c r="L670" s="99">
        <f t="shared" si="564"/>
        <v>0</v>
      </c>
      <c r="M670" s="99">
        <f t="shared" si="565"/>
        <v>0</v>
      </c>
      <c r="N670" s="99">
        <f t="shared" si="565"/>
        <v>0</v>
      </c>
      <c r="O670" s="99">
        <f t="shared" si="565"/>
        <v>0</v>
      </c>
      <c r="P670" s="467">
        <f t="shared" si="566"/>
        <v>0</v>
      </c>
      <c r="Q670" s="99">
        <f t="shared" si="566"/>
        <v>0</v>
      </c>
      <c r="R670" s="99">
        <f t="shared" si="567"/>
        <v>0</v>
      </c>
      <c r="S670" s="99">
        <f t="shared" si="567"/>
        <v>0</v>
      </c>
      <c r="T670" s="99">
        <f t="shared" si="567"/>
        <v>0</v>
      </c>
      <c r="U670" s="467">
        <f t="shared" si="568"/>
        <v>0</v>
      </c>
      <c r="V670" s="99">
        <f t="shared" si="568"/>
        <v>0</v>
      </c>
      <c r="W670" s="99">
        <f t="shared" si="569"/>
        <v>0</v>
      </c>
      <c r="X670" s="99">
        <f t="shared" si="569"/>
        <v>0</v>
      </c>
      <c r="Y670" s="99">
        <f t="shared" si="569"/>
        <v>0</v>
      </c>
      <c r="Z670" s="467">
        <f t="shared" si="570"/>
        <v>0</v>
      </c>
      <c r="AA670" s="99">
        <f t="shared" si="570"/>
        <v>0</v>
      </c>
      <c r="AB670" s="99">
        <f t="shared" si="571"/>
        <v>0</v>
      </c>
      <c r="AC670" s="99">
        <f t="shared" si="571"/>
        <v>0</v>
      </c>
      <c r="AD670" s="99">
        <f t="shared" si="571"/>
        <v>0</v>
      </c>
      <c r="AE670" s="467">
        <f t="shared" si="572"/>
        <v>0</v>
      </c>
      <c r="AF670" s="99">
        <f t="shared" si="572"/>
        <v>0</v>
      </c>
      <c r="AG670" s="99">
        <f t="shared" si="573"/>
        <v>0</v>
      </c>
      <c r="AH670" s="99">
        <f t="shared" si="573"/>
        <v>0</v>
      </c>
      <c r="AI670" s="99">
        <f t="shared" si="573"/>
        <v>0</v>
      </c>
      <c r="AJ670" s="467">
        <f t="shared" si="574"/>
        <v>0</v>
      </c>
      <c r="AK670" s="99">
        <f t="shared" si="574"/>
        <v>-4.6539999999999999</v>
      </c>
      <c r="AL670" s="99">
        <f t="shared" si="575"/>
        <v>0</v>
      </c>
      <c r="AM670" s="99">
        <f t="shared" si="575"/>
        <v>0</v>
      </c>
      <c r="AN670" s="99">
        <f t="shared" si="575"/>
        <v>0</v>
      </c>
      <c r="AO670" s="467">
        <f t="shared" si="576"/>
        <v>-4.6539999999999999</v>
      </c>
      <c r="AP670" s="99">
        <f t="shared" si="576"/>
        <v>0</v>
      </c>
      <c r="AQ670" s="99">
        <f t="shared" si="577"/>
        <v>0</v>
      </c>
      <c r="AR670" s="99">
        <f t="shared" si="577"/>
        <v>0</v>
      </c>
      <c r="AS670" s="99">
        <f t="shared" si="577"/>
        <v>0</v>
      </c>
      <c r="AT670" s="467">
        <f t="shared" si="578"/>
        <v>0</v>
      </c>
      <c r="AU670" s="99">
        <f t="shared" si="578"/>
        <v>-1.998</v>
      </c>
      <c r="AV670" s="99">
        <f t="shared" si="579"/>
        <v>0</v>
      </c>
      <c r="AW670" s="99">
        <f t="shared" si="579"/>
        <v>0</v>
      </c>
      <c r="AX670" s="99">
        <f t="shared" si="579"/>
        <v>-6.9950000000000001</v>
      </c>
      <c r="AY670" s="467">
        <f t="shared" si="580"/>
        <v>-8.9930000000000003</v>
      </c>
      <c r="AZ670" s="99">
        <f t="shared" si="580"/>
        <v>-30.149000000000001</v>
      </c>
      <c r="BA670" s="99">
        <f t="shared" si="581"/>
        <v>0</v>
      </c>
      <c r="BB670" s="99">
        <f t="shared" si="581"/>
        <v>0</v>
      </c>
      <c r="BC670" s="99">
        <f t="shared" si="581"/>
        <v>-0.5</v>
      </c>
      <c r="BD670" s="467">
        <f t="shared" si="582"/>
        <v>-30.649000000000001</v>
      </c>
      <c r="BE670" s="99">
        <f t="shared" si="582"/>
        <v>0</v>
      </c>
      <c r="BF670" s="99">
        <f t="shared" si="583"/>
        <v>0</v>
      </c>
      <c r="BG670" s="99">
        <f t="shared" si="583"/>
        <v>0</v>
      </c>
      <c r="BH670" s="99">
        <f t="shared" si="583"/>
        <v>0</v>
      </c>
      <c r="BI670" s="467">
        <f t="shared" si="584"/>
        <v>0</v>
      </c>
      <c r="BJ670" s="99">
        <f t="shared" si="584"/>
        <v>0</v>
      </c>
      <c r="BK670" s="99">
        <f t="shared" si="585"/>
        <v>0</v>
      </c>
      <c r="BL670" s="99">
        <f t="shared" si="585"/>
        <v>0</v>
      </c>
      <c r="BM670" s="99">
        <f t="shared" si="585"/>
        <v>0</v>
      </c>
      <c r="BN670" s="467">
        <f t="shared" si="586"/>
        <v>0</v>
      </c>
      <c r="BO670" s="99">
        <f t="shared" si="586"/>
        <v>0</v>
      </c>
      <c r="BP670" s="99">
        <f t="shared" si="587"/>
        <v>0</v>
      </c>
      <c r="BQ670" s="99">
        <f t="shared" si="587"/>
        <v>0</v>
      </c>
      <c r="BR670" s="99">
        <f t="shared" si="587"/>
        <v>0</v>
      </c>
      <c r="BS670" s="468">
        <f t="shared" si="588"/>
        <v>0</v>
      </c>
      <c r="BT670" s="63"/>
      <c r="BU670" s="63"/>
      <c r="BV670" s="63"/>
      <c r="BW670" s="63"/>
      <c r="BX670" s="413">
        <f t="shared" si="589"/>
        <v>0</v>
      </c>
      <c r="BY670" s="63"/>
      <c r="BZ670" s="63"/>
      <c r="CA670" s="63"/>
      <c r="CB670" s="63"/>
      <c r="CC670" s="413">
        <f t="shared" si="590"/>
        <v>0</v>
      </c>
      <c r="CD670" s="413"/>
      <c r="CE670" s="413"/>
      <c r="CF670" s="413"/>
      <c r="CG670" s="99"/>
    </row>
    <row r="671" spans="1:85" ht="14.45" customHeight="1" x14ac:dyDescent="0.25">
      <c r="A671" s="125" t="str">
        <f t="shared" si="561"/>
        <v>Proceeds from the sale of property, plant and equipment</v>
      </c>
      <c r="B671" s="63"/>
      <c r="C671" s="467">
        <f t="shared" si="562"/>
        <v>8.282</v>
      </c>
      <c r="D671" s="467">
        <f t="shared" si="562"/>
        <v>1.7949999999999999</v>
      </c>
      <c r="E671" s="467">
        <f t="shared" si="562"/>
        <v>1.772</v>
      </c>
      <c r="F671" s="467">
        <f t="shared" si="562"/>
        <v>0.70099999999999996</v>
      </c>
      <c r="G671" s="99">
        <f t="shared" si="562"/>
        <v>4.3019999999999996</v>
      </c>
      <c r="H671" s="99">
        <f t="shared" si="563"/>
        <v>1.367</v>
      </c>
      <c r="I671" s="99">
        <f t="shared" si="563"/>
        <v>0.38700000000000045</v>
      </c>
      <c r="J671" s="99">
        <f t="shared" si="563"/>
        <v>8.0000000000000071E-2</v>
      </c>
      <c r="K671" s="467">
        <f t="shared" si="564"/>
        <v>6.1360000000000001</v>
      </c>
      <c r="L671" s="99">
        <f t="shared" si="564"/>
        <v>0.95799999999999996</v>
      </c>
      <c r="M671" s="99">
        <f t="shared" si="565"/>
        <v>0.10299999999999998</v>
      </c>
      <c r="N671" s="99">
        <f t="shared" si="565"/>
        <v>0.15100000000000002</v>
      </c>
      <c r="O671" s="99">
        <f t="shared" si="565"/>
        <v>0.4890000000000001</v>
      </c>
      <c r="P671" s="467">
        <f t="shared" si="566"/>
        <v>1.7010000000000001</v>
      </c>
      <c r="Q671" s="99">
        <f t="shared" si="566"/>
        <v>0.11799999999999999</v>
      </c>
      <c r="R671" s="99">
        <f t="shared" si="567"/>
        <v>2.5999999999999995E-2</v>
      </c>
      <c r="S671" s="99">
        <f t="shared" si="567"/>
        <v>0.13000000000000003</v>
      </c>
      <c r="T671" s="99">
        <f t="shared" si="567"/>
        <v>1.617</v>
      </c>
      <c r="U671" s="467">
        <f t="shared" si="568"/>
        <v>1.891</v>
      </c>
      <c r="V671" s="99">
        <f t="shared" si="568"/>
        <v>0.13100000000000001</v>
      </c>
      <c r="W671" s="99">
        <f t="shared" si="569"/>
        <v>0.15099999999999997</v>
      </c>
      <c r="X671" s="99">
        <f t="shared" si="569"/>
        <v>5.1000000000000045E-2</v>
      </c>
      <c r="Y671" s="99">
        <f t="shared" si="569"/>
        <v>0.7390000000000001</v>
      </c>
      <c r="Z671" s="467">
        <f t="shared" si="570"/>
        <v>1.0720000000000001</v>
      </c>
      <c r="AA671" s="99">
        <f t="shared" si="570"/>
        <v>0.21099999999999999</v>
      </c>
      <c r="AB671" s="99">
        <f t="shared" si="571"/>
        <v>0.17300000000000001</v>
      </c>
      <c r="AC671" s="99">
        <f t="shared" si="571"/>
        <v>0.10899999999999999</v>
      </c>
      <c r="AD671" s="99">
        <f t="shared" si="571"/>
        <v>0.11499999999999999</v>
      </c>
      <c r="AE671" s="467">
        <f t="shared" si="572"/>
        <v>0.60799999999999998</v>
      </c>
      <c r="AF671" s="99">
        <f t="shared" si="572"/>
        <v>2.8940000000000001</v>
      </c>
      <c r="AG671" s="99">
        <f t="shared" si="573"/>
        <v>0.15300000000000002</v>
      </c>
      <c r="AH671" s="99">
        <f t="shared" si="573"/>
        <v>0.50800000000000001</v>
      </c>
      <c r="AI671" s="99">
        <f t="shared" si="573"/>
        <v>1.7040000000000002</v>
      </c>
      <c r="AJ671" s="467">
        <f t="shared" si="574"/>
        <v>5.2590000000000003</v>
      </c>
      <c r="AK671" s="99">
        <f t="shared" si="574"/>
        <v>0.68100000000000005</v>
      </c>
      <c r="AL671" s="99">
        <f t="shared" si="575"/>
        <v>0.1419999999999999</v>
      </c>
      <c r="AM671" s="99">
        <f t="shared" si="575"/>
        <v>0.20500000000000007</v>
      </c>
      <c r="AN671" s="99">
        <f t="shared" si="575"/>
        <v>3.036</v>
      </c>
      <c r="AO671" s="467">
        <f t="shared" si="576"/>
        <v>4.0640000000000001</v>
      </c>
      <c r="AP671" s="99">
        <f t="shared" si="576"/>
        <v>1.6579999999999999</v>
      </c>
      <c r="AQ671" s="99">
        <f t="shared" si="577"/>
        <v>0.10600000000000009</v>
      </c>
      <c r="AR671" s="99">
        <f t="shared" si="577"/>
        <v>0.63299999999999979</v>
      </c>
      <c r="AS671" s="99">
        <f t="shared" si="577"/>
        <v>0.98799999999999999</v>
      </c>
      <c r="AT671" s="467">
        <f t="shared" si="578"/>
        <v>3.3849999999999998</v>
      </c>
      <c r="AU671" s="99">
        <f t="shared" si="578"/>
        <v>7.3999999999999996E-2</v>
      </c>
      <c r="AV671" s="99">
        <f t="shared" si="579"/>
        <v>1.6039999999999999</v>
      </c>
      <c r="AW671" s="99">
        <f t="shared" si="579"/>
        <v>2.5369999999999999</v>
      </c>
      <c r="AX671" s="99">
        <f t="shared" si="579"/>
        <v>1.0590000000000002</v>
      </c>
      <c r="AY671" s="467">
        <f t="shared" si="580"/>
        <v>5.274</v>
      </c>
      <c r="AZ671" s="99">
        <f t="shared" si="580"/>
        <v>2.1779999999999999</v>
      </c>
      <c r="BA671" s="99">
        <f t="shared" si="581"/>
        <v>3.077</v>
      </c>
      <c r="BB671" s="99">
        <f t="shared" si="581"/>
        <v>9.2999999999999972E-2</v>
      </c>
      <c r="BC671" s="99">
        <f t="shared" si="581"/>
        <v>2.0209999999999999</v>
      </c>
      <c r="BD671" s="467">
        <f t="shared" si="582"/>
        <v>7.3689999999999998</v>
      </c>
      <c r="BE671" s="99">
        <f t="shared" si="582"/>
        <v>0.158</v>
      </c>
      <c r="BF671" s="99">
        <f t="shared" si="583"/>
        <v>0.10900000000000001</v>
      </c>
      <c r="BG671" s="99">
        <f t="shared" si="583"/>
        <v>0.17399999999999999</v>
      </c>
      <c r="BH671" s="99">
        <f t="shared" si="583"/>
        <v>0.25399999999999995</v>
      </c>
      <c r="BI671" s="467">
        <f t="shared" si="584"/>
        <v>0.69499999999999995</v>
      </c>
      <c r="BJ671" s="99">
        <f t="shared" si="584"/>
        <v>0.1</v>
      </c>
      <c r="BK671" s="99">
        <f t="shared" si="585"/>
        <v>0.15</v>
      </c>
      <c r="BL671" s="99">
        <f t="shared" si="585"/>
        <v>0.17499999999999999</v>
      </c>
      <c r="BM671" s="99">
        <f t="shared" si="585"/>
        <v>0.14399999999999996</v>
      </c>
      <c r="BN671" s="467">
        <f t="shared" si="586"/>
        <v>0.56899999999999995</v>
      </c>
      <c r="BO671" s="99">
        <f t="shared" si="586"/>
        <v>0.157</v>
      </c>
      <c r="BP671" s="99">
        <f t="shared" si="587"/>
        <v>6.12</v>
      </c>
      <c r="BQ671" s="99">
        <f t="shared" si="587"/>
        <v>0.10799999999999965</v>
      </c>
      <c r="BR671" s="99">
        <f t="shared" si="587"/>
        <v>0.20900000000000052</v>
      </c>
      <c r="BS671" s="468">
        <f t="shared" si="588"/>
        <v>6.5940000000000003</v>
      </c>
      <c r="BT671" s="63">
        <f>BT487</f>
        <v>0</v>
      </c>
      <c r="BU671" s="63">
        <f>BU487</f>
        <v>0</v>
      </c>
      <c r="BV671" s="63">
        <f>BV487</f>
        <v>0</v>
      </c>
      <c r="BW671" s="63">
        <f>BW487</f>
        <v>0</v>
      </c>
      <c r="BX671" s="413">
        <f t="shared" si="589"/>
        <v>0</v>
      </c>
      <c r="BY671" s="63">
        <f>BY487</f>
        <v>0</v>
      </c>
      <c r="BZ671" s="63">
        <f>BZ487</f>
        <v>0</v>
      </c>
      <c r="CA671" s="63">
        <f>CA487</f>
        <v>0</v>
      </c>
      <c r="CB671" s="63">
        <f>CB487</f>
        <v>0</v>
      </c>
      <c r="CC671" s="413">
        <f t="shared" si="590"/>
        <v>0</v>
      </c>
      <c r="CD671" s="413">
        <f>CD487</f>
        <v>0</v>
      </c>
      <c r="CE671" s="413">
        <f>CE487</f>
        <v>0</v>
      </c>
      <c r="CF671" s="413">
        <f>CF487</f>
        <v>0</v>
      </c>
      <c r="CG671" s="99"/>
    </row>
    <row r="672" spans="1:85" ht="14.45" customHeight="1" x14ac:dyDescent="0.25">
      <c r="A672" s="125" t="str">
        <f t="shared" si="561"/>
        <v>Proceeds from cold drink equipment</v>
      </c>
      <c r="B672" s="63"/>
      <c r="C672" s="467">
        <f t="shared" si="562"/>
        <v>0</v>
      </c>
      <c r="D672" s="467">
        <f t="shared" si="562"/>
        <v>0</v>
      </c>
      <c r="E672" s="467">
        <f t="shared" si="562"/>
        <v>0</v>
      </c>
      <c r="F672" s="467">
        <f t="shared" si="562"/>
        <v>0</v>
      </c>
      <c r="G672" s="99">
        <f t="shared" si="562"/>
        <v>0</v>
      </c>
      <c r="H672" s="99">
        <f t="shared" si="563"/>
        <v>0</v>
      </c>
      <c r="I672" s="99">
        <f t="shared" si="563"/>
        <v>0</v>
      </c>
      <c r="J672" s="99">
        <f t="shared" si="563"/>
        <v>0</v>
      </c>
      <c r="K672" s="467">
        <f t="shared" si="564"/>
        <v>0</v>
      </c>
      <c r="L672" s="99">
        <f t="shared" si="564"/>
        <v>0</v>
      </c>
      <c r="M672" s="99">
        <f t="shared" si="565"/>
        <v>0</v>
      </c>
      <c r="N672" s="99">
        <f t="shared" si="565"/>
        <v>0</v>
      </c>
      <c r="O672" s="99">
        <f t="shared" si="565"/>
        <v>0</v>
      </c>
      <c r="P672" s="467">
        <f t="shared" si="566"/>
        <v>0</v>
      </c>
      <c r="Q672" s="99">
        <f t="shared" si="566"/>
        <v>0</v>
      </c>
      <c r="R672" s="99">
        <f t="shared" si="567"/>
        <v>0</v>
      </c>
      <c r="S672" s="99">
        <f t="shared" si="567"/>
        <v>0</v>
      </c>
      <c r="T672" s="99">
        <f t="shared" si="567"/>
        <v>0</v>
      </c>
      <c r="U672" s="467">
        <f t="shared" si="568"/>
        <v>0</v>
      </c>
      <c r="V672" s="99">
        <f t="shared" si="568"/>
        <v>0</v>
      </c>
      <c r="W672" s="99">
        <f t="shared" si="569"/>
        <v>0</v>
      </c>
      <c r="X672" s="99">
        <f t="shared" si="569"/>
        <v>0</v>
      </c>
      <c r="Y672" s="99">
        <f t="shared" si="569"/>
        <v>0</v>
      </c>
      <c r="Z672" s="467">
        <f t="shared" si="570"/>
        <v>0</v>
      </c>
      <c r="AA672" s="99">
        <f t="shared" si="570"/>
        <v>0</v>
      </c>
      <c r="AB672" s="99">
        <f t="shared" si="571"/>
        <v>8.4</v>
      </c>
      <c r="AC672" s="99">
        <f t="shared" si="571"/>
        <v>0</v>
      </c>
      <c r="AD672" s="99">
        <f t="shared" si="571"/>
        <v>0</v>
      </c>
      <c r="AE672" s="467">
        <f t="shared" si="572"/>
        <v>8.4</v>
      </c>
      <c r="AF672" s="99">
        <f t="shared" si="572"/>
        <v>0</v>
      </c>
      <c r="AG672" s="99">
        <f t="shared" si="573"/>
        <v>3.7890000000000001</v>
      </c>
      <c r="AH672" s="99">
        <f t="shared" si="573"/>
        <v>0</v>
      </c>
      <c r="AI672" s="99">
        <f t="shared" si="573"/>
        <v>0</v>
      </c>
      <c r="AJ672" s="467">
        <f t="shared" si="574"/>
        <v>3.7890000000000001</v>
      </c>
      <c r="AK672" s="99">
        <f t="shared" si="574"/>
        <v>0</v>
      </c>
      <c r="AL672" s="99">
        <f t="shared" si="575"/>
        <v>0</v>
      </c>
      <c r="AM672" s="99">
        <f t="shared" si="575"/>
        <v>0</v>
      </c>
      <c r="AN672" s="99">
        <f t="shared" si="575"/>
        <v>0</v>
      </c>
      <c r="AO672" s="467">
        <f t="shared" si="576"/>
        <v>0</v>
      </c>
      <c r="AP672" s="99">
        <f t="shared" si="576"/>
        <v>0</v>
      </c>
      <c r="AQ672" s="99">
        <f t="shared" si="577"/>
        <v>0</v>
      </c>
      <c r="AR672" s="99">
        <f t="shared" si="577"/>
        <v>0</v>
      </c>
      <c r="AS672" s="99">
        <f t="shared" si="577"/>
        <v>0</v>
      </c>
      <c r="AT672" s="467">
        <f t="shared" si="578"/>
        <v>0</v>
      </c>
      <c r="AU672" s="99">
        <f t="shared" si="578"/>
        <v>0</v>
      </c>
      <c r="AV672" s="99">
        <f t="shared" si="579"/>
        <v>0</v>
      </c>
      <c r="AW672" s="99">
        <f t="shared" si="579"/>
        <v>0</v>
      </c>
      <c r="AX672" s="99">
        <f t="shared" si="579"/>
        <v>0</v>
      </c>
      <c r="AY672" s="467">
        <f t="shared" si="580"/>
        <v>0</v>
      </c>
      <c r="AZ672" s="99">
        <f t="shared" si="580"/>
        <v>0</v>
      </c>
      <c r="BA672" s="99">
        <f t="shared" si="581"/>
        <v>0</v>
      </c>
      <c r="BB672" s="99">
        <f t="shared" si="581"/>
        <v>0</v>
      </c>
      <c r="BC672" s="99">
        <f t="shared" si="581"/>
        <v>0</v>
      </c>
      <c r="BD672" s="467">
        <f t="shared" si="582"/>
        <v>0</v>
      </c>
      <c r="BE672" s="99">
        <f t="shared" si="582"/>
        <v>0</v>
      </c>
      <c r="BF672" s="99">
        <f t="shared" si="583"/>
        <v>0</v>
      </c>
      <c r="BG672" s="99">
        <f t="shared" si="583"/>
        <v>0</v>
      </c>
      <c r="BH672" s="99">
        <f t="shared" si="583"/>
        <v>0</v>
      </c>
      <c r="BI672" s="467">
        <f t="shared" si="584"/>
        <v>0</v>
      </c>
      <c r="BJ672" s="99">
        <f t="shared" si="584"/>
        <v>0</v>
      </c>
      <c r="BK672" s="99">
        <f t="shared" si="585"/>
        <v>0</v>
      </c>
      <c r="BL672" s="99">
        <f t="shared" si="585"/>
        <v>0</v>
      </c>
      <c r="BM672" s="99">
        <f t="shared" si="585"/>
        <v>0</v>
      </c>
      <c r="BN672" s="467">
        <f t="shared" si="586"/>
        <v>0</v>
      </c>
      <c r="BO672" s="99">
        <f t="shared" si="586"/>
        <v>0</v>
      </c>
      <c r="BP672" s="99">
        <f t="shared" si="587"/>
        <v>0</v>
      </c>
      <c r="BQ672" s="99">
        <f t="shared" si="587"/>
        <v>0</v>
      </c>
      <c r="BR672" s="99">
        <f t="shared" si="587"/>
        <v>0</v>
      </c>
      <c r="BS672" s="468">
        <f t="shared" si="588"/>
        <v>0</v>
      </c>
      <c r="BT672" s="63"/>
      <c r="BU672" s="63"/>
      <c r="BV672" s="63"/>
      <c r="BW672" s="63"/>
      <c r="BX672" s="413">
        <f t="shared" si="589"/>
        <v>0</v>
      </c>
      <c r="BY672" s="63"/>
      <c r="BZ672" s="63"/>
      <c r="CA672" s="63"/>
      <c r="CB672" s="63"/>
      <c r="CC672" s="413">
        <f t="shared" si="590"/>
        <v>0</v>
      </c>
      <c r="CD672" s="413"/>
      <c r="CE672" s="413"/>
      <c r="CF672" s="413"/>
      <c r="CG672" s="99"/>
    </row>
    <row r="673" spans="1:85" ht="14.45" customHeight="1" x14ac:dyDescent="0.25">
      <c r="A673" s="125" t="str">
        <f t="shared" si="561"/>
        <v>Net cash paid for exchange transactions</v>
      </c>
      <c r="B673" s="63"/>
      <c r="C673" s="467">
        <f t="shared" si="562"/>
        <v>0</v>
      </c>
      <c r="D673" s="467">
        <f t="shared" si="562"/>
        <v>0</v>
      </c>
      <c r="E673" s="467">
        <f t="shared" si="562"/>
        <v>0</v>
      </c>
      <c r="F673" s="467">
        <f t="shared" si="562"/>
        <v>0</v>
      </c>
      <c r="G673" s="99">
        <f t="shared" si="562"/>
        <v>0</v>
      </c>
      <c r="H673" s="99">
        <f t="shared" si="563"/>
        <v>0</v>
      </c>
      <c r="I673" s="99">
        <f t="shared" si="563"/>
        <v>0</v>
      </c>
      <c r="J673" s="99">
        <f t="shared" si="563"/>
        <v>0</v>
      </c>
      <c r="K673" s="467">
        <f t="shared" si="564"/>
        <v>0</v>
      </c>
      <c r="L673" s="99">
        <f t="shared" si="564"/>
        <v>0</v>
      </c>
      <c r="M673" s="99">
        <f t="shared" si="565"/>
        <v>0</v>
      </c>
      <c r="N673" s="99">
        <f t="shared" si="565"/>
        <v>0</v>
      </c>
      <c r="O673" s="99">
        <f t="shared" si="565"/>
        <v>0</v>
      </c>
      <c r="P673" s="467">
        <f t="shared" si="566"/>
        <v>0</v>
      </c>
      <c r="Q673" s="99">
        <f t="shared" si="566"/>
        <v>0</v>
      </c>
      <c r="R673" s="99">
        <f t="shared" si="567"/>
        <v>0</v>
      </c>
      <c r="S673" s="99">
        <f t="shared" si="567"/>
        <v>0</v>
      </c>
      <c r="T673" s="99">
        <f t="shared" si="567"/>
        <v>0</v>
      </c>
      <c r="U673" s="467">
        <f t="shared" si="568"/>
        <v>0</v>
      </c>
      <c r="V673" s="99">
        <f t="shared" si="568"/>
        <v>0</v>
      </c>
      <c r="W673" s="99">
        <f t="shared" si="569"/>
        <v>0</v>
      </c>
      <c r="X673" s="99">
        <f t="shared" si="569"/>
        <v>0</v>
      </c>
      <c r="Y673" s="99">
        <f t="shared" si="569"/>
        <v>0</v>
      </c>
      <c r="Z673" s="467">
        <f t="shared" si="570"/>
        <v>0</v>
      </c>
      <c r="AA673" s="99">
        <f t="shared" si="570"/>
        <v>0</v>
      </c>
      <c r="AB673" s="99">
        <f t="shared" si="571"/>
        <v>0</v>
      </c>
      <c r="AC673" s="99">
        <f t="shared" si="571"/>
        <v>0</v>
      </c>
      <c r="AD673" s="99">
        <f t="shared" si="571"/>
        <v>-19.393000000000001</v>
      </c>
      <c r="AE673" s="467">
        <f t="shared" si="572"/>
        <v>-19.393000000000001</v>
      </c>
      <c r="AF673" s="99">
        <f t="shared" si="572"/>
        <v>0</v>
      </c>
      <c r="AG673" s="99">
        <f t="shared" si="573"/>
        <v>0</v>
      </c>
      <c r="AH673" s="99">
        <f t="shared" si="573"/>
        <v>0</v>
      </c>
      <c r="AI673" s="99">
        <f t="shared" si="573"/>
        <v>-13.116</v>
      </c>
      <c r="AJ673" s="467">
        <f t="shared" si="574"/>
        <v>-13.116</v>
      </c>
      <c r="AK673" s="99">
        <f t="shared" si="574"/>
        <v>0</v>
      </c>
      <c r="AL673" s="99">
        <f t="shared" si="575"/>
        <v>0</v>
      </c>
      <c r="AM673" s="99">
        <f t="shared" si="575"/>
        <v>0</v>
      </c>
      <c r="AN673" s="99">
        <f t="shared" si="575"/>
        <v>0</v>
      </c>
      <c r="AO673" s="467">
        <f t="shared" si="576"/>
        <v>0</v>
      </c>
      <c r="AP673" s="99">
        <f t="shared" si="576"/>
        <v>0</v>
      </c>
      <c r="AQ673" s="99">
        <f t="shared" si="577"/>
        <v>0</v>
      </c>
      <c r="AR673" s="99">
        <f t="shared" si="577"/>
        <v>0</v>
      </c>
      <c r="AS673" s="99">
        <f t="shared" si="577"/>
        <v>0</v>
      </c>
      <c r="AT673" s="467">
        <f t="shared" si="578"/>
        <v>0</v>
      </c>
      <c r="AU673" s="99">
        <f t="shared" si="578"/>
        <v>0</v>
      </c>
      <c r="AV673" s="99">
        <f t="shared" si="579"/>
        <v>0</v>
      </c>
      <c r="AW673" s="99">
        <f t="shared" si="579"/>
        <v>0</v>
      </c>
      <c r="AX673" s="99">
        <f t="shared" si="579"/>
        <v>0</v>
      </c>
      <c r="AY673" s="467">
        <f t="shared" si="580"/>
        <v>0</v>
      </c>
      <c r="AZ673" s="99">
        <f t="shared" si="580"/>
        <v>0</v>
      </c>
      <c r="BA673" s="99">
        <f t="shared" si="581"/>
        <v>0</v>
      </c>
      <c r="BB673" s="99">
        <f t="shared" si="581"/>
        <v>0</v>
      </c>
      <c r="BC673" s="99">
        <f t="shared" si="581"/>
        <v>0</v>
      </c>
      <c r="BD673" s="467">
        <f t="shared" si="582"/>
        <v>0</v>
      </c>
      <c r="BE673" s="99">
        <f t="shared" si="582"/>
        <v>0</v>
      </c>
      <c r="BF673" s="99">
        <f t="shared" si="583"/>
        <v>0</v>
      </c>
      <c r="BG673" s="99">
        <f t="shared" si="583"/>
        <v>0</v>
      </c>
      <c r="BH673" s="99">
        <f t="shared" si="583"/>
        <v>0</v>
      </c>
      <c r="BI673" s="467">
        <f t="shared" si="584"/>
        <v>0</v>
      </c>
      <c r="BJ673" s="99">
        <f t="shared" si="584"/>
        <v>0</v>
      </c>
      <c r="BK673" s="99">
        <f t="shared" si="585"/>
        <v>0</v>
      </c>
      <c r="BL673" s="99">
        <f t="shared" si="585"/>
        <v>0</v>
      </c>
      <c r="BM673" s="99">
        <f t="shared" si="585"/>
        <v>0</v>
      </c>
      <c r="BN673" s="467">
        <f t="shared" si="586"/>
        <v>0</v>
      </c>
      <c r="BO673" s="99">
        <f t="shared" si="586"/>
        <v>0</v>
      </c>
      <c r="BP673" s="99">
        <f t="shared" si="587"/>
        <v>0</v>
      </c>
      <c r="BQ673" s="99">
        <f t="shared" si="587"/>
        <v>0</v>
      </c>
      <c r="BR673" s="99">
        <f t="shared" si="587"/>
        <v>0</v>
      </c>
      <c r="BS673" s="468">
        <f t="shared" si="588"/>
        <v>0</v>
      </c>
      <c r="BT673" s="63"/>
      <c r="BU673" s="63"/>
      <c r="BV673" s="63"/>
      <c r="BW673" s="63"/>
      <c r="BX673" s="413">
        <f t="shared" si="589"/>
        <v>0</v>
      </c>
      <c r="BY673" s="63"/>
      <c r="BZ673" s="63"/>
      <c r="CA673" s="63"/>
      <c r="CB673" s="63"/>
      <c r="CC673" s="413">
        <f t="shared" si="590"/>
        <v>0</v>
      </c>
      <c r="CD673" s="413"/>
      <c r="CE673" s="413"/>
      <c r="CF673" s="413"/>
      <c r="CG673" s="99"/>
    </row>
    <row r="674" spans="1:85" ht="14.45" customHeight="1" x14ac:dyDescent="0.25">
      <c r="A674" s="125" t="str">
        <f t="shared" si="561"/>
        <v>Portion of Legacy Facilities Credit related to Mobile, Alabama facility</v>
      </c>
      <c r="B674" s="63"/>
      <c r="C674" s="467">
        <f t="shared" si="562"/>
        <v>0</v>
      </c>
      <c r="D674" s="467">
        <f t="shared" si="562"/>
        <v>0</v>
      </c>
      <c r="E674" s="467">
        <f t="shared" si="562"/>
        <v>0</v>
      </c>
      <c r="F674" s="467">
        <f t="shared" si="562"/>
        <v>0</v>
      </c>
      <c r="G674" s="99">
        <f t="shared" si="562"/>
        <v>0</v>
      </c>
      <c r="H674" s="99">
        <f t="shared" si="563"/>
        <v>0</v>
      </c>
      <c r="I674" s="99">
        <f t="shared" si="563"/>
        <v>0</v>
      </c>
      <c r="J674" s="99">
        <f t="shared" si="563"/>
        <v>0</v>
      </c>
      <c r="K674" s="467">
        <f t="shared" si="564"/>
        <v>0</v>
      </c>
      <c r="L674" s="99">
        <f t="shared" si="564"/>
        <v>0</v>
      </c>
      <c r="M674" s="99">
        <f t="shared" si="565"/>
        <v>0</v>
      </c>
      <c r="N674" s="99">
        <f t="shared" si="565"/>
        <v>0</v>
      </c>
      <c r="O674" s="99">
        <f t="shared" si="565"/>
        <v>0</v>
      </c>
      <c r="P674" s="467">
        <f t="shared" si="566"/>
        <v>0</v>
      </c>
      <c r="Q674" s="99">
        <f t="shared" si="566"/>
        <v>0</v>
      </c>
      <c r="R674" s="99">
        <f t="shared" si="567"/>
        <v>0</v>
      </c>
      <c r="S674" s="99">
        <f t="shared" si="567"/>
        <v>0</v>
      </c>
      <c r="T674" s="99">
        <f t="shared" si="567"/>
        <v>0</v>
      </c>
      <c r="U674" s="467">
        <f t="shared" si="568"/>
        <v>0</v>
      </c>
      <c r="V674" s="99">
        <f t="shared" si="568"/>
        <v>0</v>
      </c>
      <c r="W674" s="99">
        <f t="shared" si="569"/>
        <v>0</v>
      </c>
      <c r="X674" s="99">
        <f t="shared" si="569"/>
        <v>0</v>
      </c>
      <c r="Y674" s="99">
        <f t="shared" si="569"/>
        <v>0</v>
      </c>
      <c r="Z674" s="467">
        <f t="shared" si="570"/>
        <v>0</v>
      </c>
      <c r="AA674" s="99">
        <f t="shared" si="570"/>
        <v>0</v>
      </c>
      <c r="AB674" s="99">
        <f t="shared" si="571"/>
        <v>0</v>
      </c>
      <c r="AC674" s="99">
        <f t="shared" si="571"/>
        <v>0</v>
      </c>
      <c r="AD674" s="99">
        <f t="shared" si="571"/>
        <v>12.364000000000001</v>
      </c>
      <c r="AE674" s="467">
        <f t="shared" si="572"/>
        <v>12.364000000000001</v>
      </c>
      <c r="AF674" s="99">
        <f t="shared" si="572"/>
        <v>0</v>
      </c>
      <c r="AG674" s="99">
        <f t="shared" si="573"/>
        <v>0</v>
      </c>
      <c r="AH674" s="99">
        <f t="shared" si="573"/>
        <v>0</v>
      </c>
      <c r="AI674" s="99">
        <f t="shared" si="573"/>
        <v>0</v>
      </c>
      <c r="AJ674" s="467">
        <f t="shared" si="574"/>
        <v>0</v>
      </c>
      <c r="AK674" s="99">
        <f t="shared" si="574"/>
        <v>0</v>
      </c>
      <c r="AL674" s="99">
        <f t="shared" si="575"/>
        <v>0</v>
      </c>
      <c r="AM674" s="99">
        <f t="shared" si="575"/>
        <v>0</v>
      </c>
      <c r="AN674" s="99">
        <f t="shared" si="575"/>
        <v>0</v>
      </c>
      <c r="AO674" s="467">
        <f t="shared" si="576"/>
        <v>0</v>
      </c>
      <c r="AP674" s="99">
        <f t="shared" si="576"/>
        <v>0</v>
      </c>
      <c r="AQ674" s="99">
        <f t="shared" si="577"/>
        <v>0</v>
      </c>
      <c r="AR674" s="99">
        <f t="shared" si="577"/>
        <v>0</v>
      </c>
      <c r="AS674" s="99">
        <f t="shared" si="577"/>
        <v>0</v>
      </c>
      <c r="AT674" s="467">
        <f t="shared" si="578"/>
        <v>0</v>
      </c>
      <c r="AU674" s="99">
        <f t="shared" si="578"/>
        <v>0</v>
      </c>
      <c r="AV674" s="99">
        <f t="shared" si="579"/>
        <v>0</v>
      </c>
      <c r="AW674" s="99">
        <f t="shared" si="579"/>
        <v>0</v>
      </c>
      <c r="AX674" s="99">
        <f t="shared" si="579"/>
        <v>0</v>
      </c>
      <c r="AY674" s="467">
        <f t="shared" si="580"/>
        <v>0</v>
      </c>
      <c r="AZ674" s="99">
        <f t="shared" si="580"/>
        <v>0</v>
      </c>
      <c r="BA674" s="99">
        <f t="shared" si="581"/>
        <v>0</v>
      </c>
      <c r="BB674" s="99">
        <f t="shared" si="581"/>
        <v>0</v>
      </c>
      <c r="BC674" s="99">
        <f t="shared" si="581"/>
        <v>0</v>
      </c>
      <c r="BD674" s="467">
        <f t="shared" si="582"/>
        <v>0</v>
      </c>
      <c r="BE674" s="99">
        <f t="shared" si="582"/>
        <v>0</v>
      </c>
      <c r="BF674" s="99">
        <f t="shared" si="583"/>
        <v>0</v>
      </c>
      <c r="BG674" s="99">
        <f t="shared" si="583"/>
        <v>0</v>
      </c>
      <c r="BH674" s="99">
        <f t="shared" si="583"/>
        <v>0</v>
      </c>
      <c r="BI674" s="467">
        <f t="shared" si="584"/>
        <v>0</v>
      </c>
      <c r="BJ674" s="99">
        <f t="shared" si="584"/>
        <v>0</v>
      </c>
      <c r="BK674" s="99">
        <f t="shared" si="585"/>
        <v>0</v>
      </c>
      <c r="BL674" s="99">
        <f t="shared" si="585"/>
        <v>0</v>
      </c>
      <c r="BM674" s="99">
        <f t="shared" si="585"/>
        <v>0</v>
      </c>
      <c r="BN674" s="467">
        <f t="shared" si="586"/>
        <v>0</v>
      </c>
      <c r="BO674" s="99">
        <f t="shared" si="586"/>
        <v>0</v>
      </c>
      <c r="BP674" s="99">
        <f t="shared" si="587"/>
        <v>0</v>
      </c>
      <c r="BQ674" s="99">
        <f t="shared" si="587"/>
        <v>0</v>
      </c>
      <c r="BR674" s="99">
        <f t="shared" si="587"/>
        <v>0</v>
      </c>
      <c r="BS674" s="468">
        <f t="shared" si="588"/>
        <v>0</v>
      </c>
      <c r="BT674" s="63"/>
      <c r="BU674" s="63"/>
      <c r="BV674" s="63"/>
      <c r="BW674" s="63"/>
      <c r="BX674" s="413">
        <f t="shared" si="589"/>
        <v>0</v>
      </c>
      <c r="BY674" s="63"/>
      <c r="BZ674" s="63"/>
      <c r="CA674" s="63"/>
      <c r="CB674" s="63"/>
      <c r="CC674" s="413">
        <f t="shared" si="590"/>
        <v>0</v>
      </c>
      <c r="CD674" s="413"/>
      <c r="CE674" s="413"/>
      <c r="CF674" s="413"/>
      <c r="CG674" s="99"/>
    </row>
    <row r="675" spans="1:85" ht="14.45" customHeight="1" x14ac:dyDescent="0.25">
      <c r="A675" s="125" t="str">
        <f t="shared" si="561"/>
        <v>Proceeds from the sale of BYB Brands, Inc.</v>
      </c>
      <c r="B675" s="63"/>
      <c r="C675" s="467">
        <f t="shared" si="562"/>
        <v>0</v>
      </c>
      <c r="D675" s="467">
        <f t="shared" si="562"/>
        <v>1.4179999999999999</v>
      </c>
      <c r="E675" s="467">
        <f t="shared" si="562"/>
        <v>0</v>
      </c>
      <c r="F675" s="467">
        <f t="shared" si="562"/>
        <v>0</v>
      </c>
      <c r="G675" s="99">
        <f t="shared" si="562"/>
        <v>0</v>
      </c>
      <c r="H675" s="99">
        <f t="shared" si="563"/>
        <v>0</v>
      </c>
      <c r="I675" s="99">
        <f t="shared" si="563"/>
        <v>0</v>
      </c>
      <c r="J675" s="99">
        <f t="shared" si="563"/>
        <v>0</v>
      </c>
      <c r="K675" s="467">
        <f t="shared" si="564"/>
        <v>0</v>
      </c>
      <c r="L675" s="99">
        <f t="shared" si="564"/>
        <v>0</v>
      </c>
      <c r="M675" s="99">
        <f t="shared" si="565"/>
        <v>0</v>
      </c>
      <c r="N675" s="99">
        <f t="shared" si="565"/>
        <v>0</v>
      </c>
      <c r="O675" s="99">
        <f t="shared" si="565"/>
        <v>0</v>
      </c>
      <c r="P675" s="467">
        <f t="shared" si="566"/>
        <v>0</v>
      </c>
      <c r="Q675" s="99">
        <f t="shared" si="566"/>
        <v>0</v>
      </c>
      <c r="R675" s="99">
        <f t="shared" si="567"/>
        <v>0</v>
      </c>
      <c r="S675" s="99">
        <f t="shared" si="567"/>
        <v>26.36</v>
      </c>
      <c r="T675" s="99">
        <f t="shared" si="567"/>
        <v>0</v>
      </c>
      <c r="U675" s="467">
        <f t="shared" si="568"/>
        <v>26.36</v>
      </c>
      <c r="V675" s="99">
        <f t="shared" si="568"/>
        <v>0</v>
      </c>
      <c r="W675" s="99">
        <f t="shared" si="569"/>
        <v>0</v>
      </c>
      <c r="X675" s="99">
        <f t="shared" si="569"/>
        <v>0</v>
      </c>
      <c r="Y675" s="99">
        <f t="shared" si="569"/>
        <v>0</v>
      </c>
      <c r="Z675" s="467">
        <f t="shared" si="570"/>
        <v>0</v>
      </c>
      <c r="AA675" s="99">
        <f t="shared" si="570"/>
        <v>0</v>
      </c>
      <c r="AB675" s="99">
        <f t="shared" si="571"/>
        <v>0</v>
      </c>
      <c r="AC675" s="99">
        <f t="shared" si="571"/>
        <v>0</v>
      </c>
      <c r="AD675" s="99">
        <f t="shared" si="571"/>
        <v>0</v>
      </c>
      <c r="AE675" s="467">
        <f t="shared" si="572"/>
        <v>0</v>
      </c>
      <c r="AF675" s="99">
        <f t="shared" si="572"/>
        <v>0</v>
      </c>
      <c r="AG675" s="99">
        <f t="shared" si="573"/>
        <v>0</v>
      </c>
      <c r="AH675" s="99">
        <f t="shared" si="573"/>
        <v>0</v>
      </c>
      <c r="AI675" s="99">
        <f t="shared" si="573"/>
        <v>0</v>
      </c>
      <c r="AJ675" s="467">
        <f t="shared" si="574"/>
        <v>0</v>
      </c>
      <c r="AK675" s="99">
        <f t="shared" si="574"/>
        <v>0</v>
      </c>
      <c r="AL675" s="99">
        <f t="shared" si="575"/>
        <v>0</v>
      </c>
      <c r="AM675" s="99">
        <f t="shared" si="575"/>
        <v>0</v>
      </c>
      <c r="AN675" s="99">
        <f t="shared" si="575"/>
        <v>0</v>
      </c>
      <c r="AO675" s="467">
        <f t="shared" si="576"/>
        <v>0</v>
      </c>
      <c r="AP675" s="99">
        <f t="shared" si="576"/>
        <v>0</v>
      </c>
      <c r="AQ675" s="99">
        <f t="shared" si="577"/>
        <v>0</v>
      </c>
      <c r="AR675" s="99">
        <f t="shared" si="577"/>
        <v>0</v>
      </c>
      <c r="AS675" s="99">
        <f t="shared" si="577"/>
        <v>0</v>
      </c>
      <c r="AT675" s="467">
        <f t="shared" si="578"/>
        <v>0</v>
      </c>
      <c r="AU675" s="99">
        <f t="shared" si="578"/>
        <v>0</v>
      </c>
      <c r="AV675" s="99">
        <f t="shared" si="579"/>
        <v>0</v>
      </c>
      <c r="AW675" s="99">
        <f t="shared" si="579"/>
        <v>0</v>
      </c>
      <c r="AX675" s="99">
        <f t="shared" si="579"/>
        <v>0</v>
      </c>
      <c r="AY675" s="467">
        <f t="shared" si="580"/>
        <v>0</v>
      </c>
      <c r="AZ675" s="99">
        <f t="shared" si="580"/>
        <v>0</v>
      </c>
      <c r="BA675" s="99">
        <f t="shared" si="581"/>
        <v>0</v>
      </c>
      <c r="BB675" s="99">
        <f t="shared" si="581"/>
        <v>0</v>
      </c>
      <c r="BC675" s="99">
        <f t="shared" si="581"/>
        <v>0</v>
      </c>
      <c r="BD675" s="467">
        <f t="shared" si="582"/>
        <v>0</v>
      </c>
      <c r="BE675" s="99">
        <f t="shared" si="582"/>
        <v>0</v>
      </c>
      <c r="BF675" s="99">
        <f t="shared" si="583"/>
        <v>0</v>
      </c>
      <c r="BG675" s="99">
        <f t="shared" si="583"/>
        <v>0</v>
      </c>
      <c r="BH675" s="99">
        <f t="shared" si="583"/>
        <v>0</v>
      </c>
      <c r="BI675" s="467">
        <f t="shared" si="584"/>
        <v>0</v>
      </c>
      <c r="BJ675" s="99">
        <f t="shared" si="584"/>
        <v>0</v>
      </c>
      <c r="BK675" s="99">
        <f t="shared" si="585"/>
        <v>0</v>
      </c>
      <c r="BL675" s="99">
        <f t="shared" si="585"/>
        <v>0</v>
      </c>
      <c r="BM675" s="99">
        <f t="shared" si="585"/>
        <v>0</v>
      </c>
      <c r="BN675" s="467">
        <f t="shared" si="586"/>
        <v>0</v>
      </c>
      <c r="BO675" s="99">
        <f t="shared" si="586"/>
        <v>0</v>
      </c>
      <c r="BP675" s="99">
        <f t="shared" si="587"/>
        <v>0</v>
      </c>
      <c r="BQ675" s="99">
        <f t="shared" si="587"/>
        <v>0</v>
      </c>
      <c r="BR675" s="99">
        <f t="shared" si="587"/>
        <v>0</v>
      </c>
      <c r="BS675" s="468">
        <f t="shared" si="588"/>
        <v>0</v>
      </c>
      <c r="BT675" s="63"/>
      <c r="BU675" s="63"/>
      <c r="BV675" s="63"/>
      <c r="BW675" s="63"/>
      <c r="BX675" s="413">
        <f t="shared" si="589"/>
        <v>0</v>
      </c>
      <c r="BY675" s="63"/>
      <c r="BZ675" s="63"/>
      <c r="CA675" s="63"/>
      <c r="CB675" s="63"/>
      <c r="CC675" s="413">
        <f t="shared" si="590"/>
        <v>0</v>
      </c>
      <c r="CD675" s="413"/>
      <c r="CE675" s="413"/>
      <c r="CF675" s="413"/>
      <c r="CG675" s="99"/>
    </row>
    <row r="676" spans="1:85" ht="14.45" customHeight="1" x14ac:dyDescent="0.25">
      <c r="A676" s="125" t="str">
        <f t="shared" si="561"/>
        <v>Prepayment of funds for expansion transaction</v>
      </c>
      <c r="B676" s="63"/>
      <c r="C676" s="467">
        <f t="shared" si="562"/>
        <v>0</v>
      </c>
      <c r="D676" s="467">
        <f t="shared" si="562"/>
        <v>0</v>
      </c>
      <c r="E676" s="467">
        <f t="shared" si="562"/>
        <v>0</v>
      </c>
      <c r="F676" s="467">
        <f t="shared" si="562"/>
        <v>0</v>
      </c>
      <c r="G676" s="99">
        <f t="shared" si="562"/>
        <v>0</v>
      </c>
      <c r="H676" s="99">
        <f t="shared" si="563"/>
        <v>0</v>
      </c>
      <c r="I676" s="99">
        <f t="shared" si="563"/>
        <v>0</v>
      </c>
      <c r="J676" s="99">
        <f t="shared" si="563"/>
        <v>0</v>
      </c>
      <c r="K676" s="467">
        <f t="shared" si="564"/>
        <v>0</v>
      </c>
      <c r="L676" s="99">
        <f t="shared" si="564"/>
        <v>0</v>
      </c>
      <c r="M676" s="99">
        <f t="shared" si="565"/>
        <v>0</v>
      </c>
      <c r="N676" s="99">
        <f t="shared" si="565"/>
        <v>0</v>
      </c>
      <c r="O676" s="99">
        <f t="shared" si="565"/>
        <v>0</v>
      </c>
      <c r="P676" s="467">
        <f t="shared" si="566"/>
        <v>0</v>
      </c>
      <c r="Q676" s="99">
        <f t="shared" si="566"/>
        <v>0</v>
      </c>
      <c r="R676" s="99">
        <f t="shared" si="567"/>
        <v>0</v>
      </c>
      <c r="S676" s="99">
        <f t="shared" si="567"/>
        <v>0</v>
      </c>
      <c r="T676" s="99">
        <f t="shared" si="567"/>
        <v>0</v>
      </c>
      <c r="U676" s="467">
        <f t="shared" si="568"/>
        <v>0</v>
      </c>
      <c r="V676" s="99">
        <f t="shared" si="568"/>
        <v>0</v>
      </c>
      <c r="W676" s="99">
        <f t="shared" si="569"/>
        <v>0</v>
      </c>
      <c r="X676" s="99">
        <f t="shared" si="569"/>
        <v>0</v>
      </c>
      <c r="Y676" s="99">
        <f t="shared" si="569"/>
        <v>0</v>
      </c>
      <c r="Z676" s="467">
        <f t="shared" si="570"/>
        <v>0</v>
      </c>
      <c r="AA676" s="99">
        <f t="shared" si="570"/>
        <v>0</v>
      </c>
      <c r="AB676" s="99">
        <f t="shared" si="571"/>
        <v>0</v>
      </c>
      <c r="AC676" s="99">
        <f t="shared" si="571"/>
        <v>-56.497999999999998</v>
      </c>
      <c r="AD676" s="99">
        <f t="shared" si="571"/>
        <v>56.497999999999998</v>
      </c>
      <c r="AE676" s="467">
        <f t="shared" si="572"/>
        <v>0</v>
      </c>
      <c r="AF676" s="99">
        <f t="shared" si="572"/>
        <v>0</v>
      </c>
      <c r="AG676" s="99">
        <f t="shared" si="573"/>
        <v>0</v>
      </c>
      <c r="AH676" s="99">
        <f t="shared" si="573"/>
        <v>0</v>
      </c>
      <c r="AI676" s="99">
        <f t="shared" si="573"/>
        <v>0</v>
      </c>
      <c r="AJ676" s="467">
        <f t="shared" si="574"/>
        <v>0</v>
      </c>
      <c r="AK676" s="99">
        <f t="shared" si="574"/>
        <v>0</v>
      </c>
      <c r="AL676" s="99">
        <f t="shared" si="575"/>
        <v>0</v>
      </c>
      <c r="AM676" s="99">
        <f t="shared" si="575"/>
        <v>0</v>
      </c>
      <c r="AN676" s="99">
        <f t="shared" si="575"/>
        <v>0</v>
      </c>
      <c r="AO676" s="467">
        <f t="shared" si="576"/>
        <v>0</v>
      </c>
      <c r="AP676" s="99">
        <f t="shared" si="576"/>
        <v>0</v>
      </c>
      <c r="AQ676" s="99">
        <f t="shared" si="577"/>
        <v>0</v>
      </c>
      <c r="AR676" s="99">
        <f t="shared" si="577"/>
        <v>0</v>
      </c>
      <c r="AS676" s="99">
        <f t="shared" si="577"/>
        <v>0</v>
      </c>
      <c r="AT676" s="467">
        <f t="shared" si="578"/>
        <v>0</v>
      </c>
      <c r="AU676" s="99">
        <f t="shared" si="578"/>
        <v>0</v>
      </c>
      <c r="AV676" s="99">
        <f t="shared" si="579"/>
        <v>0</v>
      </c>
      <c r="AW676" s="99">
        <f t="shared" si="579"/>
        <v>0</v>
      </c>
      <c r="AX676" s="99">
        <f t="shared" si="579"/>
        <v>0</v>
      </c>
      <c r="AY676" s="467">
        <f t="shared" si="580"/>
        <v>0</v>
      </c>
      <c r="AZ676" s="99">
        <f t="shared" si="580"/>
        <v>0</v>
      </c>
      <c r="BA676" s="99">
        <f t="shared" si="581"/>
        <v>0</v>
      </c>
      <c r="BB676" s="99">
        <f t="shared" si="581"/>
        <v>0</v>
      </c>
      <c r="BC676" s="99">
        <f t="shared" si="581"/>
        <v>0</v>
      </c>
      <c r="BD676" s="467">
        <f t="shared" si="582"/>
        <v>0</v>
      </c>
      <c r="BE676" s="99">
        <f t="shared" si="582"/>
        <v>0</v>
      </c>
      <c r="BF676" s="99">
        <f t="shared" si="583"/>
        <v>0</v>
      </c>
      <c r="BG676" s="99">
        <f t="shared" si="583"/>
        <v>0</v>
      </c>
      <c r="BH676" s="99">
        <f t="shared" si="583"/>
        <v>0</v>
      </c>
      <c r="BI676" s="467">
        <f t="shared" si="584"/>
        <v>0</v>
      </c>
      <c r="BJ676" s="99">
        <f t="shared" si="584"/>
        <v>0</v>
      </c>
      <c r="BK676" s="99">
        <f t="shared" si="585"/>
        <v>0</v>
      </c>
      <c r="BL676" s="99">
        <f t="shared" si="585"/>
        <v>0</v>
      </c>
      <c r="BM676" s="99">
        <f t="shared" si="585"/>
        <v>0</v>
      </c>
      <c r="BN676" s="467">
        <f t="shared" si="586"/>
        <v>0</v>
      </c>
      <c r="BO676" s="99">
        <f t="shared" si="586"/>
        <v>0</v>
      </c>
      <c r="BP676" s="99">
        <f t="shared" si="587"/>
        <v>0</v>
      </c>
      <c r="BQ676" s="99">
        <f t="shared" si="587"/>
        <v>0</v>
      </c>
      <c r="BR676" s="99">
        <f t="shared" si="587"/>
        <v>0</v>
      </c>
      <c r="BS676" s="468">
        <f t="shared" si="588"/>
        <v>0</v>
      </c>
      <c r="BT676" s="63"/>
      <c r="BU676" s="63"/>
      <c r="BV676" s="63"/>
      <c r="BW676" s="63"/>
      <c r="BX676" s="413">
        <f t="shared" si="589"/>
        <v>0</v>
      </c>
      <c r="BY676" s="63"/>
      <c r="BZ676" s="63"/>
      <c r="CA676" s="63"/>
      <c r="CB676" s="63"/>
      <c r="CC676" s="413">
        <f t="shared" si="590"/>
        <v>0</v>
      </c>
      <c r="CD676" s="413"/>
      <c r="CE676" s="413"/>
      <c r="CF676" s="413"/>
      <c r="CG676" s="99"/>
    </row>
    <row r="677" spans="1:85" ht="14.45" customHeight="1" x14ac:dyDescent="0.25">
      <c r="A677" s="125" t="str">
        <f t="shared" si="561"/>
        <v>Glacéau distribution agreement consideration</v>
      </c>
      <c r="B677" s="63"/>
      <c r="C677" s="413"/>
      <c r="D677" s="413"/>
      <c r="E677" s="413"/>
      <c r="F677" s="413"/>
      <c r="G677" s="63"/>
      <c r="H677" s="63"/>
      <c r="I677" s="63"/>
      <c r="J677" s="63"/>
      <c r="K677" s="413"/>
      <c r="L677" s="63"/>
      <c r="M677" s="63"/>
      <c r="N677" s="63"/>
      <c r="O677" s="63"/>
      <c r="P677" s="413"/>
      <c r="Q677" s="63"/>
      <c r="R677" s="63"/>
      <c r="S677" s="63"/>
      <c r="T677" s="63"/>
      <c r="U677" s="413"/>
      <c r="V677" s="63"/>
      <c r="W677" s="63"/>
      <c r="X677" s="63"/>
      <c r="Y677" s="63"/>
      <c r="Z677" s="413"/>
      <c r="AA677" s="99">
        <f>AA591</f>
        <v>-15.598000000000001</v>
      </c>
      <c r="AB677" s="99">
        <f t="shared" si="571"/>
        <v>0</v>
      </c>
      <c r="AC677" s="99">
        <f t="shared" si="571"/>
        <v>0</v>
      </c>
      <c r="AD677" s="99">
        <f t="shared" si="571"/>
        <v>0</v>
      </c>
      <c r="AE677" s="467">
        <f t="shared" si="572"/>
        <v>-15.598000000000001</v>
      </c>
      <c r="AF677" s="99">
        <f t="shared" si="572"/>
        <v>0</v>
      </c>
      <c r="AG677" s="99">
        <f t="shared" si="573"/>
        <v>0</v>
      </c>
      <c r="AH677" s="99">
        <f t="shared" si="573"/>
        <v>0</v>
      </c>
      <c r="AI677" s="99">
        <f t="shared" si="573"/>
        <v>0</v>
      </c>
      <c r="AJ677" s="467">
        <f t="shared" si="574"/>
        <v>0</v>
      </c>
      <c r="AK677" s="99">
        <f t="shared" si="574"/>
        <v>0</v>
      </c>
      <c r="AL677" s="99">
        <f t="shared" si="575"/>
        <v>0</v>
      </c>
      <c r="AM677" s="99">
        <f t="shared" si="575"/>
        <v>0</v>
      </c>
      <c r="AN677" s="99">
        <f t="shared" si="575"/>
        <v>0</v>
      </c>
      <c r="AO677" s="467">
        <f t="shared" si="576"/>
        <v>0</v>
      </c>
      <c r="AP677" s="99">
        <f t="shared" si="576"/>
        <v>0</v>
      </c>
      <c r="AQ677" s="99">
        <f t="shared" si="577"/>
        <v>0</v>
      </c>
      <c r="AR677" s="99">
        <f t="shared" si="577"/>
        <v>0</v>
      </c>
      <c r="AS677" s="99">
        <f t="shared" si="577"/>
        <v>0</v>
      </c>
      <c r="AT677" s="467">
        <f t="shared" si="578"/>
        <v>0</v>
      </c>
      <c r="AU677" s="99">
        <f t="shared" si="578"/>
        <v>0</v>
      </c>
      <c r="AV677" s="99">
        <f t="shared" si="579"/>
        <v>0</v>
      </c>
      <c r="AW677" s="99">
        <f t="shared" si="579"/>
        <v>0</v>
      </c>
      <c r="AX677" s="99">
        <f t="shared" si="579"/>
        <v>0</v>
      </c>
      <c r="AY677" s="467">
        <f t="shared" si="580"/>
        <v>0</v>
      </c>
      <c r="AZ677" s="99">
        <f t="shared" si="580"/>
        <v>0</v>
      </c>
      <c r="BA677" s="99">
        <f t="shared" si="581"/>
        <v>0</v>
      </c>
      <c r="BB677" s="99">
        <f t="shared" si="581"/>
        <v>0</v>
      </c>
      <c r="BC677" s="99">
        <f t="shared" si="581"/>
        <v>0</v>
      </c>
      <c r="BD677" s="467">
        <f t="shared" si="582"/>
        <v>0</v>
      </c>
      <c r="BE677" s="99">
        <f t="shared" si="582"/>
        <v>0</v>
      </c>
      <c r="BF677" s="99">
        <f t="shared" si="583"/>
        <v>0</v>
      </c>
      <c r="BG677" s="99">
        <f t="shared" si="583"/>
        <v>0</v>
      </c>
      <c r="BH677" s="99">
        <f t="shared" si="583"/>
        <v>0</v>
      </c>
      <c r="BI677" s="467">
        <f t="shared" si="584"/>
        <v>0</v>
      </c>
      <c r="BJ677" s="99">
        <f t="shared" si="584"/>
        <v>0</v>
      </c>
      <c r="BK677" s="99">
        <f t="shared" si="585"/>
        <v>0</v>
      </c>
      <c r="BL677" s="99">
        <f t="shared" si="585"/>
        <v>0</v>
      </c>
      <c r="BM677" s="99">
        <f t="shared" si="585"/>
        <v>0</v>
      </c>
      <c r="BN677" s="467">
        <f t="shared" si="586"/>
        <v>0</v>
      </c>
      <c r="BO677" s="99">
        <f t="shared" si="586"/>
        <v>0</v>
      </c>
      <c r="BP677" s="99">
        <f t="shared" si="587"/>
        <v>0</v>
      </c>
      <c r="BQ677" s="99">
        <f t="shared" si="587"/>
        <v>0</v>
      </c>
      <c r="BR677" s="99">
        <f t="shared" si="587"/>
        <v>0</v>
      </c>
      <c r="BS677" s="468">
        <f t="shared" si="588"/>
        <v>0</v>
      </c>
      <c r="BT677" s="63"/>
      <c r="BU677" s="63"/>
      <c r="BV677" s="63"/>
      <c r="BW677" s="63"/>
      <c r="BX677" s="413">
        <f t="shared" si="589"/>
        <v>0</v>
      </c>
      <c r="BY677" s="63"/>
      <c r="BZ677" s="63"/>
      <c r="CA677" s="63"/>
      <c r="CB677" s="63"/>
      <c r="CC677" s="413">
        <f t="shared" si="590"/>
        <v>0</v>
      </c>
      <c r="CD677" s="413"/>
      <c r="CE677" s="413"/>
      <c r="CF677" s="413"/>
      <c r="CG677" s="99"/>
    </row>
    <row r="678" spans="1:85" ht="14.45" customHeight="1" x14ac:dyDescent="0.25">
      <c r="A678" s="125" t="str">
        <f t="shared" si="561"/>
        <v>Investment in CONA Services LLC</v>
      </c>
      <c r="B678" s="63"/>
      <c r="C678" s="467">
        <f t="shared" ref="C678:G680" si="591">C592</f>
        <v>0</v>
      </c>
      <c r="D678" s="467">
        <f t="shared" si="591"/>
        <v>0</v>
      </c>
      <c r="E678" s="467">
        <f t="shared" si="591"/>
        <v>0</v>
      </c>
      <c r="F678" s="467">
        <f t="shared" si="591"/>
        <v>0</v>
      </c>
      <c r="G678" s="99">
        <f t="shared" si="591"/>
        <v>0</v>
      </c>
      <c r="H678" s="99">
        <f t="shared" ref="H678:J680" si="592">H592-G592</f>
        <v>0</v>
      </c>
      <c r="I678" s="99">
        <f t="shared" si="592"/>
        <v>0</v>
      </c>
      <c r="J678" s="99">
        <f t="shared" si="592"/>
        <v>0</v>
      </c>
      <c r="K678" s="467">
        <f t="shared" ref="K678:L680" si="593">K592</f>
        <v>0</v>
      </c>
      <c r="L678" s="99">
        <f t="shared" si="593"/>
        <v>0</v>
      </c>
      <c r="M678" s="99">
        <f t="shared" ref="M678:O680" si="594">M592-L592</f>
        <v>0</v>
      </c>
      <c r="N678" s="99">
        <f t="shared" si="594"/>
        <v>0</v>
      </c>
      <c r="O678" s="99">
        <f t="shared" si="594"/>
        <v>0</v>
      </c>
      <c r="P678" s="467">
        <f t="shared" ref="P678:Q680" si="595">P592</f>
        <v>0</v>
      </c>
      <c r="Q678" s="99">
        <f t="shared" si="595"/>
        <v>0</v>
      </c>
      <c r="R678" s="99">
        <f t="shared" ref="R678:T680" si="596">R592-Q592</f>
        <v>0</v>
      </c>
      <c r="S678" s="99">
        <f t="shared" si="596"/>
        <v>0</v>
      </c>
      <c r="T678" s="99">
        <f t="shared" si="596"/>
        <v>0</v>
      </c>
      <c r="U678" s="467">
        <f t="shared" ref="U678:V680" si="597">U592</f>
        <v>0</v>
      </c>
      <c r="V678" s="99">
        <f t="shared" si="597"/>
        <v>-1.204</v>
      </c>
      <c r="W678" s="99">
        <f t="shared" ref="W678:Y680" si="598">W592-V592</f>
        <v>-5.4300000000000006</v>
      </c>
      <c r="X678" s="99">
        <f t="shared" si="598"/>
        <v>-0.58199999999999985</v>
      </c>
      <c r="Y678" s="99">
        <f t="shared" si="598"/>
        <v>-0.65899999999999981</v>
      </c>
      <c r="Z678" s="467">
        <f>Z592</f>
        <v>-7.875</v>
      </c>
      <c r="AA678" s="99">
        <f>AA592</f>
        <v>-0.13400000000000001</v>
      </c>
      <c r="AB678" s="99">
        <f t="shared" si="571"/>
        <v>-0.86699999999999988</v>
      </c>
      <c r="AC678" s="99">
        <f t="shared" si="571"/>
        <v>-0.97500000000000009</v>
      </c>
      <c r="AD678" s="99">
        <f t="shared" si="571"/>
        <v>-1.6390000000000002</v>
      </c>
      <c r="AE678" s="467">
        <f t="shared" si="572"/>
        <v>-3.6150000000000002</v>
      </c>
      <c r="AF678" s="99">
        <f t="shared" si="572"/>
        <v>-1.07</v>
      </c>
      <c r="AG678" s="99">
        <f t="shared" si="573"/>
        <v>-0.95</v>
      </c>
      <c r="AH678" s="99">
        <f t="shared" si="573"/>
        <v>-7.7999999999999847E-2</v>
      </c>
      <c r="AI678" s="99">
        <f t="shared" si="573"/>
        <v>0</v>
      </c>
      <c r="AJ678" s="467">
        <f t="shared" si="574"/>
        <v>-2.0979999999999999</v>
      </c>
      <c r="AK678" s="99">
        <f t="shared" si="574"/>
        <v>-0.48599999999999999</v>
      </c>
      <c r="AL678" s="99">
        <f t="shared" si="575"/>
        <v>0</v>
      </c>
      <c r="AM678" s="99">
        <f t="shared" si="575"/>
        <v>-1.2270000000000001</v>
      </c>
      <c r="AN678" s="99">
        <f t="shared" si="575"/>
        <v>0</v>
      </c>
      <c r="AO678" s="467">
        <f t="shared" si="576"/>
        <v>-1.7130000000000001</v>
      </c>
      <c r="AP678" s="99">
        <f t="shared" si="576"/>
        <v>-0.89300000000000002</v>
      </c>
      <c r="AQ678" s="99">
        <f t="shared" si="577"/>
        <v>-0.68900000000000006</v>
      </c>
      <c r="AR678" s="99">
        <f t="shared" si="577"/>
        <v>-0.18799999999999994</v>
      </c>
      <c r="AS678" s="99">
        <f t="shared" si="577"/>
        <v>0</v>
      </c>
      <c r="AT678" s="467">
        <f t="shared" si="578"/>
        <v>-1.77</v>
      </c>
      <c r="AU678" s="99">
        <f t="shared" si="578"/>
        <v>-0.51400000000000001</v>
      </c>
      <c r="AV678" s="99">
        <f t="shared" si="579"/>
        <v>-1.21</v>
      </c>
      <c r="AW678" s="99">
        <f t="shared" si="579"/>
        <v>-0.47</v>
      </c>
      <c r="AX678" s="99">
        <f t="shared" si="579"/>
        <v>-0.33700000000000019</v>
      </c>
      <c r="AY678" s="467">
        <f t="shared" si="580"/>
        <v>-2.5310000000000001</v>
      </c>
      <c r="AZ678" s="99">
        <f t="shared" si="580"/>
        <v>-0.19700000000000001</v>
      </c>
      <c r="BA678" s="99">
        <f t="shared" si="581"/>
        <v>-1.341</v>
      </c>
      <c r="BB678" s="99">
        <f t="shared" si="581"/>
        <v>0</v>
      </c>
      <c r="BC678" s="99">
        <f t="shared" si="581"/>
        <v>-1.5559999999999998</v>
      </c>
      <c r="BD678" s="467">
        <f t="shared" si="582"/>
        <v>-3.0939999999999999</v>
      </c>
      <c r="BE678" s="99">
        <f t="shared" si="582"/>
        <v>0</v>
      </c>
      <c r="BF678" s="99">
        <f t="shared" si="583"/>
        <v>-6.0330000000000004</v>
      </c>
      <c r="BG678" s="99">
        <f t="shared" si="583"/>
        <v>-3.0110000000000001</v>
      </c>
      <c r="BH678" s="99">
        <f t="shared" si="583"/>
        <v>-4.6969999999999992</v>
      </c>
      <c r="BI678" s="467">
        <f t="shared" si="584"/>
        <v>-13.741</v>
      </c>
      <c r="BJ678" s="99">
        <f t="shared" si="584"/>
        <v>-3.6320000000000001</v>
      </c>
      <c r="BK678" s="99">
        <f t="shared" si="585"/>
        <v>-2.9170000000000003</v>
      </c>
      <c r="BL678" s="99">
        <f t="shared" si="585"/>
        <v>-3.2450000000000001</v>
      </c>
      <c r="BM678" s="99">
        <f t="shared" si="585"/>
        <v>-5.9260000000000002</v>
      </c>
      <c r="BN678" s="467">
        <f t="shared" si="586"/>
        <v>-15.72</v>
      </c>
      <c r="BO678" s="99">
        <f t="shared" si="586"/>
        <v>-4.5839999999999996</v>
      </c>
      <c r="BP678" s="99">
        <f t="shared" si="587"/>
        <v>-6.01</v>
      </c>
      <c r="BQ678" s="99">
        <f t="shared" si="587"/>
        <v>-4.1150000000000002</v>
      </c>
      <c r="BR678" s="99">
        <f t="shared" si="587"/>
        <v>-4.8910000000000018</v>
      </c>
      <c r="BS678" s="468">
        <f t="shared" si="588"/>
        <v>-19.600000000000001</v>
      </c>
      <c r="BT678" s="63"/>
      <c r="BU678" s="63"/>
      <c r="BV678" s="63"/>
      <c r="BW678" s="63"/>
      <c r="BX678" s="413">
        <f t="shared" si="589"/>
        <v>0</v>
      </c>
      <c r="BY678" s="63"/>
      <c r="BZ678" s="63"/>
      <c r="CA678" s="63"/>
      <c r="CB678" s="63"/>
      <c r="CC678" s="413">
        <f t="shared" si="590"/>
        <v>0</v>
      </c>
      <c r="CD678" s="413"/>
      <c r="CE678" s="413"/>
      <c r="CF678" s="413"/>
      <c r="CG678" s="99"/>
    </row>
    <row r="679" spans="1:85" ht="14.45" customHeight="1" x14ac:dyDescent="0.25">
      <c r="A679" s="125" t="str">
        <f t="shared" si="561"/>
        <v>Acquisition of new territories, net of cash acquired</v>
      </c>
      <c r="B679" s="63"/>
      <c r="C679" s="467">
        <f t="shared" si="591"/>
        <v>0</v>
      </c>
      <c r="D679" s="467">
        <f t="shared" si="591"/>
        <v>-3.2000000000000001E-2</v>
      </c>
      <c r="E679" s="467">
        <f t="shared" si="591"/>
        <v>0</v>
      </c>
      <c r="F679" s="467">
        <f t="shared" si="591"/>
        <v>0</v>
      </c>
      <c r="G679" s="99">
        <f t="shared" si="591"/>
        <v>0</v>
      </c>
      <c r="H679" s="99">
        <f t="shared" si="592"/>
        <v>0</v>
      </c>
      <c r="I679" s="99">
        <f t="shared" si="592"/>
        <v>0</v>
      </c>
      <c r="J679" s="99">
        <f t="shared" si="592"/>
        <v>0</v>
      </c>
      <c r="K679" s="467">
        <f t="shared" si="593"/>
        <v>0</v>
      </c>
      <c r="L679" s="99">
        <f t="shared" si="593"/>
        <v>0</v>
      </c>
      <c r="M679" s="99">
        <f t="shared" si="594"/>
        <v>-12.163</v>
      </c>
      <c r="N679" s="99">
        <f t="shared" si="594"/>
        <v>0</v>
      </c>
      <c r="O679" s="99">
        <f t="shared" si="594"/>
        <v>-29.425000000000001</v>
      </c>
      <c r="P679" s="467">
        <f t="shared" si="595"/>
        <v>-41.588000000000001</v>
      </c>
      <c r="Q679" s="99">
        <f t="shared" si="595"/>
        <v>-33.389000000000003</v>
      </c>
      <c r="R679" s="99">
        <f t="shared" si="596"/>
        <v>-17.887</v>
      </c>
      <c r="S679" s="99">
        <f t="shared" si="596"/>
        <v>-1.4629999999999939</v>
      </c>
      <c r="T679" s="99">
        <f t="shared" si="596"/>
        <v>-28.967999999999996</v>
      </c>
      <c r="U679" s="467">
        <f t="shared" si="597"/>
        <v>-81.706999999999994</v>
      </c>
      <c r="V679" s="99">
        <f t="shared" si="597"/>
        <v>-100.907</v>
      </c>
      <c r="W679" s="99">
        <f t="shared" si="598"/>
        <v>-73.787999999999997</v>
      </c>
      <c r="X679" s="99">
        <f t="shared" si="598"/>
        <v>0.12399999999999523</v>
      </c>
      <c r="Y679" s="99">
        <f t="shared" si="598"/>
        <v>-98.066000000000003</v>
      </c>
      <c r="Z679" s="467">
        <f>Z593</f>
        <v>-272.637</v>
      </c>
      <c r="AA679" s="99">
        <f>AA593</f>
        <v>-139.958</v>
      </c>
      <c r="AB679" s="99">
        <f t="shared" si="571"/>
        <v>-87.800999999999988</v>
      </c>
      <c r="AC679" s="99">
        <f t="shared" si="571"/>
        <v>-1.0000000000019327E-2</v>
      </c>
      <c r="AD679" s="99">
        <f t="shared" si="571"/>
        <v>-37.290999999999997</v>
      </c>
      <c r="AE679" s="467">
        <f t="shared" si="572"/>
        <v>-265.06</v>
      </c>
      <c r="AF679" s="99">
        <f t="shared" si="572"/>
        <v>0</v>
      </c>
      <c r="AG679" s="99">
        <f t="shared" si="573"/>
        <v>4.7060000000000004</v>
      </c>
      <c r="AH679" s="99">
        <f t="shared" si="573"/>
        <v>-2.8950000000000005</v>
      </c>
      <c r="AI679" s="99">
        <f t="shared" si="573"/>
        <v>-1.355</v>
      </c>
      <c r="AJ679" s="467">
        <f t="shared" si="574"/>
        <v>0.45600000000000002</v>
      </c>
      <c r="AK679" s="99">
        <f t="shared" si="574"/>
        <v>0</v>
      </c>
      <c r="AL679" s="99">
        <f t="shared" si="575"/>
        <v>0</v>
      </c>
      <c r="AM679" s="99">
        <f t="shared" si="575"/>
        <v>0</v>
      </c>
      <c r="AN679" s="99">
        <f t="shared" si="575"/>
        <v>0</v>
      </c>
      <c r="AO679" s="467">
        <f t="shared" si="576"/>
        <v>0</v>
      </c>
      <c r="AP679" s="99">
        <f t="shared" si="576"/>
        <v>0</v>
      </c>
      <c r="AQ679" s="99">
        <f t="shared" si="577"/>
        <v>0</v>
      </c>
      <c r="AR679" s="99">
        <f t="shared" si="577"/>
        <v>0</v>
      </c>
      <c r="AS679" s="99">
        <f t="shared" si="577"/>
        <v>0</v>
      </c>
      <c r="AT679" s="467">
        <f t="shared" si="578"/>
        <v>0</v>
      </c>
      <c r="AU679" s="99">
        <f t="shared" si="578"/>
        <v>0</v>
      </c>
      <c r="AV679" s="99">
        <f t="shared" si="579"/>
        <v>0</v>
      </c>
      <c r="AW679" s="99">
        <f t="shared" si="579"/>
        <v>0</v>
      </c>
      <c r="AX679" s="99">
        <f t="shared" si="579"/>
        <v>0</v>
      </c>
      <c r="AY679" s="467">
        <f t="shared" si="580"/>
        <v>0</v>
      </c>
      <c r="AZ679" s="99">
        <f t="shared" si="580"/>
        <v>0</v>
      </c>
      <c r="BA679" s="99">
        <f t="shared" si="581"/>
        <v>0</v>
      </c>
      <c r="BB679" s="99">
        <f t="shared" si="581"/>
        <v>0</v>
      </c>
      <c r="BC679" s="99">
        <f t="shared" si="581"/>
        <v>0</v>
      </c>
      <c r="BD679" s="467">
        <f t="shared" si="582"/>
        <v>0</v>
      </c>
      <c r="BE679" s="99">
        <f t="shared" si="582"/>
        <v>0</v>
      </c>
      <c r="BF679" s="99">
        <f t="shared" si="583"/>
        <v>0</v>
      </c>
      <c r="BG679" s="99">
        <f t="shared" si="583"/>
        <v>0</v>
      </c>
      <c r="BH679" s="99">
        <f t="shared" si="583"/>
        <v>0</v>
      </c>
      <c r="BI679" s="467">
        <f t="shared" si="584"/>
        <v>0</v>
      </c>
      <c r="BJ679" s="99">
        <f t="shared" si="584"/>
        <v>0</v>
      </c>
      <c r="BK679" s="99">
        <f t="shared" si="585"/>
        <v>0</v>
      </c>
      <c r="BL679" s="99">
        <f t="shared" si="585"/>
        <v>0</v>
      </c>
      <c r="BM679" s="99">
        <f t="shared" si="585"/>
        <v>0</v>
      </c>
      <c r="BN679" s="467">
        <f t="shared" si="586"/>
        <v>0</v>
      </c>
      <c r="BO679" s="99">
        <f t="shared" si="586"/>
        <v>0</v>
      </c>
      <c r="BP679" s="99">
        <f t="shared" si="587"/>
        <v>0</v>
      </c>
      <c r="BQ679" s="99">
        <f t="shared" si="587"/>
        <v>0</v>
      </c>
      <c r="BR679" s="99">
        <f t="shared" si="587"/>
        <v>0</v>
      </c>
      <c r="BS679" s="468">
        <f t="shared" si="588"/>
        <v>0</v>
      </c>
      <c r="BT679" s="63">
        <f>BT486</f>
        <v>0</v>
      </c>
      <c r="BU679" s="63">
        <f>BU486</f>
        <v>0</v>
      </c>
      <c r="BV679" s="63">
        <f>BV486</f>
        <v>0</v>
      </c>
      <c r="BW679" s="63">
        <f>BW486</f>
        <v>0</v>
      </c>
      <c r="BX679" s="413">
        <f t="shared" si="589"/>
        <v>0</v>
      </c>
      <c r="BY679" s="63">
        <f>BY486</f>
        <v>0</v>
      </c>
      <c r="BZ679" s="63">
        <f>BZ486</f>
        <v>0</v>
      </c>
      <c r="CA679" s="63">
        <f>CA486</f>
        <v>0</v>
      </c>
      <c r="CB679" s="63">
        <f>CB486</f>
        <v>0</v>
      </c>
      <c r="CC679" s="413">
        <f t="shared" si="590"/>
        <v>0</v>
      </c>
      <c r="CD679" s="413">
        <f>CD486</f>
        <v>0</v>
      </c>
      <c r="CE679" s="413">
        <f>CE486</f>
        <v>0</v>
      </c>
      <c r="CF679" s="413">
        <f>CF486</f>
        <v>0</v>
      </c>
      <c r="CG679" s="99"/>
    </row>
    <row r="680" spans="1:85" ht="14.45" customHeight="1" x14ac:dyDescent="0.25">
      <c r="A680" s="130" t="str">
        <f t="shared" si="561"/>
        <v>Change in restricted cash</v>
      </c>
      <c r="B680" s="158"/>
      <c r="C680" s="520">
        <f t="shared" si="591"/>
        <v>-4.5</v>
      </c>
      <c r="D680" s="520">
        <f t="shared" si="591"/>
        <v>1</v>
      </c>
      <c r="E680" s="520">
        <f t="shared" si="591"/>
        <v>0.5</v>
      </c>
      <c r="F680" s="520">
        <f t="shared" si="591"/>
        <v>3</v>
      </c>
      <c r="G680" s="103">
        <f t="shared" si="591"/>
        <v>0</v>
      </c>
      <c r="H680" s="103">
        <f t="shared" si="592"/>
        <v>0</v>
      </c>
      <c r="I680" s="103">
        <f t="shared" si="592"/>
        <v>0</v>
      </c>
      <c r="J680" s="103">
        <f t="shared" si="592"/>
        <v>0</v>
      </c>
      <c r="K680" s="520">
        <f t="shared" si="593"/>
        <v>0</v>
      </c>
      <c r="L680" s="103">
        <f t="shared" si="593"/>
        <v>0</v>
      </c>
      <c r="M680" s="103">
        <f t="shared" si="594"/>
        <v>0</v>
      </c>
      <c r="N680" s="103">
        <f t="shared" si="594"/>
        <v>0</v>
      </c>
      <c r="O680" s="103">
        <f t="shared" si="594"/>
        <v>0</v>
      </c>
      <c r="P680" s="520">
        <f t="shared" si="595"/>
        <v>0</v>
      </c>
      <c r="Q680" s="103">
        <f t="shared" si="595"/>
        <v>0</v>
      </c>
      <c r="R680" s="103">
        <f t="shared" si="596"/>
        <v>0</v>
      </c>
      <c r="S680" s="103">
        <f t="shared" si="596"/>
        <v>0</v>
      </c>
      <c r="T680" s="103">
        <f t="shared" si="596"/>
        <v>0</v>
      </c>
      <c r="U680" s="520">
        <f t="shared" si="597"/>
        <v>0</v>
      </c>
      <c r="V680" s="103">
        <f t="shared" si="597"/>
        <v>0</v>
      </c>
      <c r="W680" s="103">
        <f t="shared" si="598"/>
        <v>0</v>
      </c>
      <c r="X680" s="103">
        <f t="shared" si="598"/>
        <v>0</v>
      </c>
      <c r="Y680" s="103">
        <f t="shared" si="598"/>
        <v>0</v>
      </c>
      <c r="Z680" s="520">
        <f>Z594</f>
        <v>0</v>
      </c>
      <c r="AA680" s="103">
        <f>AA594</f>
        <v>0</v>
      </c>
      <c r="AB680" s="103">
        <f t="shared" si="571"/>
        <v>0</v>
      </c>
      <c r="AC680" s="103">
        <f t="shared" si="571"/>
        <v>0</v>
      </c>
      <c r="AD680" s="103">
        <f t="shared" si="571"/>
        <v>0</v>
      </c>
      <c r="AE680" s="520">
        <f t="shared" si="572"/>
        <v>0</v>
      </c>
      <c r="AF680" s="103">
        <f t="shared" si="572"/>
        <v>0</v>
      </c>
      <c r="AG680" s="103">
        <f t="shared" si="573"/>
        <v>0</v>
      </c>
      <c r="AH680" s="103">
        <f t="shared" si="573"/>
        <v>0</v>
      </c>
      <c r="AI680" s="103">
        <f t="shared" si="573"/>
        <v>0</v>
      </c>
      <c r="AJ680" s="520">
        <f t="shared" si="574"/>
        <v>0</v>
      </c>
      <c r="AK680" s="103">
        <f t="shared" si="574"/>
        <v>0</v>
      </c>
      <c r="AL680" s="103">
        <f t="shared" si="575"/>
        <v>0</v>
      </c>
      <c r="AM680" s="103">
        <f t="shared" si="575"/>
        <v>0</v>
      </c>
      <c r="AN680" s="103">
        <f t="shared" si="575"/>
        <v>0</v>
      </c>
      <c r="AO680" s="520">
        <f t="shared" si="576"/>
        <v>0</v>
      </c>
      <c r="AP680" s="103">
        <f t="shared" si="576"/>
        <v>0</v>
      </c>
      <c r="AQ680" s="103">
        <f t="shared" si="577"/>
        <v>0</v>
      </c>
      <c r="AR680" s="103">
        <f t="shared" si="577"/>
        <v>0</v>
      </c>
      <c r="AS680" s="103">
        <f t="shared" si="577"/>
        <v>0</v>
      </c>
      <c r="AT680" s="520">
        <f t="shared" si="578"/>
        <v>0</v>
      </c>
      <c r="AU680" s="103">
        <f t="shared" si="578"/>
        <v>0</v>
      </c>
      <c r="AV680" s="103">
        <f t="shared" si="579"/>
        <v>0</v>
      </c>
      <c r="AW680" s="103">
        <f t="shared" si="579"/>
        <v>0</v>
      </c>
      <c r="AX680" s="103">
        <f t="shared" si="579"/>
        <v>0</v>
      </c>
      <c r="AY680" s="520">
        <f t="shared" si="580"/>
        <v>0</v>
      </c>
      <c r="AZ680" s="103">
        <f t="shared" si="580"/>
        <v>0</v>
      </c>
      <c r="BA680" s="103">
        <f t="shared" si="581"/>
        <v>0</v>
      </c>
      <c r="BB680" s="103">
        <f t="shared" si="581"/>
        <v>0</v>
      </c>
      <c r="BC680" s="103">
        <f t="shared" si="581"/>
        <v>0</v>
      </c>
      <c r="BD680" s="520">
        <f t="shared" si="582"/>
        <v>0</v>
      </c>
      <c r="BE680" s="103">
        <f t="shared" si="582"/>
        <v>0</v>
      </c>
      <c r="BF680" s="103">
        <f t="shared" si="583"/>
        <v>0</v>
      </c>
      <c r="BG680" s="103">
        <f t="shared" si="583"/>
        <v>0</v>
      </c>
      <c r="BH680" s="103">
        <f t="shared" si="583"/>
        <v>0</v>
      </c>
      <c r="BI680" s="520">
        <f t="shared" si="584"/>
        <v>0</v>
      </c>
      <c r="BJ680" s="103">
        <f t="shared" si="584"/>
        <v>0</v>
      </c>
      <c r="BK680" s="103">
        <f t="shared" si="585"/>
        <v>0</v>
      </c>
      <c r="BL680" s="103">
        <f t="shared" si="585"/>
        <v>0</v>
      </c>
      <c r="BM680" s="103">
        <f t="shared" si="585"/>
        <v>0</v>
      </c>
      <c r="BN680" s="520">
        <f t="shared" si="586"/>
        <v>0</v>
      </c>
      <c r="BO680" s="103">
        <f t="shared" si="586"/>
        <v>0</v>
      </c>
      <c r="BP680" s="103">
        <f t="shared" si="587"/>
        <v>0</v>
      </c>
      <c r="BQ680" s="103">
        <f t="shared" si="587"/>
        <v>0</v>
      </c>
      <c r="BR680" s="103">
        <f t="shared" si="587"/>
        <v>0</v>
      </c>
      <c r="BS680" s="521">
        <f t="shared" si="588"/>
        <v>0</v>
      </c>
      <c r="BT680" s="158"/>
      <c r="BU680" s="158"/>
      <c r="BV680" s="158"/>
      <c r="BW680" s="158"/>
      <c r="BX680" s="415">
        <f t="shared" si="589"/>
        <v>0</v>
      </c>
      <c r="BY680" s="158"/>
      <c r="BZ680" s="158"/>
      <c r="CA680" s="158"/>
      <c r="CB680" s="158"/>
      <c r="CC680" s="415">
        <f t="shared" si="590"/>
        <v>0</v>
      </c>
      <c r="CD680" s="415"/>
      <c r="CE680" s="415"/>
      <c r="CF680" s="415"/>
      <c r="CG680" s="99"/>
    </row>
    <row r="681" spans="1:85" ht="14.45" customHeight="1" x14ac:dyDescent="0.25">
      <c r="A681" s="110" t="str">
        <f t="shared" si="561"/>
        <v>Net CFI</v>
      </c>
      <c r="B681" s="212"/>
      <c r="C681" s="416">
        <f t="shared" ref="C681:AH681" si="599">SUM(C667:C680)</f>
        <v>-39.557000000000002</v>
      </c>
      <c r="D681" s="416">
        <f t="shared" si="599"/>
        <v>-53.616999999999997</v>
      </c>
      <c r="E681" s="416">
        <f t="shared" si="599"/>
        <v>-50.884</v>
      </c>
      <c r="F681" s="416">
        <f t="shared" si="599"/>
        <v>-49.57</v>
      </c>
      <c r="G681" s="106">
        <f t="shared" si="599"/>
        <v>-16.081</v>
      </c>
      <c r="H681" s="106">
        <f t="shared" si="599"/>
        <v>-11.39</v>
      </c>
      <c r="I681" s="106">
        <f t="shared" si="599"/>
        <v>-11.670000000000002</v>
      </c>
      <c r="J681" s="106">
        <f t="shared" si="599"/>
        <v>-16.155000000000001</v>
      </c>
      <c r="K681" s="416">
        <f t="shared" si="599"/>
        <v>-55.295999999999999</v>
      </c>
      <c r="L681" s="106">
        <f t="shared" si="599"/>
        <v>-16.856000000000002</v>
      </c>
      <c r="M681" s="106">
        <f t="shared" si="599"/>
        <v>-31.279999999999998</v>
      </c>
      <c r="N681" s="106">
        <f t="shared" si="599"/>
        <v>-24.172000000000001</v>
      </c>
      <c r="O681" s="106">
        <f t="shared" si="599"/>
        <v>-51.943000000000005</v>
      </c>
      <c r="P681" s="416">
        <f t="shared" si="599"/>
        <v>-124.251</v>
      </c>
      <c r="Q681" s="106">
        <f t="shared" si="599"/>
        <v>-64.113</v>
      </c>
      <c r="R681" s="106">
        <f t="shared" si="599"/>
        <v>-44.159000000000006</v>
      </c>
      <c r="S681" s="106">
        <f t="shared" si="599"/>
        <v>-22.254999999999988</v>
      </c>
      <c r="T681" s="106">
        <f t="shared" si="599"/>
        <v>-86.816000000000003</v>
      </c>
      <c r="U681" s="416">
        <f t="shared" si="599"/>
        <v>-217.34300000000002</v>
      </c>
      <c r="V681" s="106">
        <f t="shared" si="599"/>
        <v>-138.76499999999999</v>
      </c>
      <c r="W681" s="106">
        <f t="shared" si="599"/>
        <v>-121.907</v>
      </c>
      <c r="X681" s="106">
        <f t="shared" si="599"/>
        <v>-45.381000000000007</v>
      </c>
      <c r="Y681" s="106">
        <f t="shared" si="599"/>
        <v>-145.97300000000001</v>
      </c>
      <c r="Z681" s="416">
        <f t="shared" si="599"/>
        <v>-452.02600000000001</v>
      </c>
      <c r="AA681" s="106">
        <f t="shared" si="599"/>
        <v>-197.059</v>
      </c>
      <c r="AB681" s="106">
        <f t="shared" si="599"/>
        <v>-118.12199999999999</v>
      </c>
      <c r="AC681" s="106">
        <f t="shared" si="599"/>
        <v>-92.720000000000013</v>
      </c>
      <c r="AD681" s="106">
        <f t="shared" si="599"/>
        <v>-50.993999999999986</v>
      </c>
      <c r="AE681" s="416">
        <f t="shared" si="599"/>
        <v>-458.89499999999998</v>
      </c>
      <c r="AF681" s="106">
        <f t="shared" si="599"/>
        <v>-40.224000000000004</v>
      </c>
      <c r="AG681" s="106">
        <f t="shared" si="599"/>
        <v>-35.532999999999994</v>
      </c>
      <c r="AH681" s="106">
        <f t="shared" si="599"/>
        <v>-30.290000000000003</v>
      </c>
      <c r="AI681" s="106">
        <f t="shared" ref="AI681:BN681" si="600">SUM(AI667:AI680)</f>
        <v>-37.89800000000001</v>
      </c>
      <c r="AJ681" s="416">
        <f t="shared" si="600"/>
        <v>-143.94500000000002</v>
      </c>
      <c r="AK681" s="106">
        <f t="shared" si="600"/>
        <v>-33.774000000000001</v>
      </c>
      <c r="AL681" s="106">
        <f t="shared" si="600"/>
        <v>-28.124000000000002</v>
      </c>
      <c r="AM681" s="106">
        <f t="shared" si="600"/>
        <v>-40.187999999999995</v>
      </c>
      <c r="AN681" s="106">
        <f t="shared" si="600"/>
        <v>-71.590999999999994</v>
      </c>
      <c r="AO681" s="416">
        <f t="shared" si="600"/>
        <v>-173.67699999999999</v>
      </c>
      <c r="AP681" s="106">
        <f t="shared" si="600"/>
        <v>-32.328000000000003</v>
      </c>
      <c r="AQ681" s="106">
        <f t="shared" si="600"/>
        <v>-40.375999999999991</v>
      </c>
      <c r="AR681" s="106">
        <f t="shared" si="600"/>
        <v>-37.386000000000003</v>
      </c>
      <c r="AS681" s="106">
        <f t="shared" si="600"/>
        <v>-90.328999999999994</v>
      </c>
      <c r="AT681" s="416">
        <f t="shared" si="600"/>
        <v>-200.41900000000001</v>
      </c>
      <c r="AU681" s="106">
        <f t="shared" si="600"/>
        <v>-39.642000000000003</v>
      </c>
      <c r="AV681" s="106">
        <f t="shared" si="600"/>
        <v>-42.710000000000008</v>
      </c>
      <c r="AW681" s="106">
        <f t="shared" si="600"/>
        <v>-37.244999999999997</v>
      </c>
      <c r="AX681" s="106">
        <f t="shared" si="600"/>
        <v>-42.346000000000011</v>
      </c>
      <c r="AY681" s="416">
        <f t="shared" si="600"/>
        <v>-161.94300000000001</v>
      </c>
      <c r="AZ681" s="106">
        <f t="shared" si="600"/>
        <v>-132.52100000000002</v>
      </c>
      <c r="BA681" s="106">
        <f t="shared" si="600"/>
        <v>-39.092999999999996</v>
      </c>
      <c r="BB681" s="106">
        <f t="shared" si="600"/>
        <v>-38.654000000000011</v>
      </c>
      <c r="BC681" s="106">
        <f t="shared" si="600"/>
        <v>-114.71699999999998</v>
      </c>
      <c r="BD681" s="416">
        <f t="shared" si="600"/>
        <v>-324.98499999999996</v>
      </c>
      <c r="BE681" s="106">
        <f t="shared" si="600"/>
        <v>-52.542000000000002</v>
      </c>
      <c r="BF681" s="106">
        <f t="shared" si="600"/>
        <v>-46.116999999999997</v>
      </c>
      <c r="BG681" s="106">
        <f t="shared" si="600"/>
        <v>-62.203999999999994</v>
      </c>
      <c r="BH681" s="106">
        <f t="shared" si="600"/>
        <v>-134.48699999999999</v>
      </c>
      <c r="BI681" s="416">
        <f t="shared" si="600"/>
        <v>-295.34999999999997</v>
      </c>
      <c r="BJ681" s="106">
        <f t="shared" si="600"/>
        <v>-263.262</v>
      </c>
      <c r="BK681" s="106">
        <f t="shared" si="600"/>
        <v>-98.916999999999973</v>
      </c>
      <c r="BL681" s="106">
        <f t="shared" si="600"/>
        <v>-145.77900000000002</v>
      </c>
      <c r="BM681" s="106">
        <f t="shared" si="600"/>
        <v>-174.24299999999997</v>
      </c>
      <c r="BN681" s="416">
        <f t="shared" si="600"/>
        <v>-682.20100000000014</v>
      </c>
      <c r="BO681" s="106">
        <f t="shared" ref="BO681:CF681" si="601">SUM(BO667:BO680)</f>
        <v>-139.69500000000002</v>
      </c>
      <c r="BP681" s="106">
        <f t="shared" si="601"/>
        <v>-67.664000000000001</v>
      </c>
      <c r="BQ681" s="106">
        <f t="shared" si="601"/>
        <v>145.68400000000003</v>
      </c>
      <c r="BR681" s="106">
        <f t="shared" si="601"/>
        <v>42.657999999999944</v>
      </c>
      <c r="BS681" s="417">
        <f t="shared" si="601"/>
        <v>-19.016999999999967</v>
      </c>
      <c r="BT681" s="159">
        <f t="shared" si="601"/>
        <v>-75</v>
      </c>
      <c r="BU681" s="159">
        <f t="shared" si="601"/>
        <v>-75</v>
      </c>
      <c r="BV681" s="159">
        <f t="shared" si="601"/>
        <v>-75</v>
      </c>
      <c r="BW681" s="159">
        <f t="shared" si="601"/>
        <v>-75</v>
      </c>
      <c r="BX681" s="418">
        <f t="shared" si="601"/>
        <v>-300</v>
      </c>
      <c r="BY681" s="159">
        <f t="shared" si="601"/>
        <v>-75</v>
      </c>
      <c r="BZ681" s="159">
        <f t="shared" si="601"/>
        <v>-75</v>
      </c>
      <c r="CA681" s="159">
        <f t="shared" si="601"/>
        <v>-75</v>
      </c>
      <c r="CB681" s="159">
        <f t="shared" si="601"/>
        <v>-75</v>
      </c>
      <c r="CC681" s="418">
        <f t="shared" si="601"/>
        <v>-300</v>
      </c>
      <c r="CD681" s="418">
        <f t="shared" si="601"/>
        <v>-300</v>
      </c>
      <c r="CE681" s="418">
        <f t="shared" si="601"/>
        <v>-300</v>
      </c>
      <c r="CF681" s="418">
        <f t="shared" si="601"/>
        <v>-300</v>
      </c>
      <c r="CG681" s="109"/>
    </row>
    <row r="682" spans="1:85" ht="14.45" customHeight="1" x14ac:dyDescent="0.25">
      <c r="A682" s="111"/>
      <c r="B682" s="211"/>
      <c r="C682" s="423"/>
      <c r="D682" s="423"/>
      <c r="E682" s="423"/>
      <c r="F682" s="423"/>
      <c r="G682" s="112"/>
      <c r="H682" s="112"/>
      <c r="I682" s="112"/>
      <c r="J682" s="112"/>
      <c r="K682" s="423"/>
      <c r="L682" s="112"/>
      <c r="M682" s="112"/>
      <c r="N682" s="112"/>
      <c r="O682" s="112"/>
      <c r="P682" s="423"/>
      <c r="Q682" s="112"/>
      <c r="R682" s="112"/>
      <c r="S682" s="112"/>
      <c r="T682" s="112"/>
      <c r="U682" s="423"/>
      <c r="V682" s="112"/>
      <c r="W682" s="112"/>
      <c r="X682" s="112"/>
      <c r="Y682" s="112"/>
      <c r="Z682" s="423"/>
      <c r="AA682" s="112"/>
      <c r="AB682" s="112"/>
      <c r="AC682" s="112"/>
      <c r="AD682" s="112"/>
      <c r="AE682" s="423"/>
      <c r="AF682" s="112"/>
      <c r="AG682" s="112"/>
      <c r="AH682" s="112"/>
      <c r="AI682" s="112"/>
      <c r="AJ682" s="423"/>
      <c r="AK682" s="112"/>
      <c r="AL682" s="112"/>
      <c r="AM682" s="112"/>
      <c r="AN682" s="112"/>
      <c r="AO682" s="423"/>
      <c r="AP682" s="112"/>
      <c r="AQ682" s="112"/>
      <c r="AR682" s="112"/>
      <c r="AS682" s="112"/>
      <c r="AT682" s="423"/>
      <c r="AU682" s="112"/>
      <c r="AV682" s="112"/>
      <c r="AW682" s="112"/>
      <c r="AX682" s="112"/>
      <c r="AY682" s="423"/>
      <c r="AZ682" s="112"/>
      <c r="BA682" s="112"/>
      <c r="BB682" s="112"/>
      <c r="BC682" s="112"/>
      <c r="BD682" s="423"/>
      <c r="BE682" s="112"/>
      <c r="BF682" s="112"/>
      <c r="BG682" s="112"/>
      <c r="BH682" s="112"/>
      <c r="BI682" s="423"/>
      <c r="BJ682" s="112"/>
      <c r="BK682" s="112"/>
      <c r="BL682" s="112"/>
      <c r="BM682" s="112"/>
      <c r="BN682" s="423"/>
      <c r="BO682" s="112"/>
      <c r="BP682" s="112"/>
      <c r="BQ682" s="112"/>
      <c r="BR682" s="112"/>
      <c r="BS682" s="424"/>
      <c r="BT682" s="112"/>
      <c r="BU682" s="112"/>
      <c r="BV682" s="112"/>
      <c r="BW682" s="112"/>
      <c r="BX682" s="423"/>
      <c r="BY682" s="112"/>
      <c r="BZ682" s="112"/>
      <c r="CA682" s="112"/>
      <c r="CB682" s="112"/>
      <c r="CC682" s="423"/>
      <c r="CD682" s="423"/>
      <c r="CE682" s="423"/>
      <c r="CF682" s="423"/>
      <c r="CG682" s="109"/>
    </row>
    <row r="683" spans="1:85" ht="14.45" customHeight="1" x14ac:dyDescent="0.25">
      <c r="A683" s="135" t="str">
        <f t="shared" ref="A683:A708" si="602">A597</f>
        <v>CFF</v>
      </c>
      <c r="B683" s="211"/>
      <c r="C683" s="423"/>
      <c r="D683" s="423"/>
      <c r="E683" s="423"/>
      <c r="F683" s="423"/>
      <c r="G683" s="112"/>
      <c r="H683" s="112"/>
      <c r="I683" s="112"/>
      <c r="J683" s="112"/>
      <c r="K683" s="423"/>
      <c r="L683" s="112"/>
      <c r="M683" s="112"/>
      <c r="N683" s="112"/>
      <c r="O683" s="112"/>
      <c r="P683" s="423"/>
      <c r="Q683" s="112"/>
      <c r="R683" s="112"/>
      <c r="S683" s="112"/>
      <c r="T683" s="112"/>
      <c r="U683" s="423"/>
      <c r="V683" s="112"/>
      <c r="W683" s="112"/>
      <c r="X683" s="112"/>
      <c r="Y683" s="112"/>
      <c r="Z683" s="423"/>
      <c r="AA683" s="112"/>
      <c r="AB683" s="112"/>
      <c r="AC683" s="112"/>
      <c r="AD683" s="112"/>
      <c r="AE683" s="423"/>
      <c r="AF683" s="112"/>
      <c r="AG683" s="112"/>
      <c r="AH683" s="112"/>
      <c r="AI683" s="112"/>
      <c r="AJ683" s="423"/>
      <c r="AK683" s="112"/>
      <c r="AL683" s="112"/>
      <c r="AM683" s="112"/>
      <c r="AN683" s="112"/>
      <c r="AO683" s="423"/>
      <c r="AP683" s="112"/>
      <c r="AQ683" s="112"/>
      <c r="AR683" s="112"/>
      <c r="AS683" s="112"/>
      <c r="AT683" s="423"/>
      <c r="AU683" s="112"/>
      <c r="AV683" s="112"/>
      <c r="AW683" s="112"/>
      <c r="AX683" s="112"/>
      <c r="AY683" s="423"/>
      <c r="AZ683" s="112"/>
      <c r="BA683" s="112"/>
      <c r="BB683" s="112"/>
      <c r="BC683" s="112"/>
      <c r="BD683" s="423"/>
      <c r="BE683" s="112"/>
      <c r="BF683" s="112"/>
      <c r="BG683" s="112"/>
      <c r="BH683" s="112"/>
      <c r="BI683" s="423"/>
      <c r="BJ683" s="112"/>
      <c r="BK683" s="112"/>
      <c r="BL683" s="112"/>
      <c r="BM683" s="112"/>
      <c r="BN683" s="423"/>
      <c r="BO683" s="112"/>
      <c r="BP683" s="112"/>
      <c r="BQ683" s="112"/>
      <c r="BR683" s="112"/>
      <c r="BS683" s="424"/>
      <c r="BT683" s="112"/>
      <c r="BU683" s="112"/>
      <c r="BV683" s="112"/>
      <c r="BW683" s="112"/>
      <c r="BX683" s="423"/>
      <c r="BY683" s="112"/>
      <c r="BZ683" s="112"/>
      <c r="CA683" s="112"/>
      <c r="CB683" s="112"/>
      <c r="CC683" s="423"/>
      <c r="CD683" s="423"/>
      <c r="CE683" s="423"/>
      <c r="CF683" s="423"/>
      <c r="CG683" s="109"/>
    </row>
    <row r="684" spans="1:85" ht="14.45" customHeight="1" x14ac:dyDescent="0.25">
      <c r="A684" s="125" t="str">
        <f t="shared" si="602"/>
        <v>Proceeds from issuance of long-term debt, net of discount</v>
      </c>
      <c r="B684" s="63"/>
      <c r="C684" s="467">
        <f t="shared" ref="C684:G690" si="603">C598</f>
        <v>108.16</v>
      </c>
      <c r="D684" s="467">
        <f t="shared" si="603"/>
        <v>0</v>
      </c>
      <c r="E684" s="467">
        <f t="shared" si="603"/>
        <v>0</v>
      </c>
      <c r="F684" s="467">
        <f t="shared" si="603"/>
        <v>20</v>
      </c>
      <c r="G684" s="99">
        <f t="shared" si="603"/>
        <v>0</v>
      </c>
      <c r="H684" s="99">
        <f t="shared" ref="H684:J690" si="604">H598-G598</f>
        <v>0</v>
      </c>
      <c r="I684" s="99">
        <f t="shared" si="604"/>
        <v>0</v>
      </c>
      <c r="J684" s="99">
        <f t="shared" si="604"/>
        <v>0</v>
      </c>
      <c r="K684" s="467">
        <f t="shared" ref="K684:L690" si="605">K598</f>
        <v>0</v>
      </c>
      <c r="L684" s="99">
        <f t="shared" si="605"/>
        <v>0</v>
      </c>
      <c r="M684" s="99">
        <f t="shared" ref="M684:O690" si="606">M598-L598</f>
        <v>0</v>
      </c>
      <c r="N684" s="99">
        <f t="shared" si="606"/>
        <v>0</v>
      </c>
      <c r="O684" s="99">
        <f t="shared" si="606"/>
        <v>0</v>
      </c>
      <c r="P684" s="467">
        <f t="shared" ref="P684:Q690" si="607">P598</f>
        <v>0</v>
      </c>
      <c r="Q684" s="99">
        <f t="shared" si="607"/>
        <v>0</v>
      </c>
      <c r="R684" s="99">
        <f t="shared" ref="R684:T690" si="608">R598-Q598</f>
        <v>0</v>
      </c>
      <c r="S684" s="99">
        <f t="shared" si="608"/>
        <v>0</v>
      </c>
      <c r="T684" s="99">
        <f t="shared" si="608"/>
        <v>349.91300000000001</v>
      </c>
      <c r="U684" s="467">
        <f t="shared" ref="U684:V690" si="609">U598</f>
        <v>349.91300000000001</v>
      </c>
      <c r="V684" s="99">
        <f t="shared" si="609"/>
        <v>0</v>
      </c>
      <c r="W684" s="99">
        <f t="shared" ref="W684:Y690" si="610">W598-V598</f>
        <v>0</v>
      </c>
      <c r="X684" s="99">
        <f t="shared" si="610"/>
        <v>0</v>
      </c>
      <c r="Y684" s="99">
        <f t="shared" si="610"/>
        <v>0</v>
      </c>
      <c r="Z684" s="467">
        <f t="shared" ref="Z684:AA690" si="611">Z598</f>
        <v>0</v>
      </c>
      <c r="AA684" s="99">
        <f t="shared" si="611"/>
        <v>0</v>
      </c>
      <c r="AB684" s="99">
        <f t="shared" ref="AB684:AD707" si="612">AB598-AA598</f>
        <v>0</v>
      </c>
      <c r="AC684" s="99">
        <f t="shared" si="612"/>
        <v>0</v>
      </c>
      <c r="AD684" s="99">
        <f t="shared" si="612"/>
        <v>0</v>
      </c>
      <c r="AE684" s="467">
        <f t="shared" ref="AE684:AF707" si="613">AE598</f>
        <v>0</v>
      </c>
      <c r="AF684" s="99">
        <f t="shared" si="613"/>
        <v>0</v>
      </c>
      <c r="AG684" s="99">
        <f t="shared" ref="AG684:AI707" si="614">AG598-AF598</f>
        <v>0</v>
      </c>
      <c r="AH684" s="99">
        <f t="shared" si="614"/>
        <v>0</v>
      </c>
      <c r="AI684" s="99">
        <f t="shared" si="614"/>
        <v>0</v>
      </c>
      <c r="AJ684" s="467">
        <f t="shared" ref="AJ684:AK707" si="615">AJ598</f>
        <v>0</v>
      </c>
      <c r="AK684" s="99">
        <f t="shared" si="615"/>
        <v>0</v>
      </c>
      <c r="AL684" s="99">
        <f t="shared" ref="AL684:AN707" si="616">AL598-AK598</f>
        <v>0</v>
      </c>
      <c r="AM684" s="99">
        <f t="shared" si="616"/>
        <v>0</v>
      </c>
      <c r="AN684" s="99">
        <f t="shared" si="616"/>
        <v>0</v>
      </c>
      <c r="AO684" s="467">
        <f t="shared" ref="AO684:AP707" si="617">AO598</f>
        <v>0</v>
      </c>
      <c r="AP684" s="99">
        <f t="shared" si="617"/>
        <v>0</v>
      </c>
      <c r="AQ684" s="99">
        <f t="shared" ref="AQ684:AS707" si="618">AQ598-AP598</f>
        <v>0</v>
      </c>
      <c r="AR684" s="99">
        <f t="shared" si="618"/>
        <v>0</v>
      </c>
      <c r="AS684" s="99">
        <f t="shared" si="618"/>
        <v>0</v>
      </c>
      <c r="AT684" s="467">
        <f t="shared" ref="AT684:AU707" si="619">AT598</f>
        <v>0</v>
      </c>
      <c r="AU684" s="99">
        <f t="shared" si="619"/>
        <v>0</v>
      </c>
      <c r="AV684" s="99">
        <f t="shared" ref="AV684:AX707" si="620">AV598-AU598</f>
        <v>0</v>
      </c>
      <c r="AW684" s="99">
        <f t="shared" si="620"/>
        <v>0</v>
      </c>
      <c r="AX684" s="99">
        <f t="shared" si="620"/>
        <v>0</v>
      </c>
      <c r="AY684" s="467">
        <f t="shared" ref="AY684:AZ707" si="621">AY598</f>
        <v>0</v>
      </c>
      <c r="AZ684" s="99">
        <f t="shared" si="621"/>
        <v>0</v>
      </c>
      <c r="BA684" s="99">
        <f t="shared" ref="BA684:BC707" si="622">BA598-AZ598</f>
        <v>0</v>
      </c>
      <c r="BB684" s="99">
        <f t="shared" si="622"/>
        <v>0</v>
      </c>
      <c r="BC684" s="99">
        <f t="shared" si="622"/>
        <v>0</v>
      </c>
      <c r="BD684" s="467">
        <f t="shared" ref="BD684:BE707" si="623">BD598</f>
        <v>0</v>
      </c>
      <c r="BE684" s="99">
        <f t="shared" si="623"/>
        <v>0</v>
      </c>
      <c r="BF684" s="99">
        <f t="shared" ref="BF684:BH707" si="624">BF598-BE598</f>
        <v>0</v>
      </c>
      <c r="BG684" s="99">
        <f t="shared" si="624"/>
        <v>0</v>
      </c>
      <c r="BH684" s="99">
        <f t="shared" si="624"/>
        <v>0</v>
      </c>
      <c r="BI684" s="467">
        <f t="shared" ref="BI684:BJ707" si="625">BI598</f>
        <v>0</v>
      </c>
      <c r="BJ684" s="99">
        <f t="shared" si="625"/>
        <v>0</v>
      </c>
      <c r="BK684" s="99">
        <f t="shared" ref="BK684:BM707" si="626">BK598-BJ598</f>
        <v>0</v>
      </c>
      <c r="BL684" s="99">
        <f t="shared" si="626"/>
        <v>0</v>
      </c>
      <c r="BM684" s="99">
        <f t="shared" si="626"/>
        <v>0</v>
      </c>
      <c r="BN684" s="467">
        <f t="shared" ref="BN684:BO707" si="627">BN598</f>
        <v>0</v>
      </c>
      <c r="BO684" s="99">
        <f t="shared" si="627"/>
        <v>0</v>
      </c>
      <c r="BP684" s="99">
        <f t="shared" ref="BP684:BR707" si="628">BP598-BO598</f>
        <v>0</v>
      </c>
      <c r="BQ684" s="99">
        <f t="shared" si="628"/>
        <v>0</v>
      </c>
      <c r="BR684" s="99">
        <f t="shared" si="628"/>
        <v>0</v>
      </c>
      <c r="BS684" s="468">
        <f t="shared" ref="BS684:BS707" si="629">BS598</f>
        <v>0</v>
      </c>
      <c r="BT684" s="63"/>
      <c r="BU684" s="63"/>
      <c r="BV684" s="63"/>
      <c r="BW684" s="63"/>
      <c r="BX684" s="413">
        <f t="shared" ref="BX684:BX707" si="630">SUM(BT684,BU684,BV684,BW684)</f>
        <v>0</v>
      </c>
      <c r="BY684" s="63"/>
      <c r="BZ684" s="63"/>
      <c r="CA684" s="63"/>
      <c r="CB684" s="63"/>
      <c r="CC684" s="413">
        <f t="shared" ref="CC684:CC707" si="631">SUM(BY684,BZ684,CA684,CB684)</f>
        <v>0</v>
      </c>
      <c r="CD684" s="413"/>
      <c r="CE684" s="413"/>
      <c r="CF684" s="413"/>
      <c r="CG684" s="99"/>
    </row>
    <row r="685" spans="1:85" ht="14.45" customHeight="1" x14ac:dyDescent="0.25">
      <c r="A685" s="125" t="str">
        <f t="shared" si="602"/>
        <v>Borrowings under Term Loan Facility</v>
      </c>
      <c r="B685" s="63"/>
      <c r="C685" s="467">
        <f t="shared" si="603"/>
        <v>0</v>
      </c>
      <c r="D685" s="467">
        <f t="shared" si="603"/>
        <v>0</v>
      </c>
      <c r="E685" s="467">
        <f t="shared" si="603"/>
        <v>0</v>
      </c>
      <c r="F685" s="467">
        <f t="shared" si="603"/>
        <v>0</v>
      </c>
      <c r="G685" s="99">
        <f t="shared" si="603"/>
        <v>0</v>
      </c>
      <c r="H685" s="99">
        <f t="shared" si="604"/>
        <v>0</v>
      </c>
      <c r="I685" s="99">
        <f t="shared" si="604"/>
        <v>0</v>
      </c>
      <c r="J685" s="99">
        <f t="shared" si="604"/>
        <v>0</v>
      </c>
      <c r="K685" s="467">
        <f t="shared" si="605"/>
        <v>0</v>
      </c>
      <c r="L685" s="99">
        <f t="shared" si="605"/>
        <v>0</v>
      </c>
      <c r="M685" s="99">
        <f t="shared" si="606"/>
        <v>0</v>
      </c>
      <c r="N685" s="99">
        <f t="shared" si="606"/>
        <v>0</v>
      </c>
      <c r="O685" s="99">
        <f t="shared" si="606"/>
        <v>0</v>
      </c>
      <c r="P685" s="467">
        <f t="shared" si="607"/>
        <v>0</v>
      </c>
      <c r="Q685" s="99">
        <f t="shared" si="607"/>
        <v>0</v>
      </c>
      <c r="R685" s="99">
        <f t="shared" si="608"/>
        <v>0</v>
      </c>
      <c r="S685" s="99">
        <f t="shared" si="608"/>
        <v>0</v>
      </c>
      <c r="T685" s="99">
        <f t="shared" si="608"/>
        <v>0</v>
      </c>
      <c r="U685" s="467">
        <f t="shared" si="609"/>
        <v>0</v>
      </c>
      <c r="V685" s="99">
        <f t="shared" si="609"/>
        <v>0</v>
      </c>
      <c r="W685" s="99">
        <f t="shared" si="610"/>
        <v>300</v>
      </c>
      <c r="X685" s="99">
        <f t="shared" si="610"/>
        <v>0</v>
      </c>
      <c r="Y685" s="99">
        <f t="shared" si="610"/>
        <v>0</v>
      </c>
      <c r="Z685" s="467">
        <f t="shared" si="611"/>
        <v>300</v>
      </c>
      <c r="AA685" s="99">
        <f t="shared" si="611"/>
        <v>0</v>
      </c>
      <c r="AB685" s="99">
        <f t="shared" si="612"/>
        <v>0</v>
      </c>
      <c r="AC685" s="99">
        <f t="shared" si="612"/>
        <v>0</v>
      </c>
      <c r="AD685" s="99">
        <f t="shared" si="612"/>
        <v>0</v>
      </c>
      <c r="AE685" s="467">
        <f t="shared" si="613"/>
        <v>0</v>
      </c>
      <c r="AF685" s="99">
        <f t="shared" si="613"/>
        <v>0</v>
      </c>
      <c r="AG685" s="99">
        <f t="shared" si="614"/>
        <v>0</v>
      </c>
      <c r="AH685" s="99">
        <f t="shared" si="614"/>
        <v>0</v>
      </c>
      <c r="AI685" s="99">
        <f t="shared" si="614"/>
        <v>0</v>
      </c>
      <c r="AJ685" s="467">
        <f t="shared" si="615"/>
        <v>0</v>
      </c>
      <c r="AK685" s="99">
        <f t="shared" si="615"/>
        <v>0</v>
      </c>
      <c r="AL685" s="99">
        <f t="shared" si="616"/>
        <v>0</v>
      </c>
      <c r="AM685" s="99">
        <f t="shared" si="616"/>
        <v>0</v>
      </c>
      <c r="AN685" s="99">
        <f t="shared" si="616"/>
        <v>0</v>
      </c>
      <c r="AO685" s="467">
        <f t="shared" si="617"/>
        <v>0</v>
      </c>
      <c r="AP685" s="99">
        <f t="shared" si="617"/>
        <v>0</v>
      </c>
      <c r="AQ685" s="99">
        <f t="shared" si="618"/>
        <v>0</v>
      </c>
      <c r="AR685" s="99">
        <f t="shared" si="618"/>
        <v>0</v>
      </c>
      <c r="AS685" s="99">
        <f t="shared" si="618"/>
        <v>0</v>
      </c>
      <c r="AT685" s="467">
        <f t="shared" si="619"/>
        <v>0</v>
      </c>
      <c r="AU685" s="99">
        <f t="shared" si="619"/>
        <v>0</v>
      </c>
      <c r="AV685" s="99">
        <f t="shared" si="620"/>
        <v>0</v>
      </c>
      <c r="AW685" s="99">
        <f t="shared" si="620"/>
        <v>70</v>
      </c>
      <c r="AX685" s="99">
        <f t="shared" si="620"/>
        <v>0</v>
      </c>
      <c r="AY685" s="467">
        <f t="shared" si="621"/>
        <v>70</v>
      </c>
      <c r="AZ685" s="99">
        <f t="shared" si="621"/>
        <v>0</v>
      </c>
      <c r="BA685" s="99">
        <f t="shared" si="622"/>
        <v>0</v>
      </c>
      <c r="BB685" s="99">
        <f t="shared" si="622"/>
        <v>0</v>
      </c>
      <c r="BC685" s="99">
        <f t="shared" si="622"/>
        <v>0</v>
      </c>
      <c r="BD685" s="467">
        <f t="shared" si="623"/>
        <v>0</v>
      </c>
      <c r="BE685" s="99">
        <f t="shared" si="623"/>
        <v>0</v>
      </c>
      <c r="BF685" s="99">
        <f t="shared" si="624"/>
        <v>0</v>
      </c>
      <c r="BG685" s="99">
        <f t="shared" si="624"/>
        <v>0</v>
      </c>
      <c r="BH685" s="99">
        <f t="shared" si="624"/>
        <v>0</v>
      </c>
      <c r="BI685" s="467">
        <f t="shared" si="625"/>
        <v>0</v>
      </c>
      <c r="BJ685" s="99">
        <f t="shared" si="625"/>
        <v>0</v>
      </c>
      <c r="BK685" s="99">
        <f t="shared" si="626"/>
        <v>0</v>
      </c>
      <c r="BL685" s="99">
        <f t="shared" si="626"/>
        <v>0</v>
      </c>
      <c r="BM685" s="99">
        <f t="shared" si="626"/>
        <v>0</v>
      </c>
      <c r="BN685" s="467">
        <f t="shared" si="627"/>
        <v>0</v>
      </c>
      <c r="BO685" s="99">
        <f t="shared" si="627"/>
        <v>0</v>
      </c>
      <c r="BP685" s="99">
        <f t="shared" si="628"/>
        <v>0</v>
      </c>
      <c r="BQ685" s="99">
        <f t="shared" si="628"/>
        <v>0</v>
      </c>
      <c r="BR685" s="99">
        <f t="shared" si="628"/>
        <v>0</v>
      </c>
      <c r="BS685" s="468">
        <f t="shared" si="629"/>
        <v>0</v>
      </c>
      <c r="BT685" s="63"/>
      <c r="BU685" s="63"/>
      <c r="BV685" s="63"/>
      <c r="BW685" s="63"/>
      <c r="BX685" s="413">
        <f t="shared" si="630"/>
        <v>0</v>
      </c>
      <c r="BY685" s="63"/>
      <c r="BZ685" s="63"/>
      <c r="CA685" s="63"/>
      <c r="CB685" s="63"/>
      <c r="CC685" s="413">
        <f t="shared" si="631"/>
        <v>0</v>
      </c>
      <c r="CD685" s="413"/>
      <c r="CE685" s="413"/>
      <c r="CF685" s="413"/>
      <c r="CG685" s="99"/>
    </row>
    <row r="686" spans="1:85" ht="14.45" customHeight="1" x14ac:dyDescent="0.25">
      <c r="A686" s="189" t="str">
        <f t="shared" si="602"/>
        <v>Borrowing under revolving credit facility</v>
      </c>
      <c r="B686" s="63"/>
      <c r="C686" s="413">
        <f t="shared" si="603"/>
        <v>0</v>
      </c>
      <c r="D686" s="413">
        <f t="shared" si="603"/>
        <v>0</v>
      </c>
      <c r="E686" s="413">
        <f t="shared" si="603"/>
        <v>0</v>
      </c>
      <c r="F686" s="413">
        <f t="shared" si="603"/>
        <v>30</v>
      </c>
      <c r="G686" s="63">
        <f t="shared" si="603"/>
        <v>45</v>
      </c>
      <c r="H686" s="63">
        <f t="shared" si="604"/>
        <v>10</v>
      </c>
      <c r="I686" s="63">
        <f t="shared" si="604"/>
        <v>0</v>
      </c>
      <c r="J686" s="63">
        <f t="shared" si="604"/>
        <v>5</v>
      </c>
      <c r="K686" s="413">
        <f t="shared" si="605"/>
        <v>60</v>
      </c>
      <c r="L686" s="63">
        <f t="shared" si="605"/>
        <v>35</v>
      </c>
      <c r="M686" s="63">
        <f t="shared" si="606"/>
        <v>40</v>
      </c>
      <c r="N686" s="63">
        <f t="shared" si="606"/>
        <v>10</v>
      </c>
      <c r="O686" s="63">
        <f t="shared" si="606"/>
        <v>106.624</v>
      </c>
      <c r="P686" s="413">
        <f t="shared" si="607"/>
        <v>191.624</v>
      </c>
      <c r="Q686" s="63">
        <f t="shared" si="607"/>
        <v>82</v>
      </c>
      <c r="R686" s="63">
        <f t="shared" si="608"/>
        <v>157</v>
      </c>
      <c r="S686" s="63">
        <f t="shared" si="608"/>
        <v>30</v>
      </c>
      <c r="T686" s="63">
        <f t="shared" si="608"/>
        <v>65</v>
      </c>
      <c r="U686" s="413">
        <f t="shared" si="609"/>
        <v>334</v>
      </c>
      <c r="V686" s="63">
        <f t="shared" si="609"/>
        <v>140</v>
      </c>
      <c r="W686" s="63">
        <f t="shared" si="610"/>
        <v>170</v>
      </c>
      <c r="X686" s="63">
        <f t="shared" si="610"/>
        <v>0</v>
      </c>
      <c r="Y686" s="63">
        <f t="shared" si="610"/>
        <v>100</v>
      </c>
      <c r="Z686" s="413">
        <f t="shared" si="611"/>
        <v>410</v>
      </c>
      <c r="AA686" s="63">
        <f t="shared" si="611"/>
        <v>120</v>
      </c>
      <c r="AB686" s="63">
        <f t="shared" si="612"/>
        <v>118</v>
      </c>
      <c r="AC686" s="63">
        <f t="shared" si="612"/>
        <v>95</v>
      </c>
      <c r="AD686" s="63">
        <f t="shared" si="612"/>
        <v>115</v>
      </c>
      <c r="AE686" s="413">
        <f t="shared" si="613"/>
        <v>448</v>
      </c>
      <c r="AF686" s="63">
        <f t="shared" si="613"/>
        <v>170</v>
      </c>
      <c r="AG686" s="63">
        <f t="shared" si="614"/>
        <v>20</v>
      </c>
      <c r="AH686" s="63">
        <f t="shared" si="614"/>
        <v>95</v>
      </c>
      <c r="AI686" s="63">
        <f t="shared" si="614"/>
        <v>71</v>
      </c>
      <c r="AJ686" s="413">
        <f t="shared" si="615"/>
        <v>356</v>
      </c>
      <c r="AK686" s="63">
        <f t="shared" si="615"/>
        <v>131.339</v>
      </c>
      <c r="AL686" s="63">
        <f t="shared" si="616"/>
        <v>75</v>
      </c>
      <c r="AM686" s="63">
        <f t="shared" si="616"/>
        <v>125</v>
      </c>
      <c r="AN686" s="63">
        <f t="shared" si="616"/>
        <v>184.00000000000006</v>
      </c>
      <c r="AO686" s="413">
        <f t="shared" si="617"/>
        <v>515.33900000000006</v>
      </c>
      <c r="AP686" s="63">
        <f t="shared" si="617"/>
        <v>185</v>
      </c>
      <c r="AQ686" s="63">
        <f t="shared" si="618"/>
        <v>50</v>
      </c>
      <c r="AR686" s="63">
        <f t="shared" si="618"/>
        <v>0</v>
      </c>
      <c r="AS686" s="63">
        <f t="shared" si="618"/>
        <v>0</v>
      </c>
      <c r="AT686" s="413">
        <f t="shared" si="619"/>
        <v>235</v>
      </c>
      <c r="AU686" s="63">
        <f t="shared" si="619"/>
        <v>0</v>
      </c>
      <c r="AV686" s="63">
        <f t="shared" si="620"/>
        <v>55</v>
      </c>
      <c r="AW686" s="63">
        <f t="shared" si="620"/>
        <v>0</v>
      </c>
      <c r="AX686" s="63">
        <f t="shared" si="620"/>
        <v>0</v>
      </c>
      <c r="AY686" s="413">
        <f t="shared" si="621"/>
        <v>55</v>
      </c>
      <c r="AZ686" s="63">
        <f t="shared" si="621"/>
        <v>0</v>
      </c>
      <c r="BA686" s="63">
        <f t="shared" si="622"/>
        <v>0</v>
      </c>
      <c r="BB686" s="63">
        <f t="shared" si="622"/>
        <v>0</v>
      </c>
      <c r="BC686" s="63">
        <f t="shared" si="622"/>
        <v>0</v>
      </c>
      <c r="BD686" s="413">
        <f t="shared" si="623"/>
        <v>0</v>
      </c>
      <c r="BE686" s="63">
        <f t="shared" si="623"/>
        <v>0</v>
      </c>
      <c r="BF686" s="63">
        <f t="shared" si="624"/>
        <v>0</v>
      </c>
      <c r="BG686" s="63">
        <f t="shared" si="624"/>
        <v>0</v>
      </c>
      <c r="BH686" s="63">
        <f t="shared" si="624"/>
        <v>0</v>
      </c>
      <c r="BI686" s="413">
        <f t="shared" si="625"/>
        <v>0</v>
      </c>
      <c r="BJ686" s="63">
        <f t="shared" si="625"/>
        <v>0</v>
      </c>
      <c r="BK686" s="63">
        <f t="shared" si="626"/>
        <v>0</v>
      </c>
      <c r="BL686" s="63">
        <f t="shared" si="626"/>
        <v>0</v>
      </c>
      <c r="BM686" s="63">
        <f t="shared" si="626"/>
        <v>0</v>
      </c>
      <c r="BN686" s="413">
        <f t="shared" si="627"/>
        <v>0</v>
      </c>
      <c r="BO686" s="63">
        <f t="shared" si="627"/>
        <v>0</v>
      </c>
      <c r="BP686" s="63">
        <f t="shared" si="628"/>
        <v>0</v>
      </c>
      <c r="BQ686" s="63">
        <f t="shared" si="628"/>
        <v>0</v>
      </c>
      <c r="BR686" s="63">
        <f t="shared" si="628"/>
        <v>0</v>
      </c>
      <c r="BS686" s="425">
        <f t="shared" si="629"/>
        <v>0</v>
      </c>
      <c r="BT686" s="63">
        <f>BT491</f>
        <v>-150</v>
      </c>
      <c r="BU686" s="63">
        <f>BU491</f>
        <v>0</v>
      </c>
      <c r="BV686" s="63">
        <f>BV491</f>
        <v>0</v>
      </c>
      <c r="BW686" s="63">
        <f>BW491</f>
        <v>0</v>
      </c>
      <c r="BX686" s="413">
        <f t="shared" si="630"/>
        <v>-150</v>
      </c>
      <c r="BY686" s="63">
        <f>BY491</f>
        <v>0</v>
      </c>
      <c r="BZ686" s="63">
        <f>BZ491</f>
        <v>0</v>
      </c>
      <c r="CA686" s="63">
        <f>CA491</f>
        <v>0</v>
      </c>
      <c r="CB686" s="63">
        <f>CB491</f>
        <v>0</v>
      </c>
      <c r="CC686" s="413">
        <f t="shared" si="631"/>
        <v>0</v>
      </c>
      <c r="CD686" s="413">
        <f>CD491</f>
        <v>0</v>
      </c>
      <c r="CE686" s="413">
        <f>CE491</f>
        <v>0</v>
      </c>
      <c r="CF686" s="413">
        <f>CF491</f>
        <v>0</v>
      </c>
      <c r="CG686" s="99"/>
    </row>
    <row r="687" spans="1:85" ht="14.45" customHeight="1" x14ac:dyDescent="0.25">
      <c r="A687" s="125" t="str">
        <f t="shared" si="602"/>
        <v>Payment on revolving credit facility</v>
      </c>
      <c r="B687" s="63"/>
      <c r="C687" s="467">
        <f t="shared" si="603"/>
        <v>15</v>
      </c>
      <c r="D687" s="467">
        <f t="shared" si="603"/>
        <v>-15</v>
      </c>
      <c r="E687" s="467">
        <f t="shared" si="603"/>
        <v>0</v>
      </c>
      <c r="F687" s="467">
        <f t="shared" si="603"/>
        <v>0</v>
      </c>
      <c r="G687" s="99">
        <f t="shared" si="603"/>
        <v>-10</v>
      </c>
      <c r="H687" s="99">
        <f t="shared" si="604"/>
        <v>-20</v>
      </c>
      <c r="I687" s="99">
        <f t="shared" si="604"/>
        <v>-35</v>
      </c>
      <c r="J687" s="99">
        <f t="shared" si="604"/>
        <v>-20</v>
      </c>
      <c r="K687" s="467">
        <f t="shared" si="605"/>
        <v>-85</v>
      </c>
      <c r="L687" s="99">
        <f t="shared" si="605"/>
        <v>0</v>
      </c>
      <c r="M687" s="99">
        <f t="shared" si="606"/>
        <v>-20</v>
      </c>
      <c r="N687" s="99">
        <f t="shared" si="606"/>
        <v>-20</v>
      </c>
      <c r="O687" s="99">
        <f t="shared" si="606"/>
        <v>-85.623999999999995</v>
      </c>
      <c r="P687" s="467">
        <f t="shared" si="607"/>
        <v>-125.624</v>
      </c>
      <c r="Q687" s="99">
        <f t="shared" si="607"/>
        <v>0</v>
      </c>
      <c r="R687" s="99">
        <f t="shared" si="608"/>
        <v>-20</v>
      </c>
      <c r="S687" s="99">
        <f t="shared" si="608"/>
        <v>-45</v>
      </c>
      <c r="T687" s="99">
        <f t="shared" si="608"/>
        <v>-340</v>
      </c>
      <c r="U687" s="467">
        <f t="shared" si="609"/>
        <v>-405</v>
      </c>
      <c r="V687" s="99">
        <f t="shared" si="609"/>
        <v>0</v>
      </c>
      <c r="W687" s="99">
        <f t="shared" si="610"/>
        <v>-235</v>
      </c>
      <c r="X687" s="99">
        <f t="shared" si="610"/>
        <v>-10</v>
      </c>
      <c r="Y687" s="99">
        <f t="shared" si="610"/>
        <v>-13</v>
      </c>
      <c r="Z687" s="467">
        <f t="shared" si="611"/>
        <v>-258</v>
      </c>
      <c r="AA687" s="99">
        <f t="shared" si="611"/>
        <v>-150</v>
      </c>
      <c r="AB687" s="99">
        <f t="shared" si="612"/>
        <v>-40</v>
      </c>
      <c r="AC687" s="99">
        <f t="shared" si="612"/>
        <v>-48</v>
      </c>
      <c r="AD687" s="99">
        <f t="shared" si="612"/>
        <v>-155</v>
      </c>
      <c r="AE687" s="467">
        <f t="shared" si="613"/>
        <v>-393</v>
      </c>
      <c r="AF687" s="99">
        <f t="shared" si="613"/>
        <v>-197</v>
      </c>
      <c r="AG687" s="99">
        <f t="shared" si="614"/>
        <v>-100</v>
      </c>
      <c r="AH687" s="99">
        <f t="shared" si="614"/>
        <v>-25</v>
      </c>
      <c r="AI687" s="99">
        <f t="shared" si="614"/>
        <v>-161</v>
      </c>
      <c r="AJ687" s="467">
        <f t="shared" si="615"/>
        <v>-483</v>
      </c>
      <c r="AK687" s="99">
        <f t="shared" si="615"/>
        <v>-82.338999999999999</v>
      </c>
      <c r="AL687" s="99">
        <f t="shared" si="616"/>
        <v>-104</v>
      </c>
      <c r="AM687" s="99">
        <f t="shared" si="616"/>
        <v>-190</v>
      </c>
      <c r="AN687" s="99">
        <f t="shared" si="616"/>
        <v>-174.00000000000006</v>
      </c>
      <c r="AO687" s="467">
        <f t="shared" si="617"/>
        <v>-550.33900000000006</v>
      </c>
      <c r="AP687" s="99">
        <f t="shared" si="617"/>
        <v>-125</v>
      </c>
      <c r="AQ687" s="99">
        <f t="shared" si="618"/>
        <v>-155</v>
      </c>
      <c r="AR687" s="99">
        <f t="shared" si="618"/>
        <v>0</v>
      </c>
      <c r="AS687" s="99">
        <f t="shared" si="618"/>
        <v>0</v>
      </c>
      <c r="AT687" s="467">
        <f t="shared" si="619"/>
        <v>-280</v>
      </c>
      <c r="AU687" s="99">
        <f t="shared" si="619"/>
        <v>0</v>
      </c>
      <c r="AV687" s="99">
        <f t="shared" si="620"/>
        <v>0</v>
      </c>
      <c r="AW687" s="99">
        <f t="shared" si="620"/>
        <v>-55</v>
      </c>
      <c r="AX687" s="99">
        <f t="shared" si="620"/>
        <v>0</v>
      </c>
      <c r="AY687" s="467">
        <f t="shared" si="621"/>
        <v>-55</v>
      </c>
      <c r="AZ687" s="99">
        <f t="shared" si="621"/>
        <v>0</v>
      </c>
      <c r="BA687" s="99">
        <f t="shared" si="622"/>
        <v>0</v>
      </c>
      <c r="BB687" s="99">
        <f t="shared" si="622"/>
        <v>0</v>
      </c>
      <c r="BC687" s="99">
        <f t="shared" si="622"/>
        <v>0</v>
      </c>
      <c r="BD687" s="467">
        <f t="shared" si="623"/>
        <v>0</v>
      </c>
      <c r="BE687" s="99">
        <f t="shared" si="623"/>
        <v>0</v>
      </c>
      <c r="BF687" s="99">
        <f t="shared" si="624"/>
        <v>0</v>
      </c>
      <c r="BG687" s="99">
        <f t="shared" si="624"/>
        <v>0</v>
      </c>
      <c r="BH687" s="99">
        <f t="shared" si="624"/>
        <v>0</v>
      </c>
      <c r="BI687" s="467">
        <f t="shared" si="625"/>
        <v>0</v>
      </c>
      <c r="BJ687" s="99">
        <f t="shared" si="625"/>
        <v>0</v>
      </c>
      <c r="BK687" s="99">
        <f t="shared" si="626"/>
        <v>0</v>
      </c>
      <c r="BL687" s="99">
        <f t="shared" si="626"/>
        <v>0</v>
      </c>
      <c r="BM687" s="99">
        <f t="shared" si="626"/>
        <v>0</v>
      </c>
      <c r="BN687" s="467">
        <f t="shared" si="627"/>
        <v>0</v>
      </c>
      <c r="BO687" s="99">
        <f t="shared" si="627"/>
        <v>0</v>
      </c>
      <c r="BP687" s="99">
        <f t="shared" si="628"/>
        <v>0</v>
      </c>
      <c r="BQ687" s="99">
        <f t="shared" si="628"/>
        <v>0</v>
      </c>
      <c r="BR687" s="99">
        <f t="shared" si="628"/>
        <v>0</v>
      </c>
      <c r="BS687" s="468">
        <f t="shared" si="629"/>
        <v>0</v>
      </c>
      <c r="BT687" s="63"/>
      <c r="BU687" s="63"/>
      <c r="BV687" s="63"/>
      <c r="BW687" s="63"/>
      <c r="BX687" s="413">
        <f t="shared" si="630"/>
        <v>0</v>
      </c>
      <c r="BY687" s="63"/>
      <c r="BZ687" s="63"/>
      <c r="CA687" s="63"/>
      <c r="CB687" s="63"/>
      <c r="CC687" s="413">
        <f t="shared" si="631"/>
        <v>0</v>
      </c>
      <c r="CD687" s="413"/>
      <c r="CE687" s="413"/>
      <c r="CF687" s="413"/>
      <c r="CG687" s="99"/>
    </row>
    <row r="688" spans="1:85" ht="14.45" customHeight="1" x14ac:dyDescent="0.25">
      <c r="A688" s="125" t="str">
        <f t="shared" si="602"/>
        <v>Payment of current portion of long-term debt</v>
      </c>
      <c r="B688" s="63"/>
      <c r="C688" s="467">
        <f t="shared" si="603"/>
        <v>-176.69300000000001</v>
      </c>
      <c r="D688" s="467">
        <f t="shared" si="603"/>
        <v>0</v>
      </c>
      <c r="E688" s="467">
        <f t="shared" si="603"/>
        <v>0</v>
      </c>
      <c r="F688" s="467">
        <f t="shared" si="603"/>
        <v>0</v>
      </c>
      <c r="G688" s="99">
        <f t="shared" si="603"/>
        <v>0</v>
      </c>
      <c r="H688" s="99">
        <f t="shared" si="604"/>
        <v>0</v>
      </c>
      <c r="I688" s="99">
        <f t="shared" si="604"/>
        <v>0</v>
      </c>
      <c r="J688" s="99">
        <f t="shared" si="604"/>
        <v>0</v>
      </c>
      <c r="K688" s="467">
        <f t="shared" si="605"/>
        <v>0</v>
      </c>
      <c r="L688" s="99">
        <f t="shared" si="605"/>
        <v>0</v>
      </c>
      <c r="M688" s="99">
        <f t="shared" si="606"/>
        <v>0</v>
      </c>
      <c r="N688" s="99">
        <f t="shared" si="606"/>
        <v>0</v>
      </c>
      <c r="O688" s="99">
        <f t="shared" si="606"/>
        <v>0</v>
      </c>
      <c r="P688" s="467">
        <f t="shared" si="607"/>
        <v>0</v>
      </c>
      <c r="Q688" s="99">
        <f t="shared" si="607"/>
        <v>0</v>
      </c>
      <c r="R688" s="99">
        <f t="shared" si="608"/>
        <v>0</v>
      </c>
      <c r="S688" s="99">
        <f t="shared" si="608"/>
        <v>0</v>
      </c>
      <c r="T688" s="99">
        <f t="shared" si="608"/>
        <v>0</v>
      </c>
      <c r="U688" s="467">
        <f t="shared" si="609"/>
        <v>0</v>
      </c>
      <c r="V688" s="99">
        <f t="shared" si="609"/>
        <v>0</v>
      </c>
      <c r="W688" s="99">
        <f t="shared" si="610"/>
        <v>0</v>
      </c>
      <c r="X688" s="99">
        <f t="shared" si="610"/>
        <v>0</v>
      </c>
      <c r="Y688" s="99">
        <f t="shared" si="610"/>
        <v>0</v>
      </c>
      <c r="Z688" s="467">
        <f t="shared" si="611"/>
        <v>0</v>
      </c>
      <c r="AA688" s="99">
        <f t="shared" si="611"/>
        <v>0</v>
      </c>
      <c r="AB688" s="99">
        <f t="shared" si="612"/>
        <v>0</v>
      </c>
      <c r="AC688" s="99">
        <f t="shared" si="612"/>
        <v>0</v>
      </c>
      <c r="AD688" s="99">
        <f t="shared" si="612"/>
        <v>0</v>
      </c>
      <c r="AE688" s="467">
        <f t="shared" si="613"/>
        <v>0</v>
      </c>
      <c r="AF688" s="99">
        <f t="shared" si="613"/>
        <v>0</v>
      </c>
      <c r="AG688" s="99">
        <f t="shared" si="614"/>
        <v>0</v>
      </c>
      <c r="AH688" s="99">
        <f t="shared" si="614"/>
        <v>0</v>
      </c>
      <c r="AI688" s="99">
        <f t="shared" si="614"/>
        <v>0</v>
      </c>
      <c r="AJ688" s="467">
        <f t="shared" si="615"/>
        <v>0</v>
      </c>
      <c r="AK688" s="99">
        <f t="shared" si="615"/>
        <v>0</v>
      </c>
      <c r="AL688" s="99">
        <f t="shared" si="616"/>
        <v>0</v>
      </c>
      <c r="AM688" s="99">
        <f t="shared" si="616"/>
        <v>0</v>
      </c>
      <c r="AN688" s="99">
        <f t="shared" si="616"/>
        <v>0</v>
      </c>
      <c r="AO688" s="467">
        <f t="shared" si="617"/>
        <v>0</v>
      </c>
      <c r="AP688" s="99">
        <f t="shared" si="617"/>
        <v>0</v>
      </c>
      <c r="AQ688" s="99">
        <f t="shared" si="618"/>
        <v>0</v>
      </c>
      <c r="AR688" s="99">
        <f t="shared" si="618"/>
        <v>0</v>
      </c>
      <c r="AS688" s="99">
        <f t="shared" si="618"/>
        <v>0</v>
      </c>
      <c r="AT688" s="467">
        <f t="shared" si="619"/>
        <v>0</v>
      </c>
      <c r="AU688" s="99">
        <f t="shared" si="619"/>
        <v>0</v>
      </c>
      <c r="AV688" s="99">
        <f t="shared" si="620"/>
        <v>0</v>
      </c>
      <c r="AW688" s="99">
        <f t="shared" si="620"/>
        <v>0</v>
      </c>
      <c r="AX688" s="99">
        <f t="shared" si="620"/>
        <v>0</v>
      </c>
      <c r="AY688" s="467">
        <f t="shared" si="621"/>
        <v>0</v>
      </c>
      <c r="AZ688" s="99">
        <f t="shared" si="621"/>
        <v>0</v>
      </c>
      <c r="BA688" s="99">
        <f t="shared" si="622"/>
        <v>0</v>
      </c>
      <c r="BB688" s="99">
        <f t="shared" si="622"/>
        <v>0</v>
      </c>
      <c r="BC688" s="99">
        <f t="shared" si="622"/>
        <v>0</v>
      </c>
      <c r="BD688" s="467">
        <f t="shared" si="623"/>
        <v>0</v>
      </c>
      <c r="BE688" s="99">
        <f t="shared" si="623"/>
        <v>0</v>
      </c>
      <c r="BF688" s="99">
        <f t="shared" si="624"/>
        <v>0</v>
      </c>
      <c r="BG688" s="99">
        <f t="shared" si="624"/>
        <v>0</v>
      </c>
      <c r="BH688" s="99">
        <f t="shared" si="624"/>
        <v>0</v>
      </c>
      <c r="BI688" s="467">
        <f t="shared" si="625"/>
        <v>0</v>
      </c>
      <c r="BJ688" s="99">
        <f t="shared" si="625"/>
        <v>0</v>
      </c>
      <c r="BK688" s="99">
        <f t="shared" si="626"/>
        <v>0</v>
      </c>
      <c r="BL688" s="99">
        <f t="shared" si="626"/>
        <v>0</v>
      </c>
      <c r="BM688" s="99">
        <f t="shared" si="626"/>
        <v>0</v>
      </c>
      <c r="BN688" s="467">
        <f t="shared" si="627"/>
        <v>0</v>
      </c>
      <c r="BO688" s="99">
        <f t="shared" si="627"/>
        <v>0</v>
      </c>
      <c r="BP688" s="99">
        <f t="shared" si="628"/>
        <v>0</v>
      </c>
      <c r="BQ688" s="99">
        <f t="shared" si="628"/>
        <v>0</v>
      </c>
      <c r="BR688" s="99">
        <f t="shared" si="628"/>
        <v>0</v>
      </c>
      <c r="BS688" s="468">
        <f t="shared" si="629"/>
        <v>0</v>
      </c>
      <c r="BT688" s="63"/>
      <c r="BU688" s="63"/>
      <c r="BV688" s="63"/>
      <c r="BW688" s="63"/>
      <c r="BX688" s="413">
        <f t="shared" si="630"/>
        <v>0</v>
      </c>
      <c r="BY688" s="63"/>
      <c r="BZ688" s="63"/>
      <c r="CA688" s="63"/>
      <c r="CB688" s="63"/>
      <c r="CC688" s="413">
        <f t="shared" si="631"/>
        <v>0</v>
      </c>
      <c r="CD688" s="413"/>
      <c r="CE688" s="413"/>
      <c r="CF688" s="413"/>
      <c r="CG688" s="99"/>
    </row>
    <row r="689" spans="1:85" ht="14.45" customHeight="1" x14ac:dyDescent="0.25">
      <c r="A689" s="125" t="str">
        <f t="shared" si="602"/>
        <v>Payment on Term Loan Facility</v>
      </c>
      <c r="B689" s="63"/>
      <c r="C689" s="467">
        <f t="shared" si="603"/>
        <v>0</v>
      </c>
      <c r="D689" s="467">
        <f t="shared" si="603"/>
        <v>0</v>
      </c>
      <c r="E689" s="467">
        <f t="shared" si="603"/>
        <v>0</v>
      </c>
      <c r="F689" s="467">
        <f t="shared" si="603"/>
        <v>0</v>
      </c>
      <c r="G689" s="99">
        <f t="shared" si="603"/>
        <v>0</v>
      </c>
      <c r="H689" s="99">
        <f t="shared" si="604"/>
        <v>0</v>
      </c>
      <c r="I689" s="99">
        <f t="shared" si="604"/>
        <v>0</v>
      </c>
      <c r="J689" s="99">
        <f t="shared" si="604"/>
        <v>0</v>
      </c>
      <c r="K689" s="467">
        <f t="shared" si="605"/>
        <v>0</v>
      </c>
      <c r="L689" s="99">
        <f t="shared" si="605"/>
        <v>0</v>
      </c>
      <c r="M689" s="99">
        <f t="shared" si="606"/>
        <v>0</v>
      </c>
      <c r="N689" s="99">
        <f t="shared" si="606"/>
        <v>0</v>
      </c>
      <c r="O689" s="99">
        <f t="shared" si="606"/>
        <v>0</v>
      </c>
      <c r="P689" s="467">
        <f t="shared" si="607"/>
        <v>0</v>
      </c>
      <c r="Q689" s="99">
        <f t="shared" si="607"/>
        <v>0</v>
      </c>
      <c r="R689" s="99">
        <f t="shared" si="608"/>
        <v>0</v>
      </c>
      <c r="S689" s="99">
        <f t="shared" si="608"/>
        <v>0</v>
      </c>
      <c r="T689" s="99">
        <f t="shared" si="608"/>
        <v>0</v>
      </c>
      <c r="U689" s="467">
        <f t="shared" si="609"/>
        <v>0</v>
      </c>
      <c r="V689" s="99">
        <f t="shared" si="609"/>
        <v>0</v>
      </c>
      <c r="W689" s="99">
        <f t="shared" si="610"/>
        <v>0</v>
      </c>
      <c r="X689" s="99">
        <f t="shared" si="610"/>
        <v>0</v>
      </c>
      <c r="Y689" s="99">
        <f t="shared" si="610"/>
        <v>0</v>
      </c>
      <c r="Z689" s="467">
        <f t="shared" si="611"/>
        <v>0</v>
      </c>
      <c r="AA689" s="99">
        <f t="shared" si="611"/>
        <v>0</v>
      </c>
      <c r="AB689" s="99">
        <f t="shared" si="612"/>
        <v>0</v>
      </c>
      <c r="AC689" s="99">
        <f t="shared" si="612"/>
        <v>0</v>
      </c>
      <c r="AD689" s="99">
        <f t="shared" si="612"/>
        <v>0</v>
      </c>
      <c r="AE689" s="467">
        <f t="shared" si="613"/>
        <v>0</v>
      </c>
      <c r="AF689" s="99">
        <f t="shared" si="613"/>
        <v>0</v>
      </c>
      <c r="AG689" s="99">
        <f t="shared" si="614"/>
        <v>0</v>
      </c>
      <c r="AH689" s="99">
        <f t="shared" si="614"/>
        <v>-7.5</v>
      </c>
      <c r="AI689" s="99">
        <f t="shared" si="614"/>
        <v>0</v>
      </c>
      <c r="AJ689" s="467">
        <f t="shared" si="615"/>
        <v>-7.5</v>
      </c>
      <c r="AK689" s="99">
        <f t="shared" si="615"/>
        <v>-15</v>
      </c>
      <c r="AL689" s="99">
        <f t="shared" si="616"/>
        <v>-117.5</v>
      </c>
      <c r="AM689" s="99">
        <f t="shared" si="616"/>
        <v>0</v>
      </c>
      <c r="AN689" s="99">
        <f t="shared" si="616"/>
        <v>-7.5</v>
      </c>
      <c r="AO689" s="467">
        <f t="shared" si="617"/>
        <v>-140</v>
      </c>
      <c r="AP689" s="99">
        <f t="shared" si="617"/>
        <v>-7.5</v>
      </c>
      <c r="AQ689" s="99">
        <f t="shared" si="618"/>
        <v>-7.5</v>
      </c>
      <c r="AR689" s="99">
        <f t="shared" si="618"/>
        <v>-7.5</v>
      </c>
      <c r="AS689" s="99">
        <f t="shared" si="618"/>
        <v>-22.5</v>
      </c>
      <c r="AT689" s="467">
        <f t="shared" si="619"/>
        <v>-45</v>
      </c>
      <c r="AU689" s="99">
        <f t="shared" si="619"/>
        <v>-31.25</v>
      </c>
      <c r="AV689" s="99">
        <f t="shared" si="620"/>
        <v>-186.25</v>
      </c>
      <c r="AW689" s="99">
        <f t="shared" si="620"/>
        <v>0</v>
      </c>
      <c r="AX689" s="99">
        <f t="shared" si="620"/>
        <v>-70</v>
      </c>
      <c r="AY689" s="467">
        <f t="shared" si="621"/>
        <v>-287.5</v>
      </c>
      <c r="AZ689" s="99">
        <f t="shared" si="621"/>
        <v>0</v>
      </c>
      <c r="BA689" s="99">
        <f t="shared" si="622"/>
        <v>0</v>
      </c>
      <c r="BB689" s="99">
        <f t="shared" si="622"/>
        <v>-125</v>
      </c>
      <c r="BC689" s="99">
        <f t="shared" si="622"/>
        <v>0</v>
      </c>
      <c r="BD689" s="467">
        <f t="shared" si="623"/>
        <v>-125</v>
      </c>
      <c r="BE689" s="99">
        <f t="shared" si="623"/>
        <v>0</v>
      </c>
      <c r="BF689" s="99">
        <f t="shared" si="624"/>
        <v>0</v>
      </c>
      <c r="BG689" s="99">
        <f t="shared" si="624"/>
        <v>0</v>
      </c>
      <c r="BH689" s="99">
        <f t="shared" si="624"/>
        <v>0</v>
      </c>
      <c r="BI689" s="467">
        <f t="shared" si="625"/>
        <v>0</v>
      </c>
      <c r="BJ689" s="99">
        <f t="shared" si="625"/>
        <v>0</v>
      </c>
      <c r="BK689" s="99">
        <f t="shared" si="626"/>
        <v>0</v>
      </c>
      <c r="BL689" s="99">
        <f t="shared" si="626"/>
        <v>0</v>
      </c>
      <c r="BM689" s="99">
        <f t="shared" si="626"/>
        <v>0</v>
      </c>
      <c r="BN689" s="467">
        <f t="shared" si="627"/>
        <v>0</v>
      </c>
      <c r="BO689" s="99">
        <f t="shared" si="627"/>
        <v>0</v>
      </c>
      <c r="BP689" s="99">
        <f t="shared" si="628"/>
        <v>0</v>
      </c>
      <c r="BQ689" s="99">
        <f t="shared" si="628"/>
        <v>0</v>
      </c>
      <c r="BR689" s="99">
        <f t="shared" si="628"/>
        <v>0</v>
      </c>
      <c r="BS689" s="468">
        <f t="shared" si="629"/>
        <v>0</v>
      </c>
      <c r="BT689" s="63"/>
      <c r="BU689" s="63"/>
      <c r="BV689" s="63"/>
      <c r="BW689" s="63"/>
      <c r="BX689" s="413">
        <f t="shared" si="630"/>
        <v>0</v>
      </c>
      <c r="BY689" s="63"/>
      <c r="BZ689" s="63"/>
      <c r="CA689" s="63"/>
      <c r="CB689" s="63"/>
      <c r="CC689" s="413">
        <f t="shared" si="631"/>
        <v>0</v>
      </c>
      <c r="CD689" s="413"/>
      <c r="CE689" s="413"/>
      <c r="CF689" s="413"/>
      <c r="CG689" s="99"/>
    </row>
    <row r="690" spans="1:85" ht="14.45" customHeight="1" x14ac:dyDescent="0.25">
      <c r="A690" s="125" t="str">
        <f t="shared" si="602"/>
        <v>Purchase of noncontrolling interest in Piedmont Coca-Cola Bottling Partnership</v>
      </c>
      <c r="B690" s="63"/>
      <c r="C690" s="467">
        <f t="shared" si="603"/>
        <v>0</v>
      </c>
      <c r="D690" s="467">
        <f t="shared" si="603"/>
        <v>0</v>
      </c>
      <c r="E690" s="467">
        <f t="shared" si="603"/>
        <v>0</v>
      </c>
      <c r="F690" s="467">
        <f t="shared" si="603"/>
        <v>0</v>
      </c>
      <c r="G690" s="99">
        <f t="shared" si="603"/>
        <v>0</v>
      </c>
      <c r="H690" s="99">
        <f t="shared" si="604"/>
        <v>0</v>
      </c>
      <c r="I690" s="99">
        <f t="shared" si="604"/>
        <v>0</v>
      </c>
      <c r="J690" s="99">
        <f t="shared" si="604"/>
        <v>0</v>
      </c>
      <c r="K690" s="467">
        <f t="shared" si="605"/>
        <v>0</v>
      </c>
      <c r="L690" s="99">
        <f t="shared" si="605"/>
        <v>0</v>
      </c>
      <c r="M690" s="99">
        <f t="shared" si="606"/>
        <v>0</v>
      </c>
      <c r="N690" s="99">
        <f t="shared" si="606"/>
        <v>0</v>
      </c>
      <c r="O690" s="99">
        <f t="shared" si="606"/>
        <v>0</v>
      </c>
      <c r="P690" s="467">
        <f t="shared" si="607"/>
        <v>0</v>
      </c>
      <c r="Q690" s="99">
        <f t="shared" si="607"/>
        <v>0</v>
      </c>
      <c r="R690" s="99">
        <f t="shared" si="608"/>
        <v>0</v>
      </c>
      <c r="S690" s="99">
        <f t="shared" si="608"/>
        <v>0</v>
      </c>
      <c r="T690" s="99">
        <f t="shared" si="608"/>
        <v>0</v>
      </c>
      <c r="U690" s="467">
        <f t="shared" si="609"/>
        <v>0</v>
      </c>
      <c r="V690" s="99">
        <f t="shared" si="609"/>
        <v>0</v>
      </c>
      <c r="W690" s="99">
        <f t="shared" si="610"/>
        <v>0</v>
      </c>
      <c r="X690" s="99">
        <f t="shared" si="610"/>
        <v>0</v>
      </c>
      <c r="Y690" s="99">
        <f t="shared" si="610"/>
        <v>0</v>
      </c>
      <c r="Z690" s="467">
        <f t="shared" si="611"/>
        <v>0</v>
      </c>
      <c r="AA690" s="99">
        <f t="shared" si="611"/>
        <v>0</v>
      </c>
      <c r="AB690" s="99">
        <f t="shared" si="612"/>
        <v>0</v>
      </c>
      <c r="AC690" s="99">
        <f t="shared" si="612"/>
        <v>0</v>
      </c>
      <c r="AD690" s="99">
        <f t="shared" si="612"/>
        <v>0</v>
      </c>
      <c r="AE690" s="467">
        <f t="shared" si="613"/>
        <v>0</v>
      </c>
      <c r="AF690" s="99">
        <f t="shared" si="613"/>
        <v>0</v>
      </c>
      <c r="AG690" s="99">
        <f t="shared" si="614"/>
        <v>0</v>
      </c>
      <c r="AH690" s="99">
        <f t="shared" si="614"/>
        <v>0</v>
      </c>
      <c r="AI690" s="99">
        <f t="shared" si="614"/>
        <v>0</v>
      </c>
      <c r="AJ690" s="467">
        <f t="shared" si="615"/>
        <v>0</v>
      </c>
      <c r="AK690" s="99">
        <f t="shared" si="615"/>
        <v>0</v>
      </c>
      <c r="AL690" s="99">
        <f t="shared" si="616"/>
        <v>0</v>
      </c>
      <c r="AM690" s="99">
        <f t="shared" si="616"/>
        <v>0</v>
      </c>
      <c r="AN690" s="99">
        <f t="shared" si="616"/>
        <v>0</v>
      </c>
      <c r="AO690" s="467">
        <f t="shared" si="617"/>
        <v>0</v>
      </c>
      <c r="AP690" s="99">
        <f t="shared" si="617"/>
        <v>0</v>
      </c>
      <c r="AQ690" s="99">
        <f t="shared" si="618"/>
        <v>0</v>
      </c>
      <c r="AR690" s="99">
        <f t="shared" si="618"/>
        <v>0</v>
      </c>
      <c r="AS690" s="99">
        <f t="shared" si="618"/>
        <v>-100</v>
      </c>
      <c r="AT690" s="467">
        <f t="shared" si="619"/>
        <v>-100</v>
      </c>
      <c r="AU690" s="99">
        <f t="shared" si="619"/>
        <v>0</v>
      </c>
      <c r="AV690" s="99">
        <f t="shared" si="620"/>
        <v>0</v>
      </c>
      <c r="AW690" s="99">
        <f t="shared" si="620"/>
        <v>0</v>
      </c>
      <c r="AX690" s="99">
        <f t="shared" si="620"/>
        <v>0</v>
      </c>
      <c r="AY690" s="467">
        <f t="shared" si="621"/>
        <v>0</v>
      </c>
      <c r="AZ690" s="99">
        <f t="shared" si="621"/>
        <v>0</v>
      </c>
      <c r="BA690" s="99">
        <f t="shared" si="622"/>
        <v>0</v>
      </c>
      <c r="BB690" s="99">
        <f t="shared" si="622"/>
        <v>0</v>
      </c>
      <c r="BC690" s="99">
        <f t="shared" si="622"/>
        <v>0</v>
      </c>
      <c r="BD690" s="467">
        <f t="shared" si="623"/>
        <v>0</v>
      </c>
      <c r="BE690" s="99">
        <f t="shared" si="623"/>
        <v>0</v>
      </c>
      <c r="BF690" s="99">
        <f t="shared" si="624"/>
        <v>0</v>
      </c>
      <c r="BG690" s="99">
        <f t="shared" si="624"/>
        <v>0</v>
      </c>
      <c r="BH690" s="99">
        <f t="shared" si="624"/>
        <v>0</v>
      </c>
      <c r="BI690" s="467">
        <f t="shared" si="625"/>
        <v>0</v>
      </c>
      <c r="BJ690" s="99">
        <f t="shared" si="625"/>
        <v>0</v>
      </c>
      <c r="BK690" s="99">
        <f t="shared" si="626"/>
        <v>0</v>
      </c>
      <c r="BL690" s="99">
        <f t="shared" si="626"/>
        <v>0</v>
      </c>
      <c r="BM690" s="99">
        <f t="shared" si="626"/>
        <v>0</v>
      </c>
      <c r="BN690" s="467">
        <f t="shared" si="627"/>
        <v>0</v>
      </c>
      <c r="BO690" s="99">
        <f t="shared" si="627"/>
        <v>0</v>
      </c>
      <c r="BP690" s="99">
        <f t="shared" si="628"/>
        <v>0</v>
      </c>
      <c r="BQ690" s="99">
        <f t="shared" si="628"/>
        <v>0</v>
      </c>
      <c r="BR690" s="99">
        <f t="shared" si="628"/>
        <v>0</v>
      </c>
      <c r="BS690" s="468">
        <f t="shared" si="629"/>
        <v>0</v>
      </c>
      <c r="BT690" s="63"/>
      <c r="BU690" s="63"/>
      <c r="BV690" s="63"/>
      <c r="BW690" s="63"/>
      <c r="BX690" s="413">
        <f t="shared" si="630"/>
        <v>0</v>
      </c>
      <c r="BY690" s="63"/>
      <c r="BZ690" s="63"/>
      <c r="CA690" s="63"/>
      <c r="CB690" s="63"/>
      <c r="CC690" s="413">
        <f t="shared" si="631"/>
        <v>0</v>
      </c>
      <c r="CD690" s="413"/>
      <c r="CE690" s="413"/>
      <c r="CF690" s="413"/>
      <c r="CG690" s="99"/>
    </row>
    <row r="691" spans="1:85" ht="14.45" customHeight="1" x14ac:dyDescent="0.25">
      <c r="A691" s="125" t="str">
        <f t="shared" si="602"/>
        <v>Proceeds from senior notes</v>
      </c>
      <c r="B691" s="63"/>
      <c r="C691" s="413"/>
      <c r="D691" s="413"/>
      <c r="E691" s="413"/>
      <c r="F691" s="413"/>
      <c r="G691" s="63"/>
      <c r="H691" s="63"/>
      <c r="I691" s="63"/>
      <c r="J691" s="63"/>
      <c r="K691" s="413"/>
      <c r="L691" s="63"/>
      <c r="M691" s="63"/>
      <c r="N691" s="63"/>
      <c r="O691" s="63"/>
      <c r="P691" s="413"/>
      <c r="Q691" s="63"/>
      <c r="R691" s="63"/>
      <c r="S691" s="63"/>
      <c r="T691" s="63"/>
      <c r="U691" s="413"/>
      <c r="V691" s="63"/>
      <c r="W691" s="63"/>
      <c r="X691" s="63"/>
      <c r="Y691" s="63"/>
      <c r="Z691" s="413"/>
      <c r="AA691" s="99">
        <f t="shared" ref="AA691:AA707" si="632">AA605</f>
        <v>125</v>
      </c>
      <c r="AB691" s="99">
        <f t="shared" si="612"/>
        <v>0</v>
      </c>
      <c r="AC691" s="99">
        <f t="shared" si="612"/>
        <v>0</v>
      </c>
      <c r="AD691" s="99">
        <f t="shared" si="612"/>
        <v>0</v>
      </c>
      <c r="AE691" s="467">
        <f t="shared" si="613"/>
        <v>125</v>
      </c>
      <c r="AF691" s="99">
        <f t="shared" si="613"/>
        <v>150</v>
      </c>
      <c r="AG691" s="99">
        <f t="shared" si="614"/>
        <v>0</v>
      </c>
      <c r="AH691" s="99">
        <f t="shared" si="614"/>
        <v>0</v>
      </c>
      <c r="AI691" s="99">
        <f t="shared" si="614"/>
        <v>0</v>
      </c>
      <c r="AJ691" s="467">
        <f t="shared" si="615"/>
        <v>150</v>
      </c>
      <c r="AK691" s="99">
        <f t="shared" si="615"/>
        <v>0</v>
      </c>
      <c r="AL691" s="99">
        <f t="shared" si="616"/>
        <v>100</v>
      </c>
      <c r="AM691" s="99">
        <f t="shared" si="616"/>
        <v>0</v>
      </c>
      <c r="AN691" s="99">
        <f t="shared" si="616"/>
        <v>0</v>
      </c>
      <c r="AO691" s="467">
        <f t="shared" si="617"/>
        <v>100</v>
      </c>
      <c r="AP691" s="99">
        <f t="shared" si="617"/>
        <v>0</v>
      </c>
      <c r="AQ691" s="99">
        <f t="shared" si="618"/>
        <v>0</v>
      </c>
      <c r="AR691" s="99">
        <f t="shared" si="618"/>
        <v>0</v>
      </c>
      <c r="AS691" s="99">
        <f t="shared" si="618"/>
        <v>0</v>
      </c>
      <c r="AT691" s="467">
        <f t="shared" si="619"/>
        <v>0</v>
      </c>
      <c r="AU691" s="99">
        <f t="shared" si="619"/>
        <v>0</v>
      </c>
      <c r="AV691" s="99">
        <f t="shared" si="620"/>
        <v>0</v>
      </c>
      <c r="AW691" s="99">
        <f t="shared" si="620"/>
        <v>0</v>
      </c>
      <c r="AX691" s="99">
        <f t="shared" si="620"/>
        <v>0</v>
      </c>
      <c r="AY691" s="467">
        <f t="shared" si="621"/>
        <v>0</v>
      </c>
      <c r="AZ691" s="99">
        <f t="shared" si="621"/>
        <v>0</v>
      </c>
      <c r="BA691" s="99">
        <f t="shared" si="622"/>
        <v>0</v>
      </c>
      <c r="BB691" s="99">
        <f t="shared" si="622"/>
        <v>0</v>
      </c>
      <c r="BC691" s="99">
        <f t="shared" si="622"/>
        <v>0</v>
      </c>
      <c r="BD691" s="467">
        <f t="shared" si="623"/>
        <v>0</v>
      </c>
      <c r="BE691" s="99">
        <f t="shared" si="623"/>
        <v>0</v>
      </c>
      <c r="BF691" s="99">
        <f t="shared" si="624"/>
        <v>0</v>
      </c>
      <c r="BG691" s="99">
        <f t="shared" si="624"/>
        <v>0</v>
      </c>
      <c r="BH691" s="99">
        <f t="shared" si="624"/>
        <v>0</v>
      </c>
      <c r="BI691" s="467">
        <f t="shared" si="625"/>
        <v>0</v>
      </c>
      <c r="BJ691" s="99">
        <f t="shared" si="625"/>
        <v>0</v>
      </c>
      <c r="BK691" s="99">
        <f t="shared" si="626"/>
        <v>0</v>
      </c>
      <c r="BL691" s="99">
        <f t="shared" si="626"/>
        <v>0</v>
      </c>
      <c r="BM691" s="99">
        <f t="shared" si="626"/>
        <v>0</v>
      </c>
      <c r="BN691" s="467">
        <f t="shared" si="627"/>
        <v>0</v>
      </c>
      <c r="BO691" s="99">
        <f t="shared" si="627"/>
        <v>0</v>
      </c>
      <c r="BP691" s="99">
        <f t="shared" si="628"/>
        <v>0</v>
      </c>
      <c r="BQ691" s="99">
        <f t="shared" si="628"/>
        <v>0</v>
      </c>
      <c r="BR691" s="99">
        <f t="shared" si="628"/>
        <v>0</v>
      </c>
      <c r="BS691" s="468">
        <f t="shared" si="629"/>
        <v>0</v>
      </c>
      <c r="BT691" s="63"/>
      <c r="BU691" s="63"/>
      <c r="BV691" s="63"/>
      <c r="BW691" s="63"/>
      <c r="BX691" s="413">
        <f t="shared" si="630"/>
        <v>0</v>
      </c>
      <c r="BY691" s="63"/>
      <c r="BZ691" s="63"/>
      <c r="CA691" s="63"/>
      <c r="CB691" s="63"/>
      <c r="CC691" s="413">
        <f t="shared" si="631"/>
        <v>0</v>
      </c>
      <c r="CD691" s="413"/>
      <c r="CE691" s="413"/>
      <c r="CF691" s="413"/>
      <c r="CG691" s="99"/>
    </row>
    <row r="692" spans="1:85" ht="14.45" customHeight="1" x14ac:dyDescent="0.25">
      <c r="A692" s="125" t="str">
        <f t="shared" si="602"/>
        <v>Payment of senior notes</v>
      </c>
      <c r="B692" s="63"/>
      <c r="C692" s="467">
        <f t="shared" ref="C692:G701" si="633">C606</f>
        <v>0</v>
      </c>
      <c r="D692" s="467">
        <f t="shared" si="633"/>
        <v>0</v>
      </c>
      <c r="E692" s="467">
        <f t="shared" si="633"/>
        <v>0</v>
      </c>
      <c r="F692" s="467">
        <f t="shared" si="633"/>
        <v>-150</v>
      </c>
      <c r="G692" s="99">
        <f t="shared" si="633"/>
        <v>0</v>
      </c>
      <c r="H692" s="99">
        <f t="shared" ref="H692:J707" si="634">H606-G606</f>
        <v>0</v>
      </c>
      <c r="I692" s="99">
        <f t="shared" si="634"/>
        <v>0</v>
      </c>
      <c r="J692" s="99">
        <f t="shared" si="634"/>
        <v>0</v>
      </c>
      <c r="K692" s="467">
        <f t="shared" ref="K692:L707" si="635">K606</f>
        <v>0</v>
      </c>
      <c r="L692" s="99">
        <f t="shared" si="635"/>
        <v>0</v>
      </c>
      <c r="M692" s="99">
        <f t="shared" ref="M692:O707" si="636">M606-L606</f>
        <v>0</v>
      </c>
      <c r="N692" s="99">
        <f t="shared" si="636"/>
        <v>0</v>
      </c>
      <c r="O692" s="99">
        <f t="shared" si="636"/>
        <v>0</v>
      </c>
      <c r="P692" s="467">
        <f t="shared" ref="P692:Q707" si="637">P606</f>
        <v>0</v>
      </c>
      <c r="Q692" s="99">
        <f t="shared" si="637"/>
        <v>0</v>
      </c>
      <c r="R692" s="99">
        <f t="shared" ref="R692:T707" si="638">R606-Q606</f>
        <v>-100</v>
      </c>
      <c r="S692" s="99">
        <f t="shared" si="638"/>
        <v>0</v>
      </c>
      <c r="T692" s="99">
        <f t="shared" si="638"/>
        <v>0</v>
      </c>
      <c r="U692" s="467">
        <f t="shared" ref="U692:V707" si="639">U606</f>
        <v>-100</v>
      </c>
      <c r="V692" s="99">
        <f t="shared" si="639"/>
        <v>0</v>
      </c>
      <c r="W692" s="99">
        <f t="shared" ref="W692:Y707" si="640">W606-V606</f>
        <v>-164.75700000000001</v>
      </c>
      <c r="X692" s="99">
        <f t="shared" si="640"/>
        <v>0</v>
      </c>
      <c r="Y692" s="99">
        <f t="shared" si="640"/>
        <v>0</v>
      </c>
      <c r="Z692" s="467">
        <f t="shared" ref="Z692:Z707" si="641">Z606</f>
        <v>-164.75700000000001</v>
      </c>
      <c r="AA692" s="99">
        <f t="shared" si="632"/>
        <v>0</v>
      </c>
      <c r="AB692" s="99">
        <f t="shared" si="612"/>
        <v>0</v>
      </c>
      <c r="AC692" s="99">
        <f t="shared" si="612"/>
        <v>0</v>
      </c>
      <c r="AD692" s="99">
        <f t="shared" si="612"/>
        <v>0</v>
      </c>
      <c r="AE692" s="467">
        <f t="shared" si="613"/>
        <v>0</v>
      </c>
      <c r="AF692" s="99">
        <f t="shared" si="613"/>
        <v>0</v>
      </c>
      <c r="AG692" s="99">
        <f t="shared" si="614"/>
        <v>0</v>
      </c>
      <c r="AH692" s="99">
        <f t="shared" si="614"/>
        <v>0</v>
      </c>
      <c r="AI692" s="99">
        <f t="shared" si="614"/>
        <v>0</v>
      </c>
      <c r="AJ692" s="467">
        <f t="shared" si="615"/>
        <v>0</v>
      </c>
      <c r="AK692" s="99">
        <f t="shared" si="615"/>
        <v>0</v>
      </c>
      <c r="AL692" s="99">
        <f t="shared" si="616"/>
        <v>0</v>
      </c>
      <c r="AM692" s="99">
        <f t="shared" si="616"/>
        <v>0</v>
      </c>
      <c r="AN692" s="99">
        <f t="shared" si="616"/>
        <v>0</v>
      </c>
      <c r="AO692" s="467">
        <f t="shared" si="617"/>
        <v>0</v>
      </c>
      <c r="AP692" s="99">
        <f t="shared" si="617"/>
        <v>0</v>
      </c>
      <c r="AQ692" s="99">
        <f t="shared" si="618"/>
        <v>0</v>
      </c>
      <c r="AR692" s="99">
        <f t="shared" si="618"/>
        <v>0</v>
      </c>
      <c r="AS692" s="99">
        <f t="shared" si="618"/>
        <v>0</v>
      </c>
      <c r="AT692" s="467">
        <f t="shared" si="619"/>
        <v>0</v>
      </c>
      <c r="AU692" s="99">
        <f t="shared" si="619"/>
        <v>0</v>
      </c>
      <c r="AV692" s="99">
        <f t="shared" si="620"/>
        <v>0</v>
      </c>
      <c r="AW692" s="99">
        <f t="shared" si="620"/>
        <v>0</v>
      </c>
      <c r="AX692" s="99">
        <f t="shared" si="620"/>
        <v>0</v>
      </c>
      <c r="AY692" s="467">
        <f t="shared" si="621"/>
        <v>0</v>
      </c>
      <c r="AZ692" s="99">
        <f t="shared" si="621"/>
        <v>0</v>
      </c>
      <c r="BA692" s="99">
        <f t="shared" si="622"/>
        <v>0</v>
      </c>
      <c r="BB692" s="99">
        <f t="shared" si="622"/>
        <v>0</v>
      </c>
      <c r="BC692" s="99">
        <f t="shared" si="622"/>
        <v>0</v>
      </c>
      <c r="BD692" s="467">
        <f t="shared" si="623"/>
        <v>0</v>
      </c>
      <c r="BE692" s="99">
        <f t="shared" si="623"/>
        <v>0</v>
      </c>
      <c r="BF692" s="99">
        <f t="shared" si="624"/>
        <v>0</v>
      </c>
      <c r="BG692" s="99">
        <f t="shared" si="624"/>
        <v>0</v>
      </c>
      <c r="BH692" s="99">
        <f t="shared" si="624"/>
        <v>0</v>
      </c>
      <c r="BI692" s="467">
        <f t="shared" si="625"/>
        <v>0</v>
      </c>
      <c r="BJ692" s="99">
        <f t="shared" si="625"/>
        <v>0</v>
      </c>
      <c r="BK692" s="99">
        <f t="shared" si="626"/>
        <v>0</v>
      </c>
      <c r="BL692" s="99">
        <f t="shared" si="626"/>
        <v>0</v>
      </c>
      <c r="BM692" s="99">
        <f t="shared" si="626"/>
        <v>0</v>
      </c>
      <c r="BN692" s="467">
        <f t="shared" si="627"/>
        <v>0</v>
      </c>
      <c r="BO692" s="99">
        <f t="shared" si="627"/>
        <v>0</v>
      </c>
      <c r="BP692" s="99">
        <f t="shared" si="628"/>
        <v>0</v>
      </c>
      <c r="BQ692" s="99">
        <f t="shared" si="628"/>
        <v>0</v>
      </c>
      <c r="BR692" s="99">
        <f t="shared" si="628"/>
        <v>0</v>
      </c>
      <c r="BS692" s="468">
        <f t="shared" si="629"/>
        <v>0</v>
      </c>
      <c r="BT692" s="63"/>
      <c r="BU692" s="63"/>
      <c r="BV692" s="63"/>
      <c r="BW692" s="63"/>
      <c r="BX692" s="413">
        <f t="shared" si="630"/>
        <v>0</v>
      </c>
      <c r="BY692" s="63"/>
      <c r="BZ692" s="63"/>
      <c r="CA692" s="63"/>
      <c r="CB692" s="63"/>
      <c r="CC692" s="413">
        <f t="shared" si="631"/>
        <v>0</v>
      </c>
      <c r="CD692" s="413"/>
      <c r="CE692" s="413"/>
      <c r="CF692" s="413"/>
      <c r="CG692" s="99"/>
    </row>
    <row r="693" spans="1:85" ht="14.45" customHeight="1" x14ac:dyDescent="0.25">
      <c r="A693" s="125" t="str">
        <f t="shared" si="602"/>
        <v>Repayment of lines of credit</v>
      </c>
      <c r="B693" s="63"/>
      <c r="C693" s="467">
        <f t="shared" si="633"/>
        <v>0</v>
      </c>
      <c r="D693" s="467">
        <f t="shared" si="633"/>
        <v>0</v>
      </c>
      <c r="E693" s="467">
        <f t="shared" si="633"/>
        <v>0</v>
      </c>
      <c r="F693" s="467">
        <f t="shared" si="633"/>
        <v>0</v>
      </c>
      <c r="G693" s="99">
        <f t="shared" si="633"/>
        <v>0</v>
      </c>
      <c r="H693" s="99">
        <f t="shared" si="634"/>
        <v>0</v>
      </c>
      <c r="I693" s="99">
        <f t="shared" si="634"/>
        <v>0</v>
      </c>
      <c r="J693" s="99">
        <f t="shared" si="634"/>
        <v>0</v>
      </c>
      <c r="K693" s="467">
        <f t="shared" si="635"/>
        <v>0</v>
      </c>
      <c r="L693" s="99">
        <f t="shared" si="635"/>
        <v>0</v>
      </c>
      <c r="M693" s="99">
        <f t="shared" si="636"/>
        <v>0</v>
      </c>
      <c r="N693" s="99">
        <f t="shared" si="636"/>
        <v>0</v>
      </c>
      <c r="O693" s="99">
        <f t="shared" si="636"/>
        <v>-20</v>
      </c>
      <c r="P693" s="467">
        <f t="shared" si="637"/>
        <v>-20</v>
      </c>
      <c r="Q693" s="99">
        <f t="shared" si="637"/>
        <v>0</v>
      </c>
      <c r="R693" s="99">
        <f t="shared" si="638"/>
        <v>0</v>
      </c>
      <c r="S693" s="99">
        <f t="shared" si="638"/>
        <v>0</v>
      </c>
      <c r="T693" s="99">
        <f t="shared" si="638"/>
        <v>0</v>
      </c>
      <c r="U693" s="467">
        <f t="shared" si="639"/>
        <v>0</v>
      </c>
      <c r="V693" s="99">
        <f t="shared" si="639"/>
        <v>0</v>
      </c>
      <c r="W693" s="99">
        <f t="shared" si="640"/>
        <v>0</v>
      </c>
      <c r="X693" s="99">
        <f t="shared" si="640"/>
        <v>0</v>
      </c>
      <c r="Y693" s="99">
        <f t="shared" si="640"/>
        <v>0</v>
      </c>
      <c r="Z693" s="467">
        <f t="shared" si="641"/>
        <v>0</v>
      </c>
      <c r="AA693" s="99">
        <f t="shared" si="632"/>
        <v>0</v>
      </c>
      <c r="AB693" s="99">
        <f t="shared" si="612"/>
        <v>0</v>
      </c>
      <c r="AC693" s="99">
        <f t="shared" si="612"/>
        <v>0</v>
      </c>
      <c r="AD693" s="99">
        <f t="shared" si="612"/>
        <v>0</v>
      </c>
      <c r="AE693" s="467">
        <f t="shared" si="613"/>
        <v>0</v>
      </c>
      <c r="AF693" s="99">
        <f t="shared" si="613"/>
        <v>0</v>
      </c>
      <c r="AG693" s="99">
        <f t="shared" si="614"/>
        <v>0</v>
      </c>
      <c r="AH693" s="99">
        <f t="shared" si="614"/>
        <v>0</v>
      </c>
      <c r="AI693" s="99">
        <f t="shared" si="614"/>
        <v>0</v>
      </c>
      <c r="AJ693" s="467">
        <f t="shared" si="615"/>
        <v>0</v>
      </c>
      <c r="AK693" s="99">
        <f t="shared" si="615"/>
        <v>0</v>
      </c>
      <c r="AL693" s="99">
        <f t="shared" si="616"/>
        <v>0</v>
      </c>
      <c r="AM693" s="99">
        <f t="shared" si="616"/>
        <v>0</v>
      </c>
      <c r="AN693" s="99">
        <f t="shared" si="616"/>
        <v>0</v>
      </c>
      <c r="AO693" s="467">
        <f t="shared" si="617"/>
        <v>0</v>
      </c>
      <c r="AP693" s="99">
        <f t="shared" si="617"/>
        <v>0</v>
      </c>
      <c r="AQ693" s="99">
        <f t="shared" si="618"/>
        <v>0</v>
      </c>
      <c r="AR693" s="99">
        <f t="shared" si="618"/>
        <v>0</v>
      </c>
      <c r="AS693" s="99">
        <f t="shared" si="618"/>
        <v>0</v>
      </c>
      <c r="AT693" s="467">
        <f t="shared" si="619"/>
        <v>0</v>
      </c>
      <c r="AU693" s="99">
        <f t="shared" si="619"/>
        <v>0</v>
      </c>
      <c r="AV693" s="99">
        <f t="shared" si="620"/>
        <v>0</v>
      </c>
      <c r="AW693" s="99">
        <f t="shared" si="620"/>
        <v>0</v>
      </c>
      <c r="AX693" s="99">
        <f t="shared" si="620"/>
        <v>0</v>
      </c>
      <c r="AY693" s="467">
        <f t="shared" si="621"/>
        <v>0</v>
      </c>
      <c r="AZ693" s="99">
        <f t="shared" si="621"/>
        <v>0</v>
      </c>
      <c r="BA693" s="99">
        <f t="shared" si="622"/>
        <v>0</v>
      </c>
      <c r="BB693" s="99">
        <f t="shared" si="622"/>
        <v>0</v>
      </c>
      <c r="BC693" s="99">
        <f t="shared" si="622"/>
        <v>0</v>
      </c>
      <c r="BD693" s="467">
        <f t="shared" si="623"/>
        <v>0</v>
      </c>
      <c r="BE693" s="99">
        <f t="shared" si="623"/>
        <v>0</v>
      </c>
      <c r="BF693" s="99">
        <f t="shared" si="624"/>
        <v>0</v>
      </c>
      <c r="BG693" s="99">
        <f t="shared" si="624"/>
        <v>0</v>
      </c>
      <c r="BH693" s="99">
        <f t="shared" si="624"/>
        <v>0</v>
      </c>
      <c r="BI693" s="467">
        <f t="shared" si="625"/>
        <v>0</v>
      </c>
      <c r="BJ693" s="99">
        <f t="shared" si="625"/>
        <v>0</v>
      </c>
      <c r="BK693" s="99">
        <f t="shared" si="626"/>
        <v>0</v>
      </c>
      <c r="BL693" s="99">
        <f t="shared" si="626"/>
        <v>0</v>
      </c>
      <c r="BM693" s="99">
        <f t="shared" si="626"/>
        <v>0</v>
      </c>
      <c r="BN693" s="467">
        <f t="shared" si="627"/>
        <v>0</v>
      </c>
      <c r="BO693" s="99">
        <f t="shared" si="627"/>
        <v>0</v>
      </c>
      <c r="BP693" s="99">
        <f t="shared" si="628"/>
        <v>0</v>
      </c>
      <c r="BQ693" s="99">
        <f t="shared" si="628"/>
        <v>0</v>
      </c>
      <c r="BR693" s="99">
        <f t="shared" si="628"/>
        <v>0</v>
      </c>
      <c r="BS693" s="468">
        <f t="shared" si="629"/>
        <v>0</v>
      </c>
      <c r="BT693" s="63"/>
      <c r="BU693" s="63"/>
      <c r="BV693" s="63"/>
      <c r="BW693" s="63"/>
      <c r="BX693" s="413">
        <f t="shared" si="630"/>
        <v>0</v>
      </c>
      <c r="BY693" s="63"/>
      <c r="BZ693" s="63"/>
      <c r="CA693" s="63"/>
      <c r="CB693" s="63"/>
      <c r="CC693" s="413">
        <f t="shared" si="631"/>
        <v>0</v>
      </c>
      <c r="CD693" s="413"/>
      <c r="CE693" s="413"/>
      <c r="CF693" s="413"/>
      <c r="CG693" s="99"/>
    </row>
    <row r="694" spans="1:85" ht="14.45" customHeight="1" x14ac:dyDescent="0.25">
      <c r="A694" s="125" t="str">
        <f t="shared" si="602"/>
        <v>Proceeds from bridge loan</v>
      </c>
      <c r="B694" s="63"/>
      <c r="C694" s="467">
        <f t="shared" si="633"/>
        <v>0</v>
      </c>
      <c r="D694" s="467">
        <f t="shared" si="633"/>
        <v>0</v>
      </c>
      <c r="E694" s="467">
        <f t="shared" si="633"/>
        <v>0</v>
      </c>
      <c r="F694" s="467">
        <f t="shared" si="633"/>
        <v>0</v>
      </c>
      <c r="G694" s="99">
        <f t="shared" si="633"/>
        <v>0</v>
      </c>
      <c r="H694" s="99">
        <f t="shared" si="634"/>
        <v>0</v>
      </c>
      <c r="I694" s="99">
        <f t="shared" si="634"/>
        <v>0</v>
      </c>
      <c r="J694" s="99">
        <f t="shared" si="634"/>
        <v>0</v>
      </c>
      <c r="K694" s="467">
        <f t="shared" si="635"/>
        <v>0</v>
      </c>
      <c r="L694" s="99">
        <f t="shared" si="635"/>
        <v>0</v>
      </c>
      <c r="M694" s="99">
        <f t="shared" si="636"/>
        <v>0</v>
      </c>
      <c r="N694" s="99">
        <f t="shared" si="636"/>
        <v>0</v>
      </c>
      <c r="O694" s="99">
        <f t="shared" si="636"/>
        <v>0</v>
      </c>
      <c r="P694" s="467">
        <f t="shared" si="637"/>
        <v>0</v>
      </c>
      <c r="Q694" s="99">
        <f t="shared" si="637"/>
        <v>0</v>
      </c>
      <c r="R694" s="99">
        <f t="shared" si="638"/>
        <v>0</v>
      </c>
      <c r="S694" s="99">
        <f t="shared" si="638"/>
        <v>0</v>
      </c>
      <c r="T694" s="99">
        <f t="shared" si="638"/>
        <v>0</v>
      </c>
      <c r="U694" s="467">
        <f t="shared" si="639"/>
        <v>0</v>
      </c>
      <c r="V694" s="99">
        <f t="shared" si="639"/>
        <v>0</v>
      </c>
      <c r="W694" s="99">
        <f t="shared" si="640"/>
        <v>0</v>
      </c>
      <c r="X694" s="99">
        <f t="shared" si="640"/>
        <v>0</v>
      </c>
      <c r="Y694" s="99">
        <f t="shared" si="640"/>
        <v>0</v>
      </c>
      <c r="Z694" s="467">
        <f t="shared" si="641"/>
        <v>0</v>
      </c>
      <c r="AA694" s="99">
        <f t="shared" si="632"/>
        <v>0</v>
      </c>
      <c r="AB694" s="99">
        <f t="shared" si="612"/>
        <v>0</v>
      </c>
      <c r="AC694" s="99">
        <f t="shared" si="612"/>
        <v>0</v>
      </c>
      <c r="AD694" s="99">
        <f t="shared" si="612"/>
        <v>0</v>
      </c>
      <c r="AE694" s="467">
        <f t="shared" si="613"/>
        <v>0</v>
      </c>
      <c r="AF694" s="99">
        <f t="shared" si="613"/>
        <v>0</v>
      </c>
      <c r="AG694" s="99">
        <f t="shared" si="614"/>
        <v>0</v>
      </c>
      <c r="AH694" s="99">
        <f t="shared" si="614"/>
        <v>0</v>
      </c>
      <c r="AI694" s="99">
        <f t="shared" si="614"/>
        <v>0</v>
      </c>
      <c r="AJ694" s="467">
        <f t="shared" si="615"/>
        <v>0</v>
      </c>
      <c r="AK694" s="99">
        <f t="shared" si="615"/>
        <v>0</v>
      </c>
      <c r="AL694" s="99">
        <f t="shared" si="616"/>
        <v>0</v>
      </c>
      <c r="AM694" s="99">
        <f t="shared" si="616"/>
        <v>0</v>
      </c>
      <c r="AN694" s="99">
        <f t="shared" si="616"/>
        <v>0</v>
      </c>
      <c r="AO694" s="467">
        <f t="shared" si="617"/>
        <v>0</v>
      </c>
      <c r="AP694" s="99">
        <f t="shared" si="617"/>
        <v>0</v>
      </c>
      <c r="AQ694" s="99">
        <f t="shared" si="618"/>
        <v>0</v>
      </c>
      <c r="AR694" s="99">
        <f t="shared" si="618"/>
        <v>0</v>
      </c>
      <c r="AS694" s="99">
        <f t="shared" si="618"/>
        <v>0</v>
      </c>
      <c r="AT694" s="467">
        <f t="shared" si="619"/>
        <v>0</v>
      </c>
      <c r="AU694" s="99">
        <f t="shared" si="619"/>
        <v>0</v>
      </c>
      <c r="AV694" s="99">
        <f t="shared" si="620"/>
        <v>0</v>
      </c>
      <c r="AW694" s="99">
        <f t="shared" si="620"/>
        <v>0</v>
      </c>
      <c r="AX694" s="99">
        <f t="shared" si="620"/>
        <v>0</v>
      </c>
      <c r="AY694" s="467">
        <f t="shared" si="621"/>
        <v>0</v>
      </c>
      <c r="AZ694" s="99">
        <f t="shared" si="621"/>
        <v>0</v>
      </c>
      <c r="BA694" s="99">
        <f t="shared" si="622"/>
        <v>0</v>
      </c>
      <c r="BB694" s="99">
        <f t="shared" si="622"/>
        <v>0</v>
      </c>
      <c r="BC694" s="99">
        <f t="shared" si="622"/>
        <v>0</v>
      </c>
      <c r="BD694" s="467">
        <f t="shared" si="623"/>
        <v>0</v>
      </c>
      <c r="BE694" s="99">
        <f t="shared" si="623"/>
        <v>0</v>
      </c>
      <c r="BF694" s="99">
        <f t="shared" si="624"/>
        <v>0</v>
      </c>
      <c r="BG694" s="99">
        <f t="shared" si="624"/>
        <v>0</v>
      </c>
      <c r="BH694" s="99">
        <f t="shared" si="624"/>
        <v>0</v>
      </c>
      <c r="BI694" s="467">
        <f t="shared" si="625"/>
        <v>0</v>
      </c>
      <c r="BJ694" s="99">
        <f t="shared" si="625"/>
        <v>0</v>
      </c>
      <c r="BK694" s="99">
        <f t="shared" si="626"/>
        <v>0</v>
      </c>
      <c r="BL694" s="99">
        <f t="shared" si="626"/>
        <v>0</v>
      </c>
      <c r="BM694" s="99">
        <f t="shared" si="626"/>
        <v>0</v>
      </c>
      <c r="BN694" s="467">
        <f t="shared" si="627"/>
        <v>0</v>
      </c>
      <c r="BO694" s="99">
        <f t="shared" si="627"/>
        <v>0</v>
      </c>
      <c r="BP694" s="99">
        <f t="shared" si="628"/>
        <v>0</v>
      </c>
      <c r="BQ694" s="99">
        <f t="shared" si="628"/>
        <v>0</v>
      </c>
      <c r="BR694" s="99">
        <f t="shared" si="628"/>
        <v>1200</v>
      </c>
      <c r="BS694" s="468">
        <f t="shared" si="629"/>
        <v>1200</v>
      </c>
      <c r="BT694" s="63"/>
      <c r="BU694" s="63"/>
      <c r="BV694" s="63"/>
      <c r="BW694" s="63"/>
      <c r="BX694" s="413">
        <f t="shared" si="630"/>
        <v>0</v>
      </c>
      <c r="BY694" s="63"/>
      <c r="BZ694" s="63"/>
      <c r="CA694" s="63"/>
      <c r="CB694" s="63"/>
      <c r="CC694" s="413">
        <f t="shared" si="631"/>
        <v>0</v>
      </c>
      <c r="CD694" s="413"/>
      <c r="CE694" s="413"/>
      <c r="CF694" s="413"/>
      <c r="CG694" s="99"/>
    </row>
    <row r="695" spans="1:85" ht="14.45" customHeight="1" x14ac:dyDescent="0.25">
      <c r="A695" s="125" t="str">
        <f t="shared" si="602"/>
        <v>Proceeds from term loan facility upon modification</v>
      </c>
      <c r="B695" s="63"/>
      <c r="C695" s="467">
        <f t="shared" si="633"/>
        <v>0</v>
      </c>
      <c r="D695" s="467">
        <f t="shared" si="633"/>
        <v>0</v>
      </c>
      <c r="E695" s="467">
        <f t="shared" si="633"/>
        <v>0</v>
      </c>
      <c r="F695" s="467">
        <f t="shared" si="633"/>
        <v>0</v>
      </c>
      <c r="G695" s="99">
        <f t="shared" si="633"/>
        <v>0</v>
      </c>
      <c r="H695" s="99">
        <f t="shared" si="634"/>
        <v>0</v>
      </c>
      <c r="I695" s="99">
        <f t="shared" si="634"/>
        <v>0</v>
      </c>
      <c r="J695" s="99">
        <f t="shared" si="634"/>
        <v>0</v>
      </c>
      <c r="K695" s="467">
        <f t="shared" si="635"/>
        <v>0</v>
      </c>
      <c r="L695" s="99">
        <f t="shared" si="635"/>
        <v>0</v>
      </c>
      <c r="M695" s="99">
        <f t="shared" si="636"/>
        <v>0</v>
      </c>
      <c r="N695" s="99">
        <f t="shared" si="636"/>
        <v>0</v>
      </c>
      <c r="O695" s="99">
        <f t="shared" si="636"/>
        <v>0</v>
      </c>
      <c r="P695" s="467">
        <f t="shared" si="637"/>
        <v>0</v>
      </c>
      <c r="Q695" s="99">
        <f t="shared" si="637"/>
        <v>0</v>
      </c>
      <c r="R695" s="99">
        <f t="shared" si="638"/>
        <v>0</v>
      </c>
      <c r="S695" s="99">
        <f t="shared" si="638"/>
        <v>0</v>
      </c>
      <c r="T695" s="99">
        <f t="shared" si="638"/>
        <v>0</v>
      </c>
      <c r="U695" s="467">
        <f t="shared" si="639"/>
        <v>0</v>
      </c>
      <c r="V695" s="99">
        <f t="shared" si="639"/>
        <v>0</v>
      </c>
      <c r="W695" s="99">
        <f t="shared" si="640"/>
        <v>0</v>
      </c>
      <c r="X695" s="99">
        <f t="shared" si="640"/>
        <v>0</v>
      </c>
      <c r="Y695" s="99">
        <f t="shared" si="640"/>
        <v>0</v>
      </c>
      <c r="Z695" s="467">
        <f t="shared" si="641"/>
        <v>0</v>
      </c>
      <c r="AA695" s="99">
        <f t="shared" si="632"/>
        <v>0</v>
      </c>
      <c r="AB695" s="99">
        <f t="shared" si="612"/>
        <v>0</v>
      </c>
      <c r="AC695" s="99">
        <f t="shared" si="612"/>
        <v>0</v>
      </c>
      <c r="AD695" s="99">
        <f t="shared" si="612"/>
        <v>0</v>
      </c>
      <c r="AE695" s="467">
        <f t="shared" si="613"/>
        <v>0</v>
      </c>
      <c r="AF695" s="99">
        <f t="shared" si="613"/>
        <v>0</v>
      </c>
      <c r="AG695" s="99">
        <f t="shared" si="614"/>
        <v>0</v>
      </c>
      <c r="AH695" s="99">
        <f t="shared" si="614"/>
        <v>0</v>
      </c>
      <c r="AI695" s="99">
        <f t="shared" si="614"/>
        <v>0</v>
      </c>
      <c r="AJ695" s="467">
        <f t="shared" si="615"/>
        <v>0</v>
      </c>
      <c r="AK695" s="99">
        <f t="shared" si="615"/>
        <v>0</v>
      </c>
      <c r="AL695" s="99">
        <f t="shared" si="616"/>
        <v>0</v>
      </c>
      <c r="AM695" s="99">
        <f t="shared" si="616"/>
        <v>0</v>
      </c>
      <c r="AN695" s="99">
        <f t="shared" si="616"/>
        <v>0</v>
      </c>
      <c r="AO695" s="467">
        <f t="shared" si="617"/>
        <v>0</v>
      </c>
      <c r="AP695" s="99">
        <f t="shared" si="617"/>
        <v>0</v>
      </c>
      <c r="AQ695" s="99">
        <f t="shared" si="618"/>
        <v>0</v>
      </c>
      <c r="AR695" s="99">
        <f t="shared" si="618"/>
        <v>0</v>
      </c>
      <c r="AS695" s="99">
        <f t="shared" si="618"/>
        <v>0</v>
      </c>
      <c r="AT695" s="467">
        <f t="shared" si="619"/>
        <v>0</v>
      </c>
      <c r="AU695" s="99">
        <f t="shared" si="619"/>
        <v>0</v>
      </c>
      <c r="AV695" s="99">
        <f t="shared" si="620"/>
        <v>0</v>
      </c>
      <c r="AW695" s="99">
        <f t="shared" si="620"/>
        <v>0</v>
      </c>
      <c r="AX695" s="99">
        <f t="shared" si="620"/>
        <v>0</v>
      </c>
      <c r="AY695" s="467">
        <f t="shared" si="621"/>
        <v>0</v>
      </c>
      <c r="AZ695" s="99">
        <f t="shared" si="621"/>
        <v>0</v>
      </c>
      <c r="BA695" s="99">
        <f t="shared" si="622"/>
        <v>0</v>
      </c>
      <c r="BB695" s="99">
        <f t="shared" si="622"/>
        <v>0</v>
      </c>
      <c r="BC695" s="99">
        <f t="shared" si="622"/>
        <v>0</v>
      </c>
      <c r="BD695" s="467">
        <f t="shared" si="623"/>
        <v>0</v>
      </c>
      <c r="BE695" s="99">
        <f t="shared" si="623"/>
        <v>0</v>
      </c>
      <c r="BF695" s="99">
        <f t="shared" si="624"/>
        <v>0</v>
      </c>
      <c r="BG695" s="99">
        <f t="shared" si="624"/>
        <v>0</v>
      </c>
      <c r="BH695" s="99">
        <f t="shared" si="624"/>
        <v>0</v>
      </c>
      <c r="BI695" s="467">
        <f t="shared" si="625"/>
        <v>0</v>
      </c>
      <c r="BJ695" s="99">
        <f t="shared" si="625"/>
        <v>0</v>
      </c>
      <c r="BK695" s="99">
        <f t="shared" si="626"/>
        <v>0</v>
      </c>
      <c r="BL695" s="99">
        <f t="shared" si="626"/>
        <v>0</v>
      </c>
      <c r="BM695" s="99">
        <f t="shared" si="626"/>
        <v>0</v>
      </c>
      <c r="BN695" s="467">
        <f t="shared" si="627"/>
        <v>0</v>
      </c>
      <c r="BO695" s="99">
        <f t="shared" si="627"/>
        <v>0</v>
      </c>
      <c r="BP695" s="99">
        <f t="shared" si="628"/>
        <v>0</v>
      </c>
      <c r="BQ695" s="99">
        <f t="shared" si="628"/>
        <v>0</v>
      </c>
      <c r="BR695" s="99">
        <f t="shared" si="628"/>
        <v>950</v>
      </c>
      <c r="BS695" s="468">
        <f t="shared" si="629"/>
        <v>950</v>
      </c>
      <c r="BT695" s="63"/>
      <c r="BU695" s="63"/>
      <c r="BV695" s="63"/>
      <c r="BW695" s="63"/>
      <c r="BX695" s="413">
        <f t="shared" si="630"/>
        <v>0</v>
      </c>
      <c r="BY695" s="63"/>
      <c r="BZ695" s="63"/>
      <c r="CA695" s="63"/>
      <c r="CB695" s="63"/>
      <c r="CC695" s="413">
        <f t="shared" si="631"/>
        <v>0</v>
      </c>
      <c r="CD695" s="413"/>
      <c r="CE695" s="413"/>
      <c r="CF695" s="413"/>
      <c r="CG695" s="99"/>
    </row>
    <row r="696" spans="1:85" ht="14.45" customHeight="1" x14ac:dyDescent="0.25">
      <c r="A696" s="125" t="str">
        <f t="shared" si="602"/>
        <v>Repayment of bridge loan upon extinguishment</v>
      </c>
      <c r="B696" s="63"/>
      <c r="C696" s="467">
        <f t="shared" si="633"/>
        <v>0</v>
      </c>
      <c r="D696" s="467">
        <f t="shared" si="633"/>
        <v>0</v>
      </c>
      <c r="E696" s="467">
        <f t="shared" si="633"/>
        <v>0</v>
      </c>
      <c r="F696" s="467">
        <f t="shared" si="633"/>
        <v>0</v>
      </c>
      <c r="G696" s="99">
        <f t="shared" si="633"/>
        <v>0</v>
      </c>
      <c r="H696" s="99">
        <f t="shared" si="634"/>
        <v>0</v>
      </c>
      <c r="I696" s="99">
        <f t="shared" si="634"/>
        <v>0</v>
      </c>
      <c r="J696" s="99">
        <f t="shared" si="634"/>
        <v>0</v>
      </c>
      <c r="K696" s="467">
        <f t="shared" si="635"/>
        <v>0</v>
      </c>
      <c r="L696" s="99">
        <f t="shared" si="635"/>
        <v>0</v>
      </c>
      <c r="M696" s="99">
        <f t="shared" si="636"/>
        <v>0</v>
      </c>
      <c r="N696" s="99">
        <f t="shared" si="636"/>
        <v>0</v>
      </c>
      <c r="O696" s="99">
        <f t="shared" si="636"/>
        <v>0</v>
      </c>
      <c r="P696" s="467">
        <f t="shared" si="637"/>
        <v>0</v>
      </c>
      <c r="Q696" s="99">
        <f t="shared" si="637"/>
        <v>0</v>
      </c>
      <c r="R696" s="99">
        <f t="shared" si="638"/>
        <v>0</v>
      </c>
      <c r="S696" s="99">
        <f t="shared" si="638"/>
        <v>0</v>
      </c>
      <c r="T696" s="99">
        <f t="shared" si="638"/>
        <v>0</v>
      </c>
      <c r="U696" s="467">
        <f t="shared" si="639"/>
        <v>0</v>
      </c>
      <c r="V696" s="99">
        <f t="shared" si="639"/>
        <v>0</v>
      </c>
      <c r="W696" s="99">
        <f t="shared" si="640"/>
        <v>0</v>
      </c>
      <c r="X696" s="99">
        <f t="shared" si="640"/>
        <v>0</v>
      </c>
      <c r="Y696" s="99">
        <f t="shared" si="640"/>
        <v>0</v>
      </c>
      <c r="Z696" s="467">
        <f t="shared" si="641"/>
        <v>0</v>
      </c>
      <c r="AA696" s="99">
        <f t="shared" si="632"/>
        <v>0</v>
      </c>
      <c r="AB696" s="99">
        <f t="shared" si="612"/>
        <v>0</v>
      </c>
      <c r="AC696" s="99">
        <f t="shared" si="612"/>
        <v>0</v>
      </c>
      <c r="AD696" s="99">
        <f t="shared" si="612"/>
        <v>0</v>
      </c>
      <c r="AE696" s="467">
        <f t="shared" si="613"/>
        <v>0</v>
      </c>
      <c r="AF696" s="99">
        <f t="shared" si="613"/>
        <v>0</v>
      </c>
      <c r="AG696" s="99">
        <f t="shared" si="614"/>
        <v>0</v>
      </c>
      <c r="AH696" s="99">
        <f t="shared" si="614"/>
        <v>0</v>
      </c>
      <c r="AI696" s="99">
        <f t="shared" si="614"/>
        <v>0</v>
      </c>
      <c r="AJ696" s="467">
        <f t="shared" si="615"/>
        <v>0</v>
      </c>
      <c r="AK696" s="99">
        <f t="shared" si="615"/>
        <v>0</v>
      </c>
      <c r="AL696" s="99">
        <f t="shared" si="616"/>
        <v>0</v>
      </c>
      <c r="AM696" s="99">
        <f t="shared" si="616"/>
        <v>0</v>
      </c>
      <c r="AN696" s="99">
        <f t="shared" si="616"/>
        <v>0</v>
      </c>
      <c r="AO696" s="467">
        <f t="shared" si="617"/>
        <v>0</v>
      </c>
      <c r="AP696" s="99">
        <f t="shared" si="617"/>
        <v>0</v>
      </c>
      <c r="AQ696" s="99">
        <f t="shared" si="618"/>
        <v>0</v>
      </c>
      <c r="AR696" s="99">
        <f t="shared" si="618"/>
        <v>0</v>
      </c>
      <c r="AS696" s="99">
        <f t="shared" si="618"/>
        <v>0</v>
      </c>
      <c r="AT696" s="467">
        <f t="shared" si="619"/>
        <v>0</v>
      </c>
      <c r="AU696" s="99">
        <f t="shared" si="619"/>
        <v>0</v>
      </c>
      <c r="AV696" s="99">
        <f t="shared" si="620"/>
        <v>0</v>
      </c>
      <c r="AW696" s="99">
        <f t="shared" si="620"/>
        <v>0</v>
      </c>
      <c r="AX696" s="99">
        <f t="shared" si="620"/>
        <v>0</v>
      </c>
      <c r="AY696" s="467">
        <f t="shared" si="621"/>
        <v>0</v>
      </c>
      <c r="AZ696" s="99">
        <f t="shared" si="621"/>
        <v>0</v>
      </c>
      <c r="BA696" s="99">
        <f t="shared" si="622"/>
        <v>0</v>
      </c>
      <c r="BB696" s="99">
        <f t="shared" si="622"/>
        <v>0</v>
      </c>
      <c r="BC696" s="99">
        <f t="shared" si="622"/>
        <v>0</v>
      </c>
      <c r="BD696" s="467">
        <f t="shared" si="623"/>
        <v>0</v>
      </c>
      <c r="BE696" s="99">
        <f t="shared" si="623"/>
        <v>0</v>
      </c>
      <c r="BF696" s="99">
        <f t="shared" si="624"/>
        <v>0</v>
      </c>
      <c r="BG696" s="99">
        <f t="shared" si="624"/>
        <v>0</v>
      </c>
      <c r="BH696" s="99">
        <f t="shared" si="624"/>
        <v>0</v>
      </c>
      <c r="BI696" s="467">
        <f t="shared" si="625"/>
        <v>0</v>
      </c>
      <c r="BJ696" s="99">
        <f t="shared" si="625"/>
        <v>0</v>
      </c>
      <c r="BK696" s="99">
        <f t="shared" si="626"/>
        <v>0</v>
      </c>
      <c r="BL696" s="99">
        <f t="shared" si="626"/>
        <v>0</v>
      </c>
      <c r="BM696" s="99">
        <f t="shared" si="626"/>
        <v>0</v>
      </c>
      <c r="BN696" s="467">
        <f t="shared" si="627"/>
        <v>0</v>
      </c>
      <c r="BO696" s="99">
        <f t="shared" si="627"/>
        <v>0</v>
      </c>
      <c r="BP696" s="99">
        <f t="shared" si="628"/>
        <v>0</v>
      </c>
      <c r="BQ696" s="99">
        <f t="shared" si="628"/>
        <v>0</v>
      </c>
      <c r="BR696" s="99">
        <f t="shared" si="628"/>
        <v>-800</v>
      </c>
      <c r="BS696" s="468">
        <f t="shared" si="629"/>
        <v>-800</v>
      </c>
      <c r="BT696" s="63"/>
      <c r="BU696" s="63"/>
      <c r="BV696" s="63"/>
      <c r="BW696" s="63"/>
      <c r="BX696" s="413">
        <f t="shared" si="630"/>
        <v>0</v>
      </c>
      <c r="BY696" s="63"/>
      <c r="BZ696" s="63"/>
      <c r="CA696" s="63"/>
      <c r="CB696" s="63"/>
      <c r="CC696" s="413">
        <f t="shared" si="631"/>
        <v>0</v>
      </c>
      <c r="CD696" s="413"/>
      <c r="CE696" s="413"/>
      <c r="CF696" s="413"/>
      <c r="CG696" s="99"/>
    </row>
    <row r="697" spans="1:85" ht="14.45" customHeight="1" x14ac:dyDescent="0.25">
      <c r="A697" s="125" t="str">
        <f t="shared" si="602"/>
        <v>Repayment of senior bonds</v>
      </c>
      <c r="B697" s="63"/>
      <c r="C697" s="467">
        <f t="shared" si="633"/>
        <v>0</v>
      </c>
      <c r="D697" s="467">
        <f t="shared" si="633"/>
        <v>0</v>
      </c>
      <c r="E697" s="467">
        <f t="shared" si="633"/>
        <v>0</v>
      </c>
      <c r="F697" s="467">
        <f t="shared" si="633"/>
        <v>0</v>
      </c>
      <c r="G697" s="99">
        <f t="shared" si="633"/>
        <v>0</v>
      </c>
      <c r="H697" s="99">
        <f t="shared" si="634"/>
        <v>0</v>
      </c>
      <c r="I697" s="99">
        <f t="shared" si="634"/>
        <v>0</v>
      </c>
      <c r="J697" s="99">
        <f t="shared" si="634"/>
        <v>0</v>
      </c>
      <c r="K697" s="467">
        <f t="shared" si="635"/>
        <v>0</v>
      </c>
      <c r="L697" s="99">
        <f t="shared" si="635"/>
        <v>0</v>
      </c>
      <c r="M697" s="99">
        <f t="shared" si="636"/>
        <v>0</v>
      </c>
      <c r="N697" s="99">
        <f t="shared" si="636"/>
        <v>0</v>
      </c>
      <c r="O697" s="99">
        <f t="shared" si="636"/>
        <v>0</v>
      </c>
      <c r="P697" s="467">
        <f t="shared" si="637"/>
        <v>0</v>
      </c>
      <c r="Q697" s="99">
        <f t="shared" si="637"/>
        <v>0</v>
      </c>
      <c r="R697" s="99">
        <f t="shared" si="638"/>
        <v>0</v>
      </c>
      <c r="S697" s="99">
        <f t="shared" si="638"/>
        <v>0</v>
      </c>
      <c r="T697" s="99">
        <f t="shared" si="638"/>
        <v>0</v>
      </c>
      <c r="U697" s="467">
        <f t="shared" si="639"/>
        <v>0</v>
      </c>
      <c r="V697" s="99">
        <f t="shared" si="639"/>
        <v>0</v>
      </c>
      <c r="W697" s="99">
        <f t="shared" si="640"/>
        <v>0</v>
      </c>
      <c r="X697" s="99">
        <f t="shared" si="640"/>
        <v>0</v>
      </c>
      <c r="Y697" s="99">
        <f t="shared" si="640"/>
        <v>0</v>
      </c>
      <c r="Z697" s="467">
        <f t="shared" si="641"/>
        <v>0</v>
      </c>
      <c r="AA697" s="99">
        <f t="shared" si="632"/>
        <v>0</v>
      </c>
      <c r="AB697" s="99">
        <f t="shared" si="612"/>
        <v>0</v>
      </c>
      <c r="AC697" s="99">
        <f t="shared" si="612"/>
        <v>0</v>
      </c>
      <c r="AD697" s="99">
        <f t="shared" si="612"/>
        <v>0</v>
      </c>
      <c r="AE697" s="467">
        <f t="shared" si="613"/>
        <v>0</v>
      </c>
      <c r="AF697" s="99">
        <f t="shared" si="613"/>
        <v>0</v>
      </c>
      <c r="AG697" s="99">
        <f t="shared" si="614"/>
        <v>0</v>
      </c>
      <c r="AH697" s="99">
        <f t="shared" si="614"/>
        <v>0</v>
      </c>
      <c r="AI697" s="99">
        <f t="shared" si="614"/>
        <v>0</v>
      </c>
      <c r="AJ697" s="467">
        <f t="shared" si="615"/>
        <v>0</v>
      </c>
      <c r="AK697" s="99">
        <f t="shared" si="615"/>
        <v>0</v>
      </c>
      <c r="AL697" s="99">
        <f t="shared" si="616"/>
        <v>0</v>
      </c>
      <c r="AM697" s="99">
        <f t="shared" si="616"/>
        <v>0</v>
      </c>
      <c r="AN697" s="99">
        <f t="shared" si="616"/>
        <v>0</v>
      </c>
      <c r="AO697" s="467">
        <f t="shared" si="617"/>
        <v>0</v>
      </c>
      <c r="AP697" s="99">
        <f t="shared" si="617"/>
        <v>0</v>
      </c>
      <c r="AQ697" s="99">
        <f t="shared" si="618"/>
        <v>0</v>
      </c>
      <c r="AR697" s="99">
        <f t="shared" si="618"/>
        <v>0</v>
      </c>
      <c r="AS697" s="99">
        <f t="shared" si="618"/>
        <v>0</v>
      </c>
      <c r="AT697" s="467">
        <f t="shared" si="619"/>
        <v>0</v>
      </c>
      <c r="AU697" s="99">
        <f t="shared" si="619"/>
        <v>0</v>
      </c>
      <c r="AV697" s="99">
        <f t="shared" si="620"/>
        <v>0</v>
      </c>
      <c r="AW697" s="99">
        <f t="shared" si="620"/>
        <v>0</v>
      </c>
      <c r="AX697" s="99">
        <f t="shared" si="620"/>
        <v>0</v>
      </c>
      <c r="AY697" s="467">
        <f t="shared" si="621"/>
        <v>0</v>
      </c>
      <c r="AZ697" s="99">
        <f t="shared" si="621"/>
        <v>0</v>
      </c>
      <c r="BA697" s="99">
        <f t="shared" si="622"/>
        <v>0</v>
      </c>
      <c r="BB697" s="99">
        <f t="shared" si="622"/>
        <v>0</v>
      </c>
      <c r="BC697" s="99">
        <f t="shared" si="622"/>
        <v>0</v>
      </c>
      <c r="BD697" s="467">
        <f t="shared" si="623"/>
        <v>0</v>
      </c>
      <c r="BE697" s="99">
        <f t="shared" si="623"/>
        <v>0</v>
      </c>
      <c r="BF697" s="99">
        <f t="shared" si="624"/>
        <v>0</v>
      </c>
      <c r="BG697" s="99">
        <f t="shared" si="624"/>
        <v>0</v>
      </c>
      <c r="BH697" s="99">
        <f t="shared" si="624"/>
        <v>0</v>
      </c>
      <c r="BI697" s="467">
        <f t="shared" si="625"/>
        <v>0</v>
      </c>
      <c r="BJ697" s="99">
        <f t="shared" si="625"/>
        <v>0</v>
      </c>
      <c r="BK697" s="99">
        <f t="shared" si="626"/>
        <v>0</v>
      </c>
      <c r="BL697" s="99">
        <f t="shared" si="626"/>
        <v>0</v>
      </c>
      <c r="BM697" s="99">
        <f t="shared" si="626"/>
        <v>0</v>
      </c>
      <c r="BN697" s="467">
        <f t="shared" si="627"/>
        <v>0</v>
      </c>
      <c r="BO697" s="99">
        <f t="shared" si="627"/>
        <v>0</v>
      </c>
      <c r="BP697" s="99">
        <f t="shared" si="628"/>
        <v>0</v>
      </c>
      <c r="BQ697" s="99">
        <f t="shared" si="628"/>
        <v>0</v>
      </c>
      <c r="BR697" s="99">
        <f t="shared" si="628"/>
        <v>-350</v>
      </c>
      <c r="BS697" s="468">
        <f t="shared" si="629"/>
        <v>-350</v>
      </c>
      <c r="BT697" s="63"/>
      <c r="BU697" s="63"/>
      <c r="BV697" s="63"/>
      <c r="BW697" s="63"/>
      <c r="BX697" s="413">
        <f t="shared" si="630"/>
        <v>0</v>
      </c>
      <c r="BY697" s="63"/>
      <c r="BZ697" s="63"/>
      <c r="CA697" s="63"/>
      <c r="CB697" s="63"/>
      <c r="CC697" s="413">
        <f t="shared" si="631"/>
        <v>0</v>
      </c>
      <c r="CD697" s="413"/>
      <c r="CE697" s="413"/>
      <c r="CF697" s="413"/>
      <c r="CG697" s="99"/>
    </row>
    <row r="698" spans="1:85" ht="14.45" customHeight="1" x14ac:dyDescent="0.25">
      <c r="A698" s="125" t="str">
        <f t="shared" si="602"/>
        <v>Proceeds from bond issuance</v>
      </c>
      <c r="B698" s="63"/>
      <c r="C698" s="467">
        <f t="shared" si="633"/>
        <v>0</v>
      </c>
      <c r="D698" s="467">
        <f t="shared" si="633"/>
        <v>0</v>
      </c>
      <c r="E698" s="467">
        <f t="shared" si="633"/>
        <v>0</v>
      </c>
      <c r="F698" s="467">
        <f t="shared" si="633"/>
        <v>0</v>
      </c>
      <c r="G698" s="99">
        <f t="shared" si="633"/>
        <v>0</v>
      </c>
      <c r="H698" s="99">
        <f t="shared" si="634"/>
        <v>0</v>
      </c>
      <c r="I698" s="99">
        <f t="shared" si="634"/>
        <v>0</v>
      </c>
      <c r="J698" s="99">
        <f t="shared" si="634"/>
        <v>0</v>
      </c>
      <c r="K698" s="467">
        <f t="shared" si="635"/>
        <v>0</v>
      </c>
      <c r="L698" s="99">
        <f t="shared" si="635"/>
        <v>0</v>
      </c>
      <c r="M698" s="99">
        <f t="shared" si="636"/>
        <v>0</v>
      </c>
      <c r="N698" s="99">
        <f t="shared" si="636"/>
        <v>0</v>
      </c>
      <c r="O698" s="99">
        <f t="shared" si="636"/>
        <v>0</v>
      </c>
      <c r="P698" s="467">
        <f t="shared" si="637"/>
        <v>0</v>
      </c>
      <c r="Q698" s="99">
        <f t="shared" si="637"/>
        <v>0</v>
      </c>
      <c r="R698" s="99">
        <f t="shared" si="638"/>
        <v>0</v>
      </c>
      <c r="S698" s="99">
        <f t="shared" si="638"/>
        <v>0</v>
      </c>
      <c r="T698" s="99">
        <f t="shared" si="638"/>
        <v>0</v>
      </c>
      <c r="U698" s="467">
        <f t="shared" si="639"/>
        <v>0</v>
      </c>
      <c r="V698" s="99">
        <f t="shared" si="639"/>
        <v>0</v>
      </c>
      <c r="W698" s="99">
        <f t="shared" si="640"/>
        <v>0</v>
      </c>
      <c r="X698" s="99">
        <f t="shared" si="640"/>
        <v>0</v>
      </c>
      <c r="Y698" s="99">
        <f t="shared" si="640"/>
        <v>0</v>
      </c>
      <c r="Z698" s="467">
        <f t="shared" si="641"/>
        <v>0</v>
      </c>
      <c r="AA698" s="99">
        <f t="shared" si="632"/>
        <v>0</v>
      </c>
      <c r="AB698" s="99">
        <f t="shared" si="612"/>
        <v>0</v>
      </c>
      <c r="AC698" s="99">
        <f t="shared" si="612"/>
        <v>0</v>
      </c>
      <c r="AD698" s="99">
        <f t="shared" si="612"/>
        <v>0</v>
      </c>
      <c r="AE698" s="467">
        <f t="shared" si="613"/>
        <v>0</v>
      </c>
      <c r="AF698" s="99">
        <f t="shared" si="613"/>
        <v>0</v>
      </c>
      <c r="AG698" s="99">
        <f t="shared" si="614"/>
        <v>0</v>
      </c>
      <c r="AH698" s="99">
        <f t="shared" si="614"/>
        <v>0</v>
      </c>
      <c r="AI698" s="99">
        <f t="shared" si="614"/>
        <v>0</v>
      </c>
      <c r="AJ698" s="467">
        <f t="shared" si="615"/>
        <v>0</v>
      </c>
      <c r="AK698" s="99">
        <f t="shared" si="615"/>
        <v>0</v>
      </c>
      <c r="AL698" s="99">
        <f t="shared" si="616"/>
        <v>0</v>
      </c>
      <c r="AM698" s="99">
        <f t="shared" si="616"/>
        <v>0</v>
      </c>
      <c r="AN698" s="99">
        <f t="shared" si="616"/>
        <v>0</v>
      </c>
      <c r="AO698" s="467">
        <f t="shared" si="617"/>
        <v>0</v>
      </c>
      <c r="AP698" s="99">
        <f t="shared" si="617"/>
        <v>0</v>
      </c>
      <c r="AQ698" s="99">
        <f t="shared" si="618"/>
        <v>0</v>
      </c>
      <c r="AR698" s="99">
        <f t="shared" si="618"/>
        <v>0</v>
      </c>
      <c r="AS698" s="99">
        <f t="shared" si="618"/>
        <v>0</v>
      </c>
      <c r="AT698" s="467">
        <f t="shared" si="619"/>
        <v>0</v>
      </c>
      <c r="AU698" s="99">
        <f t="shared" si="619"/>
        <v>0</v>
      </c>
      <c r="AV698" s="99">
        <f t="shared" si="620"/>
        <v>0</v>
      </c>
      <c r="AW698" s="99">
        <f t="shared" si="620"/>
        <v>0</v>
      </c>
      <c r="AX698" s="99">
        <f t="shared" si="620"/>
        <v>0</v>
      </c>
      <c r="AY698" s="467">
        <f t="shared" si="621"/>
        <v>0</v>
      </c>
      <c r="AZ698" s="99">
        <f t="shared" si="621"/>
        <v>0</v>
      </c>
      <c r="BA698" s="99">
        <f t="shared" si="622"/>
        <v>0</v>
      </c>
      <c r="BB698" s="99">
        <f t="shared" si="622"/>
        <v>0</v>
      </c>
      <c r="BC698" s="99">
        <f t="shared" si="622"/>
        <v>0</v>
      </c>
      <c r="BD698" s="467">
        <f t="shared" si="623"/>
        <v>0</v>
      </c>
      <c r="BE698" s="99">
        <f t="shared" si="623"/>
        <v>0</v>
      </c>
      <c r="BF698" s="99">
        <f t="shared" si="624"/>
        <v>0</v>
      </c>
      <c r="BG698" s="99">
        <f t="shared" si="624"/>
        <v>0</v>
      </c>
      <c r="BH698" s="99">
        <f t="shared" si="624"/>
        <v>0</v>
      </c>
      <c r="BI698" s="467">
        <f t="shared" si="625"/>
        <v>0</v>
      </c>
      <c r="BJ698" s="99">
        <f t="shared" si="625"/>
        <v>0</v>
      </c>
      <c r="BK698" s="99">
        <f t="shared" si="626"/>
        <v>1200</v>
      </c>
      <c r="BL698" s="99">
        <f t="shared" si="626"/>
        <v>0</v>
      </c>
      <c r="BM698" s="99">
        <f t="shared" si="626"/>
        <v>0</v>
      </c>
      <c r="BN698" s="467">
        <f t="shared" si="627"/>
        <v>1200</v>
      </c>
      <c r="BO698" s="99">
        <f t="shared" si="627"/>
        <v>0</v>
      </c>
      <c r="BP698" s="99">
        <f t="shared" si="628"/>
        <v>0</v>
      </c>
      <c r="BQ698" s="99">
        <f t="shared" si="628"/>
        <v>0</v>
      </c>
      <c r="BR698" s="99">
        <f t="shared" si="628"/>
        <v>0</v>
      </c>
      <c r="BS698" s="468">
        <f t="shared" si="629"/>
        <v>0</v>
      </c>
      <c r="BT698" s="63"/>
      <c r="BU698" s="63"/>
      <c r="BV698" s="63"/>
      <c r="BW698" s="63"/>
      <c r="BX698" s="413">
        <f t="shared" si="630"/>
        <v>0</v>
      </c>
      <c r="BY698" s="63"/>
      <c r="BZ698" s="63"/>
      <c r="CA698" s="63"/>
      <c r="CB698" s="63"/>
      <c r="CC698" s="413">
        <f t="shared" si="631"/>
        <v>0</v>
      </c>
      <c r="CD698" s="413"/>
      <c r="CE698" s="413"/>
      <c r="CF698" s="413"/>
      <c r="CG698" s="99"/>
    </row>
    <row r="699" spans="1:85" ht="14.45" customHeight="1" x14ac:dyDescent="0.25">
      <c r="A699" s="125" t="str">
        <f t="shared" si="602"/>
        <v>Cash dividends paid</v>
      </c>
      <c r="B699" s="63"/>
      <c r="C699" s="467">
        <f t="shared" si="633"/>
        <v>-9.1620000000000008</v>
      </c>
      <c r="D699" s="467">
        <f t="shared" si="633"/>
        <v>-9.18</v>
      </c>
      <c r="E699" s="467">
        <f t="shared" si="633"/>
        <v>-9.2029999999999994</v>
      </c>
      <c r="F699" s="467">
        <f t="shared" si="633"/>
        <v>-9.2240000000000002</v>
      </c>
      <c r="G699" s="99">
        <f t="shared" si="633"/>
        <v>-2.3069999999999999</v>
      </c>
      <c r="H699" s="99">
        <f t="shared" si="634"/>
        <v>-2.3130000000000002</v>
      </c>
      <c r="I699" s="99">
        <f t="shared" si="634"/>
        <v>-2.3129999999999997</v>
      </c>
      <c r="J699" s="99">
        <f t="shared" si="634"/>
        <v>-2.3119999999999994</v>
      </c>
      <c r="K699" s="467">
        <f t="shared" si="635"/>
        <v>-9.2449999999999992</v>
      </c>
      <c r="L699" s="99">
        <f t="shared" si="635"/>
        <v>-2.3119999999999998</v>
      </c>
      <c r="M699" s="99">
        <f t="shared" si="636"/>
        <v>-2.3190000000000004</v>
      </c>
      <c r="N699" s="99">
        <f t="shared" si="636"/>
        <v>-2.3170000000000002</v>
      </c>
      <c r="O699" s="99">
        <f t="shared" si="636"/>
        <v>-2.3179999999999996</v>
      </c>
      <c r="P699" s="467">
        <f t="shared" si="637"/>
        <v>-9.266</v>
      </c>
      <c r="Q699" s="99">
        <f t="shared" si="637"/>
        <v>-2.3170000000000002</v>
      </c>
      <c r="R699" s="99">
        <f t="shared" si="638"/>
        <v>-2.3239999999999998</v>
      </c>
      <c r="S699" s="99">
        <f t="shared" si="638"/>
        <v>-2.3230000000000004</v>
      </c>
      <c r="T699" s="99">
        <f t="shared" si="638"/>
        <v>-2.3230000000000004</v>
      </c>
      <c r="U699" s="467">
        <f t="shared" si="639"/>
        <v>-9.2870000000000008</v>
      </c>
      <c r="V699" s="99">
        <f t="shared" si="639"/>
        <v>-2.323</v>
      </c>
      <c r="W699" s="99">
        <f t="shared" si="640"/>
        <v>-2.3290000000000002</v>
      </c>
      <c r="X699" s="99">
        <f t="shared" si="640"/>
        <v>-2.3280000000000003</v>
      </c>
      <c r="Y699" s="99">
        <f t="shared" si="640"/>
        <v>-2.327</v>
      </c>
      <c r="Z699" s="467">
        <f t="shared" si="641"/>
        <v>-9.3070000000000004</v>
      </c>
      <c r="AA699" s="99">
        <f t="shared" si="632"/>
        <v>-2.3279999999999998</v>
      </c>
      <c r="AB699" s="99">
        <f t="shared" si="612"/>
        <v>-2.3340000000000001</v>
      </c>
      <c r="AC699" s="99">
        <f t="shared" si="612"/>
        <v>-2.3330000000000002</v>
      </c>
      <c r="AD699" s="99">
        <f t="shared" si="612"/>
        <v>-2.3329999999999993</v>
      </c>
      <c r="AE699" s="467">
        <f t="shared" si="613"/>
        <v>-9.3279999999999994</v>
      </c>
      <c r="AF699" s="99">
        <f t="shared" si="613"/>
        <v>-2.3330000000000002</v>
      </c>
      <c r="AG699" s="99">
        <f t="shared" si="614"/>
        <v>-2.3380000000000001</v>
      </c>
      <c r="AH699" s="99">
        <f t="shared" si="614"/>
        <v>-2.343</v>
      </c>
      <c r="AI699" s="99">
        <f t="shared" si="614"/>
        <v>-2.3389999999999995</v>
      </c>
      <c r="AJ699" s="467">
        <f t="shared" si="615"/>
        <v>-9.3529999999999998</v>
      </c>
      <c r="AK699" s="99">
        <f t="shared" si="615"/>
        <v>-2.339</v>
      </c>
      <c r="AL699" s="99">
        <f t="shared" si="616"/>
        <v>-2.3430000000000004</v>
      </c>
      <c r="AM699" s="99">
        <f t="shared" si="616"/>
        <v>-2.3439999999999994</v>
      </c>
      <c r="AN699" s="99">
        <f t="shared" si="616"/>
        <v>-2.343</v>
      </c>
      <c r="AO699" s="467">
        <f t="shared" si="617"/>
        <v>-9.3689999999999998</v>
      </c>
      <c r="AP699" s="99">
        <f t="shared" si="617"/>
        <v>-2.3439999999999999</v>
      </c>
      <c r="AQ699" s="99">
        <f t="shared" si="618"/>
        <v>-2.3420000000000001</v>
      </c>
      <c r="AR699" s="99">
        <f t="shared" si="618"/>
        <v>-2.3440000000000003</v>
      </c>
      <c r="AS699" s="99">
        <f t="shared" si="618"/>
        <v>-2.3440000000000003</v>
      </c>
      <c r="AT699" s="467">
        <f t="shared" si="619"/>
        <v>-9.3740000000000006</v>
      </c>
      <c r="AU699" s="99">
        <f t="shared" si="619"/>
        <v>-2.343</v>
      </c>
      <c r="AV699" s="99">
        <f t="shared" si="620"/>
        <v>-2.3440000000000003</v>
      </c>
      <c r="AW699" s="99">
        <f t="shared" si="620"/>
        <v>-2.343</v>
      </c>
      <c r="AX699" s="99">
        <f t="shared" si="620"/>
        <v>-2.3440000000000003</v>
      </c>
      <c r="AY699" s="467">
        <f t="shared" si="621"/>
        <v>-9.3740000000000006</v>
      </c>
      <c r="AZ699" s="99">
        <f t="shared" si="621"/>
        <v>-2.3439999999999999</v>
      </c>
      <c r="BA699" s="99">
        <f t="shared" si="622"/>
        <v>-2.3430000000000004</v>
      </c>
      <c r="BB699" s="99">
        <f t="shared" si="622"/>
        <v>-2.343</v>
      </c>
      <c r="BC699" s="99">
        <f t="shared" si="622"/>
        <v>-2.3440000000000003</v>
      </c>
      <c r="BD699" s="467">
        <f t="shared" si="623"/>
        <v>-9.3740000000000006</v>
      </c>
      <c r="BE699" s="99">
        <f t="shared" si="623"/>
        <v>-32.808</v>
      </c>
      <c r="BF699" s="99">
        <f t="shared" si="624"/>
        <v>-4.6869999999999976</v>
      </c>
      <c r="BG699" s="99">
        <f t="shared" si="624"/>
        <v>-4.6870000000000047</v>
      </c>
      <c r="BH699" s="99">
        <f t="shared" si="624"/>
        <v>-4.6859999999999999</v>
      </c>
      <c r="BI699" s="467">
        <f t="shared" si="625"/>
        <v>-46.868000000000002</v>
      </c>
      <c r="BJ699" s="99">
        <f t="shared" si="625"/>
        <v>-154.666</v>
      </c>
      <c r="BK699" s="99">
        <f t="shared" si="626"/>
        <v>-4.6870000000000118</v>
      </c>
      <c r="BL699" s="99">
        <f t="shared" si="626"/>
        <v>-4.3799999999999955</v>
      </c>
      <c r="BM699" s="99">
        <f t="shared" si="626"/>
        <v>-21.901999999999987</v>
      </c>
      <c r="BN699" s="467">
        <f t="shared" si="627"/>
        <v>-185.63499999999999</v>
      </c>
      <c r="BO699" s="99">
        <f t="shared" si="627"/>
        <v>-21.794</v>
      </c>
      <c r="BP699" s="99">
        <f t="shared" si="628"/>
        <v>-21.794999999999998</v>
      </c>
      <c r="BQ699" s="99">
        <f t="shared" si="628"/>
        <v>-21.721000000000004</v>
      </c>
      <c r="BR699" s="99">
        <f t="shared" si="628"/>
        <v>-21.363</v>
      </c>
      <c r="BS699" s="468">
        <f t="shared" si="629"/>
        <v>-86.673000000000002</v>
      </c>
      <c r="BT699" s="63" t="e">
        <f>BT488</f>
        <v>#NAME?</v>
      </c>
      <c r="BU699" s="63" t="e">
        <f>BU488</f>
        <v>#NAME?</v>
      </c>
      <c r="BV699" s="63" t="e">
        <f>BV488</f>
        <v>#NAME?</v>
      </c>
      <c r="BW699" s="63" t="e">
        <f>BW488</f>
        <v>#NAME?</v>
      </c>
      <c r="BX699" s="413" t="e">
        <f t="shared" si="630"/>
        <v>#NAME?</v>
      </c>
      <c r="BY699" s="63" t="e">
        <f>BY488</f>
        <v>#NAME?</v>
      </c>
      <c r="BZ699" s="63" t="e">
        <f>BZ488</f>
        <v>#NAME?</v>
      </c>
      <c r="CA699" s="63" t="e">
        <f>CA488</f>
        <v>#NAME?</v>
      </c>
      <c r="CB699" s="63" t="e">
        <f>CB488</f>
        <v>#NAME?</v>
      </c>
      <c r="CC699" s="413" t="e">
        <f t="shared" si="631"/>
        <v>#NAME?</v>
      </c>
      <c r="CD699" s="413" t="e">
        <f>CD488</f>
        <v>#NAME?</v>
      </c>
      <c r="CE699" s="413" t="e">
        <f>CE488</f>
        <v>#NAME?</v>
      </c>
      <c r="CF699" s="413" t="e">
        <f>CF488</f>
        <v>#NAME?</v>
      </c>
      <c r="CG699" s="99"/>
    </row>
    <row r="700" spans="1:85" ht="14.45" customHeight="1" x14ac:dyDescent="0.25">
      <c r="A700" s="125" t="str">
        <f t="shared" si="602"/>
        <v>Excess tax expense/(benefit) from stock-based compensation</v>
      </c>
      <c r="B700" s="63"/>
      <c r="C700" s="467">
        <f t="shared" si="633"/>
        <v>-9.8000000000000004E-2</v>
      </c>
      <c r="D700" s="467">
        <f t="shared" si="633"/>
        <v>7.6999999999999999E-2</v>
      </c>
      <c r="E700" s="467">
        <f t="shared" si="633"/>
        <v>6.0999999999999999E-2</v>
      </c>
      <c r="F700" s="467">
        <f t="shared" si="633"/>
        <v>8.1000000000000003E-2</v>
      </c>
      <c r="G700" s="99">
        <f t="shared" si="633"/>
        <v>0</v>
      </c>
      <c r="H700" s="99">
        <f t="shared" si="634"/>
        <v>0</v>
      </c>
      <c r="I700" s="99">
        <f t="shared" si="634"/>
        <v>0</v>
      </c>
      <c r="J700" s="99">
        <f t="shared" si="634"/>
        <v>-1.7000000000000001E-2</v>
      </c>
      <c r="K700" s="467">
        <f t="shared" si="635"/>
        <v>-1.7000000000000001E-2</v>
      </c>
      <c r="L700" s="99">
        <f t="shared" si="635"/>
        <v>0</v>
      </c>
      <c r="M700" s="99">
        <f t="shared" si="636"/>
        <v>0.17599999999999999</v>
      </c>
      <c r="N700" s="99">
        <f t="shared" si="636"/>
        <v>0</v>
      </c>
      <c r="O700" s="99">
        <f t="shared" si="636"/>
        <v>0</v>
      </c>
      <c r="P700" s="467">
        <f t="shared" si="637"/>
        <v>0.17599999999999999</v>
      </c>
      <c r="Q700" s="99">
        <f t="shared" si="637"/>
        <v>0</v>
      </c>
      <c r="R700" s="99">
        <f t="shared" si="638"/>
        <v>0</v>
      </c>
      <c r="S700" s="99">
        <f t="shared" si="638"/>
        <v>0</v>
      </c>
      <c r="T700" s="99">
        <f t="shared" si="638"/>
        <v>0</v>
      </c>
      <c r="U700" s="467">
        <f t="shared" si="639"/>
        <v>0</v>
      </c>
      <c r="V700" s="99">
        <f t="shared" si="639"/>
        <v>0</v>
      </c>
      <c r="W700" s="99">
        <f t="shared" si="640"/>
        <v>0</v>
      </c>
      <c r="X700" s="99">
        <f t="shared" si="640"/>
        <v>0</v>
      </c>
      <c r="Y700" s="99">
        <f t="shared" si="640"/>
        <v>0</v>
      </c>
      <c r="Z700" s="467">
        <f t="shared" si="641"/>
        <v>0</v>
      </c>
      <c r="AA700" s="99">
        <f t="shared" si="632"/>
        <v>0</v>
      </c>
      <c r="AB700" s="99">
        <f t="shared" si="612"/>
        <v>0</v>
      </c>
      <c r="AC700" s="99">
        <f t="shared" si="612"/>
        <v>0</v>
      </c>
      <c r="AD700" s="99">
        <f t="shared" si="612"/>
        <v>0</v>
      </c>
      <c r="AE700" s="467">
        <f t="shared" si="613"/>
        <v>0</v>
      </c>
      <c r="AF700" s="99">
        <f t="shared" si="613"/>
        <v>0</v>
      </c>
      <c r="AG700" s="99">
        <f t="shared" si="614"/>
        <v>0</v>
      </c>
      <c r="AH700" s="99">
        <f t="shared" si="614"/>
        <v>0</v>
      </c>
      <c r="AI700" s="99">
        <f t="shared" si="614"/>
        <v>0</v>
      </c>
      <c r="AJ700" s="467">
        <f t="shared" si="615"/>
        <v>0</v>
      </c>
      <c r="AK700" s="99">
        <f t="shared" si="615"/>
        <v>0</v>
      </c>
      <c r="AL700" s="99">
        <f t="shared" si="616"/>
        <v>0</v>
      </c>
      <c r="AM700" s="99">
        <f t="shared" si="616"/>
        <v>0</v>
      </c>
      <c r="AN700" s="99">
        <f t="shared" si="616"/>
        <v>0</v>
      </c>
      <c r="AO700" s="467">
        <f t="shared" si="617"/>
        <v>0</v>
      </c>
      <c r="AP700" s="99">
        <f t="shared" si="617"/>
        <v>0</v>
      </c>
      <c r="AQ700" s="99">
        <f t="shared" si="618"/>
        <v>0</v>
      </c>
      <c r="AR700" s="99">
        <f t="shared" si="618"/>
        <v>0</v>
      </c>
      <c r="AS700" s="99">
        <f t="shared" si="618"/>
        <v>0</v>
      </c>
      <c r="AT700" s="467">
        <f t="shared" si="619"/>
        <v>0</v>
      </c>
      <c r="AU700" s="99">
        <f t="shared" si="619"/>
        <v>0</v>
      </c>
      <c r="AV700" s="99">
        <f t="shared" si="620"/>
        <v>0</v>
      </c>
      <c r="AW700" s="99">
        <f t="shared" si="620"/>
        <v>0</v>
      </c>
      <c r="AX700" s="99">
        <f t="shared" si="620"/>
        <v>0</v>
      </c>
      <c r="AY700" s="467">
        <f t="shared" si="621"/>
        <v>0</v>
      </c>
      <c r="AZ700" s="99">
        <f t="shared" si="621"/>
        <v>0</v>
      </c>
      <c r="BA700" s="99">
        <f t="shared" si="622"/>
        <v>0</v>
      </c>
      <c r="BB700" s="99">
        <f t="shared" si="622"/>
        <v>0</v>
      </c>
      <c r="BC700" s="99">
        <f t="shared" si="622"/>
        <v>0</v>
      </c>
      <c r="BD700" s="467">
        <f t="shared" si="623"/>
        <v>0</v>
      </c>
      <c r="BE700" s="99">
        <f t="shared" si="623"/>
        <v>0</v>
      </c>
      <c r="BF700" s="99">
        <f t="shared" si="624"/>
        <v>0</v>
      </c>
      <c r="BG700" s="99">
        <f t="shared" si="624"/>
        <v>0</v>
      </c>
      <c r="BH700" s="99">
        <f t="shared" si="624"/>
        <v>0</v>
      </c>
      <c r="BI700" s="467">
        <f t="shared" si="625"/>
        <v>0</v>
      </c>
      <c r="BJ700" s="99">
        <f t="shared" si="625"/>
        <v>0</v>
      </c>
      <c r="BK700" s="99">
        <f t="shared" si="626"/>
        <v>0</v>
      </c>
      <c r="BL700" s="99">
        <f t="shared" si="626"/>
        <v>0</v>
      </c>
      <c r="BM700" s="99">
        <f t="shared" si="626"/>
        <v>0</v>
      </c>
      <c r="BN700" s="467">
        <f t="shared" si="627"/>
        <v>0</v>
      </c>
      <c r="BO700" s="99">
        <f t="shared" si="627"/>
        <v>0</v>
      </c>
      <c r="BP700" s="99">
        <f t="shared" si="628"/>
        <v>0</v>
      </c>
      <c r="BQ700" s="99">
        <f t="shared" si="628"/>
        <v>0</v>
      </c>
      <c r="BR700" s="99">
        <f t="shared" si="628"/>
        <v>0</v>
      </c>
      <c r="BS700" s="468">
        <f t="shared" si="629"/>
        <v>0</v>
      </c>
      <c r="BT700" s="63"/>
      <c r="BU700" s="63"/>
      <c r="BV700" s="63"/>
      <c r="BW700" s="63"/>
      <c r="BX700" s="413">
        <f t="shared" si="630"/>
        <v>0</v>
      </c>
      <c r="BY700" s="63"/>
      <c r="BZ700" s="63"/>
      <c r="CA700" s="63"/>
      <c r="CB700" s="63"/>
      <c r="CC700" s="413">
        <f t="shared" si="631"/>
        <v>0</v>
      </c>
      <c r="CD700" s="413"/>
      <c r="CE700" s="413"/>
      <c r="CF700" s="413"/>
      <c r="CG700" s="99"/>
    </row>
    <row r="701" spans="1:85" ht="14.45" customHeight="1" x14ac:dyDescent="0.25">
      <c r="A701" s="125" t="str">
        <f t="shared" si="602"/>
        <v>Payment of acquisition related contingent consideration</v>
      </c>
      <c r="B701" s="63"/>
      <c r="C701" s="467">
        <f t="shared" si="633"/>
        <v>0</v>
      </c>
      <c r="D701" s="467">
        <f t="shared" si="633"/>
        <v>0</v>
      </c>
      <c r="E701" s="467">
        <f t="shared" si="633"/>
        <v>0</v>
      </c>
      <c r="F701" s="467">
        <f t="shared" si="633"/>
        <v>0</v>
      </c>
      <c r="G701" s="99">
        <f t="shared" si="633"/>
        <v>0</v>
      </c>
      <c r="H701" s="99">
        <f t="shared" si="634"/>
        <v>0</v>
      </c>
      <c r="I701" s="99">
        <f t="shared" si="634"/>
        <v>0</v>
      </c>
      <c r="J701" s="99">
        <f t="shared" si="634"/>
        <v>0</v>
      </c>
      <c r="K701" s="467">
        <f t="shared" si="635"/>
        <v>0</v>
      </c>
      <c r="L701" s="99">
        <f t="shared" si="635"/>
        <v>0</v>
      </c>
      <c r="M701" s="99">
        <f t="shared" si="636"/>
        <v>0</v>
      </c>
      <c r="N701" s="99">
        <f t="shared" si="636"/>
        <v>0</v>
      </c>
      <c r="O701" s="99">
        <f t="shared" si="636"/>
        <v>-0.21199999999999999</v>
      </c>
      <c r="P701" s="467">
        <f t="shared" si="637"/>
        <v>-0.21199999999999999</v>
      </c>
      <c r="Q701" s="99">
        <f t="shared" si="637"/>
        <v>0</v>
      </c>
      <c r="R701" s="99">
        <f t="shared" si="638"/>
        <v>-0.78900000000000003</v>
      </c>
      <c r="S701" s="99">
        <f t="shared" si="638"/>
        <v>-1.6159999999999997</v>
      </c>
      <c r="T701" s="99">
        <f t="shared" si="638"/>
        <v>-1.6339999999999999</v>
      </c>
      <c r="U701" s="467">
        <f t="shared" si="639"/>
        <v>-4.0389999999999997</v>
      </c>
      <c r="V701" s="99">
        <f t="shared" si="639"/>
        <v>-4.9589999999999996</v>
      </c>
      <c r="W701" s="99">
        <f t="shared" si="640"/>
        <v>-2.9670000000000005</v>
      </c>
      <c r="X701" s="99">
        <f t="shared" si="640"/>
        <v>-2.5440000000000005</v>
      </c>
      <c r="Y701" s="99">
        <f t="shared" si="640"/>
        <v>-3.08</v>
      </c>
      <c r="Z701" s="467">
        <f t="shared" si="641"/>
        <v>-13.55</v>
      </c>
      <c r="AA701" s="99">
        <f t="shared" si="632"/>
        <v>0</v>
      </c>
      <c r="AB701" s="99">
        <f t="shared" si="612"/>
        <v>-6.556</v>
      </c>
      <c r="AC701" s="99">
        <f t="shared" si="612"/>
        <v>-5.0940000000000003</v>
      </c>
      <c r="AD701" s="99">
        <f t="shared" si="612"/>
        <v>-5.0879999999999992</v>
      </c>
      <c r="AE701" s="467">
        <f t="shared" si="613"/>
        <v>-16.738</v>
      </c>
      <c r="AF701" s="99">
        <f t="shared" si="613"/>
        <v>-5.8819999999999997</v>
      </c>
      <c r="AG701" s="99">
        <f t="shared" si="614"/>
        <v>-5.3810000000000002</v>
      </c>
      <c r="AH701" s="99">
        <f t="shared" si="614"/>
        <v>-7.0490000000000013</v>
      </c>
      <c r="AI701" s="99">
        <f t="shared" si="614"/>
        <v>-6.3709999999999987</v>
      </c>
      <c r="AJ701" s="467">
        <f t="shared" si="615"/>
        <v>-24.683</v>
      </c>
      <c r="AK701" s="99">
        <f t="shared" si="615"/>
        <v>-6.2370000000000001</v>
      </c>
      <c r="AL701" s="99">
        <f t="shared" si="616"/>
        <v>-6.5990000000000002</v>
      </c>
      <c r="AM701" s="99">
        <f t="shared" si="616"/>
        <v>-5.9479999999999986</v>
      </c>
      <c r="AN701" s="99">
        <f t="shared" si="616"/>
        <v>-8.3979999999999997</v>
      </c>
      <c r="AO701" s="467">
        <f t="shared" si="617"/>
        <v>-27.181999999999999</v>
      </c>
      <c r="AP701" s="99">
        <f t="shared" si="617"/>
        <v>-10.452</v>
      </c>
      <c r="AQ701" s="99">
        <f t="shared" si="618"/>
        <v>-10.078999999999999</v>
      </c>
      <c r="AR701" s="99">
        <f t="shared" si="618"/>
        <v>-11.468</v>
      </c>
      <c r="AS701" s="99">
        <f t="shared" si="618"/>
        <v>-11.401</v>
      </c>
      <c r="AT701" s="467">
        <f t="shared" si="619"/>
        <v>-43.4</v>
      </c>
      <c r="AU701" s="99">
        <f t="shared" si="619"/>
        <v>-10.045999999999999</v>
      </c>
      <c r="AV701" s="99">
        <f t="shared" si="620"/>
        <v>-9.8740000000000023</v>
      </c>
      <c r="AW701" s="99">
        <f t="shared" si="620"/>
        <v>-8.7199999999999989</v>
      </c>
      <c r="AX701" s="99">
        <f t="shared" si="620"/>
        <v>-10.457000000000001</v>
      </c>
      <c r="AY701" s="467">
        <f t="shared" si="621"/>
        <v>-39.097000000000001</v>
      </c>
      <c r="AZ701" s="99">
        <f t="shared" si="621"/>
        <v>-9.8219999999999992</v>
      </c>
      <c r="BA701" s="99">
        <f t="shared" si="622"/>
        <v>-8.8880000000000017</v>
      </c>
      <c r="BB701" s="99">
        <f t="shared" si="622"/>
        <v>-9.7109999999999985</v>
      </c>
      <c r="BC701" s="99">
        <f t="shared" si="622"/>
        <v>-8.0940000000000012</v>
      </c>
      <c r="BD701" s="467">
        <f t="shared" si="623"/>
        <v>-36.515000000000001</v>
      </c>
      <c r="BE701" s="99">
        <f t="shared" si="623"/>
        <v>-6.4989999999999997</v>
      </c>
      <c r="BF701" s="99">
        <f t="shared" si="624"/>
        <v>-6.8769999999999998</v>
      </c>
      <c r="BG701" s="99">
        <f t="shared" si="624"/>
        <v>-7.6029999999999998</v>
      </c>
      <c r="BH701" s="99">
        <f t="shared" si="624"/>
        <v>-7.2289999999999992</v>
      </c>
      <c r="BI701" s="467">
        <f t="shared" si="625"/>
        <v>-28.207999999999998</v>
      </c>
      <c r="BJ701" s="99">
        <f t="shared" si="625"/>
        <v>-9.6999999999999993</v>
      </c>
      <c r="BK701" s="99">
        <f t="shared" si="626"/>
        <v>-13.975999999999999</v>
      </c>
      <c r="BL701" s="99">
        <f t="shared" si="626"/>
        <v>-20.567000000000004</v>
      </c>
      <c r="BM701" s="99">
        <f t="shared" si="626"/>
        <v>-20.068999999999996</v>
      </c>
      <c r="BN701" s="467">
        <f t="shared" si="627"/>
        <v>-64.311999999999998</v>
      </c>
      <c r="BO701" s="99">
        <f t="shared" si="627"/>
        <v>-19.818999999999999</v>
      </c>
      <c r="BP701" s="99">
        <f t="shared" si="628"/>
        <v>-15.390000000000004</v>
      </c>
      <c r="BQ701" s="99">
        <f t="shared" si="628"/>
        <v>-16.43</v>
      </c>
      <c r="BR701" s="99">
        <f t="shared" si="628"/>
        <v>-17.244999999999997</v>
      </c>
      <c r="BS701" s="468">
        <f t="shared" si="629"/>
        <v>-68.884</v>
      </c>
      <c r="BT701" s="63"/>
      <c r="BU701" s="63"/>
      <c r="BV701" s="63"/>
      <c r="BW701" s="63"/>
      <c r="BX701" s="413">
        <f t="shared" si="630"/>
        <v>0</v>
      </c>
      <c r="BY701" s="63"/>
      <c r="BZ701" s="63"/>
      <c r="CA701" s="63"/>
      <c r="CB701" s="63"/>
      <c r="CC701" s="413">
        <f t="shared" si="631"/>
        <v>0</v>
      </c>
      <c r="CD701" s="413"/>
      <c r="CE701" s="413"/>
      <c r="CF701" s="413"/>
      <c r="CG701" s="99"/>
    </row>
    <row r="702" spans="1:85" ht="14.45" customHeight="1" x14ac:dyDescent="0.25">
      <c r="A702" s="125" t="str">
        <f t="shared" si="602"/>
        <v>Principal payments on capital lease obligations</v>
      </c>
      <c r="B702" s="63"/>
      <c r="C702" s="467">
        <f t="shared" ref="C702:G707" si="642">C616</f>
        <v>-3.2629999999999999</v>
      </c>
      <c r="D702" s="467">
        <f t="shared" si="642"/>
        <v>-3.8460000000000001</v>
      </c>
      <c r="E702" s="467">
        <f t="shared" si="642"/>
        <v>-3.839</v>
      </c>
      <c r="F702" s="467">
        <f t="shared" si="642"/>
        <v>-4.6820000000000004</v>
      </c>
      <c r="G702" s="99">
        <f t="shared" si="642"/>
        <v>-1.2749999999999999</v>
      </c>
      <c r="H702" s="99">
        <f t="shared" si="634"/>
        <v>-1.2970000000000002</v>
      </c>
      <c r="I702" s="99">
        <f t="shared" si="634"/>
        <v>-1.3540000000000001</v>
      </c>
      <c r="J702" s="99">
        <f t="shared" si="634"/>
        <v>-1.3810000000000002</v>
      </c>
      <c r="K702" s="467">
        <f t="shared" si="635"/>
        <v>-5.3070000000000004</v>
      </c>
      <c r="L702" s="99">
        <f t="shared" si="635"/>
        <v>-1.4490000000000001</v>
      </c>
      <c r="M702" s="99">
        <f t="shared" si="636"/>
        <v>-1.4759999999999998</v>
      </c>
      <c r="N702" s="99">
        <f t="shared" si="636"/>
        <v>-1.4950000000000001</v>
      </c>
      <c r="O702" s="99">
        <f t="shared" si="636"/>
        <v>-1.5190000000000001</v>
      </c>
      <c r="P702" s="467">
        <f t="shared" si="637"/>
        <v>-5.9390000000000001</v>
      </c>
      <c r="Q702" s="99">
        <f t="shared" si="637"/>
        <v>-1.619</v>
      </c>
      <c r="R702" s="99">
        <f t="shared" si="638"/>
        <v>-1.639</v>
      </c>
      <c r="S702" s="99">
        <f t="shared" si="638"/>
        <v>-1.6310000000000002</v>
      </c>
      <c r="T702" s="99">
        <f t="shared" si="638"/>
        <v>-1.6659999999999995</v>
      </c>
      <c r="U702" s="467">
        <f t="shared" si="639"/>
        <v>-6.5549999999999997</v>
      </c>
      <c r="V702" s="99">
        <f t="shared" si="639"/>
        <v>-1.726</v>
      </c>
      <c r="W702" s="99">
        <f t="shared" si="640"/>
        <v>-1.762</v>
      </c>
      <c r="X702" s="99">
        <f t="shared" si="640"/>
        <v>-1.7909999999999999</v>
      </c>
      <c r="Y702" s="99">
        <f t="shared" si="640"/>
        <v>-1.7839999999999998</v>
      </c>
      <c r="Z702" s="467">
        <f t="shared" si="641"/>
        <v>-7.0629999999999997</v>
      </c>
      <c r="AA702" s="99">
        <f t="shared" si="632"/>
        <v>-1.8280000000000001</v>
      </c>
      <c r="AB702" s="99">
        <f t="shared" si="612"/>
        <v>-1.8669999999999998</v>
      </c>
      <c r="AC702" s="99">
        <f t="shared" si="612"/>
        <v>-1.8990000000000005</v>
      </c>
      <c r="AD702" s="99">
        <f t="shared" si="612"/>
        <v>-1.891</v>
      </c>
      <c r="AE702" s="467">
        <f t="shared" si="613"/>
        <v>-7.4850000000000003</v>
      </c>
      <c r="AF702" s="99">
        <f t="shared" si="613"/>
        <v>-2.0529999999999999</v>
      </c>
      <c r="AG702" s="99">
        <f t="shared" si="614"/>
        <v>-2.141</v>
      </c>
      <c r="AH702" s="99">
        <f t="shared" si="614"/>
        <v>-1.9969999999999999</v>
      </c>
      <c r="AI702" s="99">
        <f t="shared" si="614"/>
        <v>-2.0300000000000002</v>
      </c>
      <c r="AJ702" s="467">
        <f t="shared" si="615"/>
        <v>-8.2210000000000001</v>
      </c>
      <c r="AK702" s="99">
        <f t="shared" si="615"/>
        <v>-2.1139999999999999</v>
      </c>
      <c r="AL702" s="99">
        <f t="shared" si="616"/>
        <v>-2.1470000000000002</v>
      </c>
      <c r="AM702" s="99">
        <f t="shared" si="616"/>
        <v>-2.1799999999999997</v>
      </c>
      <c r="AN702" s="99">
        <f t="shared" si="616"/>
        <v>-2.2150000000000007</v>
      </c>
      <c r="AO702" s="467">
        <f t="shared" si="617"/>
        <v>-8.6560000000000006</v>
      </c>
      <c r="AP702" s="99">
        <f t="shared" si="617"/>
        <v>-1.4850000000000001</v>
      </c>
      <c r="AQ702" s="99">
        <f t="shared" si="618"/>
        <v>-1.5159999999999998</v>
      </c>
      <c r="AR702" s="99">
        <f t="shared" si="618"/>
        <v>-1.427</v>
      </c>
      <c r="AS702" s="99">
        <f t="shared" si="618"/>
        <v>-1.4329999999999998</v>
      </c>
      <c r="AT702" s="467">
        <f t="shared" si="619"/>
        <v>-5.8609999999999998</v>
      </c>
      <c r="AU702" s="99">
        <f t="shared" si="619"/>
        <v>-1.4470000000000001</v>
      </c>
      <c r="AV702" s="99">
        <f t="shared" si="620"/>
        <v>-0.92099999999999982</v>
      </c>
      <c r="AW702" s="99">
        <f t="shared" si="620"/>
        <v>-1.1990000000000003</v>
      </c>
      <c r="AX702" s="99">
        <f t="shared" si="620"/>
        <v>-1.2109999999999994</v>
      </c>
      <c r="AY702" s="467">
        <f t="shared" si="621"/>
        <v>-4.7779999999999996</v>
      </c>
      <c r="AZ702" s="99">
        <f t="shared" si="621"/>
        <v>-1.375</v>
      </c>
      <c r="BA702" s="99">
        <f t="shared" si="622"/>
        <v>-0.52899999999999991</v>
      </c>
      <c r="BB702" s="99">
        <f t="shared" si="622"/>
        <v>-0.53699999999999992</v>
      </c>
      <c r="BC702" s="99">
        <f t="shared" si="622"/>
        <v>-0.54700000000000015</v>
      </c>
      <c r="BD702" s="467">
        <f t="shared" si="623"/>
        <v>-2.988</v>
      </c>
      <c r="BE702" s="99">
        <f t="shared" si="623"/>
        <v>-0.55800000000000005</v>
      </c>
      <c r="BF702" s="99">
        <f t="shared" si="624"/>
        <v>-0.57199999999999984</v>
      </c>
      <c r="BG702" s="99">
        <f t="shared" si="624"/>
        <v>-0.58200000000000007</v>
      </c>
      <c r="BH702" s="99">
        <f t="shared" si="624"/>
        <v>-0.59099999999999997</v>
      </c>
      <c r="BI702" s="467">
        <f t="shared" si="625"/>
        <v>-2.3029999999999999</v>
      </c>
      <c r="BJ702" s="99">
        <f t="shared" si="625"/>
        <v>-0.60099999999999998</v>
      </c>
      <c r="BK702" s="99">
        <f t="shared" si="626"/>
        <v>-0.62000000000000011</v>
      </c>
      <c r="BL702" s="99">
        <f t="shared" si="626"/>
        <v>-0.627</v>
      </c>
      <c r="BM702" s="99">
        <f t="shared" si="626"/>
        <v>-0.6399999999999999</v>
      </c>
      <c r="BN702" s="467">
        <f t="shared" si="627"/>
        <v>-2.488</v>
      </c>
      <c r="BO702" s="99">
        <f t="shared" si="627"/>
        <v>-0.65</v>
      </c>
      <c r="BP702" s="99">
        <f t="shared" si="628"/>
        <v>-0.67</v>
      </c>
      <c r="BQ702" s="99">
        <f t="shared" si="628"/>
        <v>-0.35499999999999998</v>
      </c>
      <c r="BR702" s="99">
        <f t="shared" si="628"/>
        <v>-0.1339999999999999</v>
      </c>
      <c r="BS702" s="468">
        <f t="shared" si="629"/>
        <v>-1.8089999999999999</v>
      </c>
      <c r="BT702" s="63"/>
      <c r="BU702" s="63"/>
      <c r="BV702" s="63"/>
      <c r="BW702" s="63"/>
      <c r="BX702" s="413">
        <f t="shared" si="630"/>
        <v>0</v>
      </c>
      <c r="BY702" s="63"/>
      <c r="BZ702" s="63"/>
      <c r="CA702" s="63"/>
      <c r="CB702" s="63"/>
      <c r="CC702" s="413">
        <f t="shared" si="631"/>
        <v>0</v>
      </c>
      <c r="CD702" s="413"/>
      <c r="CE702" s="413"/>
      <c r="CF702" s="413"/>
      <c r="CG702" s="99"/>
    </row>
    <row r="703" spans="1:85" ht="14.45" customHeight="1" x14ac:dyDescent="0.25">
      <c r="A703" s="125" t="str">
        <f t="shared" si="602"/>
        <v>Payments for the termination of interest rate lock agreements</v>
      </c>
      <c r="B703" s="63"/>
      <c r="C703" s="467">
        <f t="shared" si="642"/>
        <v>-0.34</v>
      </c>
      <c r="D703" s="467">
        <f t="shared" si="642"/>
        <v>0</v>
      </c>
      <c r="E703" s="467">
        <f t="shared" si="642"/>
        <v>0</v>
      </c>
      <c r="F703" s="467">
        <f t="shared" si="642"/>
        <v>0</v>
      </c>
      <c r="G703" s="99">
        <f t="shared" si="642"/>
        <v>0</v>
      </c>
      <c r="H703" s="99">
        <f t="shared" si="634"/>
        <v>0</v>
      </c>
      <c r="I703" s="99">
        <f t="shared" si="634"/>
        <v>0</v>
      </c>
      <c r="J703" s="99">
        <f t="shared" si="634"/>
        <v>0</v>
      </c>
      <c r="K703" s="467">
        <f t="shared" si="635"/>
        <v>0</v>
      </c>
      <c r="L703" s="99">
        <f t="shared" si="635"/>
        <v>0</v>
      </c>
      <c r="M703" s="99">
        <f t="shared" si="636"/>
        <v>0</v>
      </c>
      <c r="N703" s="99">
        <f t="shared" si="636"/>
        <v>0</v>
      </c>
      <c r="O703" s="99">
        <f t="shared" si="636"/>
        <v>0</v>
      </c>
      <c r="P703" s="467">
        <f t="shared" si="637"/>
        <v>0</v>
      </c>
      <c r="Q703" s="99">
        <f t="shared" si="637"/>
        <v>0</v>
      </c>
      <c r="R703" s="99">
        <f t="shared" si="638"/>
        <v>0</v>
      </c>
      <c r="S703" s="99">
        <f t="shared" si="638"/>
        <v>0</v>
      </c>
      <c r="T703" s="99">
        <f t="shared" si="638"/>
        <v>0</v>
      </c>
      <c r="U703" s="467">
        <f t="shared" si="639"/>
        <v>0</v>
      </c>
      <c r="V703" s="99">
        <f t="shared" si="639"/>
        <v>0</v>
      </c>
      <c r="W703" s="99">
        <f t="shared" si="640"/>
        <v>0</v>
      </c>
      <c r="X703" s="99">
        <f t="shared" si="640"/>
        <v>0</v>
      </c>
      <c r="Y703" s="99">
        <f t="shared" si="640"/>
        <v>0</v>
      </c>
      <c r="Z703" s="467">
        <f t="shared" si="641"/>
        <v>0</v>
      </c>
      <c r="AA703" s="99">
        <f t="shared" si="632"/>
        <v>0</v>
      </c>
      <c r="AB703" s="99">
        <f t="shared" si="612"/>
        <v>0</v>
      </c>
      <c r="AC703" s="99">
        <f t="shared" si="612"/>
        <v>0</v>
      </c>
      <c r="AD703" s="99">
        <f t="shared" si="612"/>
        <v>0</v>
      </c>
      <c r="AE703" s="467">
        <f t="shared" si="613"/>
        <v>0</v>
      </c>
      <c r="AF703" s="99">
        <f t="shared" si="613"/>
        <v>0</v>
      </c>
      <c r="AG703" s="99">
        <f t="shared" si="614"/>
        <v>0</v>
      </c>
      <c r="AH703" s="99">
        <f t="shared" si="614"/>
        <v>0</v>
      </c>
      <c r="AI703" s="99">
        <f t="shared" si="614"/>
        <v>0</v>
      </c>
      <c r="AJ703" s="467">
        <f t="shared" si="615"/>
        <v>0</v>
      </c>
      <c r="AK703" s="99">
        <f t="shared" si="615"/>
        <v>0</v>
      </c>
      <c r="AL703" s="99">
        <f t="shared" si="616"/>
        <v>0</v>
      </c>
      <c r="AM703" s="99">
        <f t="shared" si="616"/>
        <v>0</v>
      </c>
      <c r="AN703" s="99">
        <f t="shared" si="616"/>
        <v>0</v>
      </c>
      <c r="AO703" s="467">
        <f t="shared" si="617"/>
        <v>0</v>
      </c>
      <c r="AP703" s="99">
        <f t="shared" si="617"/>
        <v>0</v>
      </c>
      <c r="AQ703" s="99">
        <f t="shared" si="618"/>
        <v>0</v>
      </c>
      <c r="AR703" s="99">
        <f t="shared" si="618"/>
        <v>0</v>
      </c>
      <c r="AS703" s="99">
        <f t="shared" si="618"/>
        <v>0</v>
      </c>
      <c r="AT703" s="467">
        <f t="shared" si="619"/>
        <v>0</v>
      </c>
      <c r="AU703" s="99">
        <f t="shared" si="619"/>
        <v>0</v>
      </c>
      <c r="AV703" s="99">
        <f t="shared" si="620"/>
        <v>0</v>
      </c>
      <c r="AW703" s="99">
        <f t="shared" si="620"/>
        <v>0</v>
      </c>
      <c r="AX703" s="99">
        <f t="shared" si="620"/>
        <v>0</v>
      </c>
      <c r="AY703" s="467">
        <f t="shared" si="621"/>
        <v>0</v>
      </c>
      <c r="AZ703" s="99">
        <f t="shared" si="621"/>
        <v>0</v>
      </c>
      <c r="BA703" s="99">
        <f t="shared" si="622"/>
        <v>0</v>
      </c>
      <c r="BB703" s="99">
        <f t="shared" si="622"/>
        <v>0</v>
      </c>
      <c r="BC703" s="99">
        <f t="shared" si="622"/>
        <v>0</v>
      </c>
      <c r="BD703" s="467">
        <f t="shared" si="623"/>
        <v>0</v>
      </c>
      <c r="BE703" s="99">
        <f t="shared" si="623"/>
        <v>0</v>
      </c>
      <c r="BF703" s="99">
        <f t="shared" si="624"/>
        <v>0</v>
      </c>
      <c r="BG703" s="99">
        <f t="shared" si="624"/>
        <v>0</v>
      </c>
      <c r="BH703" s="99">
        <f t="shared" si="624"/>
        <v>0</v>
      </c>
      <c r="BI703" s="467">
        <f t="shared" si="625"/>
        <v>0</v>
      </c>
      <c r="BJ703" s="99">
        <f t="shared" si="625"/>
        <v>0</v>
      </c>
      <c r="BK703" s="99">
        <f t="shared" si="626"/>
        <v>0</v>
      </c>
      <c r="BL703" s="99">
        <f t="shared" si="626"/>
        <v>0</v>
      </c>
      <c r="BM703" s="99">
        <f t="shared" si="626"/>
        <v>0</v>
      </c>
      <c r="BN703" s="467">
        <f t="shared" si="627"/>
        <v>0</v>
      </c>
      <c r="BO703" s="99">
        <f t="shared" si="627"/>
        <v>0</v>
      </c>
      <c r="BP703" s="99">
        <f t="shared" si="628"/>
        <v>0</v>
      </c>
      <c r="BQ703" s="99">
        <f t="shared" si="628"/>
        <v>0</v>
      </c>
      <c r="BR703" s="99">
        <f t="shared" si="628"/>
        <v>0</v>
      </c>
      <c r="BS703" s="468">
        <f t="shared" si="629"/>
        <v>0</v>
      </c>
      <c r="BT703" s="63"/>
      <c r="BU703" s="63"/>
      <c r="BV703" s="63"/>
      <c r="BW703" s="63"/>
      <c r="BX703" s="413">
        <f t="shared" si="630"/>
        <v>0</v>
      </c>
      <c r="BY703" s="63"/>
      <c r="BZ703" s="63"/>
      <c r="CA703" s="63"/>
      <c r="CB703" s="63"/>
      <c r="CC703" s="413">
        <f t="shared" si="631"/>
        <v>0</v>
      </c>
      <c r="CD703" s="413"/>
      <c r="CE703" s="413"/>
      <c r="CF703" s="413"/>
      <c r="CG703" s="99"/>
    </row>
    <row r="704" spans="1:85" ht="14.45" customHeight="1" x14ac:dyDescent="0.25">
      <c r="A704" s="125" t="str">
        <f t="shared" si="602"/>
        <v>Debt issuance costs</v>
      </c>
      <c r="B704" s="63"/>
      <c r="C704" s="467">
        <f t="shared" si="642"/>
        <v>-1.042</v>
      </c>
      <c r="D704" s="467">
        <f t="shared" si="642"/>
        <v>0</v>
      </c>
      <c r="E704" s="467">
        <f t="shared" si="642"/>
        <v>-0.71599999999999997</v>
      </c>
      <c r="F704" s="467">
        <f t="shared" si="642"/>
        <v>0</v>
      </c>
      <c r="G704" s="99">
        <f t="shared" si="642"/>
        <v>0</v>
      </c>
      <c r="H704" s="99">
        <f t="shared" si="634"/>
        <v>0</v>
      </c>
      <c r="I704" s="99">
        <f t="shared" si="634"/>
        <v>0</v>
      </c>
      <c r="J704" s="99">
        <f t="shared" si="634"/>
        <v>0</v>
      </c>
      <c r="K704" s="467">
        <f t="shared" si="635"/>
        <v>0</v>
      </c>
      <c r="L704" s="99">
        <f t="shared" si="635"/>
        <v>0</v>
      </c>
      <c r="M704" s="99">
        <f t="shared" si="636"/>
        <v>0</v>
      </c>
      <c r="N704" s="99">
        <f t="shared" si="636"/>
        <v>0</v>
      </c>
      <c r="O704" s="99">
        <f t="shared" si="636"/>
        <v>-0.85299999999999998</v>
      </c>
      <c r="P704" s="467">
        <f t="shared" si="637"/>
        <v>-0.85299999999999998</v>
      </c>
      <c r="Q704" s="99">
        <f t="shared" si="637"/>
        <v>0</v>
      </c>
      <c r="R704" s="99">
        <f t="shared" si="638"/>
        <v>-0.214</v>
      </c>
      <c r="S704" s="99">
        <f t="shared" si="638"/>
        <v>0</v>
      </c>
      <c r="T704" s="99">
        <f t="shared" si="638"/>
        <v>-3.1779999999999999</v>
      </c>
      <c r="U704" s="467">
        <f t="shared" si="639"/>
        <v>-3.3919999999999999</v>
      </c>
      <c r="V704" s="99">
        <f t="shared" si="639"/>
        <v>0</v>
      </c>
      <c r="W704" s="99">
        <f t="shared" si="640"/>
        <v>0</v>
      </c>
      <c r="X704" s="99">
        <f t="shared" si="640"/>
        <v>0</v>
      </c>
      <c r="Y704" s="99">
        <f t="shared" si="640"/>
        <v>0</v>
      </c>
      <c r="Z704" s="467">
        <f t="shared" si="641"/>
        <v>0</v>
      </c>
      <c r="AA704" s="99">
        <f t="shared" si="632"/>
        <v>0</v>
      </c>
      <c r="AB704" s="99">
        <f t="shared" si="612"/>
        <v>0</v>
      </c>
      <c r="AC704" s="99">
        <f t="shared" si="612"/>
        <v>0</v>
      </c>
      <c r="AD704" s="99">
        <f t="shared" si="612"/>
        <v>0</v>
      </c>
      <c r="AE704" s="467">
        <f t="shared" si="613"/>
        <v>0</v>
      </c>
      <c r="AF704" s="99">
        <f t="shared" si="613"/>
        <v>-0.185</v>
      </c>
      <c r="AG704" s="99">
        <f t="shared" si="614"/>
        <v>-1.3499999999999999</v>
      </c>
      <c r="AH704" s="99">
        <f t="shared" si="614"/>
        <v>4.0000000000000036E-3</v>
      </c>
      <c r="AI704" s="99">
        <f t="shared" si="614"/>
        <v>0</v>
      </c>
      <c r="AJ704" s="467">
        <f t="shared" si="615"/>
        <v>-1.5309999999999999</v>
      </c>
      <c r="AK704" s="99">
        <f t="shared" si="615"/>
        <v>-0.183</v>
      </c>
      <c r="AL704" s="99">
        <f t="shared" si="616"/>
        <v>-8.2000000000000017E-2</v>
      </c>
      <c r="AM704" s="99">
        <f t="shared" si="616"/>
        <v>-3.999999999999998E-2</v>
      </c>
      <c r="AN704" s="99">
        <f t="shared" si="616"/>
        <v>-0.11499999999999999</v>
      </c>
      <c r="AO704" s="467">
        <f t="shared" si="617"/>
        <v>-0.42</v>
      </c>
      <c r="AP704" s="99">
        <f t="shared" si="617"/>
        <v>-4.5999999999999999E-2</v>
      </c>
      <c r="AQ704" s="99">
        <f t="shared" si="618"/>
        <v>-9.8999999999999991E-2</v>
      </c>
      <c r="AR704" s="99">
        <f t="shared" si="618"/>
        <v>0</v>
      </c>
      <c r="AS704" s="99">
        <f t="shared" si="618"/>
        <v>-8.3000000000000018E-2</v>
      </c>
      <c r="AT704" s="467">
        <f t="shared" si="619"/>
        <v>-0.22800000000000001</v>
      </c>
      <c r="AU704" s="99">
        <f t="shared" si="619"/>
        <v>-0.14699999999999999</v>
      </c>
      <c r="AV704" s="99">
        <f t="shared" si="620"/>
        <v>0</v>
      </c>
      <c r="AW704" s="99">
        <f t="shared" si="620"/>
        <v>-1.3089999999999999</v>
      </c>
      <c r="AX704" s="99">
        <f t="shared" si="620"/>
        <v>-8.6000000000000076E-2</v>
      </c>
      <c r="AY704" s="467">
        <f t="shared" si="621"/>
        <v>-1.542</v>
      </c>
      <c r="AZ704" s="99">
        <f t="shared" si="621"/>
        <v>-4.8000000000000001E-2</v>
      </c>
      <c r="BA704" s="99">
        <f t="shared" si="622"/>
        <v>-8.3000000000000004E-2</v>
      </c>
      <c r="BB704" s="99">
        <f t="shared" si="622"/>
        <v>-8.7999999999999995E-2</v>
      </c>
      <c r="BC704" s="99">
        <f t="shared" si="622"/>
        <v>-9.0999999999999998E-2</v>
      </c>
      <c r="BD704" s="467">
        <f t="shared" si="623"/>
        <v>-0.31</v>
      </c>
      <c r="BE704" s="99">
        <f t="shared" si="623"/>
        <v>-0.154</v>
      </c>
      <c r="BF704" s="99">
        <f t="shared" si="624"/>
        <v>0</v>
      </c>
      <c r="BG704" s="99">
        <f t="shared" si="624"/>
        <v>-0.09</v>
      </c>
      <c r="BH704" s="99">
        <f t="shared" si="624"/>
        <v>-9.600000000000003E-2</v>
      </c>
      <c r="BI704" s="467">
        <f t="shared" si="625"/>
        <v>-0.34</v>
      </c>
      <c r="BJ704" s="99">
        <f t="shared" si="625"/>
        <v>-5.2999999999999999E-2</v>
      </c>
      <c r="BK704" s="99">
        <f t="shared" si="626"/>
        <v>-12.158999999999999</v>
      </c>
      <c r="BL704" s="99">
        <f t="shared" si="626"/>
        <v>-3.1530000000000005</v>
      </c>
      <c r="BM704" s="99">
        <f t="shared" si="626"/>
        <v>-0.14700000000000024</v>
      </c>
      <c r="BN704" s="467">
        <f t="shared" si="627"/>
        <v>-15.512</v>
      </c>
      <c r="BO704" s="99">
        <f t="shared" si="627"/>
        <v>-0.23200000000000001</v>
      </c>
      <c r="BP704" s="99">
        <f t="shared" si="628"/>
        <v>-1.0000000000000009E-3</v>
      </c>
      <c r="BQ704" s="99">
        <f t="shared" si="628"/>
        <v>-3.4000000000000002E-2</v>
      </c>
      <c r="BR704" s="99">
        <f t="shared" si="628"/>
        <v>-3.129</v>
      </c>
      <c r="BS704" s="468">
        <f t="shared" si="629"/>
        <v>-3.3959999999999999</v>
      </c>
      <c r="BT704" s="63"/>
      <c r="BU704" s="63"/>
      <c r="BV704" s="63"/>
      <c r="BW704" s="63"/>
      <c r="BX704" s="413">
        <f t="shared" si="630"/>
        <v>0</v>
      </c>
      <c r="BY704" s="63"/>
      <c r="BZ704" s="63"/>
      <c r="CA704" s="63"/>
      <c r="CB704" s="63"/>
      <c r="CC704" s="413">
        <f t="shared" si="631"/>
        <v>0</v>
      </c>
      <c r="CD704" s="413"/>
      <c r="CE704" s="413"/>
      <c r="CF704" s="413"/>
      <c r="CG704" s="99"/>
    </row>
    <row r="705" spans="1:85" ht="14.45" customHeight="1" x14ac:dyDescent="0.25">
      <c r="A705" s="125" t="str">
        <f t="shared" si="602"/>
        <v>Payments related to share repurchases</v>
      </c>
      <c r="B705" s="63"/>
      <c r="C705" s="467">
        <f t="shared" si="642"/>
        <v>0</v>
      </c>
      <c r="D705" s="467">
        <f t="shared" si="642"/>
        <v>0</v>
      </c>
      <c r="E705" s="467">
        <f t="shared" si="642"/>
        <v>0</v>
      </c>
      <c r="F705" s="467">
        <f t="shared" si="642"/>
        <v>0</v>
      </c>
      <c r="G705" s="99">
        <f t="shared" si="642"/>
        <v>0</v>
      </c>
      <c r="H705" s="99">
        <f t="shared" si="634"/>
        <v>0</v>
      </c>
      <c r="I705" s="99">
        <f t="shared" si="634"/>
        <v>0</v>
      </c>
      <c r="J705" s="99">
        <f t="shared" si="634"/>
        <v>0</v>
      </c>
      <c r="K705" s="467">
        <f t="shared" si="635"/>
        <v>0</v>
      </c>
      <c r="L705" s="99">
        <f t="shared" si="635"/>
        <v>0</v>
      </c>
      <c r="M705" s="99">
        <f t="shared" si="636"/>
        <v>0</v>
      </c>
      <c r="N705" s="99">
        <f t="shared" si="636"/>
        <v>0</v>
      </c>
      <c r="O705" s="99">
        <f t="shared" si="636"/>
        <v>0</v>
      </c>
      <c r="P705" s="467">
        <f t="shared" si="637"/>
        <v>0</v>
      </c>
      <c r="Q705" s="99">
        <f t="shared" si="637"/>
        <v>0</v>
      </c>
      <c r="R705" s="99">
        <f t="shared" si="638"/>
        <v>0</v>
      </c>
      <c r="S705" s="99">
        <f t="shared" si="638"/>
        <v>0</v>
      </c>
      <c r="T705" s="99">
        <f t="shared" si="638"/>
        <v>0</v>
      </c>
      <c r="U705" s="467">
        <f t="shared" si="639"/>
        <v>0</v>
      </c>
      <c r="V705" s="99">
        <f t="shared" si="639"/>
        <v>0</v>
      </c>
      <c r="W705" s="99">
        <f t="shared" si="640"/>
        <v>0</v>
      </c>
      <c r="X705" s="99">
        <f t="shared" si="640"/>
        <v>0</v>
      </c>
      <c r="Y705" s="99">
        <f t="shared" si="640"/>
        <v>0</v>
      </c>
      <c r="Z705" s="467">
        <f t="shared" si="641"/>
        <v>0</v>
      </c>
      <c r="AA705" s="99">
        <f t="shared" si="632"/>
        <v>0</v>
      </c>
      <c r="AB705" s="99">
        <f t="shared" si="612"/>
        <v>0</v>
      </c>
      <c r="AC705" s="99">
        <f t="shared" si="612"/>
        <v>0</v>
      </c>
      <c r="AD705" s="99">
        <f t="shared" si="612"/>
        <v>0</v>
      </c>
      <c r="AE705" s="467">
        <f t="shared" si="613"/>
        <v>0</v>
      </c>
      <c r="AF705" s="99">
        <f t="shared" si="613"/>
        <v>0</v>
      </c>
      <c r="AG705" s="99">
        <f t="shared" si="614"/>
        <v>0</v>
      </c>
      <c r="AH705" s="99">
        <f t="shared" si="614"/>
        <v>0</v>
      </c>
      <c r="AI705" s="99">
        <f t="shared" si="614"/>
        <v>0</v>
      </c>
      <c r="AJ705" s="467">
        <f t="shared" si="615"/>
        <v>0</v>
      </c>
      <c r="AK705" s="99">
        <f t="shared" si="615"/>
        <v>0</v>
      </c>
      <c r="AL705" s="99">
        <f t="shared" si="616"/>
        <v>0</v>
      </c>
      <c r="AM705" s="99">
        <f t="shared" si="616"/>
        <v>0</v>
      </c>
      <c r="AN705" s="99">
        <f t="shared" si="616"/>
        <v>0</v>
      </c>
      <c r="AO705" s="467">
        <f t="shared" si="617"/>
        <v>0</v>
      </c>
      <c r="AP705" s="99">
        <f t="shared" si="617"/>
        <v>0</v>
      </c>
      <c r="AQ705" s="99">
        <f t="shared" si="618"/>
        <v>0</v>
      </c>
      <c r="AR705" s="99">
        <f t="shared" si="618"/>
        <v>0</v>
      </c>
      <c r="AS705" s="99">
        <f t="shared" si="618"/>
        <v>0</v>
      </c>
      <c r="AT705" s="467">
        <f t="shared" si="619"/>
        <v>0</v>
      </c>
      <c r="AU705" s="99">
        <f t="shared" si="619"/>
        <v>0</v>
      </c>
      <c r="AV705" s="99">
        <f t="shared" si="620"/>
        <v>0</v>
      </c>
      <c r="AW705" s="99">
        <f t="shared" si="620"/>
        <v>0</v>
      </c>
      <c r="AX705" s="99">
        <f t="shared" si="620"/>
        <v>0</v>
      </c>
      <c r="AY705" s="467">
        <f t="shared" si="621"/>
        <v>0</v>
      </c>
      <c r="AZ705" s="99">
        <f t="shared" si="621"/>
        <v>0</v>
      </c>
      <c r="BA705" s="99">
        <f t="shared" si="622"/>
        <v>0</v>
      </c>
      <c r="BB705" s="99">
        <f t="shared" si="622"/>
        <v>0</v>
      </c>
      <c r="BC705" s="99">
        <f t="shared" si="622"/>
        <v>0</v>
      </c>
      <c r="BD705" s="467">
        <f t="shared" si="623"/>
        <v>0</v>
      </c>
      <c r="BE705" s="99">
        <f t="shared" si="623"/>
        <v>0</v>
      </c>
      <c r="BF705" s="99">
        <f t="shared" si="624"/>
        <v>0</v>
      </c>
      <c r="BG705" s="99">
        <f t="shared" si="624"/>
        <v>0</v>
      </c>
      <c r="BH705" s="99">
        <f t="shared" si="624"/>
        <v>0</v>
      </c>
      <c r="BI705" s="467">
        <f t="shared" si="625"/>
        <v>0</v>
      </c>
      <c r="BJ705" s="99">
        <f t="shared" si="625"/>
        <v>0</v>
      </c>
      <c r="BK705" s="99">
        <f t="shared" si="626"/>
        <v>-14.471</v>
      </c>
      <c r="BL705" s="99">
        <f t="shared" si="626"/>
        <v>-559.53800000000001</v>
      </c>
      <c r="BM705" s="99">
        <f t="shared" si="626"/>
        <v>-51.644999999999982</v>
      </c>
      <c r="BN705" s="467">
        <f t="shared" si="627"/>
        <v>-625.654</v>
      </c>
      <c r="BO705" s="99">
        <f t="shared" si="627"/>
        <v>0</v>
      </c>
      <c r="BP705" s="99">
        <f t="shared" si="628"/>
        <v>-34.409999999999997</v>
      </c>
      <c r="BQ705" s="99">
        <f t="shared" si="628"/>
        <v>-111.28800000000001</v>
      </c>
      <c r="BR705" s="99">
        <f t="shared" si="628"/>
        <v>-2460.3330000000001</v>
      </c>
      <c r="BS705" s="468">
        <f t="shared" si="629"/>
        <v>-2606.0309999999999</v>
      </c>
      <c r="BT705" s="63"/>
      <c r="BU705" s="63"/>
      <c r="BV705" s="63"/>
      <c r="BW705" s="63"/>
      <c r="BX705" s="413">
        <f t="shared" si="630"/>
        <v>0</v>
      </c>
      <c r="BY705" s="63"/>
      <c r="BZ705" s="63"/>
      <c r="CA705" s="63"/>
      <c r="CB705" s="63"/>
      <c r="CC705" s="413">
        <f t="shared" si="631"/>
        <v>0</v>
      </c>
      <c r="CD705" s="413"/>
      <c r="CE705" s="413"/>
      <c r="CF705" s="413"/>
      <c r="CG705" s="99"/>
    </row>
    <row r="706" spans="1:85" ht="14.45" customHeight="1" x14ac:dyDescent="0.25">
      <c r="A706" s="189" t="str">
        <f t="shared" si="602"/>
        <v>Repurchase of common stock</v>
      </c>
      <c r="B706" s="63"/>
      <c r="C706" s="413">
        <f t="shared" si="642"/>
        <v>0</v>
      </c>
      <c r="D706" s="413">
        <f t="shared" si="642"/>
        <v>0</v>
      </c>
      <c r="E706" s="413">
        <f t="shared" si="642"/>
        <v>0</v>
      </c>
      <c r="F706" s="413">
        <f t="shared" si="642"/>
        <v>0</v>
      </c>
      <c r="G706" s="63">
        <f t="shared" si="642"/>
        <v>0</v>
      </c>
      <c r="H706" s="63">
        <f t="shared" si="634"/>
        <v>0</v>
      </c>
      <c r="I706" s="63">
        <f t="shared" si="634"/>
        <v>0</v>
      </c>
      <c r="J706" s="63">
        <f t="shared" si="634"/>
        <v>0</v>
      </c>
      <c r="K706" s="413">
        <f t="shared" si="635"/>
        <v>0</v>
      </c>
      <c r="L706" s="63">
        <f t="shared" si="635"/>
        <v>0</v>
      </c>
      <c r="M706" s="63">
        <f t="shared" si="636"/>
        <v>0</v>
      </c>
      <c r="N706" s="63">
        <f t="shared" si="636"/>
        <v>0</v>
      </c>
      <c r="O706" s="63">
        <f t="shared" si="636"/>
        <v>0</v>
      </c>
      <c r="P706" s="413">
        <f t="shared" si="637"/>
        <v>0</v>
      </c>
      <c r="Q706" s="63">
        <f t="shared" si="637"/>
        <v>0</v>
      </c>
      <c r="R706" s="63">
        <f t="shared" si="638"/>
        <v>0</v>
      </c>
      <c r="S706" s="63">
        <f t="shared" si="638"/>
        <v>0</v>
      </c>
      <c r="T706" s="63">
        <f t="shared" si="638"/>
        <v>0</v>
      </c>
      <c r="U706" s="413">
        <f t="shared" si="639"/>
        <v>0</v>
      </c>
      <c r="V706" s="63">
        <f t="shared" si="639"/>
        <v>0</v>
      </c>
      <c r="W706" s="63">
        <f t="shared" si="640"/>
        <v>0</v>
      </c>
      <c r="X706" s="63">
        <f t="shared" si="640"/>
        <v>0</v>
      </c>
      <c r="Y706" s="63">
        <f t="shared" si="640"/>
        <v>0</v>
      </c>
      <c r="Z706" s="413">
        <f t="shared" si="641"/>
        <v>0</v>
      </c>
      <c r="AA706" s="63">
        <f t="shared" si="632"/>
        <v>0</v>
      </c>
      <c r="AB706" s="63">
        <f t="shared" si="612"/>
        <v>0</v>
      </c>
      <c r="AC706" s="63">
        <f t="shared" si="612"/>
        <v>0</v>
      </c>
      <c r="AD706" s="63">
        <f t="shared" si="612"/>
        <v>0</v>
      </c>
      <c r="AE706" s="413">
        <f t="shared" si="613"/>
        <v>0</v>
      </c>
      <c r="AF706" s="63">
        <f t="shared" si="613"/>
        <v>0</v>
      </c>
      <c r="AG706" s="63">
        <f t="shared" si="614"/>
        <v>0</v>
      </c>
      <c r="AH706" s="63">
        <f t="shared" si="614"/>
        <v>0</v>
      </c>
      <c r="AI706" s="63">
        <f t="shared" si="614"/>
        <v>0</v>
      </c>
      <c r="AJ706" s="413">
        <f t="shared" si="615"/>
        <v>0</v>
      </c>
      <c r="AK706" s="63">
        <f t="shared" si="615"/>
        <v>0</v>
      </c>
      <c r="AL706" s="63">
        <f t="shared" si="616"/>
        <v>0</v>
      </c>
      <c r="AM706" s="63">
        <f t="shared" si="616"/>
        <v>0</v>
      </c>
      <c r="AN706" s="63">
        <f t="shared" si="616"/>
        <v>0</v>
      </c>
      <c r="AO706" s="413">
        <f t="shared" si="617"/>
        <v>0</v>
      </c>
      <c r="AP706" s="63">
        <f t="shared" si="617"/>
        <v>0</v>
      </c>
      <c r="AQ706" s="63">
        <f t="shared" si="618"/>
        <v>0</v>
      </c>
      <c r="AR706" s="63">
        <f t="shared" si="618"/>
        <v>0</v>
      </c>
      <c r="AS706" s="63">
        <f t="shared" si="618"/>
        <v>0</v>
      </c>
      <c r="AT706" s="413">
        <f t="shared" si="619"/>
        <v>0</v>
      </c>
      <c r="AU706" s="63">
        <f t="shared" si="619"/>
        <v>0</v>
      </c>
      <c r="AV706" s="63">
        <f t="shared" si="620"/>
        <v>0</v>
      </c>
      <c r="AW706" s="63">
        <f t="shared" si="620"/>
        <v>0</v>
      </c>
      <c r="AX706" s="63">
        <f t="shared" si="620"/>
        <v>0</v>
      </c>
      <c r="AY706" s="413">
        <f t="shared" si="621"/>
        <v>0</v>
      </c>
      <c r="AZ706" s="63">
        <f t="shared" si="621"/>
        <v>0</v>
      </c>
      <c r="BA706" s="63">
        <f t="shared" si="622"/>
        <v>0</v>
      </c>
      <c r="BB706" s="63">
        <f t="shared" si="622"/>
        <v>0</v>
      </c>
      <c r="BC706" s="63">
        <f t="shared" si="622"/>
        <v>0</v>
      </c>
      <c r="BD706" s="413">
        <f t="shared" si="623"/>
        <v>0</v>
      </c>
      <c r="BE706" s="63">
        <f t="shared" si="623"/>
        <v>0</v>
      </c>
      <c r="BF706" s="63">
        <f t="shared" si="624"/>
        <v>0</v>
      </c>
      <c r="BG706" s="63">
        <f t="shared" si="624"/>
        <v>0</v>
      </c>
      <c r="BH706" s="63">
        <f t="shared" si="624"/>
        <v>0</v>
      </c>
      <c r="BI706" s="413">
        <f t="shared" si="625"/>
        <v>0</v>
      </c>
      <c r="BJ706" s="63">
        <f t="shared" si="625"/>
        <v>0</v>
      </c>
      <c r="BK706" s="63">
        <f t="shared" si="626"/>
        <v>0</v>
      </c>
      <c r="BL706" s="63">
        <f t="shared" si="626"/>
        <v>0</v>
      </c>
      <c r="BM706" s="63">
        <f t="shared" si="626"/>
        <v>0</v>
      </c>
      <c r="BN706" s="413">
        <f t="shared" si="627"/>
        <v>0</v>
      </c>
      <c r="BO706" s="63">
        <f t="shared" si="627"/>
        <v>0</v>
      </c>
      <c r="BP706" s="63">
        <f t="shared" si="628"/>
        <v>0</v>
      </c>
      <c r="BQ706" s="63">
        <f t="shared" si="628"/>
        <v>0</v>
      </c>
      <c r="BR706" s="63">
        <f t="shared" si="628"/>
        <v>0</v>
      </c>
      <c r="BS706" s="425">
        <f t="shared" si="629"/>
        <v>0</v>
      </c>
      <c r="BT706" s="63">
        <f>BT492</f>
        <v>0</v>
      </c>
      <c r="BU706" s="63">
        <f>BU492</f>
        <v>0</v>
      </c>
      <c r="BV706" s="63">
        <f>BV492</f>
        <v>0</v>
      </c>
      <c r="BW706" s="63">
        <f>BW492</f>
        <v>0</v>
      </c>
      <c r="BX706" s="413">
        <f t="shared" si="630"/>
        <v>0</v>
      </c>
      <c r="BY706" s="63">
        <f>BY492</f>
        <v>0</v>
      </c>
      <c r="BZ706" s="63">
        <f>BZ492</f>
        <v>0</v>
      </c>
      <c r="CA706" s="63">
        <f>CA492</f>
        <v>0</v>
      </c>
      <c r="CB706" s="63">
        <f>CB492</f>
        <v>0</v>
      </c>
      <c r="CC706" s="413">
        <f t="shared" si="631"/>
        <v>0</v>
      </c>
      <c r="CD706" s="413">
        <f>CD492</f>
        <v>0</v>
      </c>
      <c r="CE706" s="413">
        <f>CE492</f>
        <v>0</v>
      </c>
      <c r="CF706" s="413">
        <f>CF492</f>
        <v>0</v>
      </c>
      <c r="CG706" s="99"/>
    </row>
    <row r="707" spans="1:85" ht="14.45" customHeight="1" x14ac:dyDescent="0.25">
      <c r="A707" s="130" t="str">
        <f t="shared" si="602"/>
        <v>Other</v>
      </c>
      <c r="B707" s="158"/>
      <c r="C707" s="520">
        <f t="shared" si="642"/>
        <v>-0.14499999999999999</v>
      </c>
      <c r="D707" s="520">
        <f t="shared" si="642"/>
        <v>-8.7999999999999995E-2</v>
      </c>
      <c r="E707" s="520">
        <f t="shared" si="642"/>
        <v>-0.183</v>
      </c>
      <c r="F707" s="520">
        <f t="shared" si="642"/>
        <v>-0.13600000000000001</v>
      </c>
      <c r="G707" s="103">
        <f t="shared" si="642"/>
        <v>-0.06</v>
      </c>
      <c r="H707" s="103">
        <f t="shared" si="634"/>
        <v>0</v>
      </c>
      <c r="I707" s="103">
        <f t="shared" si="634"/>
        <v>-2.8999999999999998E-2</v>
      </c>
      <c r="J707" s="103">
        <f t="shared" si="634"/>
        <v>-5.7999999999999996E-2</v>
      </c>
      <c r="K707" s="520">
        <f t="shared" si="635"/>
        <v>-0.14699999999999999</v>
      </c>
      <c r="L707" s="103">
        <f t="shared" si="635"/>
        <v>-6.2E-2</v>
      </c>
      <c r="M707" s="103">
        <f t="shared" si="636"/>
        <v>-6.6000000000000003E-2</v>
      </c>
      <c r="N707" s="103">
        <f t="shared" si="636"/>
        <v>-3.4000000000000002E-2</v>
      </c>
      <c r="O707" s="103">
        <f t="shared" si="636"/>
        <v>-6.2E-2</v>
      </c>
      <c r="P707" s="520">
        <f t="shared" si="637"/>
        <v>-0.224</v>
      </c>
      <c r="Q707" s="103">
        <f t="shared" si="637"/>
        <v>-8.7999999999999995E-2</v>
      </c>
      <c r="R707" s="103">
        <f t="shared" si="638"/>
        <v>0</v>
      </c>
      <c r="S707" s="103">
        <f t="shared" si="638"/>
        <v>0</v>
      </c>
      <c r="T707" s="103">
        <f t="shared" si="638"/>
        <v>-9.6000000000000002E-2</v>
      </c>
      <c r="U707" s="520">
        <f t="shared" si="639"/>
        <v>-0.184</v>
      </c>
      <c r="V707" s="103">
        <f t="shared" si="639"/>
        <v>9.1999999999999998E-2</v>
      </c>
      <c r="W707" s="103">
        <f t="shared" si="640"/>
        <v>-0.96899999999999997</v>
      </c>
      <c r="X707" s="103">
        <f t="shared" si="640"/>
        <v>1.0000000000000009E-2</v>
      </c>
      <c r="Y707" s="103">
        <f t="shared" si="640"/>
        <v>-7.2999999999999954E-2</v>
      </c>
      <c r="Z707" s="520">
        <f t="shared" si="641"/>
        <v>-0.94</v>
      </c>
      <c r="AA707" s="103">
        <f t="shared" si="632"/>
        <v>-0.21299999999999999</v>
      </c>
      <c r="AB707" s="103">
        <f t="shared" si="612"/>
        <v>0</v>
      </c>
      <c r="AC707" s="103">
        <f t="shared" si="612"/>
        <v>0</v>
      </c>
      <c r="AD707" s="103">
        <f t="shared" si="612"/>
        <v>-0.10500000000000001</v>
      </c>
      <c r="AE707" s="520">
        <f t="shared" si="613"/>
        <v>-0.318</v>
      </c>
      <c r="AF707" s="103">
        <f t="shared" si="613"/>
        <v>0</v>
      </c>
      <c r="AG707" s="103">
        <f t="shared" si="614"/>
        <v>0</v>
      </c>
      <c r="AH707" s="103">
        <f t="shared" si="614"/>
        <v>0</v>
      </c>
      <c r="AI707" s="103">
        <f t="shared" si="614"/>
        <v>0</v>
      </c>
      <c r="AJ707" s="520">
        <f t="shared" si="615"/>
        <v>0</v>
      </c>
      <c r="AK707" s="103">
        <f t="shared" si="615"/>
        <v>0</v>
      </c>
      <c r="AL707" s="103">
        <f t="shared" si="616"/>
        <v>0</v>
      </c>
      <c r="AM707" s="103">
        <f t="shared" si="616"/>
        <v>0</v>
      </c>
      <c r="AN707" s="103">
        <f t="shared" si="616"/>
        <v>0</v>
      </c>
      <c r="AO707" s="520">
        <f t="shared" si="617"/>
        <v>0</v>
      </c>
      <c r="AP707" s="103">
        <f t="shared" si="617"/>
        <v>0</v>
      </c>
      <c r="AQ707" s="103">
        <f t="shared" si="618"/>
        <v>0</v>
      </c>
      <c r="AR707" s="103">
        <f t="shared" si="618"/>
        <v>0</v>
      </c>
      <c r="AS707" s="103">
        <f t="shared" si="618"/>
        <v>0</v>
      </c>
      <c r="AT707" s="520">
        <f t="shared" si="619"/>
        <v>0</v>
      </c>
      <c r="AU707" s="103">
        <f t="shared" si="619"/>
        <v>0</v>
      </c>
      <c r="AV707" s="103">
        <f t="shared" si="620"/>
        <v>0</v>
      </c>
      <c r="AW707" s="103">
        <f t="shared" si="620"/>
        <v>0</v>
      </c>
      <c r="AX707" s="103">
        <f t="shared" si="620"/>
        <v>0</v>
      </c>
      <c r="AY707" s="520">
        <f t="shared" si="621"/>
        <v>0</v>
      </c>
      <c r="AZ707" s="103">
        <f t="shared" si="621"/>
        <v>0</v>
      </c>
      <c r="BA707" s="103">
        <f t="shared" si="622"/>
        <v>0</v>
      </c>
      <c r="BB707" s="103">
        <f t="shared" si="622"/>
        <v>0</v>
      </c>
      <c r="BC707" s="103">
        <f t="shared" si="622"/>
        <v>0</v>
      </c>
      <c r="BD707" s="520">
        <f t="shared" si="623"/>
        <v>0</v>
      </c>
      <c r="BE707" s="103">
        <f t="shared" si="623"/>
        <v>0</v>
      </c>
      <c r="BF707" s="103">
        <f t="shared" si="624"/>
        <v>0</v>
      </c>
      <c r="BG707" s="103">
        <f t="shared" si="624"/>
        <v>0</v>
      </c>
      <c r="BH707" s="103">
        <f t="shared" si="624"/>
        <v>0</v>
      </c>
      <c r="BI707" s="520">
        <f t="shared" si="625"/>
        <v>0</v>
      </c>
      <c r="BJ707" s="103">
        <f t="shared" si="625"/>
        <v>0</v>
      </c>
      <c r="BK707" s="103">
        <f t="shared" si="626"/>
        <v>0</v>
      </c>
      <c r="BL707" s="103">
        <f t="shared" si="626"/>
        <v>0</v>
      </c>
      <c r="BM707" s="103">
        <f t="shared" si="626"/>
        <v>0</v>
      </c>
      <c r="BN707" s="520">
        <f t="shared" si="627"/>
        <v>0</v>
      </c>
      <c r="BO707" s="103">
        <f t="shared" si="627"/>
        <v>0</v>
      </c>
      <c r="BP707" s="103">
        <f t="shared" si="628"/>
        <v>0</v>
      </c>
      <c r="BQ707" s="103">
        <f t="shared" si="628"/>
        <v>0</v>
      </c>
      <c r="BR707" s="103">
        <f t="shared" si="628"/>
        <v>0</v>
      </c>
      <c r="BS707" s="521">
        <f t="shared" si="629"/>
        <v>0</v>
      </c>
      <c r="BT707" s="158"/>
      <c r="BU707" s="158"/>
      <c r="BV707" s="158"/>
      <c r="BW707" s="158"/>
      <c r="BX707" s="415">
        <f t="shared" si="630"/>
        <v>0</v>
      </c>
      <c r="BY707" s="158"/>
      <c r="BZ707" s="158"/>
      <c r="CA707" s="158"/>
      <c r="CB707" s="158"/>
      <c r="CC707" s="415">
        <f t="shared" si="631"/>
        <v>0</v>
      </c>
      <c r="CD707" s="415"/>
      <c r="CE707" s="415"/>
      <c r="CF707" s="415"/>
      <c r="CG707" s="99"/>
    </row>
    <row r="708" spans="1:85" ht="14.45" customHeight="1" x14ac:dyDescent="0.25">
      <c r="A708" s="110" t="str">
        <f t="shared" si="602"/>
        <v>Net CFF</v>
      </c>
      <c r="B708" s="212"/>
      <c r="C708" s="416">
        <f t="shared" ref="C708:AH708" si="643">SUM(C684:C707)</f>
        <v>-67.583000000000013</v>
      </c>
      <c r="D708" s="416">
        <f t="shared" si="643"/>
        <v>-28.036999999999999</v>
      </c>
      <c r="E708" s="416">
        <f t="shared" si="643"/>
        <v>-13.879999999999999</v>
      </c>
      <c r="F708" s="416">
        <f t="shared" si="643"/>
        <v>-113.961</v>
      </c>
      <c r="G708" s="106">
        <f t="shared" si="643"/>
        <v>31.358000000000001</v>
      </c>
      <c r="H708" s="106">
        <f t="shared" si="643"/>
        <v>-13.610000000000001</v>
      </c>
      <c r="I708" s="106">
        <f t="shared" si="643"/>
        <v>-38.696000000000005</v>
      </c>
      <c r="J708" s="106">
        <f t="shared" si="643"/>
        <v>-18.767999999999997</v>
      </c>
      <c r="K708" s="416">
        <f t="shared" si="643"/>
        <v>-39.716000000000001</v>
      </c>
      <c r="L708" s="106">
        <f t="shared" si="643"/>
        <v>31.177</v>
      </c>
      <c r="M708" s="106">
        <f t="shared" si="643"/>
        <v>16.315000000000001</v>
      </c>
      <c r="N708" s="106">
        <f t="shared" si="643"/>
        <v>-13.846000000000002</v>
      </c>
      <c r="O708" s="106">
        <f t="shared" si="643"/>
        <v>-3.9639999999999991</v>
      </c>
      <c r="P708" s="416">
        <f t="shared" si="643"/>
        <v>29.681999999999999</v>
      </c>
      <c r="Q708" s="106">
        <f t="shared" si="643"/>
        <v>77.975999999999999</v>
      </c>
      <c r="R708" s="106">
        <f t="shared" si="643"/>
        <v>32.033999999999999</v>
      </c>
      <c r="S708" s="106">
        <f t="shared" si="643"/>
        <v>-20.57</v>
      </c>
      <c r="T708" s="106">
        <f t="shared" si="643"/>
        <v>66.016000000000005</v>
      </c>
      <c r="U708" s="416">
        <f t="shared" si="643"/>
        <v>155.45600000000002</v>
      </c>
      <c r="V708" s="106">
        <f t="shared" si="643"/>
        <v>131.084</v>
      </c>
      <c r="W708" s="106">
        <f t="shared" si="643"/>
        <v>62.216000000000001</v>
      </c>
      <c r="X708" s="106">
        <f t="shared" si="643"/>
        <v>-16.652999999999999</v>
      </c>
      <c r="Y708" s="106">
        <f t="shared" si="643"/>
        <v>79.736000000000004</v>
      </c>
      <c r="Z708" s="416">
        <f t="shared" si="643"/>
        <v>256.38299999999998</v>
      </c>
      <c r="AA708" s="106">
        <f t="shared" si="643"/>
        <v>90.631</v>
      </c>
      <c r="AB708" s="106">
        <f t="shared" si="643"/>
        <v>67.242999999999995</v>
      </c>
      <c r="AC708" s="106">
        <f t="shared" si="643"/>
        <v>37.673999999999999</v>
      </c>
      <c r="AD708" s="106">
        <f t="shared" si="643"/>
        <v>-49.416999999999994</v>
      </c>
      <c r="AE708" s="416">
        <f t="shared" si="643"/>
        <v>146.13099999999997</v>
      </c>
      <c r="AF708" s="106">
        <f t="shared" si="643"/>
        <v>112.547</v>
      </c>
      <c r="AG708" s="106">
        <f t="shared" si="643"/>
        <v>-91.21</v>
      </c>
      <c r="AH708" s="106">
        <f t="shared" si="643"/>
        <v>51.114999999999995</v>
      </c>
      <c r="AI708" s="106">
        <f t="shared" ref="AI708:BN708" si="644">SUM(AI684:AI707)</f>
        <v>-100.74</v>
      </c>
      <c r="AJ708" s="416">
        <f t="shared" si="644"/>
        <v>-28.288</v>
      </c>
      <c r="AK708" s="106">
        <f t="shared" si="644"/>
        <v>23.126999999999999</v>
      </c>
      <c r="AL708" s="106">
        <f t="shared" si="644"/>
        <v>-57.671000000000006</v>
      </c>
      <c r="AM708" s="106">
        <f t="shared" si="644"/>
        <v>-75.511999999999986</v>
      </c>
      <c r="AN708" s="106">
        <f t="shared" si="644"/>
        <v>-10.571</v>
      </c>
      <c r="AO708" s="416">
        <f t="shared" si="644"/>
        <v>-120.62700000000001</v>
      </c>
      <c r="AP708" s="106">
        <f t="shared" si="644"/>
        <v>38.173000000000002</v>
      </c>
      <c r="AQ708" s="106">
        <f t="shared" si="644"/>
        <v>-126.536</v>
      </c>
      <c r="AR708" s="106">
        <f t="shared" si="644"/>
        <v>-22.739000000000001</v>
      </c>
      <c r="AS708" s="106">
        <f t="shared" si="644"/>
        <v>-137.761</v>
      </c>
      <c r="AT708" s="416">
        <f t="shared" si="644"/>
        <v>-248.863</v>
      </c>
      <c r="AU708" s="106">
        <f t="shared" si="644"/>
        <v>-45.233000000000004</v>
      </c>
      <c r="AV708" s="106">
        <f t="shared" si="644"/>
        <v>-144.38899999999998</v>
      </c>
      <c r="AW708" s="106">
        <f t="shared" si="644"/>
        <v>1.4290000000000009</v>
      </c>
      <c r="AX708" s="106">
        <f t="shared" si="644"/>
        <v>-84.097999999999985</v>
      </c>
      <c r="AY708" s="416">
        <f t="shared" si="644"/>
        <v>-272.291</v>
      </c>
      <c r="AZ708" s="106">
        <f t="shared" si="644"/>
        <v>-13.588999999999999</v>
      </c>
      <c r="BA708" s="106">
        <f t="shared" si="644"/>
        <v>-11.843000000000002</v>
      </c>
      <c r="BB708" s="106">
        <f t="shared" si="644"/>
        <v>-137.679</v>
      </c>
      <c r="BC708" s="106">
        <f t="shared" si="644"/>
        <v>-11.076000000000002</v>
      </c>
      <c r="BD708" s="416">
        <f t="shared" si="644"/>
        <v>-174.18700000000001</v>
      </c>
      <c r="BE708" s="106">
        <f t="shared" si="644"/>
        <v>-40.019000000000005</v>
      </c>
      <c r="BF708" s="106">
        <f t="shared" si="644"/>
        <v>-12.135999999999996</v>
      </c>
      <c r="BG708" s="106">
        <f t="shared" si="644"/>
        <v>-12.962000000000005</v>
      </c>
      <c r="BH708" s="106">
        <f t="shared" si="644"/>
        <v>-12.601999999999999</v>
      </c>
      <c r="BI708" s="416">
        <f t="shared" si="644"/>
        <v>-77.718999999999994</v>
      </c>
      <c r="BJ708" s="106">
        <f t="shared" si="644"/>
        <v>-165.01999999999998</v>
      </c>
      <c r="BK708" s="106">
        <f t="shared" si="644"/>
        <v>1154.087</v>
      </c>
      <c r="BL708" s="106">
        <f t="shared" si="644"/>
        <v>-588.26499999999999</v>
      </c>
      <c r="BM708" s="106">
        <f t="shared" si="644"/>
        <v>-94.402999999999963</v>
      </c>
      <c r="BN708" s="416">
        <f t="shared" si="644"/>
        <v>306.39899999999989</v>
      </c>
      <c r="BO708" s="106">
        <f t="shared" ref="BO708:CF708" si="645">SUM(BO684:BO707)</f>
        <v>-42.494999999999997</v>
      </c>
      <c r="BP708" s="106">
        <f t="shared" si="645"/>
        <v>-72.265999999999991</v>
      </c>
      <c r="BQ708" s="106">
        <f t="shared" si="645"/>
        <v>-149.828</v>
      </c>
      <c r="BR708" s="106">
        <f t="shared" si="645"/>
        <v>-1502.2040000000002</v>
      </c>
      <c r="BS708" s="417">
        <f t="shared" si="645"/>
        <v>-1766.7929999999999</v>
      </c>
      <c r="BT708" s="159" t="e">
        <f t="shared" si="645"/>
        <v>#NAME?</v>
      </c>
      <c r="BU708" s="159" t="e">
        <f t="shared" si="645"/>
        <v>#NAME?</v>
      </c>
      <c r="BV708" s="159" t="e">
        <f t="shared" si="645"/>
        <v>#NAME?</v>
      </c>
      <c r="BW708" s="159" t="e">
        <f t="shared" si="645"/>
        <v>#NAME?</v>
      </c>
      <c r="BX708" s="418" t="e">
        <f t="shared" si="645"/>
        <v>#NAME?</v>
      </c>
      <c r="BY708" s="159" t="e">
        <f t="shared" si="645"/>
        <v>#NAME?</v>
      </c>
      <c r="BZ708" s="159" t="e">
        <f t="shared" si="645"/>
        <v>#NAME?</v>
      </c>
      <c r="CA708" s="159" t="e">
        <f t="shared" si="645"/>
        <v>#NAME?</v>
      </c>
      <c r="CB708" s="159" t="e">
        <f t="shared" si="645"/>
        <v>#NAME?</v>
      </c>
      <c r="CC708" s="418" t="e">
        <f t="shared" si="645"/>
        <v>#NAME?</v>
      </c>
      <c r="CD708" s="418" t="e">
        <f t="shared" si="645"/>
        <v>#NAME?</v>
      </c>
      <c r="CE708" s="418" t="e">
        <f t="shared" si="645"/>
        <v>#NAME?</v>
      </c>
      <c r="CF708" s="418" t="e">
        <f t="shared" si="645"/>
        <v>#NAME?</v>
      </c>
      <c r="CG708" s="109"/>
    </row>
    <row r="709" spans="1:85" ht="14.45" customHeight="1" x14ac:dyDescent="0.25">
      <c r="A709" s="111"/>
      <c r="B709" s="211"/>
      <c r="C709" s="423"/>
      <c r="D709" s="423"/>
      <c r="E709" s="423"/>
      <c r="F709" s="423"/>
      <c r="G709" s="112"/>
      <c r="H709" s="112"/>
      <c r="I709" s="112"/>
      <c r="J709" s="112"/>
      <c r="K709" s="423"/>
      <c r="L709" s="112"/>
      <c r="M709" s="112"/>
      <c r="N709" s="112"/>
      <c r="O709" s="112"/>
      <c r="P709" s="423"/>
      <c r="Q709" s="112"/>
      <c r="R709" s="112"/>
      <c r="S709" s="112"/>
      <c r="T709" s="112"/>
      <c r="U709" s="423"/>
      <c r="V709" s="112"/>
      <c r="W709" s="112"/>
      <c r="X709" s="112"/>
      <c r="Y709" s="112"/>
      <c r="Z709" s="423"/>
      <c r="AA709" s="112"/>
      <c r="AB709" s="112"/>
      <c r="AC709" s="112"/>
      <c r="AD709" s="112"/>
      <c r="AE709" s="423"/>
      <c r="AF709" s="112"/>
      <c r="AG709" s="112"/>
      <c r="AH709" s="112"/>
      <c r="AI709" s="112"/>
      <c r="AJ709" s="423"/>
      <c r="AK709" s="112"/>
      <c r="AL709" s="112"/>
      <c r="AM709" s="112"/>
      <c r="AN709" s="112"/>
      <c r="AO709" s="423"/>
      <c r="AP709" s="112"/>
      <c r="AQ709" s="112"/>
      <c r="AR709" s="112"/>
      <c r="AS709" s="112"/>
      <c r="AT709" s="423"/>
      <c r="AU709" s="112"/>
      <c r="AV709" s="112"/>
      <c r="AW709" s="112"/>
      <c r="AX709" s="112"/>
      <c r="AY709" s="423"/>
      <c r="AZ709" s="112"/>
      <c r="BA709" s="112"/>
      <c r="BB709" s="112"/>
      <c r="BC709" s="112"/>
      <c r="BD709" s="423"/>
      <c r="BE709" s="112"/>
      <c r="BF709" s="112"/>
      <c r="BG709" s="112"/>
      <c r="BH709" s="112"/>
      <c r="BI709" s="423"/>
      <c r="BJ709" s="112"/>
      <c r="BK709" s="112"/>
      <c r="BL709" s="112"/>
      <c r="BM709" s="112"/>
      <c r="BN709" s="423"/>
      <c r="BO709" s="112"/>
      <c r="BP709" s="112"/>
      <c r="BQ709" s="112"/>
      <c r="BR709" s="112"/>
      <c r="BS709" s="424"/>
      <c r="BT709" s="112"/>
      <c r="BU709" s="112"/>
      <c r="BV709" s="112"/>
      <c r="BW709" s="112"/>
      <c r="BX709" s="423"/>
      <c r="BY709" s="112"/>
      <c r="BZ709" s="112"/>
      <c r="CA709" s="112"/>
      <c r="CB709" s="112"/>
      <c r="CC709" s="423"/>
      <c r="CD709" s="423"/>
      <c r="CE709" s="423"/>
      <c r="CF709" s="423"/>
      <c r="CG709" s="109"/>
    </row>
    <row r="710" spans="1:85" ht="14.45" customHeight="1" x14ac:dyDescent="0.25">
      <c r="A710" s="113" t="str">
        <f>A624</f>
        <v>FX</v>
      </c>
      <c r="B710" s="180"/>
      <c r="C710" s="467">
        <f>C624</f>
        <v>0</v>
      </c>
      <c r="D710" s="467">
        <f>D624</f>
        <v>0</v>
      </c>
      <c r="E710" s="467">
        <f>E624</f>
        <v>0</v>
      </c>
      <c r="F710" s="467">
        <f>F624</f>
        <v>0</v>
      </c>
      <c r="G710" s="99">
        <f>G624</f>
        <v>0</v>
      </c>
      <c r="H710" s="99">
        <f>H624-G624</f>
        <v>0</v>
      </c>
      <c r="I710" s="99">
        <f>I624-H624</f>
        <v>0</v>
      </c>
      <c r="J710" s="99">
        <f>J624-I624</f>
        <v>0</v>
      </c>
      <c r="K710" s="467">
        <f>K624</f>
        <v>0</v>
      </c>
      <c r="L710" s="99">
        <f>L624</f>
        <v>0</v>
      </c>
      <c r="M710" s="99">
        <f>M624-L624</f>
        <v>0</v>
      </c>
      <c r="N710" s="99">
        <f>N624-M624</f>
        <v>0</v>
      </c>
      <c r="O710" s="99">
        <f>O624-N624</f>
        <v>0</v>
      </c>
      <c r="P710" s="467">
        <f>P624</f>
        <v>0</v>
      </c>
      <c r="Q710" s="99">
        <f>Q624</f>
        <v>0</v>
      </c>
      <c r="R710" s="99">
        <f>R624-Q624</f>
        <v>0</v>
      </c>
      <c r="S710" s="99">
        <f>S624-R624</f>
        <v>0</v>
      </c>
      <c r="T710" s="99">
        <f>T624-S624</f>
        <v>0</v>
      </c>
      <c r="U710" s="467">
        <f>U624</f>
        <v>0</v>
      </c>
      <c r="V710" s="99">
        <f>V624</f>
        <v>0</v>
      </c>
      <c r="W710" s="99">
        <f>W624-V624</f>
        <v>0</v>
      </c>
      <c r="X710" s="99">
        <f>X624-W624</f>
        <v>0</v>
      </c>
      <c r="Y710" s="99">
        <f>Y624-X624</f>
        <v>0</v>
      </c>
      <c r="Z710" s="467">
        <f>Z624</f>
        <v>0</v>
      </c>
      <c r="AA710" s="99">
        <f>AA624</f>
        <v>0</v>
      </c>
      <c r="AB710" s="99">
        <f>AB624-AA624</f>
        <v>0</v>
      </c>
      <c r="AC710" s="99">
        <f>AC624-AB624</f>
        <v>0</v>
      </c>
      <c r="AD710" s="99">
        <f>AD624-AC624</f>
        <v>0</v>
      </c>
      <c r="AE710" s="467">
        <f>AE624</f>
        <v>0</v>
      </c>
      <c r="AF710" s="99">
        <f>AF624</f>
        <v>0</v>
      </c>
      <c r="AG710" s="99">
        <f>AG624-AF624</f>
        <v>0</v>
      </c>
      <c r="AH710" s="99">
        <f>AH624-AG624</f>
        <v>0</v>
      </c>
      <c r="AI710" s="99">
        <f>AI624-AH624</f>
        <v>0</v>
      </c>
      <c r="AJ710" s="467">
        <f>AJ624</f>
        <v>0</v>
      </c>
      <c r="AK710" s="99">
        <f>AK624</f>
        <v>0</v>
      </c>
      <c r="AL710" s="99">
        <f>AL624-AK624</f>
        <v>0</v>
      </c>
      <c r="AM710" s="99">
        <f>AM624-AL624</f>
        <v>0</v>
      </c>
      <c r="AN710" s="99">
        <f>AN624-AM624</f>
        <v>0</v>
      </c>
      <c r="AO710" s="467">
        <f>AO624</f>
        <v>0</v>
      </c>
      <c r="AP710" s="99">
        <f>AP624</f>
        <v>0</v>
      </c>
      <c r="AQ710" s="99">
        <f>AQ624-AP624</f>
        <v>0</v>
      </c>
      <c r="AR710" s="99">
        <f>AR624-AQ624</f>
        <v>0</v>
      </c>
      <c r="AS710" s="99">
        <f>AS624-AR624</f>
        <v>0</v>
      </c>
      <c r="AT710" s="467">
        <f>AT624</f>
        <v>0</v>
      </c>
      <c r="AU710" s="99">
        <f>AU624</f>
        <v>0</v>
      </c>
      <c r="AV710" s="99">
        <f>AV624-AU624</f>
        <v>0</v>
      </c>
      <c r="AW710" s="99">
        <f>AW624-AV624</f>
        <v>0</v>
      </c>
      <c r="AX710" s="99">
        <f>AX624-AW624</f>
        <v>0</v>
      </c>
      <c r="AY710" s="467">
        <f>AY624</f>
        <v>0</v>
      </c>
      <c r="AZ710" s="99">
        <f>AZ624</f>
        <v>0</v>
      </c>
      <c r="BA710" s="99">
        <f>BA624-AZ624</f>
        <v>0</v>
      </c>
      <c r="BB710" s="99">
        <f>BB624-BA624</f>
        <v>0</v>
      </c>
      <c r="BC710" s="99">
        <f>BC624-BB624</f>
        <v>0</v>
      </c>
      <c r="BD710" s="467">
        <f>BD624</f>
        <v>0</v>
      </c>
      <c r="BE710" s="99">
        <f>BE624</f>
        <v>0</v>
      </c>
      <c r="BF710" s="99">
        <f>BF624-BE624</f>
        <v>0</v>
      </c>
      <c r="BG710" s="99">
        <f>BG624-BF624</f>
        <v>0</v>
      </c>
      <c r="BH710" s="99">
        <f>BH624-BG624</f>
        <v>0</v>
      </c>
      <c r="BI710" s="467">
        <f>BI624</f>
        <v>0</v>
      </c>
      <c r="BJ710" s="99">
        <f>BJ624</f>
        <v>0</v>
      </c>
      <c r="BK710" s="99">
        <f>BK624-BJ624</f>
        <v>0</v>
      </c>
      <c r="BL710" s="99">
        <f>BL624-BK624</f>
        <v>0</v>
      </c>
      <c r="BM710" s="99">
        <f>BM624-BL624</f>
        <v>0</v>
      </c>
      <c r="BN710" s="467">
        <f>BN624</f>
        <v>0</v>
      </c>
      <c r="BO710" s="99">
        <f>BO624</f>
        <v>0</v>
      </c>
      <c r="BP710" s="99">
        <f>BP624-BO624</f>
        <v>0</v>
      </c>
      <c r="BQ710" s="99">
        <f>BQ624-BP624</f>
        <v>0</v>
      </c>
      <c r="BR710" s="99">
        <f>BR624-BQ624</f>
        <v>0</v>
      </c>
      <c r="BS710" s="468">
        <f>BS624</f>
        <v>0</v>
      </c>
      <c r="BT710" s="63"/>
      <c r="BU710" s="63"/>
      <c r="BV710" s="63"/>
      <c r="BW710" s="63"/>
      <c r="BX710" s="413">
        <f>SUM(BT710,BU710,BV710,BW710)</f>
        <v>0</v>
      </c>
      <c r="BY710" s="63"/>
      <c r="BZ710" s="63"/>
      <c r="CA710" s="63"/>
      <c r="CB710" s="63"/>
      <c r="CC710" s="413">
        <f>SUM(BY710,BZ710,CA710,CB710)</f>
        <v>0</v>
      </c>
      <c r="CD710" s="413"/>
      <c r="CE710" s="413"/>
      <c r="CF710" s="413"/>
      <c r="CG710" s="99"/>
    </row>
    <row r="711" spans="1:85" ht="14.45" customHeight="1" x14ac:dyDescent="0.25">
      <c r="A711" s="135" t="str">
        <f>A625</f>
        <v>Net Change in Cash Balance</v>
      </c>
      <c r="B711" s="211"/>
      <c r="C711" s="421">
        <f t="shared" ref="C711:AH711" si="646">C708+C681+C664+C710</f>
        <v>-27.637000000000029</v>
      </c>
      <c r="D711" s="421">
        <f t="shared" si="646"/>
        <v>28.102000000000004</v>
      </c>
      <c r="E711" s="421">
        <f t="shared" si="646"/>
        <v>44.885999999999996</v>
      </c>
      <c r="F711" s="421">
        <f t="shared" si="646"/>
        <v>-80.358999999999995</v>
      </c>
      <c r="G711" s="109">
        <f t="shared" si="646"/>
        <v>1.4909999999999997</v>
      </c>
      <c r="H711" s="109">
        <f t="shared" si="646"/>
        <v>13.834999999999994</v>
      </c>
      <c r="I711" s="109">
        <f t="shared" si="646"/>
        <v>-0.44199999999999307</v>
      </c>
      <c r="J711" s="109">
        <f t="shared" si="646"/>
        <v>-13.522000000000006</v>
      </c>
      <c r="K711" s="421">
        <f t="shared" si="646"/>
        <v>1.362000000000009</v>
      </c>
      <c r="L711" s="109">
        <f t="shared" si="646"/>
        <v>7.0130000000000035</v>
      </c>
      <c r="M711" s="109">
        <f t="shared" si="646"/>
        <v>4.1000000000000014</v>
      </c>
      <c r="N711" s="109">
        <f t="shared" si="646"/>
        <v>0.19299999999999073</v>
      </c>
      <c r="O711" s="109">
        <f t="shared" si="646"/>
        <v>-13.971999999999994</v>
      </c>
      <c r="P711" s="421">
        <f t="shared" si="646"/>
        <v>-2.6659999999999968</v>
      </c>
      <c r="Q711" s="109">
        <f t="shared" si="646"/>
        <v>12.068000000000003</v>
      </c>
      <c r="R711" s="109">
        <f t="shared" si="646"/>
        <v>22.63799999999997</v>
      </c>
      <c r="S711" s="109">
        <f t="shared" si="646"/>
        <v>-3.3100000000000023</v>
      </c>
      <c r="T711" s="109">
        <f t="shared" si="646"/>
        <v>15.007000000000005</v>
      </c>
      <c r="U711" s="421">
        <f t="shared" si="646"/>
        <v>46.402999999999963</v>
      </c>
      <c r="V711" s="109">
        <f t="shared" si="646"/>
        <v>-22.897999999999985</v>
      </c>
      <c r="W711" s="109">
        <f t="shared" si="646"/>
        <v>16.722999999999992</v>
      </c>
      <c r="X711" s="109">
        <f t="shared" si="646"/>
        <v>4.8939999999999912</v>
      </c>
      <c r="Y711" s="109">
        <f t="shared" si="646"/>
        <v>-32.367000000000004</v>
      </c>
      <c r="Z711" s="421">
        <f t="shared" si="646"/>
        <v>-33.647999999999996</v>
      </c>
      <c r="AA711" s="109">
        <f t="shared" si="646"/>
        <v>10.090000000000003</v>
      </c>
      <c r="AB711" s="109">
        <f t="shared" si="646"/>
        <v>11.574000000000005</v>
      </c>
      <c r="AC711" s="109">
        <f t="shared" si="646"/>
        <v>-31.592000000000006</v>
      </c>
      <c r="AD711" s="109">
        <f t="shared" si="646"/>
        <v>4.9800000000000182</v>
      </c>
      <c r="AE711" s="421">
        <f t="shared" si="646"/>
        <v>-4.9479999999999791</v>
      </c>
      <c r="AF711" s="109">
        <f t="shared" si="646"/>
        <v>-8.423000000000016</v>
      </c>
      <c r="AG711" s="109">
        <f t="shared" si="646"/>
        <v>11.245000000000005</v>
      </c>
      <c r="AH711" s="109">
        <f t="shared" si="646"/>
        <v>-10.386999999999997</v>
      </c>
      <c r="AI711" s="109">
        <f t="shared" ref="AI711:BN711" si="647">AI708+AI681+AI664+AI710</f>
        <v>4.2109999999999843</v>
      </c>
      <c r="AJ711" s="421">
        <f t="shared" si="647"/>
        <v>-3.3540000000000134</v>
      </c>
      <c r="AK711" s="109">
        <f t="shared" si="647"/>
        <v>-5.0510000000000144</v>
      </c>
      <c r="AL711" s="109">
        <f t="shared" si="647"/>
        <v>-2.8049999999999926</v>
      </c>
      <c r="AM711" s="109">
        <f t="shared" si="647"/>
        <v>0.29699999999999704</v>
      </c>
      <c r="AN711" s="109">
        <f t="shared" si="647"/>
        <v>3.6249999999999858</v>
      </c>
      <c r="AO711" s="421">
        <f t="shared" si="647"/>
        <v>-3.9339999999999122</v>
      </c>
      <c r="AP711" s="109">
        <f t="shared" si="647"/>
        <v>38.133999999999993</v>
      </c>
      <c r="AQ711" s="109">
        <f t="shared" si="647"/>
        <v>29.802000000000049</v>
      </c>
      <c r="AR711" s="109">
        <f t="shared" si="647"/>
        <v>87.272999999999996</v>
      </c>
      <c r="AS711" s="109">
        <f t="shared" si="647"/>
        <v>-110.02999999999996</v>
      </c>
      <c r="AT711" s="421">
        <f t="shared" si="647"/>
        <v>45.178999999999974</v>
      </c>
      <c r="AU711" s="109">
        <f t="shared" si="647"/>
        <v>-2.9649999999999892</v>
      </c>
      <c r="AV711" s="109">
        <f t="shared" si="647"/>
        <v>2.3760000000000332</v>
      </c>
      <c r="AW711" s="109">
        <f t="shared" si="647"/>
        <v>132.67400000000001</v>
      </c>
      <c r="AX711" s="109">
        <f t="shared" si="647"/>
        <v>-44.564000000000021</v>
      </c>
      <c r="AY711" s="421">
        <f t="shared" si="647"/>
        <v>87.520999999999958</v>
      </c>
      <c r="AZ711" s="109">
        <f t="shared" si="647"/>
        <v>-15.229000000000042</v>
      </c>
      <c r="BA711" s="109">
        <f t="shared" si="647"/>
        <v>61.718000000000011</v>
      </c>
      <c r="BB711" s="109">
        <f t="shared" si="647"/>
        <v>-25.558999999999997</v>
      </c>
      <c r="BC711" s="109">
        <f t="shared" si="647"/>
        <v>34.404000000000011</v>
      </c>
      <c r="BD711" s="421">
        <f t="shared" si="647"/>
        <v>55.334000000000117</v>
      </c>
      <c r="BE711" s="109">
        <f t="shared" si="647"/>
        <v>92.132999999999981</v>
      </c>
      <c r="BF711" s="109">
        <f t="shared" si="647"/>
        <v>140.39099999999999</v>
      </c>
      <c r="BG711" s="109">
        <f t="shared" si="647"/>
        <v>186.04499999999996</v>
      </c>
      <c r="BH711" s="109">
        <f t="shared" si="647"/>
        <v>19.052000000000021</v>
      </c>
      <c r="BI711" s="421">
        <f t="shared" si="647"/>
        <v>437.62100000000021</v>
      </c>
      <c r="BJ711" s="109">
        <f t="shared" si="647"/>
        <v>-234.00899999999999</v>
      </c>
      <c r="BK711" s="109">
        <f t="shared" si="647"/>
        <v>1298.028</v>
      </c>
      <c r="BL711" s="109">
        <f t="shared" si="647"/>
        <v>-463.28200000000004</v>
      </c>
      <c r="BM711" s="109">
        <f t="shared" si="647"/>
        <v>-100.18199999999999</v>
      </c>
      <c r="BN711" s="421">
        <f t="shared" si="647"/>
        <v>500.55499999999972</v>
      </c>
      <c r="BO711" s="109">
        <f t="shared" ref="BO711:CF711" si="648">BO708+BO681+BO664+BO710</f>
        <v>15.980999999999995</v>
      </c>
      <c r="BP711" s="109">
        <f t="shared" si="648"/>
        <v>68.12</v>
      </c>
      <c r="BQ711" s="109">
        <f t="shared" si="648"/>
        <v>312.548</v>
      </c>
      <c r="BR711" s="109">
        <f t="shared" si="648"/>
        <v>-1250.5550000000003</v>
      </c>
      <c r="BS711" s="422">
        <f t="shared" si="648"/>
        <v>-853.90600000000006</v>
      </c>
      <c r="BT711" s="112" t="e">
        <f t="shared" si="648"/>
        <v>#NAME?</v>
      </c>
      <c r="BU711" s="112" t="e">
        <f t="shared" si="648"/>
        <v>#NAME?</v>
      </c>
      <c r="BV711" s="112" t="e">
        <f t="shared" si="648"/>
        <v>#NAME?</v>
      </c>
      <c r="BW711" s="112" t="e">
        <f t="shared" si="648"/>
        <v>#NAME?</v>
      </c>
      <c r="BX711" s="423" t="e">
        <f t="shared" si="648"/>
        <v>#NAME?</v>
      </c>
      <c r="BY711" s="112" t="e">
        <f t="shared" si="648"/>
        <v>#NAME?</v>
      </c>
      <c r="BZ711" s="112" t="e">
        <f t="shared" si="648"/>
        <v>#NAME?</v>
      </c>
      <c r="CA711" s="112" t="e">
        <f t="shared" si="648"/>
        <v>#NAME?</v>
      </c>
      <c r="CB711" s="112" t="e">
        <f t="shared" si="648"/>
        <v>#NAME?</v>
      </c>
      <c r="CC711" s="423" t="e">
        <f t="shared" si="648"/>
        <v>#NAME?</v>
      </c>
      <c r="CD711" s="423" t="e">
        <f t="shared" si="648"/>
        <v>#NAME?</v>
      </c>
      <c r="CE711" s="423" t="e">
        <f t="shared" si="648"/>
        <v>#NAME?</v>
      </c>
      <c r="CF711" s="423" t="e">
        <f t="shared" si="648"/>
        <v>#NAME?</v>
      </c>
      <c r="CG711" s="109"/>
    </row>
    <row r="712" spans="1:85" ht="14.45" customHeight="1" x14ac:dyDescent="0.25">
      <c r="A712" s="111"/>
      <c r="B712" s="211"/>
      <c r="C712" s="423"/>
      <c r="D712" s="423"/>
      <c r="E712" s="423"/>
      <c r="F712" s="423"/>
      <c r="G712" s="112"/>
      <c r="H712" s="112"/>
      <c r="I712" s="112"/>
      <c r="J712" s="112"/>
      <c r="K712" s="423"/>
      <c r="L712" s="112"/>
      <c r="M712" s="112"/>
      <c r="N712" s="112"/>
      <c r="O712" s="112"/>
      <c r="P712" s="423"/>
      <c r="Q712" s="112"/>
      <c r="R712" s="112"/>
      <c r="S712" s="112"/>
      <c r="T712" s="112"/>
      <c r="U712" s="423"/>
      <c r="V712" s="112"/>
      <c r="W712" s="112"/>
      <c r="X712" s="112"/>
      <c r="Y712" s="112"/>
      <c r="Z712" s="423"/>
      <c r="AA712" s="112"/>
      <c r="AB712" s="112"/>
      <c r="AC712" s="112"/>
      <c r="AD712" s="112"/>
      <c r="AE712" s="423"/>
      <c r="AF712" s="112"/>
      <c r="AG712" s="112"/>
      <c r="AH712" s="112"/>
      <c r="AI712" s="112"/>
      <c r="AJ712" s="423"/>
      <c r="AK712" s="112"/>
      <c r="AL712" s="112"/>
      <c r="AM712" s="112"/>
      <c r="AN712" s="112"/>
      <c r="AO712" s="423"/>
      <c r="AP712" s="112"/>
      <c r="AQ712" s="112"/>
      <c r="AR712" s="112"/>
      <c r="AS712" s="112"/>
      <c r="AT712" s="423"/>
      <c r="AU712" s="112"/>
      <c r="AV712" s="112"/>
      <c r="AW712" s="112"/>
      <c r="AX712" s="112"/>
      <c r="AY712" s="423"/>
      <c r="AZ712" s="112"/>
      <c r="BA712" s="112"/>
      <c r="BB712" s="112"/>
      <c r="BC712" s="112"/>
      <c r="BD712" s="423"/>
      <c r="BE712" s="112"/>
      <c r="BF712" s="112"/>
      <c r="BG712" s="112"/>
      <c r="BH712" s="112"/>
      <c r="BI712" s="423"/>
      <c r="BJ712" s="112"/>
      <c r="BK712" s="112"/>
      <c r="BL712" s="112"/>
      <c r="BM712" s="112"/>
      <c r="BN712" s="423"/>
      <c r="BO712" s="112"/>
      <c r="BP712" s="112"/>
      <c r="BQ712" s="112"/>
      <c r="BR712" s="112"/>
      <c r="BS712" s="424"/>
      <c r="BT712" s="112"/>
      <c r="BU712" s="112"/>
      <c r="BV712" s="112"/>
      <c r="BW712" s="112"/>
      <c r="BX712" s="423"/>
      <c r="BY712" s="112"/>
      <c r="BZ712" s="112"/>
      <c r="CA712" s="112"/>
      <c r="CB712" s="112"/>
      <c r="CC712" s="423"/>
      <c r="CD712" s="423"/>
      <c r="CE712" s="423"/>
      <c r="CF712" s="423"/>
      <c r="CG712" s="109"/>
    </row>
    <row r="713" spans="1:85" ht="14.45" customHeight="1" x14ac:dyDescent="0.25">
      <c r="A713" s="135" t="str">
        <f>A627</f>
        <v>Beginning Cash Balance</v>
      </c>
      <c r="B713" s="211"/>
      <c r="C713" s="421">
        <f>C627</f>
        <v>45.406999999999996</v>
      </c>
      <c r="D713" s="421">
        <f t="shared" ref="D713:J713" si="649">C714</f>
        <v>17.769999999999968</v>
      </c>
      <c r="E713" s="421">
        <f t="shared" si="649"/>
        <v>45.871999999999971</v>
      </c>
      <c r="F713" s="421">
        <f t="shared" si="649"/>
        <v>90.757999999999967</v>
      </c>
      <c r="G713" s="109">
        <f t="shared" si="649"/>
        <v>10.398999999999972</v>
      </c>
      <c r="H713" s="109">
        <f t="shared" si="649"/>
        <v>11.889999999999972</v>
      </c>
      <c r="I713" s="109">
        <f t="shared" si="649"/>
        <v>25.724999999999966</v>
      </c>
      <c r="J713" s="109">
        <f t="shared" si="649"/>
        <v>25.282999999999973</v>
      </c>
      <c r="K713" s="421">
        <f>F714</f>
        <v>10.398999999999972</v>
      </c>
      <c r="L713" s="109">
        <f>K714</f>
        <v>11.760999999999981</v>
      </c>
      <c r="M713" s="109">
        <f>L714</f>
        <v>18.773999999999987</v>
      </c>
      <c r="N713" s="109">
        <f>M714</f>
        <v>22.873999999999988</v>
      </c>
      <c r="O713" s="109">
        <f>N714</f>
        <v>23.066999999999979</v>
      </c>
      <c r="P713" s="421">
        <f>K714</f>
        <v>11.760999999999981</v>
      </c>
      <c r="Q713" s="109">
        <f>P714</f>
        <v>9.0949999999999847</v>
      </c>
      <c r="R713" s="109">
        <f>Q714</f>
        <v>21.16299999999999</v>
      </c>
      <c r="S713" s="109">
        <f>R714</f>
        <v>43.800999999999959</v>
      </c>
      <c r="T713" s="109">
        <f>S714</f>
        <v>40.490999999999957</v>
      </c>
      <c r="U713" s="421">
        <f>P714</f>
        <v>9.0949999999999847</v>
      </c>
      <c r="V713" s="109">
        <f>U714</f>
        <v>55.497999999999948</v>
      </c>
      <c r="W713" s="109">
        <f>V714</f>
        <v>32.599999999999966</v>
      </c>
      <c r="X713" s="109">
        <f>W714</f>
        <v>49.322999999999958</v>
      </c>
      <c r="Y713" s="109">
        <f>X714</f>
        <v>54.216999999999949</v>
      </c>
      <c r="Z713" s="421">
        <f>U714</f>
        <v>55.497999999999948</v>
      </c>
      <c r="AA713" s="109">
        <f>Z714</f>
        <v>21.849999999999952</v>
      </c>
      <c r="AB713" s="109">
        <f>AA714</f>
        <v>31.939999999999955</v>
      </c>
      <c r="AC713" s="109">
        <f>AB714</f>
        <v>43.51399999999996</v>
      </c>
      <c r="AD713" s="109">
        <f>AC714</f>
        <v>11.921999999999954</v>
      </c>
      <c r="AE713" s="421">
        <f>Z714</f>
        <v>21.849999999999952</v>
      </c>
      <c r="AF713" s="109">
        <f>AE714</f>
        <v>16.901999999999973</v>
      </c>
      <c r="AG713" s="109">
        <f>AF714</f>
        <v>8.4789999999999566</v>
      </c>
      <c r="AH713" s="109">
        <f>AG714</f>
        <v>19.723999999999961</v>
      </c>
      <c r="AI713" s="109">
        <f>AH714</f>
        <v>9.3369999999999642</v>
      </c>
      <c r="AJ713" s="421">
        <f>AE714</f>
        <v>16.901999999999973</v>
      </c>
      <c r="AK713" s="109">
        <f>AJ714</f>
        <v>13.547999999999959</v>
      </c>
      <c r="AL713" s="109">
        <f>AK714</f>
        <v>8.4969999999999448</v>
      </c>
      <c r="AM713" s="109">
        <f>AL714</f>
        <v>5.6919999999999522</v>
      </c>
      <c r="AN713" s="109">
        <f>AM714</f>
        <v>5.9889999999999493</v>
      </c>
      <c r="AO713" s="421">
        <f>AJ714</f>
        <v>13.547999999999959</v>
      </c>
      <c r="AP713" s="109">
        <f>AO714</f>
        <v>9.614000000000047</v>
      </c>
      <c r="AQ713" s="109">
        <f>AP714</f>
        <v>47.74800000000004</v>
      </c>
      <c r="AR713" s="109">
        <f>AQ714</f>
        <v>77.550000000000097</v>
      </c>
      <c r="AS713" s="109">
        <f>AR714</f>
        <v>164.82300000000009</v>
      </c>
      <c r="AT713" s="421">
        <f>AO714</f>
        <v>9.614000000000047</v>
      </c>
      <c r="AU713" s="109">
        <f>AT714</f>
        <v>54.793000000000021</v>
      </c>
      <c r="AV713" s="109">
        <f>AU714</f>
        <v>51.828000000000031</v>
      </c>
      <c r="AW713" s="109">
        <f>AV714</f>
        <v>54.204000000000065</v>
      </c>
      <c r="AX713" s="109">
        <f>AW714</f>
        <v>186.87800000000007</v>
      </c>
      <c r="AY713" s="421">
        <f>AT714</f>
        <v>54.793000000000021</v>
      </c>
      <c r="AZ713" s="109">
        <f>AY714</f>
        <v>142.31399999999996</v>
      </c>
      <c r="BA713" s="109">
        <f>AZ714</f>
        <v>127.08499999999992</v>
      </c>
      <c r="BB713" s="109">
        <f>BA714</f>
        <v>188.80299999999994</v>
      </c>
      <c r="BC713" s="109">
        <f>BB714</f>
        <v>163.24399999999994</v>
      </c>
      <c r="BD713" s="421">
        <f>AY714</f>
        <v>142.31399999999996</v>
      </c>
      <c r="BE713" s="109">
        <f>BD714</f>
        <v>197.64800000000008</v>
      </c>
      <c r="BF713" s="109">
        <f>BE714</f>
        <v>289.78100000000006</v>
      </c>
      <c r="BG713" s="109">
        <f>BF714</f>
        <v>430.17200000000003</v>
      </c>
      <c r="BH713" s="109">
        <f>BG714</f>
        <v>616.21699999999998</v>
      </c>
      <c r="BI713" s="421">
        <f>BD714</f>
        <v>197.64800000000008</v>
      </c>
      <c r="BJ713" s="109">
        <f>BI714</f>
        <v>635.26900000000023</v>
      </c>
      <c r="BK713" s="109">
        <f>BJ714</f>
        <v>401.26000000000022</v>
      </c>
      <c r="BL713" s="109">
        <f>BK714</f>
        <v>1699.2880000000002</v>
      </c>
      <c r="BM713" s="109">
        <f>BL714</f>
        <v>1236.0060000000003</v>
      </c>
      <c r="BN713" s="421">
        <f>BI714</f>
        <v>635.26900000000023</v>
      </c>
      <c r="BO713" s="109">
        <f>BN714</f>
        <v>1135.8240000000001</v>
      </c>
      <c r="BP713" s="109">
        <f>BO714</f>
        <v>1151.8050000000001</v>
      </c>
      <c r="BQ713" s="109">
        <f>BP714</f>
        <v>1219.9250000000002</v>
      </c>
      <c r="BR713" s="109">
        <f>BQ714</f>
        <v>1532.4730000000002</v>
      </c>
      <c r="BS713" s="422">
        <f>BN714</f>
        <v>1135.8240000000001</v>
      </c>
      <c r="BT713" s="112">
        <f>BS714</f>
        <v>281.91800000000001</v>
      </c>
      <c r="BU713" s="112" t="e">
        <f>BT714</f>
        <v>#NAME?</v>
      </c>
      <c r="BV713" s="112" t="e">
        <f>BU714</f>
        <v>#NAME?</v>
      </c>
      <c r="BW713" s="112" t="e">
        <f>BV714</f>
        <v>#NAME?</v>
      </c>
      <c r="BX713" s="423">
        <f>BS714</f>
        <v>281.91800000000001</v>
      </c>
      <c r="BY713" s="112" t="e">
        <f>BX714</f>
        <v>#NAME?</v>
      </c>
      <c r="BZ713" s="112" t="e">
        <f>BY714</f>
        <v>#NAME?</v>
      </c>
      <c r="CA713" s="112" t="e">
        <f>BZ714</f>
        <v>#NAME?</v>
      </c>
      <c r="CB713" s="112" t="e">
        <f>CA714</f>
        <v>#NAME?</v>
      </c>
      <c r="CC713" s="423" t="e">
        <f>BX714</f>
        <v>#NAME?</v>
      </c>
      <c r="CD713" s="423" t="e">
        <f>CC714</f>
        <v>#NAME?</v>
      </c>
      <c r="CE713" s="423" t="e">
        <f>CD714</f>
        <v>#NAME?</v>
      </c>
      <c r="CF713" s="423" t="e">
        <f>CE714</f>
        <v>#NAME?</v>
      </c>
      <c r="CG713" s="109"/>
    </row>
    <row r="714" spans="1:85" ht="14.45" customHeight="1" x14ac:dyDescent="0.25">
      <c r="A714" s="135" t="str">
        <f>A628</f>
        <v>Ending Cash Balance</v>
      </c>
      <c r="B714" s="211"/>
      <c r="C714" s="421">
        <f t="shared" ref="C714:AH714" si="650">C713+C711</f>
        <v>17.769999999999968</v>
      </c>
      <c r="D714" s="421">
        <f t="shared" si="650"/>
        <v>45.871999999999971</v>
      </c>
      <c r="E714" s="421">
        <f t="shared" si="650"/>
        <v>90.757999999999967</v>
      </c>
      <c r="F714" s="421">
        <f t="shared" si="650"/>
        <v>10.398999999999972</v>
      </c>
      <c r="G714" s="109">
        <f t="shared" si="650"/>
        <v>11.889999999999972</v>
      </c>
      <c r="H714" s="109">
        <f t="shared" si="650"/>
        <v>25.724999999999966</v>
      </c>
      <c r="I714" s="109">
        <f t="shared" si="650"/>
        <v>25.282999999999973</v>
      </c>
      <c r="J714" s="109">
        <f t="shared" si="650"/>
        <v>11.760999999999967</v>
      </c>
      <c r="K714" s="421">
        <f t="shared" si="650"/>
        <v>11.760999999999981</v>
      </c>
      <c r="L714" s="109">
        <f t="shared" si="650"/>
        <v>18.773999999999987</v>
      </c>
      <c r="M714" s="109">
        <f t="shared" si="650"/>
        <v>22.873999999999988</v>
      </c>
      <c r="N714" s="109">
        <f t="shared" si="650"/>
        <v>23.066999999999979</v>
      </c>
      <c r="O714" s="109">
        <f t="shared" si="650"/>
        <v>9.0949999999999847</v>
      </c>
      <c r="P714" s="421">
        <f t="shared" si="650"/>
        <v>9.0949999999999847</v>
      </c>
      <c r="Q714" s="109">
        <f t="shared" si="650"/>
        <v>21.16299999999999</v>
      </c>
      <c r="R714" s="109">
        <f t="shared" si="650"/>
        <v>43.800999999999959</v>
      </c>
      <c r="S714" s="109">
        <f t="shared" si="650"/>
        <v>40.490999999999957</v>
      </c>
      <c r="T714" s="109">
        <f t="shared" si="650"/>
        <v>55.497999999999962</v>
      </c>
      <c r="U714" s="421">
        <f t="shared" si="650"/>
        <v>55.497999999999948</v>
      </c>
      <c r="V714" s="109">
        <f t="shared" si="650"/>
        <v>32.599999999999966</v>
      </c>
      <c r="W714" s="109">
        <f t="shared" si="650"/>
        <v>49.322999999999958</v>
      </c>
      <c r="X714" s="109">
        <f t="shared" si="650"/>
        <v>54.216999999999949</v>
      </c>
      <c r="Y714" s="109">
        <f t="shared" si="650"/>
        <v>21.849999999999945</v>
      </c>
      <c r="Z714" s="421">
        <f t="shared" si="650"/>
        <v>21.849999999999952</v>
      </c>
      <c r="AA714" s="109">
        <f t="shared" si="650"/>
        <v>31.939999999999955</v>
      </c>
      <c r="AB714" s="109">
        <f t="shared" si="650"/>
        <v>43.51399999999996</v>
      </c>
      <c r="AC714" s="109">
        <f t="shared" si="650"/>
        <v>11.921999999999954</v>
      </c>
      <c r="AD714" s="109">
        <f t="shared" si="650"/>
        <v>16.901999999999973</v>
      </c>
      <c r="AE714" s="421">
        <f t="shared" si="650"/>
        <v>16.901999999999973</v>
      </c>
      <c r="AF714" s="109">
        <f t="shared" si="650"/>
        <v>8.4789999999999566</v>
      </c>
      <c r="AG714" s="109">
        <f t="shared" si="650"/>
        <v>19.723999999999961</v>
      </c>
      <c r="AH714" s="109">
        <f t="shared" si="650"/>
        <v>9.3369999999999642</v>
      </c>
      <c r="AI714" s="109">
        <f t="shared" ref="AI714:BN714" si="651">AI713+AI711</f>
        <v>13.547999999999949</v>
      </c>
      <c r="AJ714" s="421">
        <f t="shared" si="651"/>
        <v>13.547999999999959</v>
      </c>
      <c r="AK714" s="109">
        <f t="shared" si="651"/>
        <v>8.4969999999999448</v>
      </c>
      <c r="AL714" s="109">
        <f t="shared" si="651"/>
        <v>5.6919999999999522</v>
      </c>
      <c r="AM714" s="109">
        <f t="shared" si="651"/>
        <v>5.9889999999999493</v>
      </c>
      <c r="AN714" s="109">
        <f t="shared" si="651"/>
        <v>9.613999999999935</v>
      </c>
      <c r="AO714" s="421">
        <f t="shared" si="651"/>
        <v>9.614000000000047</v>
      </c>
      <c r="AP714" s="109">
        <f t="shared" si="651"/>
        <v>47.74800000000004</v>
      </c>
      <c r="AQ714" s="109">
        <f t="shared" si="651"/>
        <v>77.550000000000097</v>
      </c>
      <c r="AR714" s="109">
        <f t="shared" si="651"/>
        <v>164.82300000000009</v>
      </c>
      <c r="AS714" s="109">
        <f t="shared" si="651"/>
        <v>54.793000000000134</v>
      </c>
      <c r="AT714" s="421">
        <f t="shared" si="651"/>
        <v>54.793000000000021</v>
      </c>
      <c r="AU714" s="109">
        <f t="shared" si="651"/>
        <v>51.828000000000031</v>
      </c>
      <c r="AV714" s="109">
        <f t="shared" si="651"/>
        <v>54.204000000000065</v>
      </c>
      <c r="AW714" s="109">
        <f t="shared" si="651"/>
        <v>186.87800000000007</v>
      </c>
      <c r="AX714" s="109">
        <f t="shared" si="651"/>
        <v>142.31400000000005</v>
      </c>
      <c r="AY714" s="421">
        <f t="shared" si="651"/>
        <v>142.31399999999996</v>
      </c>
      <c r="AZ714" s="109">
        <f t="shared" si="651"/>
        <v>127.08499999999992</v>
      </c>
      <c r="BA714" s="109">
        <f t="shared" si="651"/>
        <v>188.80299999999994</v>
      </c>
      <c r="BB714" s="109">
        <f t="shared" si="651"/>
        <v>163.24399999999994</v>
      </c>
      <c r="BC714" s="109">
        <f t="shared" si="651"/>
        <v>197.64799999999997</v>
      </c>
      <c r="BD714" s="421">
        <f t="shared" si="651"/>
        <v>197.64800000000008</v>
      </c>
      <c r="BE714" s="109">
        <f t="shared" si="651"/>
        <v>289.78100000000006</v>
      </c>
      <c r="BF714" s="109">
        <f t="shared" si="651"/>
        <v>430.17200000000003</v>
      </c>
      <c r="BG714" s="109">
        <f t="shared" si="651"/>
        <v>616.21699999999998</v>
      </c>
      <c r="BH714" s="109">
        <f t="shared" si="651"/>
        <v>635.26900000000001</v>
      </c>
      <c r="BI714" s="421">
        <f t="shared" si="651"/>
        <v>635.26900000000023</v>
      </c>
      <c r="BJ714" s="109">
        <f t="shared" si="651"/>
        <v>401.26000000000022</v>
      </c>
      <c r="BK714" s="109">
        <f t="shared" si="651"/>
        <v>1699.2880000000002</v>
      </c>
      <c r="BL714" s="109">
        <f t="shared" si="651"/>
        <v>1236.0060000000003</v>
      </c>
      <c r="BM714" s="109">
        <f t="shared" si="651"/>
        <v>1135.8240000000003</v>
      </c>
      <c r="BN714" s="421">
        <f t="shared" si="651"/>
        <v>1135.8240000000001</v>
      </c>
      <c r="BO714" s="109">
        <f t="shared" ref="BO714:CF714" si="652">BO713+BO711</f>
        <v>1151.8050000000001</v>
      </c>
      <c r="BP714" s="109">
        <f t="shared" si="652"/>
        <v>1219.9250000000002</v>
      </c>
      <c r="BQ714" s="109">
        <f t="shared" si="652"/>
        <v>1532.4730000000002</v>
      </c>
      <c r="BR714" s="109">
        <f t="shared" si="652"/>
        <v>281.91799999999989</v>
      </c>
      <c r="BS714" s="422">
        <f t="shared" si="652"/>
        <v>281.91800000000001</v>
      </c>
      <c r="BT714" s="112" t="e">
        <f t="shared" si="652"/>
        <v>#NAME?</v>
      </c>
      <c r="BU714" s="112" t="e">
        <f t="shared" si="652"/>
        <v>#NAME?</v>
      </c>
      <c r="BV714" s="112" t="e">
        <f t="shared" si="652"/>
        <v>#NAME?</v>
      </c>
      <c r="BW714" s="112" t="e">
        <f t="shared" si="652"/>
        <v>#NAME?</v>
      </c>
      <c r="BX714" s="423" t="e">
        <f t="shared" si="652"/>
        <v>#NAME?</v>
      </c>
      <c r="BY714" s="112" t="e">
        <f t="shared" si="652"/>
        <v>#NAME?</v>
      </c>
      <c r="BZ714" s="112" t="e">
        <f t="shared" si="652"/>
        <v>#NAME?</v>
      </c>
      <c r="CA714" s="112" t="e">
        <f t="shared" si="652"/>
        <v>#NAME?</v>
      </c>
      <c r="CB714" s="112" t="e">
        <f t="shared" si="652"/>
        <v>#NAME?</v>
      </c>
      <c r="CC714" s="423" t="e">
        <f t="shared" si="652"/>
        <v>#NAME?</v>
      </c>
      <c r="CD714" s="423" t="e">
        <f t="shared" si="652"/>
        <v>#NAME?</v>
      </c>
      <c r="CE714" s="423" t="e">
        <f t="shared" si="652"/>
        <v>#NAME?</v>
      </c>
      <c r="CF714" s="423" t="e">
        <f t="shared" si="652"/>
        <v>#NAME?</v>
      </c>
      <c r="CG714" s="109"/>
    </row>
    <row r="715" spans="1:85" ht="14.45" customHeight="1" x14ac:dyDescent="0.25">
      <c r="A715" s="111"/>
      <c r="B715" s="211"/>
      <c r="C715" s="423"/>
      <c r="D715" s="423"/>
      <c r="E715" s="423"/>
      <c r="F715" s="423"/>
      <c r="G715" s="112"/>
      <c r="H715" s="112"/>
      <c r="I715" s="112"/>
      <c r="J715" s="112"/>
      <c r="K715" s="423"/>
      <c r="L715" s="112"/>
      <c r="M715" s="112"/>
      <c r="N715" s="112"/>
      <c r="O715" s="112"/>
      <c r="P715" s="423"/>
      <c r="Q715" s="112"/>
      <c r="R715" s="112"/>
      <c r="S715" s="112"/>
      <c r="T715" s="112"/>
      <c r="U715" s="423"/>
      <c r="V715" s="112"/>
      <c r="W715" s="112"/>
      <c r="X715" s="112"/>
      <c r="Y715" s="112"/>
      <c r="Z715" s="423"/>
      <c r="AA715" s="112"/>
      <c r="AB715" s="112"/>
      <c r="AC715" s="112"/>
      <c r="AD715" s="112"/>
      <c r="AE715" s="423"/>
      <c r="AF715" s="112"/>
      <c r="AG715" s="112"/>
      <c r="AH715" s="112"/>
      <c r="AI715" s="112"/>
      <c r="AJ715" s="423"/>
      <c r="AK715" s="112"/>
      <c r="AL715" s="112"/>
      <c r="AM715" s="112"/>
      <c r="AN715" s="112"/>
      <c r="AO715" s="423"/>
      <c r="AP715" s="112"/>
      <c r="AQ715" s="112"/>
      <c r="AR715" s="112"/>
      <c r="AS715" s="112"/>
      <c r="AT715" s="423"/>
      <c r="AU715" s="112"/>
      <c r="AV715" s="112"/>
      <c r="AW715" s="112"/>
      <c r="AX715" s="112"/>
      <c r="AY715" s="423"/>
      <c r="AZ715" s="112"/>
      <c r="BA715" s="112"/>
      <c r="BB715" s="112"/>
      <c r="BC715" s="112"/>
      <c r="BD715" s="423"/>
      <c r="BE715" s="112"/>
      <c r="BF715" s="112"/>
      <c r="BG715" s="112"/>
      <c r="BH715" s="112"/>
      <c r="BI715" s="423"/>
      <c r="BJ715" s="112"/>
      <c r="BK715" s="112"/>
      <c r="BL715" s="112"/>
      <c r="BM715" s="112"/>
      <c r="BN715" s="423"/>
      <c r="BO715" s="112"/>
      <c r="BP715" s="112"/>
      <c r="BQ715" s="112"/>
      <c r="BR715" s="112"/>
      <c r="BS715" s="424"/>
      <c r="BT715" s="112"/>
      <c r="BU715" s="112"/>
      <c r="BV715" s="112"/>
      <c r="BW715" s="112"/>
      <c r="BX715" s="423"/>
      <c r="BY715" s="112"/>
      <c r="BZ715" s="112"/>
      <c r="CA715" s="112"/>
      <c r="CB715" s="112"/>
      <c r="CC715" s="423"/>
      <c r="CD715" s="423"/>
      <c r="CE715" s="423"/>
      <c r="CF715" s="423"/>
      <c r="CG715" s="109"/>
    </row>
    <row r="716" spans="1:85" ht="14.45" customHeight="1" x14ac:dyDescent="0.25">
      <c r="A716" s="296" t="s">
        <v>648</v>
      </c>
      <c r="B716" s="180"/>
      <c r="C716" s="467">
        <f t="shared" ref="C716:F717" si="653">C630</f>
        <v>13.824999999999999</v>
      </c>
      <c r="D716" s="467">
        <f t="shared" si="653"/>
        <v>14.117000000000001</v>
      </c>
      <c r="E716" s="467">
        <f t="shared" si="653"/>
        <v>20.414000000000001</v>
      </c>
      <c r="F716" s="467">
        <f t="shared" si="653"/>
        <v>14.119</v>
      </c>
      <c r="G716" s="63"/>
      <c r="H716" s="63"/>
      <c r="I716" s="63"/>
      <c r="J716" s="63"/>
      <c r="K716" s="467">
        <f>K630</f>
        <v>15.906000000000001</v>
      </c>
      <c r="L716" s="63"/>
      <c r="M716" s="63"/>
      <c r="N716" s="63"/>
      <c r="O716" s="63"/>
      <c r="P716" s="467">
        <f>P630</f>
        <v>31.009</v>
      </c>
      <c r="Q716" s="63"/>
      <c r="R716" s="63"/>
      <c r="S716" s="63"/>
      <c r="T716" s="63"/>
      <c r="U716" s="467">
        <f>U630</f>
        <v>31.782</v>
      </c>
      <c r="V716" s="63"/>
      <c r="W716" s="63"/>
      <c r="X716" s="63"/>
      <c r="Y716" s="63"/>
      <c r="Z716" s="467">
        <f>Z630</f>
        <v>-7.1109999999999998</v>
      </c>
      <c r="AA716" s="63"/>
      <c r="AB716" s="63"/>
      <c r="AC716" s="63"/>
      <c r="AD716" s="63"/>
      <c r="AE716" s="467">
        <f>AE630</f>
        <v>30.965</v>
      </c>
      <c r="AF716" s="63"/>
      <c r="AG716" s="63"/>
      <c r="AH716" s="63"/>
      <c r="AI716" s="63"/>
      <c r="AJ716" s="467">
        <f>AJ630</f>
        <v>-36.991</v>
      </c>
      <c r="AK716" s="63"/>
      <c r="AL716" s="63"/>
      <c r="AM716" s="63"/>
      <c r="AN716" s="63"/>
      <c r="AO716" s="467">
        <f>AO630</f>
        <v>6.3090000000000002</v>
      </c>
      <c r="AP716" s="63"/>
      <c r="AQ716" s="63"/>
      <c r="AR716" s="63"/>
      <c r="AS716" s="63"/>
      <c r="AT716" s="467">
        <f>AT630</f>
        <v>55.755000000000003</v>
      </c>
      <c r="AU716" s="63"/>
      <c r="AV716" s="63"/>
      <c r="AW716" s="63"/>
      <c r="AX716" s="63"/>
      <c r="AY716" s="467">
        <f>AY630</f>
        <v>70.988</v>
      </c>
      <c r="AZ716" s="63"/>
      <c r="BA716" s="63"/>
      <c r="BB716" s="63"/>
      <c r="BC716" s="63"/>
      <c r="BD716" s="467">
        <f>BD630</f>
        <v>140.988</v>
      </c>
      <c r="BE716" s="63"/>
      <c r="BF716" s="63"/>
      <c r="BG716" s="63"/>
      <c r="BH716" s="63"/>
      <c r="BI716" s="467">
        <f>BI630</f>
        <v>200.81200000000001</v>
      </c>
      <c r="BJ716" s="63"/>
      <c r="BK716" s="63"/>
      <c r="BL716" s="63"/>
      <c r="BM716" s="63"/>
      <c r="BN716" s="467">
        <f>BN630</f>
        <v>223.97499999999999</v>
      </c>
      <c r="BO716" s="63"/>
      <c r="BP716" s="63"/>
      <c r="BQ716" s="63"/>
      <c r="BR716" s="63"/>
      <c r="BS716" s="468">
        <f>BS630</f>
        <v>196.57900000000001</v>
      </c>
      <c r="BT716" s="63"/>
      <c r="BU716" s="63"/>
      <c r="BV716" s="63"/>
      <c r="BW716" s="63"/>
      <c r="BX716" s="413"/>
      <c r="BY716" s="63"/>
      <c r="BZ716" s="63"/>
      <c r="CA716" s="63"/>
      <c r="CB716" s="63"/>
      <c r="CC716" s="413"/>
      <c r="CD716" s="413"/>
      <c r="CE716" s="413"/>
      <c r="CF716" s="413"/>
      <c r="CG716" s="99"/>
    </row>
    <row r="717" spans="1:85" ht="14.45" customHeight="1" x14ac:dyDescent="0.25">
      <c r="A717" s="296" t="s">
        <v>649</v>
      </c>
      <c r="B717" s="180"/>
      <c r="C717" s="467">
        <f t="shared" si="653"/>
        <v>39.268000000000001</v>
      </c>
      <c r="D717" s="467">
        <f t="shared" si="653"/>
        <v>34.116999999999997</v>
      </c>
      <c r="E717" s="467">
        <f t="shared" si="653"/>
        <v>34.988999999999997</v>
      </c>
      <c r="F717" s="467">
        <f t="shared" si="653"/>
        <v>35.149000000000001</v>
      </c>
      <c r="G717" s="63"/>
      <c r="H717" s="63"/>
      <c r="I717" s="63"/>
      <c r="J717" s="63"/>
      <c r="K717" s="467">
        <f>K631</f>
        <v>28.209</v>
      </c>
      <c r="L717" s="63"/>
      <c r="M717" s="63"/>
      <c r="N717" s="63"/>
      <c r="O717" s="63"/>
      <c r="P717" s="467">
        <f>P631</f>
        <v>28.021000000000001</v>
      </c>
      <c r="Q717" s="63"/>
      <c r="R717" s="63"/>
      <c r="S717" s="63"/>
      <c r="T717" s="63"/>
      <c r="U717" s="467">
        <f>U631</f>
        <v>27.390999999999998</v>
      </c>
      <c r="V717" s="63"/>
      <c r="W717" s="63"/>
      <c r="X717" s="63"/>
      <c r="Y717" s="63"/>
      <c r="Z717" s="467">
        <f>Z631</f>
        <v>34.764000000000003</v>
      </c>
      <c r="AA717" s="63"/>
      <c r="AB717" s="63"/>
      <c r="AC717" s="63"/>
      <c r="AD717" s="63"/>
      <c r="AE717" s="467">
        <f>AE631</f>
        <v>39.609000000000002</v>
      </c>
      <c r="AF717" s="63"/>
      <c r="AG717" s="63"/>
      <c r="AH717" s="63"/>
      <c r="AI717" s="63"/>
      <c r="AJ717" s="467">
        <f>AJ631</f>
        <v>45.067</v>
      </c>
      <c r="AK717" s="63"/>
      <c r="AL717" s="63"/>
      <c r="AM717" s="63"/>
      <c r="AN717" s="63"/>
      <c r="AO717" s="467">
        <f>AO631</f>
        <v>43.396999999999998</v>
      </c>
      <c r="AP717" s="63"/>
      <c r="AQ717" s="63"/>
      <c r="AR717" s="63"/>
      <c r="AS717" s="63"/>
      <c r="AT717" s="467">
        <f>AT631</f>
        <v>34.256999999999998</v>
      </c>
      <c r="AU717" s="63"/>
      <c r="AV717" s="63"/>
      <c r="AW717" s="63"/>
      <c r="AX717" s="63"/>
      <c r="AY717" s="467">
        <f>AY631</f>
        <v>29.141999999999999</v>
      </c>
      <c r="AZ717" s="63"/>
      <c r="BA717" s="63"/>
      <c r="BB717" s="63"/>
      <c r="BC717" s="63"/>
      <c r="BD717" s="467">
        <f>BD631</f>
        <v>28.085999999999999</v>
      </c>
      <c r="BE717" s="63"/>
      <c r="BF717" s="63"/>
      <c r="BG717" s="63"/>
      <c r="BH717" s="63"/>
      <c r="BI717" s="467">
        <f>BI631</f>
        <v>23.96</v>
      </c>
      <c r="BJ717" s="63"/>
      <c r="BK717" s="63"/>
      <c r="BL717" s="63"/>
      <c r="BM717" s="63"/>
      <c r="BN717" s="467">
        <f>BN631</f>
        <v>56.094000000000001</v>
      </c>
      <c r="BO717" s="63"/>
      <c r="BP717" s="63"/>
      <c r="BQ717" s="63"/>
      <c r="BR717" s="63"/>
      <c r="BS717" s="468">
        <f>BS631</f>
        <v>92.834999999999994</v>
      </c>
      <c r="BT717" s="63"/>
      <c r="BU717" s="63"/>
      <c r="BV717" s="63"/>
      <c r="BW717" s="63"/>
      <c r="BX717" s="413"/>
      <c r="BY717" s="63"/>
      <c r="BZ717" s="63"/>
      <c r="CA717" s="63"/>
      <c r="CB717" s="63"/>
      <c r="CC717" s="413"/>
      <c r="CD717" s="413"/>
      <c r="CE717" s="413"/>
      <c r="CF717" s="413"/>
      <c r="CG717" s="99"/>
    </row>
    <row r="718" spans="1:85" ht="14.45" customHeight="1" x14ac:dyDescent="0.25">
      <c r="A718" s="111"/>
      <c r="B718" s="211"/>
      <c r="C718" s="423"/>
      <c r="D718" s="423"/>
      <c r="E718" s="423"/>
      <c r="F718" s="423"/>
      <c r="G718" s="112"/>
      <c r="H718" s="112"/>
      <c r="I718" s="112"/>
      <c r="J718" s="112"/>
      <c r="K718" s="423"/>
      <c r="L718" s="112"/>
      <c r="M718" s="112"/>
      <c r="N718" s="112"/>
      <c r="O718" s="112"/>
      <c r="P718" s="423"/>
      <c r="Q718" s="112"/>
      <c r="R718" s="112"/>
      <c r="S718" s="112"/>
      <c r="T718" s="112"/>
      <c r="U718" s="423"/>
      <c r="V718" s="112"/>
      <c r="W718" s="112"/>
      <c r="X718" s="112"/>
      <c r="Y718" s="112"/>
      <c r="Z718" s="423"/>
      <c r="AA718" s="112"/>
      <c r="AB718" s="112"/>
      <c r="AC718" s="112"/>
      <c r="AD718" s="112"/>
      <c r="AE718" s="423"/>
      <c r="AF718" s="112"/>
      <c r="AG718" s="112"/>
      <c r="AH718" s="112"/>
      <c r="AI718" s="112"/>
      <c r="AJ718" s="423"/>
      <c r="AK718" s="112"/>
      <c r="AL718" s="112"/>
      <c r="AM718" s="112"/>
      <c r="AN718" s="112"/>
      <c r="AO718" s="423"/>
      <c r="AP718" s="112"/>
      <c r="AQ718" s="112"/>
      <c r="AR718" s="112"/>
      <c r="AS718" s="112"/>
      <c r="AT718" s="423"/>
      <c r="AU718" s="112"/>
      <c r="AV718" s="112"/>
      <c r="AW718" s="112"/>
      <c r="AX718" s="112"/>
      <c r="AY718" s="423"/>
      <c r="AZ718" s="112"/>
      <c r="BA718" s="112"/>
      <c r="BB718" s="112"/>
      <c r="BC718" s="112"/>
      <c r="BD718" s="423"/>
      <c r="BE718" s="112"/>
      <c r="BF718" s="112"/>
      <c r="BG718" s="112"/>
      <c r="BH718" s="112"/>
      <c r="BI718" s="423"/>
      <c r="BJ718" s="112"/>
      <c r="BK718" s="112"/>
      <c r="BL718" s="112"/>
      <c r="BM718" s="112"/>
      <c r="BN718" s="423"/>
      <c r="BO718" s="112"/>
      <c r="BP718" s="112"/>
      <c r="BQ718" s="112"/>
      <c r="BR718" s="112"/>
      <c r="BS718" s="424"/>
      <c r="BT718" s="112"/>
      <c r="BU718" s="112"/>
      <c r="BV718" s="112"/>
      <c r="BW718" s="112"/>
      <c r="BX718" s="423"/>
      <c r="BY718" s="112"/>
      <c r="BZ718" s="112"/>
      <c r="CA718" s="112"/>
      <c r="CB718" s="112"/>
      <c r="CC718" s="423"/>
      <c r="CD718" s="423"/>
      <c r="CE718" s="423"/>
      <c r="CF718" s="423"/>
      <c r="CG718" s="109"/>
    </row>
    <row r="719" spans="1:85" ht="14.45" customHeight="1" x14ac:dyDescent="0.25">
      <c r="A719" s="217" t="s">
        <v>651</v>
      </c>
      <c r="B719" s="217"/>
      <c r="C719" s="218">
        <f t="shared" ref="C719:AH719" si="654">ROUND(C714-C754,6)</f>
        <v>0</v>
      </c>
      <c r="D719" s="218">
        <f t="shared" si="654"/>
        <v>0</v>
      </c>
      <c r="E719" s="218">
        <f t="shared" si="654"/>
        <v>0</v>
      </c>
      <c r="F719" s="218">
        <f t="shared" si="654"/>
        <v>0</v>
      </c>
      <c r="G719" s="218">
        <f t="shared" si="654"/>
        <v>0</v>
      </c>
      <c r="H719" s="218">
        <f t="shared" si="654"/>
        <v>0</v>
      </c>
      <c r="I719" s="218">
        <f t="shared" si="654"/>
        <v>0</v>
      </c>
      <c r="J719" s="218">
        <f t="shared" si="654"/>
        <v>0</v>
      </c>
      <c r="K719" s="218">
        <f t="shared" si="654"/>
        <v>0</v>
      </c>
      <c r="L719" s="218">
        <f t="shared" si="654"/>
        <v>0</v>
      </c>
      <c r="M719" s="218">
        <f t="shared" si="654"/>
        <v>0</v>
      </c>
      <c r="N719" s="218">
        <f t="shared" si="654"/>
        <v>0</v>
      </c>
      <c r="O719" s="218">
        <f t="shared" si="654"/>
        <v>0</v>
      </c>
      <c r="P719" s="218">
        <f t="shared" si="654"/>
        <v>0</v>
      </c>
      <c r="Q719" s="218">
        <f t="shared" si="654"/>
        <v>0</v>
      </c>
      <c r="R719" s="218">
        <f t="shared" si="654"/>
        <v>0</v>
      </c>
      <c r="S719" s="218">
        <f t="shared" si="654"/>
        <v>0</v>
      </c>
      <c r="T719" s="218">
        <f t="shared" si="654"/>
        <v>0</v>
      </c>
      <c r="U719" s="218">
        <f t="shared" si="654"/>
        <v>0</v>
      </c>
      <c r="V719" s="218">
        <f t="shared" si="654"/>
        <v>0</v>
      </c>
      <c r="W719" s="218">
        <f t="shared" si="654"/>
        <v>0</v>
      </c>
      <c r="X719" s="218">
        <f t="shared" si="654"/>
        <v>0</v>
      </c>
      <c r="Y719" s="218">
        <f t="shared" si="654"/>
        <v>0</v>
      </c>
      <c r="Z719" s="218">
        <f t="shared" si="654"/>
        <v>0</v>
      </c>
      <c r="AA719" s="218">
        <f t="shared" si="654"/>
        <v>0</v>
      </c>
      <c r="AB719" s="218">
        <f t="shared" si="654"/>
        <v>0</v>
      </c>
      <c r="AC719" s="218">
        <f t="shared" si="654"/>
        <v>0</v>
      </c>
      <c r="AD719" s="218">
        <f t="shared" si="654"/>
        <v>0</v>
      </c>
      <c r="AE719" s="218">
        <f t="shared" si="654"/>
        <v>0</v>
      </c>
      <c r="AF719" s="218">
        <f t="shared" si="654"/>
        <v>0</v>
      </c>
      <c r="AG719" s="218">
        <f t="shared" si="654"/>
        <v>0</v>
      </c>
      <c r="AH719" s="218">
        <f t="shared" si="654"/>
        <v>0</v>
      </c>
      <c r="AI719" s="218">
        <f t="shared" ref="AI719:BN719" si="655">ROUND(AI714-AI754,6)</f>
        <v>0</v>
      </c>
      <c r="AJ719" s="218">
        <f t="shared" si="655"/>
        <v>0</v>
      </c>
      <c r="AK719" s="218">
        <f t="shared" si="655"/>
        <v>0</v>
      </c>
      <c r="AL719" s="218">
        <f t="shared" si="655"/>
        <v>0</v>
      </c>
      <c r="AM719" s="218">
        <f t="shared" si="655"/>
        <v>0</v>
      </c>
      <c r="AN719" s="218">
        <f t="shared" si="655"/>
        <v>0</v>
      </c>
      <c r="AO719" s="218">
        <f t="shared" si="655"/>
        <v>0</v>
      </c>
      <c r="AP719" s="218">
        <f t="shared" si="655"/>
        <v>0</v>
      </c>
      <c r="AQ719" s="218">
        <f t="shared" si="655"/>
        <v>0</v>
      </c>
      <c r="AR719" s="218">
        <f t="shared" si="655"/>
        <v>0</v>
      </c>
      <c r="AS719" s="218">
        <f t="shared" si="655"/>
        <v>0</v>
      </c>
      <c r="AT719" s="218">
        <f t="shared" si="655"/>
        <v>0</v>
      </c>
      <c r="AU719" s="218">
        <f t="shared" si="655"/>
        <v>0</v>
      </c>
      <c r="AV719" s="218">
        <f t="shared" si="655"/>
        <v>0</v>
      </c>
      <c r="AW719" s="218">
        <f t="shared" si="655"/>
        <v>0</v>
      </c>
      <c r="AX719" s="218">
        <f t="shared" si="655"/>
        <v>0</v>
      </c>
      <c r="AY719" s="218">
        <f t="shared" si="655"/>
        <v>0</v>
      </c>
      <c r="AZ719" s="218">
        <f t="shared" si="655"/>
        <v>0</v>
      </c>
      <c r="BA719" s="218">
        <f t="shared" si="655"/>
        <v>0</v>
      </c>
      <c r="BB719" s="218">
        <f t="shared" si="655"/>
        <v>0</v>
      </c>
      <c r="BC719" s="218">
        <f t="shared" si="655"/>
        <v>0</v>
      </c>
      <c r="BD719" s="218">
        <f t="shared" si="655"/>
        <v>0</v>
      </c>
      <c r="BE719" s="218">
        <f t="shared" si="655"/>
        <v>0</v>
      </c>
      <c r="BF719" s="218">
        <f t="shared" si="655"/>
        <v>0</v>
      </c>
      <c r="BG719" s="218">
        <f t="shared" si="655"/>
        <v>0</v>
      </c>
      <c r="BH719" s="218">
        <f t="shared" si="655"/>
        <v>0</v>
      </c>
      <c r="BI719" s="218">
        <f t="shared" si="655"/>
        <v>0</v>
      </c>
      <c r="BJ719" s="218">
        <f t="shared" si="655"/>
        <v>0</v>
      </c>
      <c r="BK719" s="218">
        <f t="shared" si="655"/>
        <v>0</v>
      </c>
      <c r="BL719" s="218">
        <f t="shared" si="655"/>
        <v>0</v>
      </c>
      <c r="BM719" s="218">
        <f t="shared" si="655"/>
        <v>0</v>
      </c>
      <c r="BN719" s="218">
        <f t="shared" si="655"/>
        <v>0</v>
      </c>
      <c r="BO719" s="218">
        <f t="shared" ref="BO719:CF719" si="656">ROUND(BO714-BO754,6)</f>
        <v>0</v>
      </c>
      <c r="BP719" s="218">
        <f t="shared" si="656"/>
        <v>0</v>
      </c>
      <c r="BQ719" s="218">
        <f t="shared" si="656"/>
        <v>0</v>
      </c>
      <c r="BR719" s="218">
        <f t="shared" si="656"/>
        <v>0</v>
      </c>
      <c r="BS719" s="515">
        <f t="shared" si="656"/>
        <v>0</v>
      </c>
      <c r="BT719" s="218" t="e">
        <f t="shared" si="656"/>
        <v>#NAME?</v>
      </c>
      <c r="BU719" s="218" t="e">
        <f t="shared" si="656"/>
        <v>#NAME?</v>
      </c>
      <c r="BV719" s="218" t="e">
        <f t="shared" si="656"/>
        <v>#NAME?</v>
      </c>
      <c r="BW719" s="218" t="e">
        <f t="shared" si="656"/>
        <v>#NAME?</v>
      </c>
      <c r="BX719" s="218" t="e">
        <f t="shared" si="656"/>
        <v>#NAME?</v>
      </c>
      <c r="BY719" s="218" t="e">
        <f t="shared" si="656"/>
        <v>#NAME?</v>
      </c>
      <c r="BZ719" s="218" t="e">
        <f t="shared" si="656"/>
        <v>#NAME?</v>
      </c>
      <c r="CA719" s="218" t="e">
        <f t="shared" si="656"/>
        <v>#NAME?</v>
      </c>
      <c r="CB719" s="218" t="e">
        <f t="shared" si="656"/>
        <v>#NAME?</v>
      </c>
      <c r="CC719" s="218" t="e">
        <f t="shared" si="656"/>
        <v>#NAME?</v>
      </c>
      <c r="CD719" s="218" t="e">
        <f t="shared" si="656"/>
        <v>#NAME?</v>
      </c>
      <c r="CE719" s="218" t="e">
        <f t="shared" si="656"/>
        <v>#NAME?</v>
      </c>
      <c r="CF719" s="218" t="e">
        <f t="shared" si="656"/>
        <v>#NAME?</v>
      </c>
      <c r="CG719" s="99"/>
    </row>
    <row r="720" spans="1:85" ht="14.45" customHeight="1" x14ac:dyDescent="0.25">
      <c r="A720" s="111"/>
      <c r="B720" s="211"/>
      <c r="C720" s="423"/>
      <c r="D720" s="423"/>
      <c r="E720" s="423"/>
      <c r="F720" s="423"/>
      <c r="G720" s="112"/>
      <c r="H720" s="112"/>
      <c r="I720" s="112"/>
      <c r="J720" s="112"/>
      <c r="K720" s="423"/>
      <c r="L720" s="112"/>
      <c r="M720" s="112"/>
      <c r="N720" s="112"/>
      <c r="O720" s="112"/>
      <c r="P720" s="423"/>
      <c r="Q720" s="112"/>
      <c r="R720" s="112"/>
      <c r="S720" s="112"/>
      <c r="T720" s="112"/>
      <c r="U720" s="423"/>
      <c r="V720" s="112"/>
      <c r="W720" s="112"/>
      <c r="X720" s="112"/>
      <c r="Y720" s="112"/>
      <c r="Z720" s="423"/>
      <c r="AA720" s="112"/>
      <c r="AB720" s="112"/>
      <c r="AC720" s="112"/>
      <c r="AD720" s="112"/>
      <c r="AE720" s="423"/>
      <c r="AF720" s="112"/>
      <c r="AG720" s="112"/>
      <c r="AH720" s="112"/>
      <c r="AI720" s="112"/>
      <c r="AJ720" s="423"/>
      <c r="AK720" s="112"/>
      <c r="AL720" s="112"/>
      <c r="AM720" s="112"/>
      <c r="AN720" s="112"/>
      <c r="AO720" s="423"/>
      <c r="AP720" s="112"/>
      <c r="AQ720" s="112"/>
      <c r="AR720" s="112"/>
      <c r="AS720" s="112"/>
      <c r="AT720" s="423"/>
      <c r="AU720" s="112"/>
      <c r="AV720" s="112"/>
      <c r="AW720" s="112"/>
      <c r="AX720" s="112"/>
      <c r="AY720" s="423"/>
      <c r="AZ720" s="112"/>
      <c r="BA720" s="112"/>
      <c r="BB720" s="112"/>
      <c r="BC720" s="112"/>
      <c r="BD720" s="423"/>
      <c r="BE720" s="112"/>
      <c r="BF720" s="112"/>
      <c r="BG720" s="112"/>
      <c r="BH720" s="112"/>
      <c r="BI720" s="423"/>
      <c r="BJ720" s="112"/>
      <c r="BK720" s="112"/>
      <c r="BL720" s="112"/>
      <c r="BM720" s="112"/>
      <c r="BN720" s="423"/>
      <c r="BO720" s="112"/>
      <c r="BP720" s="112"/>
      <c r="BQ720" s="112"/>
      <c r="BR720" s="112"/>
      <c r="BS720" s="424"/>
      <c r="BT720" s="112"/>
      <c r="BU720" s="112"/>
      <c r="BV720" s="112"/>
      <c r="BW720" s="112"/>
      <c r="BX720" s="423"/>
      <c r="BY720" s="112"/>
      <c r="BZ720" s="112"/>
      <c r="CA720" s="112"/>
      <c r="CB720" s="112"/>
      <c r="CC720" s="423"/>
      <c r="CD720" s="423"/>
      <c r="CE720" s="423"/>
      <c r="CF720" s="423"/>
      <c r="CG720" s="109"/>
    </row>
    <row r="721" spans="1:85" ht="14.45" customHeight="1" x14ac:dyDescent="0.25">
      <c r="A721" s="297" t="s">
        <v>652</v>
      </c>
      <c r="B721" s="298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409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109"/>
    </row>
    <row r="722" spans="1:85" ht="14.45" customHeight="1" x14ac:dyDescent="0.25">
      <c r="A722" s="206" t="s">
        <v>653</v>
      </c>
      <c r="B722" s="234"/>
      <c r="C722" s="532">
        <f t="shared" ref="C722:F723" si="657">C761/C$401</f>
        <v>7.8892657309218517E-2</v>
      </c>
      <c r="D722" s="532">
        <f t="shared" si="657"/>
        <v>8.2330042473288317E-2</v>
      </c>
      <c r="E722" s="532">
        <f t="shared" si="657"/>
        <v>8.370851612085016E-2</v>
      </c>
      <c r="F722" s="532">
        <f t="shared" si="657"/>
        <v>8.171351799672083E-2</v>
      </c>
      <c r="G722" s="235"/>
      <c r="H722" s="235"/>
      <c r="I722" s="235"/>
      <c r="J722" s="235"/>
      <c r="K722" s="532">
        <f>K761/K$401</f>
        <v>8.4440615573580222E-2</v>
      </c>
      <c r="L722" s="236">
        <f>L761/(L$401+J$401+I$401+H$401)</f>
        <v>9.4748299584174078E-2</v>
      </c>
      <c r="M722" s="236">
        <f>M761/(M$401+L$401+J$401+I$401)</f>
        <v>0.10623273554795401</v>
      </c>
      <c r="N722" s="236">
        <f>N761/(N$401+M$401+L$401+J$401)</f>
        <v>0.10011364251312301</v>
      </c>
      <c r="O722" s="236">
        <f>O761/(O$401+N$401+M$401+L$401)</f>
        <v>9.3335371848675755E-2</v>
      </c>
      <c r="P722" s="532">
        <f>P761/P$401</f>
        <v>9.3335371848675741E-2</v>
      </c>
      <c r="Q722" s="236">
        <f>Q761/(Q$401+O$401+N$401+M$401)</f>
        <v>0.10342289513207882</v>
      </c>
      <c r="R722" s="236">
        <f>R761/(R$401+Q$401+O$401+N$401)</f>
        <v>0.12887018436109346</v>
      </c>
      <c r="S722" s="236">
        <f>S761/(S$401+R$401+Q$401+O$401)</f>
        <v>0.11319040321898299</v>
      </c>
      <c r="T722" s="236">
        <f>T761/(T$401+S$401+R$401+Q$401)</f>
        <v>0.10259020541453603</v>
      </c>
      <c r="U722" s="532">
        <f>U761/U$401</f>
        <v>0.10259020541453603</v>
      </c>
      <c r="V722" s="236">
        <f>V761/(V$401+T$401+S$401+R$401)</f>
        <v>0.11546879545044685</v>
      </c>
      <c r="W722" s="236">
        <f>W761/(W$401+V$401+T$401+S$401)</f>
        <v>0.13357494299949488</v>
      </c>
      <c r="X722" s="236">
        <f>X761/(X$401+W$401+V$401+T$401)</f>
        <v>0.11902129910065619</v>
      </c>
      <c r="Y722" s="236">
        <f>Y761/(Y$401+X$401+W$401+V$401)</f>
        <v>0.11550208019951667</v>
      </c>
      <c r="Z722" s="532">
        <f>Z761/Z$401</f>
        <v>0.11550208019951667</v>
      </c>
      <c r="AA722" s="236">
        <f>AA761/(AA$401+Y$401+X$401+W$401)</f>
        <v>0.11351310134561045</v>
      </c>
      <c r="AB722" s="236">
        <f>AB761/(AB$401+AA$401+Y$401+X$401)</f>
        <v>0.13435461475673191</v>
      </c>
      <c r="AC722" s="236">
        <f>AC761/(AC$401+AB$401+AA$401+Y$401)</f>
        <v>0.11889195531951714</v>
      </c>
      <c r="AD722" s="236">
        <f>AD761/(AD$401+AC$401+AB$401+AA$401)</f>
        <v>0.11410959398362687</v>
      </c>
      <c r="AE722" s="532">
        <f>AE761/AE$401</f>
        <v>0.11410959398362687</v>
      </c>
      <c r="AF722" s="236">
        <f>AF761/(AF$401+AD$401+AC$401+AB$401)</f>
        <v>0.11164513059941986</v>
      </c>
      <c r="AG722" s="236">
        <f>AG761/(AG$401+AF$401+AD$401+AC$401)</f>
        <v>0.11855181061937037</v>
      </c>
      <c r="AH722" s="236">
        <f>AH761/(AH$401+AG$401+AF$401+AD$401)</f>
        <v>0.11148309122844882</v>
      </c>
      <c r="AI722" s="236">
        <f>AI761/(AI$401+AH$401+AG$401+AF$401)</f>
        <v>0.10878214125418022</v>
      </c>
      <c r="AJ722" s="532">
        <f>AJ761/AJ$401</f>
        <v>0.10878214125418022</v>
      </c>
      <c r="AK722" s="236">
        <f>AK761/(AK$401+AI$401+AH$401+AG$401)</f>
        <v>0.10941522914348586</v>
      </c>
      <c r="AL722" s="236">
        <f>AL761/(AL$401+AK$401+AI$401+AH$401)</f>
        <v>0.11765580034660578</v>
      </c>
      <c r="AM722" s="236">
        <f>AM761/(AM$401+AL$401+AK$401+AI$401)</f>
        <v>0.11198512762190146</v>
      </c>
      <c r="AN722" s="236">
        <f>AN761/(AN$401+AM$401+AL$401+AK$401)</f>
        <v>0.10883034648565675</v>
      </c>
      <c r="AO722" s="532">
        <f>AO761/AO$401</f>
        <v>0.10883034648565675</v>
      </c>
      <c r="AP722" s="236">
        <f>AP761/(AP$401+AN$401+AM$401+AL$401)</f>
        <v>0.11304056766880594</v>
      </c>
      <c r="AQ722" s="236">
        <f>AQ761/(AQ$401+AP$401+AN$401+AM$401)</f>
        <v>0.11118334160100976</v>
      </c>
      <c r="AR722" s="236">
        <f>AR761/(AR$401+AQ$401+AP$401+AN$401)</f>
        <v>0.10747199943598479</v>
      </c>
      <c r="AS722" s="236">
        <f>AS761/(AS$401+AR$401+AQ$401+AP$401)</f>
        <v>9.7878381749094384E-2</v>
      </c>
      <c r="AT722" s="532">
        <f>AT761/AT$401</f>
        <v>9.7878381749094384E-2</v>
      </c>
      <c r="AU722" s="236">
        <f>AU761/(AU$401+AS$401+AR$401+AQ$401)</f>
        <v>0.1047599493200982</v>
      </c>
      <c r="AV722" s="236">
        <f>AV761/(AV$401+AU$401+AS$401+AR$401)</f>
        <v>0.10365505952470629</v>
      </c>
      <c r="AW722" s="236">
        <f>AW761/(AW$401+AV$401+AU$401+AS$401)</f>
        <v>0.10170266217467437</v>
      </c>
      <c r="AX722" s="236">
        <f>AX761/(AX$401+AW$401+AV$401+AU$401)</f>
        <v>9.8252220049421912E-2</v>
      </c>
      <c r="AY722" s="532">
        <f>AY761/AY$401</f>
        <v>9.8252220049421912E-2</v>
      </c>
      <c r="AZ722" s="236">
        <f>AZ761/(AZ$401+AX$401+AW$401+AV$401)</f>
        <v>9.6658104003447293E-2</v>
      </c>
      <c r="BA722" s="236">
        <f>BA761/(BA$401+AZ$401+AX$401+AW$401)</f>
        <v>0.10768645773315237</v>
      </c>
      <c r="BB722" s="236">
        <f>BB761/(BB$401+BA$401+AZ$401+AX$401)</f>
        <v>0.10916539106783997</v>
      </c>
      <c r="BC722" s="236">
        <f>BC761/(BC$401+BB$401+BA$401+AZ$401)</f>
        <v>9.7782487445083055E-2</v>
      </c>
      <c r="BD722" s="532">
        <f>BD761/BD$401</f>
        <v>9.7782487445083055E-2</v>
      </c>
      <c r="BE722" s="236">
        <f>BE761/(BE$401+BC$401+BB$401+BA$401)</f>
        <v>0.10022312283721675</v>
      </c>
      <c r="BF722" s="236">
        <f>BF761/(BF$401+BE$401+BC$401+BB$401)</f>
        <v>0.1073937730214633</v>
      </c>
      <c r="BG722" s="236">
        <f>BG761/(BG$401+BF$401+BE$401+BC$401)</f>
        <v>9.8328955984485031E-2</v>
      </c>
      <c r="BH722" s="236">
        <f>BH761/(BH$401+BG$401+BF$401+BE$401)</f>
        <v>9.9091684854110212E-2</v>
      </c>
      <c r="BI722" s="532">
        <f>BI761/BI$401</f>
        <v>9.9091684854110212E-2</v>
      </c>
      <c r="BJ722" s="236">
        <f>BJ761/(BJ$401+BH$401+BG$401+BF$401)</f>
        <v>0.10178170235375664</v>
      </c>
      <c r="BK722" s="236">
        <f>BK761/(BK$401+BJ$401+BH$401+BG$401)</f>
        <v>0.10649472667540542</v>
      </c>
      <c r="BL722" s="236">
        <f>BL761/(BL$401+BK$401+BJ$401+BH$401)</f>
        <v>0.10199925503122928</v>
      </c>
      <c r="BM722" s="236">
        <f>BM761/(BM$401+BL$401+BK$401+BJ$401)</f>
        <v>9.9068135558043238E-2</v>
      </c>
      <c r="BN722" s="532">
        <f>BN761/BN$401</f>
        <v>9.9068135558043252E-2</v>
      </c>
      <c r="BO722" s="236">
        <f>BO761/(BO$401+BM$401+BL$401+BK$401)</f>
        <v>9.9468835015687276E-2</v>
      </c>
      <c r="BP722" s="236">
        <f>BP761/(BP$401+BO$401+BM$401+BL$401)</f>
        <v>0.10350459860991704</v>
      </c>
      <c r="BQ722" s="236">
        <f>BQ761/(BQ$401+BP$401+BO$401+BM$401)</f>
        <v>0.10053296122318857</v>
      </c>
      <c r="BR722" s="236">
        <f>BR761/(BR$401+BQ$401+BP$401+BO$401)</f>
        <v>9.6801560032401521E-2</v>
      </c>
      <c r="BS722" s="533">
        <f>BS761/BS$401</f>
        <v>9.6801560032401521E-2</v>
      </c>
      <c r="BT722" s="235">
        <f t="shared" ref="BT722:BW724" si="658">BO722+BT726</f>
        <v>9.9468835015687276E-2</v>
      </c>
      <c r="BU722" s="235">
        <f t="shared" si="658"/>
        <v>0.10350459860991704</v>
      </c>
      <c r="BV722" s="235">
        <f t="shared" si="658"/>
        <v>0.10053296122318857</v>
      </c>
      <c r="BW722" s="235">
        <f t="shared" si="658"/>
        <v>9.6801560032401521E-2</v>
      </c>
      <c r="BX722" s="530">
        <f>BX761/BX$401</f>
        <v>9.6801560032401535E-2</v>
      </c>
      <c r="BY722" s="235">
        <f t="shared" ref="BY722:CB724" si="659">BT722+BY726</f>
        <v>9.9468835015687276E-2</v>
      </c>
      <c r="BZ722" s="235">
        <f t="shared" si="659"/>
        <v>0.10350459860991704</v>
      </c>
      <c r="CA722" s="235">
        <f t="shared" si="659"/>
        <v>0.10053296122318857</v>
      </c>
      <c r="CB722" s="235">
        <f t="shared" si="659"/>
        <v>9.6801560032401521E-2</v>
      </c>
      <c r="CC722" s="530">
        <f>CC761/CC$401</f>
        <v>9.6801560032401521E-2</v>
      </c>
      <c r="CD722" s="530">
        <f t="shared" ref="CD722:CF724" si="660">CC722+CD726</f>
        <v>9.6801560032401521E-2</v>
      </c>
      <c r="CE722" s="530">
        <f t="shared" si="660"/>
        <v>9.6801560032401521E-2</v>
      </c>
      <c r="CF722" s="530">
        <f t="shared" si="660"/>
        <v>9.6801560032401521E-2</v>
      </c>
      <c r="CG722" s="236"/>
    </row>
    <row r="723" spans="1:85" ht="14.45" customHeight="1" x14ac:dyDescent="0.25">
      <c r="A723" s="206" t="s">
        <v>654</v>
      </c>
      <c r="B723" s="234"/>
      <c r="C723" s="532">
        <f t="shared" si="657"/>
        <v>4.0971984482177926E-2</v>
      </c>
      <c r="D723" s="532">
        <f t="shared" si="657"/>
        <v>4.282981832154914E-2</v>
      </c>
      <c r="E723" s="532">
        <f t="shared" si="657"/>
        <v>4.2375318577104464E-2</v>
      </c>
      <c r="F723" s="532">
        <f t="shared" si="657"/>
        <v>4.0834150441672094E-2</v>
      </c>
      <c r="G723" s="235"/>
      <c r="H723" s="235"/>
      <c r="I723" s="235"/>
      <c r="J723" s="235"/>
      <c r="K723" s="532">
        <f>K762/K$401</f>
        <v>3.7766300642588242E-2</v>
      </c>
      <c r="L723" s="236">
        <f>L762/(L$401+J$401+I$401+H$401)</f>
        <v>4.6231023310790702E-2</v>
      </c>
      <c r="M723" s="236">
        <f>M762/(M$401+L$401+J$401+I$401)</f>
        <v>4.9684051582246778E-2</v>
      </c>
      <c r="N723" s="236">
        <f>N762/(N$401+M$401+L$401+J$401)</f>
        <v>4.7129291298936282E-2</v>
      </c>
      <c r="O723" s="236">
        <f>O762/(O$401+N$401+M$401+L$401)</f>
        <v>4.0506903180255724E-2</v>
      </c>
      <c r="P723" s="532">
        <f>P762/P$401</f>
        <v>4.0506903180255717E-2</v>
      </c>
      <c r="Q723" s="236">
        <f>Q762/(Q$401+O$401+N$401+M$401)</f>
        <v>5.0318601466560663E-2</v>
      </c>
      <c r="R723" s="236">
        <f>R762/(R$401+Q$401+O$401+N$401)</f>
        <v>5.0675651621106176E-2</v>
      </c>
      <c r="S723" s="236">
        <f>S762/(S$401+R$401+Q$401+O$401)</f>
        <v>4.4255375156295546E-2</v>
      </c>
      <c r="T723" s="236">
        <f>T762/(T$401+S$401+R$401+Q$401)</f>
        <v>3.878847999833511E-2</v>
      </c>
      <c r="U723" s="532">
        <f>U762/U$401</f>
        <v>3.878847999833511E-2</v>
      </c>
      <c r="V723" s="236">
        <f>V762/(V$401+T$401+S$401+R$401)</f>
        <v>4.4560349317635611E-2</v>
      </c>
      <c r="W723" s="236">
        <f>W762/(W$401+V$401+T$401+S$401)</f>
        <v>4.6861699728068938E-2</v>
      </c>
      <c r="X723" s="236">
        <f>X762/(X$401+W$401+V$401+T$401)</f>
        <v>4.2949528791815128E-2</v>
      </c>
      <c r="Y723" s="236">
        <f>Y762/(Y$401+X$401+W$401+V$401)</f>
        <v>4.5479573746019235E-2</v>
      </c>
      <c r="Z723" s="532">
        <f>Z762/Z$401</f>
        <v>4.5479573746019235E-2</v>
      </c>
      <c r="AA723" s="236">
        <f>AA762/(AA$401+Y$401+X$401+W$401)</f>
        <v>5.3008325202830768E-2</v>
      </c>
      <c r="AB723" s="236">
        <f>AB762/(AB$401+AA$401+Y$401+X$401)</f>
        <v>5.3801272875291128E-2</v>
      </c>
      <c r="AC723" s="236">
        <f>AC762/(AC$401+AB$401+AA$401+Y$401)</f>
        <v>4.7521477049594731E-2</v>
      </c>
      <c r="AD723" s="236">
        <f>AD762/(AD$401+AC$401+AB$401+AA$401)</f>
        <v>4.2468108097106438E-2</v>
      </c>
      <c r="AE723" s="532">
        <f>AE762/AE$401</f>
        <v>4.2468108097106438E-2</v>
      </c>
      <c r="AF723" s="236">
        <f>AF762/(AF$401+AD$401+AC$401+AB$401)</f>
        <v>4.5804927695107571E-2</v>
      </c>
      <c r="AG723" s="236">
        <f>AG762/(AG$401+AF$401+AD$401+AC$401)</f>
        <v>4.8557156710437567E-2</v>
      </c>
      <c r="AH723" s="236">
        <f>AH762/(AH$401+AG$401+AF$401+AD$401)</f>
        <v>4.9814710564076436E-2</v>
      </c>
      <c r="AI723" s="236">
        <f>AI762/(AI$401+AH$401+AG$401+AF$401)</f>
        <v>4.5408966732131788E-2</v>
      </c>
      <c r="AJ723" s="532">
        <f>AJ762/AJ$401</f>
        <v>4.5408966732131788E-2</v>
      </c>
      <c r="AK723" s="236">
        <f>AK762/(AK$401+AI$401+AH$401+AG$401)</f>
        <v>4.7242650882305837E-2</v>
      </c>
      <c r="AL723" s="236">
        <f>AL762/(AL$401+AK$401+AI$401+AH$401)</f>
        <v>4.8948364222230471E-2</v>
      </c>
      <c r="AM723" s="236">
        <f>AM762/(AM$401+AL$401+AK$401+AI$401)</f>
        <v>4.8441412315738716E-2</v>
      </c>
      <c r="AN723" s="236">
        <f>AN762/(AN$401+AM$401+AL$401+AK$401)</f>
        <v>4.680901405952783E-2</v>
      </c>
      <c r="AO723" s="532">
        <f>AO762/AO$401</f>
        <v>4.680901405952783E-2</v>
      </c>
      <c r="AP723" s="236">
        <f>AP762/(AP$401+AN$401+AM$401+AL$401)</f>
        <v>4.6689803535390866E-2</v>
      </c>
      <c r="AQ723" s="236">
        <f>AQ762/(AQ$401+AP$401+AN$401+AM$401)</f>
        <v>4.3529625703113306E-2</v>
      </c>
      <c r="AR723" s="236">
        <f>AR762/(AR$401+AQ$401+AP$401+AN$401)</f>
        <v>4.2336392287254908E-2</v>
      </c>
      <c r="AS723" s="236">
        <f>AS762/(AS$401+AR$401+AQ$401+AP$401)</f>
        <v>4.5085061840008614E-2</v>
      </c>
      <c r="AT723" s="532">
        <f>AT762/AT$401</f>
        <v>4.5085061840008614E-2</v>
      </c>
      <c r="AU723" s="236">
        <f>AU762/(AU$401+AS$401+AR$401+AQ$401)</f>
        <v>5.0421878639777137E-2</v>
      </c>
      <c r="AV723" s="236">
        <f>AV762/(AV$401+AU$401+AS$401+AR$401)</f>
        <v>4.4787219137095144E-2</v>
      </c>
      <c r="AW723" s="236">
        <f>AW762/(AW$401+AV$401+AU$401+AS$401)</f>
        <v>4.4216670233490935E-2</v>
      </c>
      <c r="AX723" s="236">
        <f>AX762/(AX$401+AW$401+AV$401+AU$401)</f>
        <v>5.4443029068185066E-2</v>
      </c>
      <c r="AY723" s="532">
        <f>AY762/AY$401</f>
        <v>5.4443029068185066E-2</v>
      </c>
      <c r="AZ723" s="236">
        <f>AZ762/(AZ$401+AX$401+AW$401+AV$401)</f>
        <v>4.8493518324304069E-2</v>
      </c>
      <c r="BA723" s="236">
        <f>BA762/(BA$401+AZ$401+AX$401+AW$401)</f>
        <v>5.180426341242296E-2</v>
      </c>
      <c r="BB723" s="236">
        <f>BB762/(BB$401+BA$401+AZ$401+AX$401)</f>
        <v>5.2018729455479737E-2</v>
      </c>
      <c r="BC723" s="236">
        <f>BC762/(BC$401+BB$401+BA$401+AZ$401)</f>
        <v>5.6046994036565649E-2</v>
      </c>
      <c r="BD723" s="532">
        <f>BD762/BD$401</f>
        <v>5.6046994036565649E-2</v>
      </c>
      <c r="BE723" s="236">
        <f>BE762/(BE$401+BC$401+BB$401+BA$401)</f>
        <v>5.2968001682097143E-2</v>
      </c>
      <c r="BF723" s="236">
        <f>BF762/(BF$401+BE$401+BC$401+BB$401)</f>
        <v>5.1271695420876812E-2</v>
      </c>
      <c r="BG723" s="236">
        <f>BG762/(BG$401+BF$401+BE$401+BC$401)</f>
        <v>4.8577276973153859E-2</v>
      </c>
      <c r="BH723" s="236">
        <f>BH762/(BH$401+BG$401+BF$401+BE$401)</f>
        <v>4.8382757792546818E-2</v>
      </c>
      <c r="BI723" s="532">
        <f>BI762/BI$401</f>
        <v>4.8382757792546818E-2</v>
      </c>
      <c r="BJ723" s="236">
        <f>BJ762/(BJ$401+BH$401+BG$401+BF$401)</f>
        <v>5.4104667146749948E-2</v>
      </c>
      <c r="BK723" s="236">
        <f>BK762/(BK$401+BJ$401+BH$401+BG$401)</f>
        <v>5.0252765098790626E-2</v>
      </c>
      <c r="BL723" s="236">
        <f>BL762/(BL$401+BK$401+BJ$401+BH$401)</f>
        <v>4.9332586694008716E-2</v>
      </c>
      <c r="BM723" s="236">
        <f>BM762/(BM$401+BL$401+BK$401+BJ$401)</f>
        <v>4.7885304264697261E-2</v>
      </c>
      <c r="BN723" s="532">
        <f>BN762/BN$401</f>
        <v>4.7885304264697268E-2</v>
      </c>
      <c r="BO723" s="236">
        <f>BO762/(BO$401+BM$401+BL$401+BK$401)</f>
        <v>4.9391795985724289E-2</v>
      </c>
      <c r="BP723" s="236">
        <f>BP762/(BP$401+BO$401+BM$401+BL$401)</f>
        <v>5.0257044007586453E-2</v>
      </c>
      <c r="BQ723" s="236">
        <f>BQ762/(BQ$401+BP$401+BO$401+BM$401)</f>
        <v>5.0189751280990867E-2</v>
      </c>
      <c r="BR723" s="236">
        <f>BR762/(BR$401+BQ$401+BP$401+BO$401)</f>
        <v>4.6541012762077762E-2</v>
      </c>
      <c r="BS723" s="533">
        <f>BS762/BS$401</f>
        <v>4.6541012762077762E-2</v>
      </c>
      <c r="BT723" s="235">
        <f t="shared" si="658"/>
        <v>4.9391795985724289E-2</v>
      </c>
      <c r="BU723" s="235">
        <f t="shared" si="658"/>
        <v>5.0257044007586453E-2</v>
      </c>
      <c r="BV723" s="235">
        <f t="shared" si="658"/>
        <v>5.0189751280990867E-2</v>
      </c>
      <c r="BW723" s="235">
        <f t="shared" si="658"/>
        <v>4.6541012762077762E-2</v>
      </c>
      <c r="BX723" s="530">
        <f>BX762/BX$401</f>
        <v>4.6541012762077769E-2</v>
      </c>
      <c r="BY723" s="235">
        <f t="shared" si="659"/>
        <v>4.9391795985724289E-2</v>
      </c>
      <c r="BZ723" s="235">
        <f t="shared" si="659"/>
        <v>5.0257044007586453E-2</v>
      </c>
      <c r="CA723" s="235">
        <f t="shared" si="659"/>
        <v>5.0189751280990867E-2</v>
      </c>
      <c r="CB723" s="235">
        <f t="shared" si="659"/>
        <v>4.6541012762077762E-2</v>
      </c>
      <c r="CC723" s="530">
        <f>CC762/CC$401</f>
        <v>4.6541012762077769E-2</v>
      </c>
      <c r="CD723" s="530">
        <f t="shared" si="660"/>
        <v>4.6541012762077769E-2</v>
      </c>
      <c r="CE723" s="530">
        <f t="shared" si="660"/>
        <v>4.6541012762077769E-2</v>
      </c>
      <c r="CF723" s="530">
        <f t="shared" si="660"/>
        <v>4.6541012762077769E-2</v>
      </c>
      <c r="CG723" s="236"/>
    </row>
    <row r="724" spans="1:85" ht="14.45" customHeight="1" x14ac:dyDescent="0.25">
      <c r="A724" s="206" t="s">
        <v>655</v>
      </c>
      <c r="B724" s="234"/>
      <c r="C724" s="532">
        <f>C787/C$401</f>
        <v>4.4819561658948869E-2</v>
      </c>
      <c r="D724" s="532">
        <f>D787/D$401</f>
        <v>4.4193875738726893E-2</v>
      </c>
      <c r="E724" s="532">
        <f>E787/E$401</f>
        <v>4.890538860481964E-2</v>
      </c>
      <c r="F724" s="532">
        <f>F787/F$401</f>
        <v>4.9231525866976204E-2</v>
      </c>
      <c r="G724" s="235"/>
      <c r="H724" s="235"/>
      <c r="I724" s="235"/>
      <c r="J724" s="235"/>
      <c r="K724" s="532">
        <f>K787/K$401</f>
        <v>4.231200166206573E-2</v>
      </c>
      <c r="L724" s="236">
        <f>L787/(L$401+J$401+I$401+H$401)</f>
        <v>5.5490833729155566E-2</v>
      </c>
      <c r="M724" s="236">
        <f>M787/(M$401+L$401+J$401+I$401)</f>
        <v>6.5358623519252701E-2</v>
      </c>
      <c r="N724" s="236">
        <f>N787/(N$401+M$401+L$401+J$401)</f>
        <v>5.6803610208532834E-2</v>
      </c>
      <c r="O724" s="236">
        <f>O787/(O$401+N$401+M$401+L$401)</f>
        <v>6.2911675596623626E-2</v>
      </c>
      <c r="P724" s="532">
        <f>P787/P$401</f>
        <v>6.2911675596623626E-2</v>
      </c>
      <c r="Q724" s="236">
        <f>Q787/(Q$401+O$401+N$401+M$401)</f>
        <v>6.55253335100274E-2</v>
      </c>
      <c r="R724" s="236">
        <f>R787/(R$401+Q$401+O$401+N$401)</f>
        <v>8.7135918626827735E-2</v>
      </c>
      <c r="S724" s="236">
        <f>S787/(S$401+R$401+Q$401+O$401)</f>
        <v>7.7448316708815551E-2</v>
      </c>
      <c r="T724" s="236">
        <f>T787/(T$401+S$401+R$401+Q$401)</f>
        <v>7.0238434864194357E-2</v>
      </c>
      <c r="U724" s="532">
        <f>U787/U$401</f>
        <v>7.0238434864194357E-2</v>
      </c>
      <c r="V724" s="236">
        <f>V787/(V$401+T$401+S$401+R$401)</f>
        <v>7.7450284649655601E-2</v>
      </c>
      <c r="W724" s="236">
        <f>W787/(W$401+V$401+T$401+S$401)</f>
        <v>9.4555758437664755E-2</v>
      </c>
      <c r="X724" s="236">
        <f>X787/(X$401+W$401+V$401+T$401)</f>
        <v>8.2861829819831381E-2</v>
      </c>
      <c r="Y724" s="236">
        <f>Y787/(Y$401+X$401+W$401+V$401)</f>
        <v>7.9829478131609524E-2</v>
      </c>
      <c r="Z724" s="532">
        <f>Z787/Z$401</f>
        <v>7.9829478131609524E-2</v>
      </c>
      <c r="AA724" s="236">
        <f>AA787/(AA$401+Y$401+X$401+W$401)</f>
        <v>7.9332900360764666E-2</v>
      </c>
      <c r="AB724" s="236">
        <f>AB787/(AB$401+AA$401+Y$401+X$401)</f>
        <v>9.4508212276152359E-2</v>
      </c>
      <c r="AC724" s="236">
        <f>AC787/(AC$401+AB$401+AA$401+Y$401)</f>
        <v>8.6150580367455057E-2</v>
      </c>
      <c r="AD724" s="236">
        <f>AD787/(AD$401+AC$401+AB$401+AA$401)</f>
        <v>8.5133964957531436E-2</v>
      </c>
      <c r="AE724" s="532">
        <f>AE787/AE$401</f>
        <v>8.5133964957531436E-2</v>
      </c>
      <c r="AF724" s="236">
        <f>AF787/(AF$401+AD$401+AC$401+AB$401)</f>
        <v>8.2663696184798408E-2</v>
      </c>
      <c r="AG724" s="236">
        <f>AG787/(AG$401+AF$401+AD$401+AC$401)</f>
        <v>9.3225988780861663E-2</v>
      </c>
      <c r="AH724" s="236">
        <f>AH787/(AH$401+AG$401+AF$401+AD$401)</f>
        <v>7.1410431593723178E-2</v>
      </c>
      <c r="AI724" s="236">
        <f>AI787/(AI$401+AH$401+AG$401+AF$401)</f>
        <v>5.7177121627616768E-2</v>
      </c>
      <c r="AJ724" s="532">
        <f>AJ787/AJ$401</f>
        <v>5.7177121627616768E-2</v>
      </c>
      <c r="AK724" s="236">
        <f>AK787/(AK$401+AI$401+AH$401+AG$401)</f>
        <v>6.2035557269092302E-2</v>
      </c>
      <c r="AL724" s="236">
        <f>AL787/(AL$401+AK$401+AI$401+AH$401)</f>
        <v>6.7289426404574776E-2</v>
      </c>
      <c r="AM724" s="236">
        <f>AM787/(AM$401+AL$401+AK$401+AI$401)</f>
        <v>6.7450766287409036E-2</v>
      </c>
      <c r="AN724" s="236">
        <f>AN787/(AN$401+AM$401+AL$401+AK$401)</f>
        <v>6.1363719709465296E-2</v>
      </c>
      <c r="AO724" s="532">
        <f>AO787/AO$401</f>
        <v>6.1363719709465296E-2</v>
      </c>
      <c r="AP724" s="236">
        <f>AP787/(AP$401+AN$401+AM$401+AL$401)</f>
        <v>7.0754379823953384E-2</v>
      </c>
      <c r="AQ724" s="236">
        <f>AQ787/(AQ$401+AP$401+AN$401+AM$401)</f>
        <v>7.3381916756662696E-2</v>
      </c>
      <c r="AR724" s="236">
        <f>AR787/(AR$401+AQ$401+AP$401+AN$401)</f>
        <v>7.546780355398866E-2</v>
      </c>
      <c r="AS724" s="236">
        <f>AS787/(AS$401+AR$401+AQ$401+AP$401)</f>
        <v>6.4852775625943979E-2</v>
      </c>
      <c r="AT724" s="532">
        <f>AT787/AT$401</f>
        <v>6.4852775625943979E-2</v>
      </c>
      <c r="AU724" s="236">
        <f>AU787/(AU$401+AS$401+AR$401+AQ$401)</f>
        <v>7.2534482924137084E-2</v>
      </c>
      <c r="AV724" s="236">
        <f>AV787/(AV$401+AU$401+AS$401+AR$401)</f>
        <v>7.9699981017177943E-2</v>
      </c>
      <c r="AW724" s="236">
        <f>AW787/(AW$401+AV$401+AU$401+AS$401)</f>
        <v>7.807263525066685E-2</v>
      </c>
      <c r="AX724" s="236">
        <f>AX787/(AX$401+AW$401+AV$401+AU$401)</f>
        <v>8.3590312210909998E-2</v>
      </c>
      <c r="AY724" s="532">
        <f>AY787/AY$401</f>
        <v>8.3590312210909998E-2</v>
      </c>
      <c r="AZ724" s="236">
        <f>AZ787/(AZ$401+AX$401+AW$401+AV$401)</f>
        <v>7.6038555680275358E-2</v>
      </c>
      <c r="BA724" s="236">
        <f>BA787/(BA$401+AZ$401+AX$401+AW$401)</f>
        <v>8.9119874170214275E-2</v>
      </c>
      <c r="BB724" s="236">
        <f>BB787/(BB$401+BA$401+AZ$401+AX$401)</f>
        <v>8.5106859280845812E-2</v>
      </c>
      <c r="BC724" s="236">
        <f>BC787/(BC$401+BB$401+BA$401+AZ$401)</f>
        <v>8.2972999167709102E-2</v>
      </c>
      <c r="BD724" s="532">
        <f>BD787/BD$401</f>
        <v>8.2972999167709102E-2</v>
      </c>
      <c r="BE724" s="236">
        <f>BE787/(BE$401+BC$401+BB$401+BA$401)</f>
        <v>7.8473631886732939E-2</v>
      </c>
      <c r="BF724" s="236">
        <f>BF787/(BF$401+BE$401+BC$401+BB$401)</f>
        <v>8.5492957616704779E-2</v>
      </c>
      <c r="BG724" s="236">
        <f>BG787/(BG$401+BF$401+BE$401+BC$401)</f>
        <v>8.0212447600306686E-2</v>
      </c>
      <c r="BH724" s="236">
        <f>BH787/(BH$401+BG$401+BF$401+BE$401)</f>
        <v>7.8610183746031251E-2</v>
      </c>
      <c r="BI724" s="532">
        <f>BI787/BI$401</f>
        <v>7.8610183746031251E-2</v>
      </c>
      <c r="BJ724" s="236">
        <f>BJ787/(BJ$401+BH$401+BG$401+BF$401)</f>
        <v>8.2934687395955733E-2</v>
      </c>
      <c r="BK724" s="236">
        <f>BK787/(BK$401+BJ$401+BH$401+BG$401)</f>
        <v>9.1701427717590669E-2</v>
      </c>
      <c r="BL724" s="236">
        <f>BL787/(BL$401+BK$401+BJ$401+BH$401)</f>
        <v>8.4929682701379988E-2</v>
      </c>
      <c r="BM724" s="236">
        <f>BM787/(BM$401+BL$401+BK$401+BJ$401)</f>
        <v>7.5676882932572867E-2</v>
      </c>
      <c r="BN724" s="532">
        <f>BN787/BN$401</f>
        <v>7.5676882932572867E-2</v>
      </c>
      <c r="BO724" s="236">
        <f>BO787/(BO$401+BM$401+BL$401+BK$401)</f>
        <v>8.1777369470999617E-2</v>
      </c>
      <c r="BP724" s="236">
        <f>BP787/(BP$401+BO$401+BM$401+BL$401)</f>
        <v>8.9025011791768791E-2</v>
      </c>
      <c r="BQ724" s="236">
        <f>BQ787/(BQ$401+BP$401+BO$401+BM$401)</f>
        <v>8.3449829908400011E-2</v>
      </c>
      <c r="BR724" s="236">
        <f>BR787/(BR$401+BQ$401+BP$401+BO$401)</f>
        <v>7.4923751963702545E-2</v>
      </c>
      <c r="BS724" s="533">
        <f>BS787/BS$401</f>
        <v>7.4923751963702545E-2</v>
      </c>
      <c r="BT724" s="235">
        <f t="shared" si="658"/>
        <v>8.1777369470999617E-2</v>
      </c>
      <c r="BU724" s="235">
        <f t="shared" si="658"/>
        <v>8.9025011791768791E-2</v>
      </c>
      <c r="BV724" s="235">
        <f t="shared" si="658"/>
        <v>8.3449829908400011E-2</v>
      </c>
      <c r="BW724" s="235">
        <f t="shared" si="658"/>
        <v>7.4923751963702545E-2</v>
      </c>
      <c r="BX724" s="530">
        <f>BX787/BX$401</f>
        <v>7.4923751963702559E-2</v>
      </c>
      <c r="BY724" s="235">
        <f t="shared" si="659"/>
        <v>8.1777369470999617E-2</v>
      </c>
      <c r="BZ724" s="235">
        <f t="shared" si="659"/>
        <v>8.9025011791768791E-2</v>
      </c>
      <c r="CA724" s="235">
        <f t="shared" si="659"/>
        <v>8.3449829908400011E-2</v>
      </c>
      <c r="CB724" s="235">
        <f t="shared" si="659"/>
        <v>7.4923751963702545E-2</v>
      </c>
      <c r="CC724" s="530">
        <f>CC787/CC$401</f>
        <v>7.4923751963702559E-2</v>
      </c>
      <c r="CD724" s="530">
        <f t="shared" si="660"/>
        <v>7.4923751963702559E-2</v>
      </c>
      <c r="CE724" s="530">
        <f t="shared" si="660"/>
        <v>7.4923751963702559E-2</v>
      </c>
      <c r="CF724" s="530">
        <f t="shared" si="660"/>
        <v>7.4923751963702559E-2</v>
      </c>
      <c r="CG724" s="236"/>
    </row>
    <row r="725" spans="1:85" ht="14.45" customHeight="1" x14ac:dyDescent="0.25">
      <c r="A725" s="202"/>
      <c r="B725" s="234"/>
      <c r="C725" s="530"/>
      <c r="D725" s="530"/>
      <c r="E725" s="530"/>
      <c r="F725" s="530"/>
      <c r="G725" s="235"/>
      <c r="H725" s="235"/>
      <c r="I725" s="235"/>
      <c r="J725" s="235"/>
      <c r="K725" s="530"/>
      <c r="L725" s="235"/>
      <c r="M725" s="235"/>
      <c r="N725" s="235"/>
      <c r="O725" s="235"/>
      <c r="P725" s="530"/>
      <c r="Q725" s="235"/>
      <c r="R725" s="235"/>
      <c r="S725" s="235"/>
      <c r="T725" s="235"/>
      <c r="U725" s="530"/>
      <c r="V725" s="235"/>
      <c r="W725" s="235"/>
      <c r="X725" s="235"/>
      <c r="Y725" s="235"/>
      <c r="Z725" s="530"/>
      <c r="AA725" s="235"/>
      <c r="AB725" s="235"/>
      <c r="AC725" s="235"/>
      <c r="AD725" s="235"/>
      <c r="AE725" s="530"/>
      <c r="AF725" s="235"/>
      <c r="AG725" s="235"/>
      <c r="AH725" s="235"/>
      <c r="AI725" s="235"/>
      <c r="AJ725" s="530"/>
      <c r="AK725" s="235"/>
      <c r="AL725" s="235"/>
      <c r="AM725" s="235"/>
      <c r="AN725" s="235"/>
      <c r="AO725" s="530"/>
      <c r="AP725" s="235"/>
      <c r="AQ725" s="235"/>
      <c r="AR725" s="235"/>
      <c r="AS725" s="235"/>
      <c r="AT725" s="530"/>
      <c r="AU725" s="235"/>
      <c r="AV725" s="235"/>
      <c r="AW725" s="235"/>
      <c r="AX725" s="235"/>
      <c r="AY725" s="530"/>
      <c r="AZ725" s="235"/>
      <c r="BA725" s="235"/>
      <c r="BB725" s="235"/>
      <c r="BC725" s="235"/>
      <c r="BD725" s="530"/>
      <c r="BE725" s="235"/>
      <c r="BF725" s="235"/>
      <c r="BG725" s="235"/>
      <c r="BH725" s="235"/>
      <c r="BI725" s="530"/>
      <c r="BJ725" s="235"/>
      <c r="BK725" s="235"/>
      <c r="BL725" s="235"/>
      <c r="BM725" s="235"/>
      <c r="BN725" s="530"/>
      <c r="BO725" s="235"/>
      <c r="BP725" s="235"/>
      <c r="BQ725" s="235"/>
      <c r="BR725" s="235"/>
      <c r="BS725" s="531"/>
      <c r="BT725" s="235"/>
      <c r="BU725" s="235"/>
      <c r="BV725" s="235"/>
      <c r="BW725" s="235"/>
      <c r="BX725" s="530"/>
      <c r="BY725" s="235"/>
      <c r="BZ725" s="235"/>
      <c r="CA725" s="235"/>
      <c r="CB725" s="235"/>
      <c r="CC725" s="530"/>
      <c r="CD725" s="530"/>
      <c r="CE725" s="530"/>
      <c r="CF725" s="530"/>
      <c r="CG725" s="236"/>
    </row>
    <row r="726" spans="1:85" ht="14.45" customHeight="1" x14ac:dyDescent="0.25">
      <c r="A726" s="299" t="s">
        <v>656</v>
      </c>
      <c r="B726" s="300"/>
      <c r="C726" s="601"/>
      <c r="D726" s="602">
        <f t="shared" ref="D726:F728" si="661">D722-C722</f>
        <v>3.4373851640698005E-3</v>
      </c>
      <c r="E726" s="602">
        <f t="shared" si="661"/>
        <v>1.3784736475618425E-3</v>
      </c>
      <c r="F726" s="602">
        <f t="shared" si="661"/>
        <v>-1.9949981241293296E-3</v>
      </c>
      <c r="G726" s="603"/>
      <c r="H726" s="603"/>
      <c r="I726" s="603"/>
      <c r="J726" s="603"/>
      <c r="K726" s="602">
        <f>K722-F722</f>
        <v>2.7270975768593914E-3</v>
      </c>
      <c r="L726" s="603"/>
      <c r="M726" s="603"/>
      <c r="N726" s="603"/>
      <c r="O726" s="603"/>
      <c r="P726" s="602">
        <f t="shared" ref="P726:Y728" si="662">P722-K722</f>
        <v>8.8947562750955195E-3</v>
      </c>
      <c r="Q726" s="301">
        <f t="shared" si="662"/>
        <v>8.6745955479047426E-3</v>
      </c>
      <c r="R726" s="301">
        <f t="shared" si="662"/>
        <v>2.2637448813139449E-2</v>
      </c>
      <c r="S726" s="301">
        <f t="shared" si="662"/>
        <v>1.3076760705859988E-2</v>
      </c>
      <c r="T726" s="301">
        <f t="shared" si="662"/>
        <v>9.2548335658602793E-3</v>
      </c>
      <c r="U726" s="602">
        <f t="shared" si="662"/>
        <v>9.2548335658602932E-3</v>
      </c>
      <c r="V726" s="301">
        <f t="shared" si="662"/>
        <v>1.2045900318368025E-2</v>
      </c>
      <c r="W726" s="301">
        <f t="shared" si="662"/>
        <v>4.7047586384014184E-3</v>
      </c>
      <c r="X726" s="301">
        <f t="shared" si="662"/>
        <v>5.8308958816731954E-3</v>
      </c>
      <c r="Y726" s="301">
        <f t="shared" si="662"/>
        <v>1.291187478498064E-2</v>
      </c>
      <c r="Z726" s="602">
        <f t="shared" ref="Z726:AI728" si="663">Z722-U722</f>
        <v>1.291187478498064E-2</v>
      </c>
      <c r="AA726" s="301">
        <f t="shared" si="663"/>
        <v>-1.9556941048363974E-3</v>
      </c>
      <c r="AB726" s="301">
        <f t="shared" si="663"/>
        <v>7.7967175723703264E-4</v>
      </c>
      <c r="AC726" s="301">
        <f t="shared" si="663"/>
        <v>-1.2934378113904632E-4</v>
      </c>
      <c r="AD726" s="301">
        <f t="shared" si="663"/>
        <v>-1.3924862158898044E-3</v>
      </c>
      <c r="AE726" s="602">
        <f t="shared" si="663"/>
        <v>-1.3924862158898044E-3</v>
      </c>
      <c r="AF726" s="301">
        <f t="shared" si="663"/>
        <v>-1.867970746190592E-3</v>
      </c>
      <c r="AG726" s="301">
        <f t="shared" si="663"/>
        <v>-1.5802804137361542E-2</v>
      </c>
      <c r="AH726" s="301">
        <f t="shared" si="663"/>
        <v>-7.4088640910683207E-3</v>
      </c>
      <c r="AI726" s="301">
        <f t="shared" si="663"/>
        <v>-5.3274527294466523E-3</v>
      </c>
      <c r="AJ726" s="602">
        <f t="shared" ref="AJ726:AS728" si="664">AJ722-AE722</f>
        <v>-5.3274527294466523E-3</v>
      </c>
      <c r="AK726" s="301">
        <f t="shared" si="664"/>
        <v>-2.2299014559339914E-3</v>
      </c>
      <c r="AL726" s="301">
        <f t="shared" si="664"/>
        <v>-8.9601027276459133E-4</v>
      </c>
      <c r="AM726" s="301">
        <f t="shared" si="664"/>
        <v>5.0203639345264284E-4</v>
      </c>
      <c r="AN726" s="301">
        <f t="shared" si="664"/>
        <v>4.8205231476527999E-5</v>
      </c>
      <c r="AO726" s="602">
        <f t="shared" si="664"/>
        <v>4.8205231476527999E-5</v>
      </c>
      <c r="AP726" s="301">
        <f t="shared" si="664"/>
        <v>3.6253385253200709E-3</v>
      </c>
      <c r="AQ726" s="301">
        <f t="shared" si="664"/>
        <v>-6.4724587455960159E-3</v>
      </c>
      <c r="AR726" s="301">
        <f t="shared" si="664"/>
        <v>-4.5131281859166761E-3</v>
      </c>
      <c r="AS726" s="301">
        <f t="shared" si="664"/>
        <v>-1.0951964736562361E-2</v>
      </c>
      <c r="AT726" s="602">
        <f t="shared" ref="AT726:BC728" si="665">AT722-AO722</f>
        <v>-1.0951964736562361E-2</v>
      </c>
      <c r="AU726" s="301">
        <f t="shared" si="665"/>
        <v>-8.2806183487077328E-3</v>
      </c>
      <c r="AV726" s="301">
        <f t="shared" si="665"/>
        <v>-7.5282820763034747E-3</v>
      </c>
      <c r="AW726" s="301">
        <f t="shared" si="665"/>
        <v>-5.7693372613104171E-3</v>
      </c>
      <c r="AX726" s="301">
        <f t="shared" si="665"/>
        <v>3.7383830032752807E-4</v>
      </c>
      <c r="AY726" s="602">
        <f t="shared" si="665"/>
        <v>3.7383830032752807E-4</v>
      </c>
      <c r="AZ726" s="301">
        <f t="shared" si="665"/>
        <v>-8.1018453166509102E-3</v>
      </c>
      <c r="BA726" s="301">
        <f t="shared" si="665"/>
        <v>4.0313982084460853E-3</v>
      </c>
      <c r="BB726" s="301">
        <f t="shared" si="665"/>
        <v>7.4627288931655988E-3</v>
      </c>
      <c r="BC726" s="301">
        <f t="shared" si="665"/>
        <v>-4.6973260433885722E-4</v>
      </c>
      <c r="BD726" s="602">
        <f t="shared" ref="BD726:BM728" si="666">BD722-AY722</f>
        <v>-4.6973260433885722E-4</v>
      </c>
      <c r="BE726" s="301">
        <f t="shared" si="666"/>
        <v>3.5650188337694594E-3</v>
      </c>
      <c r="BF726" s="301">
        <f t="shared" si="666"/>
        <v>-2.9268471168907018E-4</v>
      </c>
      <c r="BG726" s="301">
        <f t="shared" si="666"/>
        <v>-1.0836435083354939E-2</v>
      </c>
      <c r="BH726" s="301">
        <f t="shared" si="666"/>
        <v>1.3091974090271574E-3</v>
      </c>
      <c r="BI726" s="602">
        <f t="shared" si="666"/>
        <v>1.3091974090271574E-3</v>
      </c>
      <c r="BJ726" s="301">
        <f t="shared" si="666"/>
        <v>1.5585795165398847E-3</v>
      </c>
      <c r="BK726" s="301">
        <f t="shared" si="666"/>
        <v>-8.9904634605787737E-4</v>
      </c>
      <c r="BL726" s="301">
        <f t="shared" si="666"/>
        <v>3.6702990467442492E-3</v>
      </c>
      <c r="BM726" s="301">
        <f t="shared" si="666"/>
        <v>-2.3549296066974201E-5</v>
      </c>
      <c r="BN726" s="602">
        <f t="shared" ref="BN726:BS728" si="667">BN722-BI722</f>
        <v>-2.3549296066960324E-5</v>
      </c>
      <c r="BO726" s="301">
        <f t="shared" si="667"/>
        <v>-2.3128673380693604E-3</v>
      </c>
      <c r="BP726" s="301">
        <f t="shared" si="667"/>
        <v>-2.9901280654883872E-3</v>
      </c>
      <c r="BQ726" s="301">
        <f t="shared" si="667"/>
        <v>-1.4662938080407112E-3</v>
      </c>
      <c r="BR726" s="301">
        <f t="shared" si="667"/>
        <v>-2.2665755256417175E-3</v>
      </c>
      <c r="BS726" s="604">
        <f t="shared" si="667"/>
        <v>-2.2665755256417314E-3</v>
      </c>
      <c r="BT726" s="605">
        <v>0</v>
      </c>
      <c r="BU726" s="605">
        <v>0</v>
      </c>
      <c r="BV726" s="605">
        <v>0</v>
      </c>
      <c r="BW726" s="605">
        <v>0</v>
      </c>
      <c r="BX726" s="601">
        <f>BX722-BS722</f>
        <v>0</v>
      </c>
      <c r="BY726" s="605">
        <v>0</v>
      </c>
      <c r="BZ726" s="605">
        <v>0</v>
      </c>
      <c r="CA726" s="605">
        <v>0</v>
      </c>
      <c r="CB726" s="605">
        <v>0</v>
      </c>
      <c r="CC726" s="601">
        <f>CC722-BX722</f>
        <v>0</v>
      </c>
      <c r="CD726" s="606">
        <v>0</v>
      </c>
      <c r="CE726" s="606">
        <v>0</v>
      </c>
      <c r="CF726" s="606">
        <v>0</v>
      </c>
      <c r="CG726" s="236"/>
    </row>
    <row r="727" spans="1:85" ht="14.45" customHeight="1" x14ac:dyDescent="0.25">
      <c r="A727" s="299" t="s">
        <v>657</v>
      </c>
      <c r="B727" s="300"/>
      <c r="C727" s="601"/>
      <c r="D727" s="602">
        <f t="shared" si="661"/>
        <v>1.8578338393712146E-3</v>
      </c>
      <c r="E727" s="602">
        <f t="shared" si="661"/>
        <v>-4.5449974444467661E-4</v>
      </c>
      <c r="F727" s="602">
        <f t="shared" si="661"/>
        <v>-1.5411681354323692E-3</v>
      </c>
      <c r="G727" s="603"/>
      <c r="H727" s="603"/>
      <c r="I727" s="603"/>
      <c r="J727" s="603"/>
      <c r="K727" s="602">
        <f>K723-F723</f>
        <v>-3.0678497990838521E-3</v>
      </c>
      <c r="L727" s="603"/>
      <c r="M727" s="603"/>
      <c r="N727" s="603"/>
      <c r="O727" s="603"/>
      <c r="P727" s="602">
        <f t="shared" si="662"/>
        <v>2.7406025376674747E-3</v>
      </c>
      <c r="Q727" s="301">
        <f t="shared" si="662"/>
        <v>4.0875781557699609E-3</v>
      </c>
      <c r="R727" s="301">
        <f t="shared" si="662"/>
        <v>9.9160003885939707E-4</v>
      </c>
      <c r="S727" s="301">
        <f t="shared" si="662"/>
        <v>-2.8739161426407367E-3</v>
      </c>
      <c r="T727" s="301">
        <f t="shared" si="662"/>
        <v>-1.7184231819206142E-3</v>
      </c>
      <c r="U727" s="602">
        <f t="shared" si="662"/>
        <v>-1.7184231819206072E-3</v>
      </c>
      <c r="V727" s="301">
        <f t="shared" si="662"/>
        <v>-5.7582521489250513E-3</v>
      </c>
      <c r="W727" s="301">
        <f t="shared" si="662"/>
        <v>-3.8139518930372374E-3</v>
      </c>
      <c r="X727" s="301">
        <f t="shared" si="662"/>
        <v>-1.3058463644804175E-3</v>
      </c>
      <c r="Y727" s="301">
        <f t="shared" si="662"/>
        <v>6.6910937476841251E-3</v>
      </c>
      <c r="Z727" s="602">
        <f t="shared" si="663"/>
        <v>6.6910937476841251E-3</v>
      </c>
      <c r="AA727" s="301">
        <f t="shared" si="663"/>
        <v>8.4479758851951567E-3</v>
      </c>
      <c r="AB727" s="301">
        <f t="shared" si="663"/>
        <v>6.9395731472221903E-3</v>
      </c>
      <c r="AC727" s="301">
        <f t="shared" si="663"/>
        <v>4.5719482577796025E-3</v>
      </c>
      <c r="AD727" s="301">
        <f t="shared" si="663"/>
        <v>-3.0114656489127964E-3</v>
      </c>
      <c r="AE727" s="602">
        <f t="shared" si="663"/>
        <v>-3.0114656489127964E-3</v>
      </c>
      <c r="AF727" s="301">
        <f t="shared" si="663"/>
        <v>-7.2033975077231971E-3</v>
      </c>
      <c r="AG727" s="301">
        <f t="shared" si="663"/>
        <v>-5.2441161648535614E-3</v>
      </c>
      <c r="AH727" s="301">
        <f t="shared" si="663"/>
        <v>2.2932335144817059E-3</v>
      </c>
      <c r="AI727" s="301">
        <f t="shared" si="663"/>
        <v>2.9408586350253493E-3</v>
      </c>
      <c r="AJ727" s="602">
        <f t="shared" si="664"/>
        <v>2.9408586350253493E-3</v>
      </c>
      <c r="AK727" s="301">
        <f t="shared" si="664"/>
        <v>1.4377231871982657E-3</v>
      </c>
      <c r="AL727" s="301">
        <f t="shared" si="664"/>
        <v>3.9120751179290425E-4</v>
      </c>
      <c r="AM727" s="301">
        <f t="shared" si="664"/>
        <v>-1.3732982483377204E-3</v>
      </c>
      <c r="AN727" s="301">
        <f t="shared" si="664"/>
        <v>1.4000473273960423E-3</v>
      </c>
      <c r="AO727" s="602">
        <f t="shared" si="664"/>
        <v>1.4000473273960423E-3</v>
      </c>
      <c r="AP727" s="301">
        <f t="shared" si="664"/>
        <v>-5.5284734691497112E-4</v>
      </c>
      <c r="AQ727" s="301">
        <f t="shared" si="664"/>
        <v>-5.4187385191171653E-3</v>
      </c>
      <c r="AR727" s="301">
        <f t="shared" si="664"/>
        <v>-6.1050200284838083E-3</v>
      </c>
      <c r="AS727" s="301">
        <f t="shared" si="664"/>
        <v>-1.7239522195192161E-3</v>
      </c>
      <c r="AT727" s="602">
        <f t="shared" si="665"/>
        <v>-1.7239522195192161E-3</v>
      </c>
      <c r="AU727" s="301">
        <f t="shared" si="665"/>
        <v>3.7320751043862718E-3</v>
      </c>
      <c r="AV727" s="301">
        <f t="shared" si="665"/>
        <v>1.2575934339818379E-3</v>
      </c>
      <c r="AW727" s="301">
        <f t="shared" si="665"/>
        <v>1.8802779462360267E-3</v>
      </c>
      <c r="AX727" s="301">
        <f t="shared" si="665"/>
        <v>9.3579672281764517E-3</v>
      </c>
      <c r="AY727" s="602">
        <f t="shared" si="665"/>
        <v>9.3579672281764517E-3</v>
      </c>
      <c r="AZ727" s="301">
        <f t="shared" si="665"/>
        <v>-1.9283603154730683E-3</v>
      </c>
      <c r="BA727" s="301">
        <f t="shared" si="665"/>
        <v>7.0170442753278162E-3</v>
      </c>
      <c r="BB727" s="301">
        <f t="shared" si="665"/>
        <v>7.8020592219888024E-3</v>
      </c>
      <c r="BC727" s="301">
        <f t="shared" si="665"/>
        <v>1.6039649683805834E-3</v>
      </c>
      <c r="BD727" s="602">
        <f t="shared" si="666"/>
        <v>1.6039649683805834E-3</v>
      </c>
      <c r="BE727" s="301">
        <f t="shared" si="666"/>
        <v>4.4744833577930743E-3</v>
      </c>
      <c r="BF727" s="301">
        <f t="shared" si="666"/>
        <v>-5.3256799154614842E-4</v>
      </c>
      <c r="BG727" s="301">
        <f t="shared" si="666"/>
        <v>-3.4414524823258782E-3</v>
      </c>
      <c r="BH727" s="301">
        <f t="shared" si="666"/>
        <v>-7.6642362440188308E-3</v>
      </c>
      <c r="BI727" s="602">
        <f t="shared" si="666"/>
        <v>-7.6642362440188308E-3</v>
      </c>
      <c r="BJ727" s="301">
        <f t="shared" si="666"/>
        <v>1.1366654646528043E-3</v>
      </c>
      <c r="BK727" s="301">
        <f t="shared" si="666"/>
        <v>-1.0189303220861853E-3</v>
      </c>
      <c r="BL727" s="301">
        <f t="shared" si="666"/>
        <v>7.5530972085485759E-4</v>
      </c>
      <c r="BM727" s="301">
        <f t="shared" si="666"/>
        <v>-4.974535278495576E-4</v>
      </c>
      <c r="BN727" s="602">
        <f t="shared" si="667"/>
        <v>-4.9745352784955066E-4</v>
      </c>
      <c r="BO727" s="301">
        <f t="shared" si="667"/>
        <v>-4.7128711610256585E-3</v>
      </c>
      <c r="BP727" s="301">
        <f t="shared" si="667"/>
        <v>4.278908795826708E-6</v>
      </c>
      <c r="BQ727" s="301">
        <f t="shared" si="667"/>
        <v>8.5716458698215092E-4</v>
      </c>
      <c r="BR727" s="301">
        <f t="shared" si="667"/>
        <v>-1.344291502619499E-3</v>
      </c>
      <c r="BS727" s="604">
        <f t="shared" si="667"/>
        <v>-1.344291502619506E-3</v>
      </c>
      <c r="BT727" s="605">
        <v>0</v>
      </c>
      <c r="BU727" s="605">
        <v>0</v>
      </c>
      <c r="BV727" s="605">
        <v>0</v>
      </c>
      <c r="BW727" s="605">
        <v>0</v>
      </c>
      <c r="BX727" s="601">
        <f>BX723-BS723</f>
        <v>0</v>
      </c>
      <c r="BY727" s="605">
        <v>0</v>
      </c>
      <c r="BZ727" s="605">
        <v>0</v>
      </c>
      <c r="CA727" s="605">
        <v>0</v>
      </c>
      <c r="CB727" s="605">
        <v>0</v>
      </c>
      <c r="CC727" s="601">
        <f>CC723-BX723</f>
        <v>0</v>
      </c>
      <c r="CD727" s="606">
        <v>0</v>
      </c>
      <c r="CE727" s="606">
        <v>0</v>
      </c>
      <c r="CF727" s="606">
        <v>0</v>
      </c>
      <c r="CG727" s="236"/>
    </row>
    <row r="728" spans="1:85" ht="14.45" customHeight="1" x14ac:dyDescent="0.25">
      <c r="A728" s="299" t="s">
        <v>658</v>
      </c>
      <c r="B728" s="300"/>
      <c r="C728" s="601"/>
      <c r="D728" s="602">
        <f t="shared" si="661"/>
        <v>-6.2568592022197583E-4</v>
      </c>
      <c r="E728" s="602">
        <f t="shared" si="661"/>
        <v>4.7115128660927472E-3</v>
      </c>
      <c r="F728" s="602">
        <f t="shared" si="661"/>
        <v>3.2613726215656447E-4</v>
      </c>
      <c r="G728" s="603"/>
      <c r="H728" s="603"/>
      <c r="I728" s="603"/>
      <c r="J728" s="603"/>
      <c r="K728" s="602">
        <f>K724-F724</f>
        <v>-6.9195242049104738E-3</v>
      </c>
      <c r="L728" s="603"/>
      <c r="M728" s="603"/>
      <c r="N728" s="603"/>
      <c r="O728" s="603"/>
      <c r="P728" s="602">
        <f t="shared" si="662"/>
        <v>2.0599673934557895E-2</v>
      </c>
      <c r="Q728" s="301">
        <f t="shared" si="662"/>
        <v>1.0034499780871835E-2</v>
      </c>
      <c r="R728" s="301">
        <f t="shared" si="662"/>
        <v>2.1777295107575034E-2</v>
      </c>
      <c r="S728" s="301">
        <f t="shared" si="662"/>
        <v>2.0644706500282717E-2</v>
      </c>
      <c r="T728" s="301">
        <f t="shared" si="662"/>
        <v>7.3267592675707316E-3</v>
      </c>
      <c r="U728" s="602">
        <f t="shared" si="662"/>
        <v>7.3267592675707316E-3</v>
      </c>
      <c r="V728" s="301">
        <f t="shared" si="662"/>
        <v>1.1924951139628201E-2</v>
      </c>
      <c r="W728" s="301">
        <f t="shared" si="662"/>
        <v>7.41983981083702E-3</v>
      </c>
      <c r="X728" s="301">
        <f t="shared" si="662"/>
        <v>5.4135131110158302E-3</v>
      </c>
      <c r="Y728" s="301">
        <f t="shared" si="662"/>
        <v>9.5910432674151669E-3</v>
      </c>
      <c r="Z728" s="602">
        <f t="shared" si="663"/>
        <v>9.5910432674151669E-3</v>
      </c>
      <c r="AA728" s="301">
        <f t="shared" si="663"/>
        <v>1.8826157111090647E-3</v>
      </c>
      <c r="AB728" s="301">
        <f t="shared" si="663"/>
        <v>-4.7546161512396212E-5</v>
      </c>
      <c r="AC728" s="301">
        <f t="shared" si="663"/>
        <v>3.2887505476236756E-3</v>
      </c>
      <c r="AD728" s="301">
        <f t="shared" si="663"/>
        <v>5.3044868259219113E-3</v>
      </c>
      <c r="AE728" s="602">
        <f t="shared" si="663"/>
        <v>5.3044868259219113E-3</v>
      </c>
      <c r="AF728" s="301">
        <f t="shared" si="663"/>
        <v>3.3307958240337415E-3</v>
      </c>
      <c r="AG728" s="301">
        <f t="shared" si="663"/>
        <v>-1.2822234952906963E-3</v>
      </c>
      <c r="AH728" s="301">
        <f t="shared" si="663"/>
        <v>-1.4740148773731879E-2</v>
      </c>
      <c r="AI728" s="301">
        <f t="shared" si="663"/>
        <v>-2.7956843329914667E-2</v>
      </c>
      <c r="AJ728" s="602">
        <f t="shared" si="664"/>
        <v>-2.7956843329914667E-2</v>
      </c>
      <c r="AK728" s="301">
        <f t="shared" si="664"/>
        <v>-2.0628138915706105E-2</v>
      </c>
      <c r="AL728" s="301">
        <f t="shared" si="664"/>
        <v>-2.5936562376286887E-2</v>
      </c>
      <c r="AM728" s="301">
        <f t="shared" si="664"/>
        <v>-3.9596653063141418E-3</v>
      </c>
      <c r="AN728" s="301">
        <f t="shared" si="664"/>
        <v>4.1865980818485277E-3</v>
      </c>
      <c r="AO728" s="602">
        <f t="shared" si="664"/>
        <v>4.1865980818485277E-3</v>
      </c>
      <c r="AP728" s="301">
        <f t="shared" si="664"/>
        <v>8.7188225548610818E-3</v>
      </c>
      <c r="AQ728" s="301">
        <f t="shared" si="664"/>
        <v>6.0924903520879203E-3</v>
      </c>
      <c r="AR728" s="301">
        <f t="shared" si="664"/>
        <v>8.0170372665796241E-3</v>
      </c>
      <c r="AS728" s="301">
        <f t="shared" si="664"/>
        <v>3.4890559164786825E-3</v>
      </c>
      <c r="AT728" s="602">
        <f t="shared" si="665"/>
        <v>3.4890559164786825E-3</v>
      </c>
      <c r="AU728" s="301">
        <f t="shared" si="665"/>
        <v>1.7801031001836998E-3</v>
      </c>
      <c r="AV728" s="301">
        <f t="shared" si="665"/>
        <v>6.3180642605152465E-3</v>
      </c>
      <c r="AW728" s="301">
        <f t="shared" si="665"/>
        <v>2.6048316966781893E-3</v>
      </c>
      <c r="AX728" s="301">
        <f t="shared" si="665"/>
        <v>1.8737536584966019E-2</v>
      </c>
      <c r="AY728" s="602">
        <f t="shared" si="665"/>
        <v>1.8737536584966019E-2</v>
      </c>
      <c r="AZ728" s="301">
        <f t="shared" si="665"/>
        <v>3.504072756138274E-3</v>
      </c>
      <c r="BA728" s="301">
        <f t="shared" si="665"/>
        <v>9.4198931530363322E-3</v>
      </c>
      <c r="BB728" s="301">
        <f t="shared" si="665"/>
        <v>7.0342240301789621E-3</v>
      </c>
      <c r="BC728" s="301">
        <f t="shared" si="665"/>
        <v>-6.1731304320089553E-4</v>
      </c>
      <c r="BD728" s="602">
        <f t="shared" si="666"/>
        <v>-6.1731304320089553E-4</v>
      </c>
      <c r="BE728" s="301">
        <f t="shared" si="666"/>
        <v>2.4350762064575815E-3</v>
      </c>
      <c r="BF728" s="301">
        <f t="shared" si="666"/>
        <v>-3.626916553509496E-3</v>
      </c>
      <c r="BG728" s="301">
        <f t="shared" si="666"/>
        <v>-4.8944116805391263E-3</v>
      </c>
      <c r="BH728" s="301">
        <f t="shared" si="666"/>
        <v>-4.3628154216778514E-3</v>
      </c>
      <c r="BI728" s="602">
        <f t="shared" si="666"/>
        <v>-4.3628154216778514E-3</v>
      </c>
      <c r="BJ728" s="301">
        <f t="shared" si="666"/>
        <v>4.4610555092227944E-3</v>
      </c>
      <c r="BK728" s="301">
        <f t="shared" si="666"/>
        <v>6.2084701008858906E-3</v>
      </c>
      <c r="BL728" s="301">
        <f t="shared" si="666"/>
        <v>4.7172351010733027E-3</v>
      </c>
      <c r="BM728" s="301">
        <f t="shared" si="666"/>
        <v>-2.9333008134583838E-3</v>
      </c>
      <c r="BN728" s="602">
        <f t="shared" si="667"/>
        <v>-2.9333008134583838E-3</v>
      </c>
      <c r="BO728" s="301">
        <f t="shared" si="667"/>
        <v>-1.1573179249561166E-3</v>
      </c>
      <c r="BP728" s="301">
        <f t="shared" si="667"/>
        <v>-2.6764159258218789E-3</v>
      </c>
      <c r="BQ728" s="301">
        <f t="shared" si="667"/>
        <v>-1.4798527929799771E-3</v>
      </c>
      <c r="BR728" s="301">
        <f t="shared" si="667"/>
        <v>-7.5313096887032194E-4</v>
      </c>
      <c r="BS728" s="604">
        <f t="shared" si="667"/>
        <v>-7.5313096887032194E-4</v>
      </c>
      <c r="BT728" s="605">
        <v>0</v>
      </c>
      <c r="BU728" s="605">
        <v>0</v>
      </c>
      <c r="BV728" s="605">
        <v>0</v>
      </c>
      <c r="BW728" s="605">
        <v>0</v>
      </c>
      <c r="BX728" s="601">
        <f>BX724-BS724</f>
        <v>0</v>
      </c>
      <c r="BY728" s="605">
        <v>0</v>
      </c>
      <c r="BZ728" s="605">
        <v>0</v>
      </c>
      <c r="CA728" s="605">
        <v>0</v>
      </c>
      <c r="CB728" s="605">
        <v>0</v>
      </c>
      <c r="CC728" s="601">
        <f>CC724-BX724</f>
        <v>0</v>
      </c>
      <c r="CD728" s="606">
        <v>0</v>
      </c>
      <c r="CE728" s="606">
        <v>0</v>
      </c>
      <c r="CF728" s="606">
        <v>0</v>
      </c>
      <c r="CG728" s="236"/>
    </row>
    <row r="729" spans="1:85" ht="14.45" customHeight="1" x14ac:dyDescent="0.25">
      <c r="A729" s="122"/>
      <c r="B729" s="302"/>
      <c r="C729" s="438"/>
      <c r="D729" s="438"/>
      <c r="E729" s="438"/>
      <c r="F729" s="438"/>
      <c r="G729" s="127"/>
      <c r="H729" s="127"/>
      <c r="I729" s="127"/>
      <c r="J729" s="127"/>
      <c r="K729" s="438"/>
      <c r="L729" s="127"/>
      <c r="M729" s="127"/>
      <c r="N729" s="127"/>
      <c r="O729" s="127"/>
      <c r="P729" s="438"/>
      <c r="Q729" s="127"/>
      <c r="R729" s="127"/>
      <c r="S729" s="127"/>
      <c r="T729" s="127"/>
      <c r="U729" s="438"/>
      <c r="V729" s="127"/>
      <c r="W729" s="127"/>
      <c r="X729" s="127"/>
      <c r="Y729" s="127"/>
      <c r="Z729" s="438"/>
      <c r="AA729" s="127"/>
      <c r="AB729" s="127"/>
      <c r="AC729" s="127"/>
      <c r="AD729" s="127"/>
      <c r="AE729" s="438"/>
      <c r="AF729" s="127"/>
      <c r="AG729" s="127"/>
      <c r="AH729" s="127"/>
      <c r="AI729" s="127"/>
      <c r="AJ729" s="438"/>
      <c r="AK729" s="127"/>
      <c r="AL729" s="127"/>
      <c r="AM729" s="127"/>
      <c r="AN729" s="127"/>
      <c r="AO729" s="438"/>
      <c r="AP729" s="127"/>
      <c r="AQ729" s="127"/>
      <c r="AR729" s="127"/>
      <c r="AS729" s="127"/>
      <c r="AT729" s="438"/>
      <c r="AU729" s="127"/>
      <c r="AV729" s="127"/>
      <c r="AW729" s="127"/>
      <c r="AX729" s="127"/>
      <c r="AY729" s="438"/>
      <c r="AZ729" s="127"/>
      <c r="BA729" s="127"/>
      <c r="BB729" s="127"/>
      <c r="BC729" s="127"/>
      <c r="BD729" s="438"/>
      <c r="BE729" s="127"/>
      <c r="BF729" s="127"/>
      <c r="BG729" s="127"/>
      <c r="BH729" s="127"/>
      <c r="BI729" s="438"/>
      <c r="BJ729" s="127"/>
      <c r="BK729" s="127"/>
      <c r="BL729" s="127"/>
      <c r="BM729" s="127"/>
      <c r="BN729" s="438"/>
      <c r="BO729" s="127"/>
      <c r="BP729" s="127"/>
      <c r="BQ729" s="127"/>
      <c r="BR729" s="127"/>
      <c r="BS729" s="448"/>
      <c r="BT729" s="127"/>
      <c r="BU729" s="127"/>
      <c r="BV729" s="127"/>
      <c r="BW729" s="127"/>
      <c r="BX729" s="438"/>
      <c r="BY729" s="127"/>
      <c r="BZ729" s="127"/>
      <c r="CA729" s="127"/>
      <c r="CB729" s="127"/>
      <c r="CC729" s="438"/>
      <c r="CD729" s="438"/>
      <c r="CE729" s="438"/>
      <c r="CF729" s="438"/>
      <c r="CG729" s="236"/>
    </row>
    <row r="730" spans="1:85" ht="14.45" customHeight="1" x14ac:dyDescent="0.25">
      <c r="A730" s="303" t="s">
        <v>659</v>
      </c>
      <c r="B730" s="304"/>
      <c r="C730" s="305"/>
      <c r="D730" s="305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  <c r="AP730" s="305"/>
      <c r="AQ730" s="305"/>
      <c r="AR730" s="305"/>
      <c r="AS730" s="305"/>
      <c r="AT730" s="305"/>
      <c r="AU730" s="305"/>
      <c r="AV730" s="305"/>
      <c r="AW730" s="305"/>
      <c r="AX730" s="305"/>
      <c r="AY730" s="305"/>
      <c r="AZ730" s="305"/>
      <c r="BA730" s="305"/>
      <c r="BB730" s="305"/>
      <c r="BC730" s="305"/>
      <c r="BD730" s="305"/>
      <c r="BE730" s="305"/>
      <c r="BF730" s="305"/>
      <c r="BG730" s="305"/>
      <c r="BH730" s="305"/>
      <c r="BI730" s="305"/>
      <c r="BJ730" s="305"/>
      <c r="BK730" s="305"/>
      <c r="BL730" s="305"/>
      <c r="BM730" s="305"/>
      <c r="BN730" s="305"/>
      <c r="BO730" s="305"/>
      <c r="BP730" s="305"/>
      <c r="BQ730" s="305"/>
      <c r="BR730" s="305"/>
      <c r="BS730" s="607"/>
      <c r="BT730" s="305"/>
      <c r="BU730" s="305"/>
      <c r="BV730" s="305"/>
      <c r="BW730" s="305"/>
      <c r="BX730" s="305"/>
      <c r="BY730" s="305"/>
      <c r="BZ730" s="305"/>
      <c r="CA730" s="305"/>
      <c r="CB730" s="305"/>
      <c r="CC730" s="305"/>
      <c r="CD730" s="305"/>
      <c r="CE730" s="305"/>
      <c r="CF730" s="305"/>
      <c r="CG730" s="236"/>
    </row>
    <row r="731" spans="1:85" ht="14.45" customHeight="1" x14ac:dyDescent="0.25">
      <c r="A731" s="135" t="s">
        <v>660</v>
      </c>
      <c r="B731" s="211"/>
      <c r="C731" s="444"/>
      <c r="D731" s="446">
        <f t="shared" ref="D731:J731" si="668">C735</f>
        <v>326.70100000000002</v>
      </c>
      <c r="E731" s="446">
        <f t="shared" si="668"/>
        <v>322.14299999999997</v>
      </c>
      <c r="F731" s="446">
        <f t="shared" si="668"/>
        <v>302.92</v>
      </c>
      <c r="G731" s="139">
        <f t="shared" si="668"/>
        <v>307.46699999999998</v>
      </c>
      <c r="H731" s="139">
        <f t="shared" si="668"/>
        <v>300.23</v>
      </c>
      <c r="I731" s="139">
        <f t="shared" si="668"/>
        <v>298.25700000000001</v>
      </c>
      <c r="J731" s="139">
        <f t="shared" si="668"/>
        <v>295.14699999999999</v>
      </c>
      <c r="K731" s="446">
        <f>F735</f>
        <v>307.46699999999998</v>
      </c>
      <c r="L731" s="139">
        <f>K735</f>
        <v>302.99799999999999</v>
      </c>
      <c r="M731" s="139">
        <f>L735</f>
        <v>306.07299999999998</v>
      </c>
      <c r="N731" s="139">
        <f>M735</f>
        <v>316.97800000000001</v>
      </c>
      <c r="O731" s="139">
        <f>N735</f>
        <v>327.238</v>
      </c>
      <c r="P731" s="446">
        <f>K735</f>
        <v>302.99799999999999</v>
      </c>
      <c r="Q731" s="139">
        <f>P735</f>
        <v>358.23200000000003</v>
      </c>
      <c r="R731" s="139">
        <f>Q735</f>
        <v>391.83800000000002</v>
      </c>
      <c r="S731" s="139">
        <f>R735</f>
        <v>419.26299999999998</v>
      </c>
      <c r="T731" s="139">
        <f>S735</f>
        <v>446.78300000000002</v>
      </c>
      <c r="U731" s="446">
        <f>P735</f>
        <v>358.23200000000003</v>
      </c>
      <c r="V731" s="139">
        <f>U735</f>
        <v>525.82000000000005</v>
      </c>
      <c r="W731" s="139">
        <f>V735</f>
        <v>638.89599999999996</v>
      </c>
      <c r="X731" s="139">
        <f>W735</f>
        <v>706.471</v>
      </c>
      <c r="Y731" s="139">
        <f>X735</f>
        <v>722.024</v>
      </c>
      <c r="Z731" s="446">
        <f>U735</f>
        <v>525.82000000000005</v>
      </c>
      <c r="AA731" s="139">
        <f>Z735</f>
        <v>812.98900000000003</v>
      </c>
      <c r="AB731" s="139">
        <f>AA735</f>
        <v>924.17700000000002</v>
      </c>
      <c r="AC731" s="139">
        <f>AB735</f>
        <v>977.553</v>
      </c>
      <c r="AD731" s="139">
        <f>AC735</f>
        <v>939.27</v>
      </c>
      <c r="AE731" s="446">
        <f>Z735</f>
        <v>812.98900000000003</v>
      </c>
      <c r="AF731" s="139">
        <f>AE735</f>
        <v>1031.3879999999999</v>
      </c>
      <c r="AG731" s="139">
        <f>AF735</f>
        <v>1022.325</v>
      </c>
      <c r="AH731" s="139">
        <f>AG735</f>
        <v>1012.423</v>
      </c>
      <c r="AI731" s="139">
        <f>AH735</f>
        <v>998.11699999999996</v>
      </c>
      <c r="AJ731" s="446">
        <f>AE735</f>
        <v>1031.3879999999999</v>
      </c>
      <c r="AK731" s="139">
        <f>AJ735</f>
        <v>990.53200000000004</v>
      </c>
      <c r="AL731" s="139">
        <f>AK735</f>
        <v>970.49900000000002</v>
      </c>
      <c r="AM731" s="139">
        <f>AL735</f>
        <v>962.40200000000004</v>
      </c>
      <c r="AN731" s="139">
        <f>AM735</f>
        <v>957.197</v>
      </c>
      <c r="AO731" s="446">
        <f>AJ735</f>
        <v>990.53200000000004</v>
      </c>
      <c r="AP731" s="139">
        <f>AO735</f>
        <v>997.40300000000002</v>
      </c>
      <c r="AQ731" s="139">
        <f>AP735</f>
        <v>984.76900000000001</v>
      </c>
      <c r="AR731" s="139">
        <f>AQ735</f>
        <v>985.178</v>
      </c>
      <c r="AS731" s="139">
        <f>AR735</f>
        <v>979.21</v>
      </c>
      <c r="AT731" s="446">
        <f>AO735</f>
        <v>997.40300000000002</v>
      </c>
      <c r="AU731" s="139">
        <f>AT735</f>
        <v>1022.722</v>
      </c>
      <c r="AV731" s="139">
        <f>AU735</f>
        <v>1021.198</v>
      </c>
      <c r="AW731" s="139">
        <f>AV735</f>
        <v>1020.293</v>
      </c>
      <c r="AX731" s="139">
        <f>AW735</f>
        <v>1009.325</v>
      </c>
      <c r="AY731" s="446">
        <f>AT735</f>
        <v>1022.722</v>
      </c>
      <c r="AZ731" s="139">
        <f>AY735</f>
        <v>1030.6880000000001</v>
      </c>
      <c r="BA731" s="139">
        <f>AZ735</f>
        <v>1071.731</v>
      </c>
      <c r="BB731" s="139">
        <f>BA735</f>
        <v>1081.604</v>
      </c>
      <c r="BC731" s="139">
        <f>BB735</f>
        <v>1082.94</v>
      </c>
      <c r="BD731" s="446">
        <f>AY735</f>
        <v>1030.6880000000001</v>
      </c>
      <c r="BE731" s="139">
        <f>BD735</f>
        <v>1183.73</v>
      </c>
      <c r="BF731" s="139">
        <f>BE735</f>
        <v>1170.0029999999999</v>
      </c>
      <c r="BG731" s="139">
        <f>BF735</f>
        <v>1176.3389999999999</v>
      </c>
      <c r="BH731" s="139">
        <f>BG735</f>
        <v>1204.8430000000001</v>
      </c>
      <c r="BI731" s="446">
        <f>BD735</f>
        <v>1183.73</v>
      </c>
      <c r="BJ731" s="139">
        <f>BI735</f>
        <v>1320.5630000000001</v>
      </c>
      <c r="BK731" s="139">
        <f>BJ735</f>
        <v>1321.681</v>
      </c>
      <c r="BL731" s="139">
        <f>BK735</f>
        <v>1366.0540000000001</v>
      </c>
      <c r="BM731" s="139">
        <f>BL735</f>
        <v>1454.7460000000001</v>
      </c>
      <c r="BN731" s="446">
        <f>BI735</f>
        <v>1320.5630000000001</v>
      </c>
      <c r="BO731" s="139">
        <f>BN735</f>
        <v>1505.2670000000001</v>
      </c>
      <c r="BP731" s="139">
        <f>BO735</f>
        <v>1537.547</v>
      </c>
      <c r="BQ731" s="139">
        <f>BP735</f>
        <v>1552.3689999999999</v>
      </c>
      <c r="BR731" s="139">
        <f>BQ735</f>
        <v>1543.7929999999999</v>
      </c>
      <c r="BS731" s="447">
        <f>BN735</f>
        <v>1505.2670000000001</v>
      </c>
      <c r="BT731" s="137">
        <f>BS735</f>
        <v>1604.605</v>
      </c>
      <c r="BU731" s="137">
        <f>BT735</f>
        <v>1629.5984743150684</v>
      </c>
      <c r="BV731" s="137">
        <f>BU735</f>
        <v>1653.8130424100441</v>
      </c>
      <c r="BW731" s="137">
        <f>BV735</f>
        <v>1677.2729784171283</v>
      </c>
      <c r="BX731" s="444">
        <f>BS735</f>
        <v>1604.605</v>
      </c>
      <c r="BY731" s="137">
        <f>BX735</f>
        <v>1699.4273914259038</v>
      </c>
      <c r="BZ731" s="137">
        <f>BY735</f>
        <v>1721.4657843643431</v>
      </c>
      <c r="CA731" s="137">
        <f>BZ735</f>
        <v>1742.8173643721666</v>
      </c>
      <c r="CB731" s="137">
        <f>CA735</f>
        <v>1763.5035355509792</v>
      </c>
      <c r="CC731" s="444">
        <f>BX735</f>
        <v>1699.4273914259038</v>
      </c>
      <c r="CD731" s="444">
        <f>CC735</f>
        <v>1782.9410953897841</v>
      </c>
      <c r="CE731" s="444">
        <f>CD735</f>
        <v>1855.0298007536851</v>
      </c>
      <c r="CF731" s="444">
        <f>CE735</f>
        <v>1917.9034904277182</v>
      </c>
      <c r="CG731" s="109"/>
    </row>
    <row r="732" spans="1:85" ht="14.45" customHeight="1" x14ac:dyDescent="0.25">
      <c r="A732" s="125" t="s">
        <v>661</v>
      </c>
      <c r="B732" s="180"/>
      <c r="C732" s="438"/>
      <c r="D732" s="439">
        <f t="shared" ref="D732:AI732" si="669">-D412</f>
        <v>-58.671999999999997</v>
      </c>
      <c r="E732" s="439">
        <f t="shared" si="669"/>
        <v>-61.686</v>
      </c>
      <c r="F732" s="439">
        <f t="shared" si="669"/>
        <v>-61.167999999999999</v>
      </c>
      <c r="G732" s="128">
        <f t="shared" si="669"/>
        <v>-14.555999999999999</v>
      </c>
      <c r="H732" s="128">
        <f t="shared" si="669"/>
        <v>-14.333</v>
      </c>
      <c r="I732" s="128">
        <f t="shared" si="669"/>
        <v>-14.766000000000002</v>
      </c>
      <c r="J732" s="128">
        <f t="shared" si="669"/>
        <v>-14.683</v>
      </c>
      <c r="K732" s="439">
        <f t="shared" si="669"/>
        <v>-58.338000000000001</v>
      </c>
      <c r="L732" s="128">
        <f t="shared" si="669"/>
        <v>-14.486000000000001</v>
      </c>
      <c r="M732" s="128">
        <f t="shared" si="669"/>
        <v>-14.759</v>
      </c>
      <c r="N732" s="128">
        <f t="shared" si="669"/>
        <v>-15.112999999999996</v>
      </c>
      <c r="O732" s="128">
        <f t="shared" si="669"/>
        <v>-16.039000000000001</v>
      </c>
      <c r="P732" s="439">
        <f t="shared" si="669"/>
        <v>-60.396999999999998</v>
      </c>
      <c r="Q732" s="128">
        <f t="shared" si="669"/>
        <v>-17.065000000000001</v>
      </c>
      <c r="R732" s="128">
        <f t="shared" si="669"/>
        <v>-18.928999999999998</v>
      </c>
      <c r="S732" s="128">
        <f t="shared" si="669"/>
        <v>-20.305</v>
      </c>
      <c r="T732" s="128">
        <f t="shared" si="669"/>
        <v>-21.797000000000004</v>
      </c>
      <c r="U732" s="439">
        <f t="shared" si="669"/>
        <v>-78.096000000000004</v>
      </c>
      <c r="V732" s="128">
        <f t="shared" si="669"/>
        <v>-23.363</v>
      </c>
      <c r="W732" s="128">
        <f t="shared" si="669"/>
        <v>-26.539000000000001</v>
      </c>
      <c r="X732" s="128">
        <f t="shared" si="669"/>
        <v>-29.997</v>
      </c>
      <c r="Y732" s="128">
        <f t="shared" si="669"/>
        <v>-31.713999999999999</v>
      </c>
      <c r="Z732" s="439">
        <f t="shared" si="669"/>
        <v>-111.613</v>
      </c>
      <c r="AA732" s="128">
        <f t="shared" si="669"/>
        <v>-32.987000000000002</v>
      </c>
      <c r="AB732" s="128">
        <f t="shared" si="669"/>
        <v>-37.342999999999996</v>
      </c>
      <c r="AC732" s="128">
        <f t="shared" si="669"/>
        <v>-38.367000000000004</v>
      </c>
      <c r="AD732" s="128">
        <f t="shared" si="669"/>
        <v>-41.724999999999994</v>
      </c>
      <c r="AE732" s="439">
        <f t="shared" si="669"/>
        <v>-150.422</v>
      </c>
      <c r="AF732" s="128">
        <f t="shared" si="669"/>
        <v>-41.572000000000003</v>
      </c>
      <c r="AG732" s="128">
        <f t="shared" si="669"/>
        <v>-41.085999999999999</v>
      </c>
      <c r="AH732" s="128">
        <f t="shared" si="669"/>
        <v>-40.884</v>
      </c>
      <c r="AI732" s="128">
        <f t="shared" si="669"/>
        <v>-40.960000000000008</v>
      </c>
      <c r="AJ732" s="439">
        <f t="shared" ref="AJ732:BS732" si="670">-AJ412</f>
        <v>-164.50200000000001</v>
      </c>
      <c r="AK732" s="128">
        <f t="shared" si="670"/>
        <v>-39.978999999999999</v>
      </c>
      <c r="AL732" s="128">
        <f t="shared" si="670"/>
        <v>-39.337000000000003</v>
      </c>
      <c r="AM732" s="128">
        <f t="shared" si="670"/>
        <v>-39.828999999999994</v>
      </c>
      <c r="AN732" s="128">
        <f t="shared" si="670"/>
        <v>-37.741</v>
      </c>
      <c r="AO732" s="439">
        <f t="shared" si="670"/>
        <v>-156.886</v>
      </c>
      <c r="AP732" s="128">
        <f t="shared" si="670"/>
        <v>-37.798999999999999</v>
      </c>
      <c r="AQ732" s="128">
        <f t="shared" si="670"/>
        <v>-37.079000000000001</v>
      </c>
      <c r="AR732" s="128">
        <f t="shared" si="670"/>
        <v>-42.325000000000003</v>
      </c>
      <c r="AS732" s="128">
        <f t="shared" si="670"/>
        <v>-38.733000000000004</v>
      </c>
      <c r="AT732" s="439">
        <f t="shared" si="670"/>
        <v>-155.93600000000001</v>
      </c>
      <c r="AU732" s="128">
        <f t="shared" si="670"/>
        <v>-37.716000000000001</v>
      </c>
      <c r="AV732" s="128">
        <f t="shared" si="670"/>
        <v>-38.547999999999995</v>
      </c>
      <c r="AW732" s="128">
        <f t="shared" si="670"/>
        <v>-41.646000000000001</v>
      </c>
      <c r="AX732" s="128">
        <f t="shared" si="670"/>
        <v>-39.409999999999997</v>
      </c>
      <c r="AY732" s="439">
        <f t="shared" si="670"/>
        <v>-157.32</v>
      </c>
      <c r="AZ732" s="128">
        <f t="shared" si="670"/>
        <v>-37.360999999999997</v>
      </c>
      <c r="BA732" s="128">
        <f t="shared" si="670"/>
        <v>-36.676000000000009</v>
      </c>
      <c r="BB732" s="128">
        <f t="shared" si="670"/>
        <v>-36.623999999999995</v>
      </c>
      <c r="BC732" s="128">
        <f t="shared" si="670"/>
        <v>-37.300999999999988</v>
      </c>
      <c r="BD732" s="439">
        <f t="shared" si="670"/>
        <v>-147.96199999999999</v>
      </c>
      <c r="BE732" s="128">
        <f t="shared" si="670"/>
        <v>-37.600999999999999</v>
      </c>
      <c r="BF732" s="128">
        <f t="shared" si="670"/>
        <v>-37.814000000000007</v>
      </c>
      <c r="BG732" s="128">
        <f t="shared" si="670"/>
        <v>-38.248999999999995</v>
      </c>
      <c r="BH732" s="128">
        <f t="shared" si="670"/>
        <v>-39.808000000000007</v>
      </c>
      <c r="BI732" s="439">
        <f t="shared" si="670"/>
        <v>-153.47200000000001</v>
      </c>
      <c r="BJ732" s="128">
        <f t="shared" si="670"/>
        <v>-40.887999999999998</v>
      </c>
      <c r="BK732" s="128">
        <f t="shared" si="670"/>
        <v>-41.795999999999999</v>
      </c>
      <c r="BL732" s="128">
        <f t="shared" si="670"/>
        <v>-42.909000000000006</v>
      </c>
      <c r="BM732" s="128">
        <f t="shared" si="670"/>
        <v>-44.749999999999986</v>
      </c>
      <c r="BN732" s="439">
        <f t="shared" si="670"/>
        <v>-170.34299999999999</v>
      </c>
      <c r="BO732" s="128">
        <f t="shared" si="670"/>
        <v>-47.511000000000003</v>
      </c>
      <c r="BP732" s="128">
        <f t="shared" si="670"/>
        <v>-48.901999999999994</v>
      </c>
      <c r="BQ732" s="128">
        <f t="shared" si="670"/>
        <v>-49.224000000000004</v>
      </c>
      <c r="BR732" s="128">
        <f t="shared" si="670"/>
        <v>-49.443999999999988</v>
      </c>
      <c r="BS732" s="608">
        <f t="shared" si="670"/>
        <v>-195.08099999999999</v>
      </c>
      <c r="BT732" s="127">
        <f>-BT731*BT743*BT3/BX3</f>
        <v>-50.006525684931503</v>
      </c>
      <c r="BU732" s="127">
        <f>-BU731*BU743*BU3/BX3</f>
        <v>-50.785431905024389</v>
      </c>
      <c r="BV732" s="127">
        <f>-BV731*BV743*BV3/BX3</f>
        <v>-51.540063992915755</v>
      </c>
      <c r="BW732" s="127">
        <f>-BW731*BW743*BW3/BX3</f>
        <v>-52.845586991224593</v>
      </c>
      <c r="BX732" s="438">
        <f>IF(OR(ISBLANK(BT732),ISBLANK(BU732),ISBLANK(BV732),ISBLANK(BW732)),"n/a",SUM(BT732,BU732,BV732,BW732))</f>
        <v>-205.17760857409624</v>
      </c>
      <c r="BY732" s="127">
        <f>-BY731*BY743*BY3/CC3</f>
        <v>-52.961607061560699</v>
      </c>
      <c r="BZ732" s="127">
        <f>-BZ731*BZ743*BZ3/CC3</f>
        <v>-53.64841999217645</v>
      </c>
      <c r="CA732" s="127">
        <f>-CA731*CA743*CA3/CC3</f>
        <v>-54.313828821187379</v>
      </c>
      <c r="CB732" s="127">
        <f>-CB731*CB743*CB3/CC3</f>
        <v>-55.562440161195234</v>
      </c>
      <c r="CC732" s="438">
        <f>IF(OR(ISBLANK(BY732),ISBLANK(BZ732),ISBLANK(CA732),ISBLANK(CB732)),"n/a",SUM(BY732,BZ732,CA732,CB732))</f>
        <v>-216.48629603611977</v>
      </c>
      <c r="CD732" s="438">
        <f>-CD731*CD743</f>
        <v>-227.91129463609894</v>
      </c>
      <c r="CE732" s="438">
        <f>-CE731*CE743</f>
        <v>-237.12631032596676</v>
      </c>
      <c r="CF732" s="438">
        <f>-CF731*CF743</f>
        <v>-245.16338123605451</v>
      </c>
      <c r="CG732" s="109"/>
    </row>
    <row r="733" spans="1:85" ht="14.45" customHeight="1" x14ac:dyDescent="0.25">
      <c r="A733" s="125" t="s">
        <v>662</v>
      </c>
      <c r="B733" s="180"/>
      <c r="C733" s="438"/>
      <c r="D733" s="438">
        <f t="shared" ref="D733:AI733" si="671">-D667</f>
        <v>57.798000000000002</v>
      </c>
      <c r="E733" s="438">
        <f t="shared" si="671"/>
        <v>53.155999999999999</v>
      </c>
      <c r="F733" s="438">
        <f t="shared" si="671"/>
        <v>53.271000000000001</v>
      </c>
      <c r="G733" s="127">
        <f t="shared" si="671"/>
        <v>20.382999999999999</v>
      </c>
      <c r="H733" s="127">
        <f t="shared" si="671"/>
        <v>12.757000000000001</v>
      </c>
      <c r="I733" s="127">
        <f t="shared" si="671"/>
        <v>12.057000000000002</v>
      </c>
      <c r="J733" s="127">
        <f t="shared" si="671"/>
        <v>16.234999999999999</v>
      </c>
      <c r="K733" s="438">
        <f t="shared" si="671"/>
        <v>61.432000000000002</v>
      </c>
      <c r="L733" s="127">
        <f t="shared" si="671"/>
        <v>17.814</v>
      </c>
      <c r="M733" s="127">
        <f t="shared" si="671"/>
        <v>19.22</v>
      </c>
      <c r="N733" s="127">
        <f t="shared" si="671"/>
        <v>24.323</v>
      </c>
      <c r="O733" s="127">
        <f t="shared" si="671"/>
        <v>23.007000000000005</v>
      </c>
      <c r="P733" s="438">
        <f t="shared" si="671"/>
        <v>84.364000000000004</v>
      </c>
      <c r="Q733" s="127">
        <f t="shared" si="671"/>
        <v>30.841999999999999</v>
      </c>
      <c r="R733" s="127">
        <f t="shared" si="671"/>
        <v>26.298000000000002</v>
      </c>
      <c r="S733" s="127">
        <f t="shared" si="671"/>
        <v>47.281999999999996</v>
      </c>
      <c r="T733" s="127">
        <f t="shared" si="671"/>
        <v>59.465000000000003</v>
      </c>
      <c r="U733" s="438">
        <f t="shared" si="671"/>
        <v>163.887</v>
      </c>
      <c r="V733" s="127">
        <f t="shared" si="671"/>
        <v>36.784999999999997</v>
      </c>
      <c r="W733" s="127">
        <f t="shared" si="671"/>
        <v>42.84</v>
      </c>
      <c r="X733" s="127">
        <f t="shared" si="671"/>
        <v>44.974000000000004</v>
      </c>
      <c r="Y733" s="127">
        <f t="shared" si="671"/>
        <v>47.987000000000009</v>
      </c>
      <c r="Z733" s="438">
        <f t="shared" si="671"/>
        <v>172.58600000000001</v>
      </c>
      <c r="AA733" s="127">
        <f t="shared" si="671"/>
        <v>41.58</v>
      </c>
      <c r="AB733" s="127">
        <f t="shared" si="671"/>
        <v>38.027000000000001</v>
      </c>
      <c r="AC733" s="127">
        <f t="shared" si="671"/>
        <v>35.346000000000004</v>
      </c>
      <c r="AD733" s="127">
        <f t="shared" si="671"/>
        <v>61.647999999999996</v>
      </c>
      <c r="AE733" s="438">
        <f t="shared" si="671"/>
        <v>176.601</v>
      </c>
      <c r="AF733" s="127">
        <f t="shared" si="671"/>
        <v>42.048000000000002</v>
      </c>
      <c r="AG733" s="127">
        <f t="shared" si="671"/>
        <v>43.230999999999995</v>
      </c>
      <c r="AH733" s="127">
        <f t="shared" si="671"/>
        <v>27.825000000000003</v>
      </c>
      <c r="AI733" s="127">
        <f t="shared" si="671"/>
        <v>25.131000000000014</v>
      </c>
      <c r="AJ733" s="438">
        <f t="shared" ref="AJ733:BS733" si="672">-AJ667</f>
        <v>138.23500000000001</v>
      </c>
      <c r="AK733" s="127">
        <f t="shared" si="672"/>
        <v>29.315000000000001</v>
      </c>
      <c r="AL733" s="127">
        <f t="shared" si="672"/>
        <v>28.266000000000002</v>
      </c>
      <c r="AM733" s="127">
        <f t="shared" si="672"/>
        <v>39.165999999999997</v>
      </c>
      <c r="AN733" s="127">
        <f t="shared" si="672"/>
        <v>74.626999999999995</v>
      </c>
      <c r="AO733" s="438">
        <f t="shared" si="672"/>
        <v>171.374</v>
      </c>
      <c r="AP733" s="127">
        <f t="shared" si="672"/>
        <v>33.093000000000004</v>
      </c>
      <c r="AQ733" s="127">
        <f t="shared" si="672"/>
        <v>39.792999999999992</v>
      </c>
      <c r="AR733" s="127">
        <f t="shared" si="672"/>
        <v>37.831000000000003</v>
      </c>
      <c r="AS733" s="127">
        <f t="shared" si="672"/>
        <v>91.316999999999993</v>
      </c>
      <c r="AT733" s="438">
        <f t="shared" si="672"/>
        <v>202.03399999999999</v>
      </c>
      <c r="AU733" s="127">
        <f t="shared" si="672"/>
        <v>37.204000000000001</v>
      </c>
      <c r="AV733" s="127">
        <f t="shared" si="672"/>
        <v>43.104000000000006</v>
      </c>
      <c r="AW733" s="127">
        <f t="shared" si="672"/>
        <v>39.311999999999998</v>
      </c>
      <c r="AX733" s="127">
        <f t="shared" si="672"/>
        <v>36.073000000000008</v>
      </c>
      <c r="AY733" s="438">
        <f t="shared" si="672"/>
        <v>155.69300000000001</v>
      </c>
      <c r="AZ733" s="127">
        <f t="shared" si="672"/>
        <v>104.35299999999999</v>
      </c>
      <c r="BA733" s="127">
        <f t="shared" si="672"/>
        <v>40.828999999999994</v>
      </c>
      <c r="BB733" s="127">
        <f t="shared" si="672"/>
        <v>38.747000000000014</v>
      </c>
      <c r="BC733" s="127">
        <f t="shared" si="672"/>
        <v>114.68199999999999</v>
      </c>
      <c r="BD733" s="438">
        <f t="shared" si="672"/>
        <v>298.61099999999999</v>
      </c>
      <c r="BE733" s="127">
        <f t="shared" si="672"/>
        <v>52.7</v>
      </c>
      <c r="BF733" s="127">
        <f t="shared" si="672"/>
        <v>40.192999999999998</v>
      </c>
      <c r="BG733" s="127">
        <f t="shared" si="672"/>
        <v>59.36699999999999</v>
      </c>
      <c r="BH733" s="127">
        <f t="shared" si="672"/>
        <v>130.04399999999998</v>
      </c>
      <c r="BI733" s="438">
        <f t="shared" si="672"/>
        <v>282.30399999999997</v>
      </c>
      <c r="BJ733" s="127">
        <f t="shared" si="672"/>
        <v>77.040000000000006</v>
      </c>
      <c r="BK733" s="127">
        <f t="shared" si="672"/>
        <v>82.36</v>
      </c>
      <c r="BL733" s="127">
        <f t="shared" si="672"/>
        <v>127.93300000000002</v>
      </c>
      <c r="BM733" s="127">
        <f t="shared" si="672"/>
        <v>83.68199999999996</v>
      </c>
      <c r="BN733" s="438">
        <f t="shared" si="672"/>
        <v>371.01499999999999</v>
      </c>
      <c r="BO733" s="127">
        <f t="shared" si="672"/>
        <v>97.866</v>
      </c>
      <c r="BP733" s="127">
        <f t="shared" si="672"/>
        <v>59.51700000000001</v>
      </c>
      <c r="BQ733" s="127">
        <f t="shared" si="672"/>
        <v>52.61099999999999</v>
      </c>
      <c r="BR733" s="127">
        <f t="shared" si="672"/>
        <v>102.321</v>
      </c>
      <c r="BS733" s="448">
        <f t="shared" si="672"/>
        <v>312.315</v>
      </c>
      <c r="BT733" s="127">
        <f>BT749*(1-BT750)</f>
        <v>75</v>
      </c>
      <c r="BU733" s="127">
        <f>BU749*(1-BU750)</f>
        <v>75</v>
      </c>
      <c r="BV733" s="127">
        <f>BV749*(1-BV750)</f>
        <v>75</v>
      </c>
      <c r="BW733" s="127">
        <f>BW749*(1-BW750)</f>
        <v>75</v>
      </c>
      <c r="BX733" s="438">
        <f>IF(OR(ISBLANK(BT733),ISBLANK(BU733),ISBLANK(BV733),ISBLANK(BW733)),"n/a",SUM(BT733,BU733,BV733,BW733))</f>
        <v>300</v>
      </c>
      <c r="BY733" s="127">
        <f>BY749*(1-BY750)</f>
        <v>75</v>
      </c>
      <c r="BZ733" s="127">
        <f>BZ749*(1-BZ750)</f>
        <v>75</v>
      </c>
      <c r="CA733" s="127">
        <f>CA749*(1-CA750)</f>
        <v>75</v>
      </c>
      <c r="CB733" s="127">
        <f>CB749*(1-CB750)</f>
        <v>75</v>
      </c>
      <c r="CC733" s="438">
        <f>IF(OR(ISBLANK(BY733),ISBLANK(BZ733),ISBLANK(CA733),ISBLANK(CB733)),"n/a",SUM(BY733,BZ733,CA733,CB733))</f>
        <v>300</v>
      </c>
      <c r="CD733" s="438">
        <f>CD749*(1-CD750)</f>
        <v>300</v>
      </c>
      <c r="CE733" s="438">
        <f>CE749*(1-CE750)</f>
        <v>300</v>
      </c>
      <c r="CF733" s="438">
        <f>CF749*(1-CF750)</f>
        <v>300</v>
      </c>
      <c r="CG733" s="109"/>
    </row>
    <row r="734" spans="1:85" ht="14.45" customHeight="1" x14ac:dyDescent="0.25">
      <c r="A734" s="125" t="s">
        <v>663</v>
      </c>
      <c r="B734" s="180"/>
      <c r="C734" s="438"/>
      <c r="D734" s="439">
        <f t="shared" ref="D734:AI734" si="673">ROUND(D735-D731-D732-D733,6)</f>
        <v>-3.6840000000000002</v>
      </c>
      <c r="E734" s="439">
        <f t="shared" si="673"/>
        <v>-10.693</v>
      </c>
      <c r="F734" s="439">
        <f t="shared" si="673"/>
        <v>12.444000000000001</v>
      </c>
      <c r="G734" s="128">
        <f t="shared" si="673"/>
        <v>-13.064</v>
      </c>
      <c r="H734" s="128">
        <f t="shared" si="673"/>
        <v>-0.39700000000000002</v>
      </c>
      <c r="I734" s="128">
        <f t="shared" si="673"/>
        <v>-0.40100000000000002</v>
      </c>
      <c r="J734" s="128">
        <f t="shared" si="673"/>
        <v>6.2990000000000004</v>
      </c>
      <c r="K734" s="439">
        <f t="shared" si="673"/>
        <v>-7.5629999999999997</v>
      </c>
      <c r="L734" s="128">
        <f t="shared" si="673"/>
        <v>-0.253</v>
      </c>
      <c r="M734" s="128">
        <f t="shared" si="673"/>
        <v>6.444</v>
      </c>
      <c r="N734" s="128">
        <f t="shared" si="673"/>
        <v>1.05</v>
      </c>
      <c r="O734" s="128">
        <f t="shared" si="673"/>
        <v>24.026</v>
      </c>
      <c r="P734" s="439">
        <f t="shared" si="673"/>
        <v>31.266999999999999</v>
      </c>
      <c r="Q734" s="128">
        <f t="shared" si="673"/>
        <v>19.829000000000001</v>
      </c>
      <c r="R734" s="128">
        <f t="shared" si="673"/>
        <v>20.056000000000001</v>
      </c>
      <c r="S734" s="128">
        <f t="shared" si="673"/>
        <v>0.54300000000000004</v>
      </c>
      <c r="T734" s="128">
        <f t="shared" si="673"/>
        <v>41.369</v>
      </c>
      <c r="U734" s="439">
        <f t="shared" si="673"/>
        <v>81.796999999999997</v>
      </c>
      <c r="V734" s="128">
        <f t="shared" si="673"/>
        <v>99.653999999999996</v>
      </c>
      <c r="W734" s="128">
        <f t="shared" si="673"/>
        <v>51.274000000000001</v>
      </c>
      <c r="X734" s="128">
        <f t="shared" si="673"/>
        <v>0.57599999999999996</v>
      </c>
      <c r="Y734" s="128">
        <f t="shared" si="673"/>
        <v>74.691999999999993</v>
      </c>
      <c r="Z734" s="439">
        <f t="shared" si="673"/>
        <v>226.196</v>
      </c>
      <c r="AA734" s="128">
        <f t="shared" si="673"/>
        <v>102.595</v>
      </c>
      <c r="AB734" s="128">
        <f t="shared" si="673"/>
        <v>52.692</v>
      </c>
      <c r="AC734" s="128">
        <f t="shared" si="673"/>
        <v>-35.262</v>
      </c>
      <c r="AD734" s="128">
        <f t="shared" si="673"/>
        <v>72.194999999999993</v>
      </c>
      <c r="AE734" s="439">
        <f t="shared" si="673"/>
        <v>192.22</v>
      </c>
      <c r="AF734" s="128">
        <f t="shared" si="673"/>
        <v>-9.5389999999999997</v>
      </c>
      <c r="AG734" s="128">
        <f t="shared" si="673"/>
        <v>-12.047000000000001</v>
      </c>
      <c r="AH734" s="128">
        <f t="shared" si="673"/>
        <v>-1.2470000000000001</v>
      </c>
      <c r="AI734" s="128">
        <f t="shared" si="673"/>
        <v>8.2439999999999998</v>
      </c>
      <c r="AJ734" s="439">
        <f t="shared" ref="AJ734:BO734" si="674">ROUND(AJ735-AJ731-AJ732-AJ733,6)</f>
        <v>-14.589</v>
      </c>
      <c r="AK734" s="128">
        <f t="shared" si="674"/>
        <v>-9.3689999999999998</v>
      </c>
      <c r="AL734" s="128">
        <f t="shared" si="674"/>
        <v>2.9740000000000002</v>
      </c>
      <c r="AM734" s="128">
        <f t="shared" si="674"/>
        <v>-4.5419999999999998</v>
      </c>
      <c r="AN734" s="128">
        <f t="shared" si="674"/>
        <v>3.32</v>
      </c>
      <c r="AO734" s="439">
        <f t="shared" si="674"/>
        <v>-7.617</v>
      </c>
      <c r="AP734" s="128">
        <f t="shared" si="674"/>
        <v>-7.9279999999999999</v>
      </c>
      <c r="AQ734" s="128">
        <f t="shared" si="674"/>
        <v>-2.3050000000000002</v>
      </c>
      <c r="AR734" s="128">
        <f t="shared" si="674"/>
        <v>-1.474</v>
      </c>
      <c r="AS734" s="128">
        <f t="shared" si="674"/>
        <v>-9.0719999999999992</v>
      </c>
      <c r="AT734" s="439">
        <f t="shared" si="674"/>
        <v>-20.779</v>
      </c>
      <c r="AU734" s="128">
        <f t="shared" si="674"/>
        <v>-1.012</v>
      </c>
      <c r="AV734" s="128">
        <f t="shared" si="674"/>
        <v>-5.4610000000000003</v>
      </c>
      <c r="AW734" s="128">
        <f t="shared" si="674"/>
        <v>-8.6340000000000003</v>
      </c>
      <c r="AX734" s="128">
        <f t="shared" si="674"/>
        <v>24.7</v>
      </c>
      <c r="AY734" s="439">
        <f t="shared" si="674"/>
        <v>9.593</v>
      </c>
      <c r="AZ734" s="128">
        <f t="shared" si="674"/>
        <v>-25.949000000000002</v>
      </c>
      <c r="BA734" s="128">
        <f t="shared" si="674"/>
        <v>5.72</v>
      </c>
      <c r="BB734" s="128">
        <f t="shared" si="674"/>
        <v>-0.78700000000000003</v>
      </c>
      <c r="BC734" s="128">
        <f t="shared" si="674"/>
        <v>23.408999999999999</v>
      </c>
      <c r="BD734" s="439">
        <f t="shared" si="674"/>
        <v>2.3929999999999998</v>
      </c>
      <c r="BE734" s="128">
        <f t="shared" si="674"/>
        <v>-28.826000000000001</v>
      </c>
      <c r="BF734" s="128">
        <f t="shared" si="674"/>
        <v>3.9569999999999999</v>
      </c>
      <c r="BG734" s="128">
        <f t="shared" si="674"/>
        <v>7.3860000000000001</v>
      </c>
      <c r="BH734" s="128">
        <f t="shared" si="674"/>
        <v>25.484000000000002</v>
      </c>
      <c r="BI734" s="439">
        <f t="shared" si="674"/>
        <v>8.0009999999999994</v>
      </c>
      <c r="BJ734" s="128">
        <f t="shared" si="674"/>
        <v>-35.033999999999999</v>
      </c>
      <c r="BK734" s="128">
        <f t="shared" si="674"/>
        <v>3.8090000000000002</v>
      </c>
      <c r="BL734" s="128">
        <f t="shared" si="674"/>
        <v>3.6680000000000001</v>
      </c>
      <c r="BM734" s="128">
        <f t="shared" si="674"/>
        <v>11.589</v>
      </c>
      <c r="BN734" s="439">
        <f t="shared" si="674"/>
        <v>-15.968</v>
      </c>
      <c r="BO734" s="128">
        <f t="shared" si="674"/>
        <v>-18.074999999999999</v>
      </c>
      <c r="BP734" s="128">
        <f t="shared" ref="BP734:BW734" si="675">ROUND(BP735-BP731-BP732-BP733,6)</f>
        <v>4.2069999999999999</v>
      </c>
      <c r="BQ734" s="128">
        <f t="shared" si="675"/>
        <v>-11.962999999999999</v>
      </c>
      <c r="BR734" s="128">
        <f t="shared" si="675"/>
        <v>7.9349999999999996</v>
      </c>
      <c r="BS734" s="608">
        <f t="shared" si="675"/>
        <v>-17.896000000000001</v>
      </c>
      <c r="BT734" s="127">
        <f t="shared" si="675"/>
        <v>0</v>
      </c>
      <c r="BU734" s="127">
        <f t="shared" si="675"/>
        <v>0</v>
      </c>
      <c r="BV734" s="127">
        <f t="shared" si="675"/>
        <v>0</v>
      </c>
      <c r="BW734" s="127">
        <f t="shared" si="675"/>
        <v>0</v>
      </c>
      <c r="BX734" s="438">
        <f>ROUND(BX735-BX731-IF(ISNUMBER(BX732),BX732,0)-IF(ISNUMBER(BX733),BX733,0),6)</f>
        <v>0</v>
      </c>
      <c r="BY734" s="127">
        <f>ROUND(BY735-BY731-BY732-BY733,6)</f>
        <v>0</v>
      </c>
      <c r="BZ734" s="127">
        <f>ROUND(BZ735-BZ731-BZ732-BZ733,6)</f>
        <v>0</v>
      </c>
      <c r="CA734" s="127">
        <f>ROUND(CA735-CA731-CA732-CA733,6)</f>
        <v>0</v>
      </c>
      <c r="CB734" s="127">
        <f>ROUND(CB735-CB731-CB732-CB733,6)</f>
        <v>0</v>
      </c>
      <c r="CC734" s="438">
        <f>ROUND(CC735-CC731-IF(ISNUMBER(CC732),CC732,0)-IF(ISNUMBER(CC733),CC733,0),6)</f>
        <v>0</v>
      </c>
      <c r="CD734" s="438">
        <f>ROUND(CD735-CD731-CD732-CD733,6)</f>
        <v>0</v>
      </c>
      <c r="CE734" s="438">
        <f>ROUND(CE735-CE731-CE732-CE733,6)</f>
        <v>0</v>
      </c>
      <c r="CF734" s="438">
        <f>ROUND(CF735-CF731-CF732-CF733,6)</f>
        <v>0</v>
      </c>
      <c r="CG734" s="109"/>
    </row>
    <row r="735" spans="1:85" ht="14.45" customHeight="1" x14ac:dyDescent="0.25">
      <c r="A735" s="306" t="s">
        <v>664</v>
      </c>
      <c r="B735" s="307"/>
      <c r="C735" s="609">
        <f t="shared" ref="C735:AH735" si="676">C768</f>
        <v>326.70100000000002</v>
      </c>
      <c r="D735" s="609">
        <f t="shared" si="676"/>
        <v>322.14299999999997</v>
      </c>
      <c r="E735" s="609">
        <f t="shared" si="676"/>
        <v>302.92</v>
      </c>
      <c r="F735" s="609">
        <f t="shared" si="676"/>
        <v>307.46699999999998</v>
      </c>
      <c r="G735" s="308">
        <f t="shared" si="676"/>
        <v>300.23</v>
      </c>
      <c r="H735" s="308">
        <f t="shared" si="676"/>
        <v>298.25700000000001</v>
      </c>
      <c r="I735" s="308">
        <f t="shared" si="676"/>
        <v>295.14699999999999</v>
      </c>
      <c r="J735" s="308">
        <f t="shared" si="676"/>
        <v>302.99799999999999</v>
      </c>
      <c r="K735" s="609">
        <f t="shared" si="676"/>
        <v>302.99799999999999</v>
      </c>
      <c r="L735" s="308">
        <f t="shared" si="676"/>
        <v>306.07299999999998</v>
      </c>
      <c r="M735" s="308">
        <f t="shared" si="676"/>
        <v>316.97800000000001</v>
      </c>
      <c r="N735" s="308">
        <f t="shared" si="676"/>
        <v>327.238</v>
      </c>
      <c r="O735" s="308">
        <f t="shared" si="676"/>
        <v>358.23200000000003</v>
      </c>
      <c r="P735" s="609">
        <f t="shared" si="676"/>
        <v>358.23200000000003</v>
      </c>
      <c r="Q735" s="308">
        <f t="shared" si="676"/>
        <v>391.83800000000002</v>
      </c>
      <c r="R735" s="308">
        <f t="shared" si="676"/>
        <v>419.26299999999998</v>
      </c>
      <c r="S735" s="308">
        <f t="shared" si="676"/>
        <v>446.78300000000002</v>
      </c>
      <c r="T735" s="308">
        <f t="shared" si="676"/>
        <v>525.82000000000005</v>
      </c>
      <c r="U735" s="609">
        <f t="shared" si="676"/>
        <v>525.82000000000005</v>
      </c>
      <c r="V735" s="308">
        <f t="shared" si="676"/>
        <v>638.89599999999996</v>
      </c>
      <c r="W735" s="308">
        <f t="shared" si="676"/>
        <v>706.471</v>
      </c>
      <c r="X735" s="308">
        <f t="shared" si="676"/>
        <v>722.024</v>
      </c>
      <c r="Y735" s="308">
        <f t="shared" si="676"/>
        <v>812.98900000000003</v>
      </c>
      <c r="Z735" s="609">
        <f t="shared" si="676"/>
        <v>812.98900000000003</v>
      </c>
      <c r="AA735" s="308">
        <f t="shared" si="676"/>
        <v>924.17700000000002</v>
      </c>
      <c r="AB735" s="308">
        <f t="shared" si="676"/>
        <v>977.553</v>
      </c>
      <c r="AC735" s="308">
        <f t="shared" si="676"/>
        <v>939.27</v>
      </c>
      <c r="AD735" s="308">
        <f t="shared" si="676"/>
        <v>1031.3879999999999</v>
      </c>
      <c r="AE735" s="609">
        <f t="shared" si="676"/>
        <v>1031.3879999999999</v>
      </c>
      <c r="AF735" s="308">
        <f t="shared" si="676"/>
        <v>1022.325</v>
      </c>
      <c r="AG735" s="308">
        <f t="shared" si="676"/>
        <v>1012.423</v>
      </c>
      <c r="AH735" s="308">
        <f t="shared" si="676"/>
        <v>998.11699999999996</v>
      </c>
      <c r="AI735" s="308">
        <f t="shared" ref="AI735:BN735" si="677">AI768</f>
        <v>990.53200000000004</v>
      </c>
      <c r="AJ735" s="609">
        <f t="shared" si="677"/>
        <v>990.53200000000004</v>
      </c>
      <c r="AK735" s="308">
        <f t="shared" si="677"/>
        <v>970.49900000000002</v>
      </c>
      <c r="AL735" s="308">
        <f t="shared" si="677"/>
        <v>962.40200000000004</v>
      </c>
      <c r="AM735" s="308">
        <f t="shared" si="677"/>
        <v>957.197</v>
      </c>
      <c r="AN735" s="308">
        <f t="shared" si="677"/>
        <v>997.40300000000002</v>
      </c>
      <c r="AO735" s="609">
        <f t="shared" si="677"/>
        <v>997.40300000000002</v>
      </c>
      <c r="AP735" s="308">
        <f t="shared" si="677"/>
        <v>984.76900000000001</v>
      </c>
      <c r="AQ735" s="308">
        <f t="shared" si="677"/>
        <v>985.178</v>
      </c>
      <c r="AR735" s="308">
        <f t="shared" si="677"/>
        <v>979.21</v>
      </c>
      <c r="AS735" s="308">
        <f t="shared" si="677"/>
        <v>1022.722</v>
      </c>
      <c r="AT735" s="609">
        <f t="shared" si="677"/>
        <v>1022.722</v>
      </c>
      <c r="AU735" s="308">
        <f t="shared" si="677"/>
        <v>1021.198</v>
      </c>
      <c r="AV735" s="308">
        <f t="shared" si="677"/>
        <v>1020.293</v>
      </c>
      <c r="AW735" s="308">
        <f t="shared" si="677"/>
        <v>1009.325</v>
      </c>
      <c r="AX735" s="308">
        <f t="shared" si="677"/>
        <v>1030.6880000000001</v>
      </c>
      <c r="AY735" s="609">
        <f t="shared" si="677"/>
        <v>1030.6880000000001</v>
      </c>
      <c r="AZ735" s="308">
        <f t="shared" si="677"/>
        <v>1071.731</v>
      </c>
      <c r="BA735" s="308">
        <f t="shared" si="677"/>
        <v>1081.604</v>
      </c>
      <c r="BB735" s="308">
        <f t="shared" si="677"/>
        <v>1082.94</v>
      </c>
      <c r="BC735" s="308">
        <f t="shared" si="677"/>
        <v>1183.73</v>
      </c>
      <c r="BD735" s="609">
        <f t="shared" si="677"/>
        <v>1183.73</v>
      </c>
      <c r="BE735" s="308">
        <f t="shared" si="677"/>
        <v>1170.0029999999999</v>
      </c>
      <c r="BF735" s="308">
        <f t="shared" si="677"/>
        <v>1176.3389999999999</v>
      </c>
      <c r="BG735" s="308">
        <f t="shared" si="677"/>
        <v>1204.8430000000001</v>
      </c>
      <c r="BH735" s="308">
        <f t="shared" si="677"/>
        <v>1320.5630000000001</v>
      </c>
      <c r="BI735" s="609">
        <f t="shared" si="677"/>
        <v>1320.5630000000001</v>
      </c>
      <c r="BJ735" s="308">
        <f t="shared" si="677"/>
        <v>1321.681</v>
      </c>
      <c r="BK735" s="308">
        <f t="shared" si="677"/>
        <v>1366.0540000000001</v>
      </c>
      <c r="BL735" s="308">
        <f t="shared" si="677"/>
        <v>1454.7460000000001</v>
      </c>
      <c r="BM735" s="308">
        <f t="shared" si="677"/>
        <v>1505.2670000000001</v>
      </c>
      <c r="BN735" s="609">
        <f t="shared" si="677"/>
        <v>1505.2670000000001</v>
      </c>
      <c r="BO735" s="308">
        <f t="shared" ref="BO735:CF735" si="678">BO768</f>
        <v>1537.547</v>
      </c>
      <c r="BP735" s="308">
        <f t="shared" si="678"/>
        <v>1552.3689999999999</v>
      </c>
      <c r="BQ735" s="308">
        <f t="shared" si="678"/>
        <v>1543.7929999999999</v>
      </c>
      <c r="BR735" s="308">
        <f t="shared" si="678"/>
        <v>1604.605</v>
      </c>
      <c r="BS735" s="610">
        <f t="shared" si="678"/>
        <v>1604.605</v>
      </c>
      <c r="BT735" s="611">
        <f t="shared" si="678"/>
        <v>1629.5984743150684</v>
      </c>
      <c r="BU735" s="611">
        <f t="shared" si="678"/>
        <v>1653.8130424100441</v>
      </c>
      <c r="BV735" s="611">
        <f t="shared" si="678"/>
        <v>1677.2729784171283</v>
      </c>
      <c r="BW735" s="611">
        <f t="shared" si="678"/>
        <v>1699.4273914259038</v>
      </c>
      <c r="BX735" s="612">
        <f t="shared" si="678"/>
        <v>1699.4273914259038</v>
      </c>
      <c r="BY735" s="611">
        <f t="shared" si="678"/>
        <v>1721.4657843643431</v>
      </c>
      <c r="BZ735" s="611">
        <f t="shared" si="678"/>
        <v>1742.8173643721666</v>
      </c>
      <c r="CA735" s="611">
        <f t="shared" si="678"/>
        <v>1763.5035355509792</v>
      </c>
      <c r="CB735" s="611">
        <f t="shared" si="678"/>
        <v>1782.9410953897841</v>
      </c>
      <c r="CC735" s="612">
        <f t="shared" si="678"/>
        <v>1782.9410953897841</v>
      </c>
      <c r="CD735" s="612">
        <f t="shared" si="678"/>
        <v>1855.0298007536851</v>
      </c>
      <c r="CE735" s="612">
        <f t="shared" si="678"/>
        <v>1917.9034904277182</v>
      </c>
      <c r="CF735" s="612">
        <f t="shared" si="678"/>
        <v>1972.7401091916638</v>
      </c>
      <c r="CG735" s="109"/>
    </row>
    <row r="736" spans="1:85" ht="14.45" customHeight="1" x14ac:dyDescent="0.25">
      <c r="A736" s="122"/>
      <c r="B736" s="302"/>
      <c r="C736" s="438"/>
      <c r="D736" s="438"/>
      <c r="E736" s="438"/>
      <c r="F736" s="438"/>
      <c r="G736" s="127"/>
      <c r="H736" s="127"/>
      <c r="I736" s="127"/>
      <c r="J736" s="127"/>
      <c r="K736" s="438"/>
      <c r="L736" s="127"/>
      <c r="M736" s="127"/>
      <c r="N736" s="127"/>
      <c r="O736" s="127"/>
      <c r="P736" s="438"/>
      <c r="Q736" s="127"/>
      <c r="R736" s="127"/>
      <c r="S736" s="127"/>
      <c r="T736" s="127"/>
      <c r="U736" s="438"/>
      <c r="V736" s="127"/>
      <c r="W736" s="127"/>
      <c r="X736" s="127"/>
      <c r="Y736" s="127"/>
      <c r="Z736" s="438"/>
      <c r="AA736" s="127"/>
      <c r="AB736" s="127"/>
      <c r="AC736" s="127"/>
      <c r="AD736" s="127"/>
      <c r="AE736" s="438"/>
      <c r="AF736" s="127"/>
      <c r="AG736" s="127"/>
      <c r="AH736" s="127"/>
      <c r="AI736" s="127"/>
      <c r="AJ736" s="438"/>
      <c r="AK736" s="127"/>
      <c r="AL736" s="127"/>
      <c r="AM736" s="127"/>
      <c r="AN736" s="127"/>
      <c r="AO736" s="438"/>
      <c r="AP736" s="127"/>
      <c r="AQ736" s="127"/>
      <c r="AR736" s="127"/>
      <c r="AS736" s="127"/>
      <c r="AT736" s="438"/>
      <c r="AU736" s="127"/>
      <c r="AV736" s="127"/>
      <c r="AW736" s="127"/>
      <c r="AX736" s="127"/>
      <c r="AY736" s="438"/>
      <c r="AZ736" s="127"/>
      <c r="BA736" s="127"/>
      <c r="BB736" s="127"/>
      <c r="BC736" s="127"/>
      <c r="BD736" s="438"/>
      <c r="BE736" s="127"/>
      <c r="BF736" s="127"/>
      <c r="BG736" s="127"/>
      <c r="BH736" s="127"/>
      <c r="BI736" s="438"/>
      <c r="BJ736" s="127"/>
      <c r="BK736" s="127"/>
      <c r="BL736" s="127"/>
      <c r="BM736" s="127"/>
      <c r="BN736" s="438"/>
      <c r="BO736" s="127"/>
      <c r="BP736" s="127"/>
      <c r="BQ736" s="127"/>
      <c r="BR736" s="127"/>
      <c r="BS736" s="448"/>
      <c r="BT736" s="127"/>
      <c r="BU736" s="127"/>
      <c r="BV736" s="127"/>
      <c r="BW736" s="127"/>
      <c r="BX736" s="438"/>
      <c r="BY736" s="127"/>
      <c r="BZ736" s="127"/>
      <c r="CA736" s="127"/>
      <c r="CB736" s="127"/>
      <c r="CC736" s="438"/>
      <c r="CD736" s="438"/>
      <c r="CE736" s="438"/>
      <c r="CF736" s="438"/>
      <c r="CG736" s="236"/>
    </row>
    <row r="737" spans="1:85" ht="14.45" customHeight="1" x14ac:dyDescent="0.25">
      <c r="A737" s="135" t="s">
        <v>665</v>
      </c>
      <c r="B737" s="211"/>
      <c r="C737" s="444"/>
      <c r="D737" s="446">
        <f t="shared" ref="D737:J737" si="679">C741</f>
        <v>526.02200000000005</v>
      </c>
      <c r="E737" s="446">
        <f t="shared" si="679"/>
        <v>525.54300000000001</v>
      </c>
      <c r="F737" s="446">
        <f t="shared" si="679"/>
        <v>525.11099999999999</v>
      </c>
      <c r="G737" s="139">
        <f t="shared" si="679"/>
        <v>524.69500000000005</v>
      </c>
      <c r="H737" s="139">
        <f t="shared" si="679"/>
        <v>524.61099999999999</v>
      </c>
      <c r="I737" s="139">
        <f t="shared" si="679"/>
        <v>524.51900000000001</v>
      </c>
      <c r="J737" s="139">
        <f t="shared" si="679"/>
        <v>524.43600000000004</v>
      </c>
      <c r="K737" s="446">
        <f>F741</f>
        <v>524.69500000000005</v>
      </c>
      <c r="L737" s="139">
        <f>K741</f>
        <v>524.35300000000007</v>
      </c>
      <c r="M737" s="139">
        <f>L741</f>
        <v>524.26900000000001</v>
      </c>
      <c r="N737" s="139">
        <f>M741</f>
        <v>537.95500000000004</v>
      </c>
      <c r="O737" s="139">
        <f>N741</f>
        <v>537.77600000000007</v>
      </c>
      <c r="P737" s="446">
        <f>K741</f>
        <v>524.35300000000007</v>
      </c>
      <c r="Q737" s="139">
        <f>P741</f>
        <v>577.82000000000005</v>
      </c>
      <c r="R737" s="139">
        <f>Q741</f>
        <v>624.57799999999997</v>
      </c>
      <c r="S737" s="139">
        <f>R741</f>
        <v>633.35799999999995</v>
      </c>
      <c r="T737" s="139">
        <f>S741</f>
        <v>629.62799999999993</v>
      </c>
      <c r="U737" s="446">
        <f>P741</f>
        <v>577.82000000000005</v>
      </c>
      <c r="V737" s="139">
        <f>U741</f>
        <v>663.98799999999994</v>
      </c>
      <c r="W737" s="139">
        <f>V741</f>
        <v>664.26099999999997</v>
      </c>
      <c r="X737" s="139">
        <f>W741</f>
        <v>693.50699999999995</v>
      </c>
      <c r="Y737" s="139">
        <f>X741</f>
        <v>692.447</v>
      </c>
      <c r="Z737" s="446">
        <f>U741</f>
        <v>663.98799999999994</v>
      </c>
      <c r="AA737" s="139">
        <f>Z741</f>
        <v>778.45499999999993</v>
      </c>
      <c r="AB737" s="139">
        <f>AA741</f>
        <v>807.55499999999995</v>
      </c>
      <c r="AC737" s="139">
        <f>AB741</f>
        <v>811.81</v>
      </c>
      <c r="AD737" s="139">
        <f>AC741</f>
        <v>743.03899999999999</v>
      </c>
      <c r="AE737" s="446">
        <f>Z741</f>
        <v>778.45499999999993</v>
      </c>
      <c r="AF737" s="139">
        <f>AE741</f>
        <v>931.67200000000003</v>
      </c>
      <c r="AG737" s="139">
        <f>AF741</f>
        <v>925.26099999999997</v>
      </c>
      <c r="AH737" s="139">
        <f>AG741</f>
        <v>923.99699999999996</v>
      </c>
      <c r="AI737" s="139">
        <f>AH741</f>
        <v>918.77200000000005</v>
      </c>
      <c r="AJ737" s="446">
        <f>AE741</f>
        <v>931.67200000000003</v>
      </c>
      <c r="AK737" s="139">
        <f>AJ741</f>
        <v>916.86500000000001</v>
      </c>
      <c r="AL737" s="139">
        <f>AK741</f>
        <v>910.29100000000005</v>
      </c>
      <c r="AM737" s="139">
        <f>AL741</f>
        <v>903.80000000000007</v>
      </c>
      <c r="AN737" s="139">
        <f>AM741</f>
        <v>897.27</v>
      </c>
      <c r="AO737" s="446">
        <f>AJ741</f>
        <v>916.86500000000001</v>
      </c>
      <c r="AP737" s="139">
        <f>AO741</f>
        <v>890.73900000000003</v>
      </c>
      <c r="AQ737" s="139">
        <f>AP741</f>
        <v>884.20799999999997</v>
      </c>
      <c r="AR737" s="139">
        <f>AQ741</f>
        <v>877.678</v>
      </c>
      <c r="AS737" s="139">
        <f>AR741</f>
        <v>872.26700000000005</v>
      </c>
      <c r="AT737" s="446">
        <f>AO741</f>
        <v>890.73900000000003</v>
      </c>
      <c r="AU737" s="139">
        <f>AT741</f>
        <v>866.55700000000002</v>
      </c>
      <c r="AV737" s="139">
        <f>AU741</f>
        <v>859.99</v>
      </c>
      <c r="AW737" s="139">
        <f>AV741</f>
        <v>853.40899999999999</v>
      </c>
      <c r="AX737" s="139">
        <f>AW741</f>
        <v>846.82799999999997</v>
      </c>
      <c r="AY737" s="446">
        <f>AT741</f>
        <v>866.55700000000002</v>
      </c>
      <c r="AZ737" s="139">
        <f>AY741</f>
        <v>847.74300000000005</v>
      </c>
      <c r="BA737" s="139">
        <f>AZ741</f>
        <v>871.21799999999996</v>
      </c>
      <c r="BB737" s="139">
        <f>BA741</f>
        <v>864.54500000000007</v>
      </c>
      <c r="BC737" s="139">
        <f>BB741</f>
        <v>857.87199999999996</v>
      </c>
      <c r="BD737" s="446">
        <f>AY741</f>
        <v>847.74300000000005</v>
      </c>
      <c r="BE737" s="139">
        <f>BD741</f>
        <v>851.19999999999993</v>
      </c>
      <c r="BF737" s="139">
        <f>BE741</f>
        <v>844.52600000000007</v>
      </c>
      <c r="BG737" s="139">
        <f>BF741</f>
        <v>837.89800000000002</v>
      </c>
      <c r="BH737" s="139">
        <f>BG741</f>
        <v>831.27</v>
      </c>
      <c r="BI737" s="446">
        <f>BD741</f>
        <v>851.19999999999993</v>
      </c>
      <c r="BJ737" s="139">
        <f>BI741</f>
        <v>824.64200000000005</v>
      </c>
      <c r="BK737" s="139">
        <f>BJ741</f>
        <v>818.01299999999992</v>
      </c>
      <c r="BL737" s="139">
        <f>BK741</f>
        <v>811.38499999999999</v>
      </c>
      <c r="BM737" s="139">
        <f>BL741</f>
        <v>804.75800000000004</v>
      </c>
      <c r="BN737" s="446">
        <f>BI741</f>
        <v>824.64200000000005</v>
      </c>
      <c r="BO737" s="139">
        <f>BN741</f>
        <v>798.13</v>
      </c>
      <c r="BP737" s="139">
        <f>BO741</f>
        <v>791.50199999999995</v>
      </c>
      <c r="BQ737" s="139">
        <f>BP741</f>
        <v>784.87300000000005</v>
      </c>
      <c r="BR737" s="139">
        <f>BQ741</f>
        <v>778.245</v>
      </c>
      <c r="BS737" s="447">
        <f>BN741</f>
        <v>798.13</v>
      </c>
      <c r="BT737" s="137">
        <f>BS741</f>
        <v>771.61699999999996</v>
      </c>
      <c r="BU737" s="137">
        <f>BT741</f>
        <v>766.23047913424659</v>
      </c>
      <c r="BV737" s="137">
        <f>BU741</f>
        <v>760.88156061141353</v>
      </c>
      <c r="BW737" s="137">
        <f>BV741</f>
        <v>755.56998193624122</v>
      </c>
      <c r="BX737" s="444">
        <f>BS741</f>
        <v>771.61699999999996</v>
      </c>
      <c r="BY737" s="137">
        <f>BX741</f>
        <v>750.23752091304186</v>
      </c>
      <c r="BZ737" s="137">
        <f>BY741</f>
        <v>745.00024638348998</v>
      </c>
      <c r="CA737" s="137">
        <f>BZ741</f>
        <v>739.79953233476363</v>
      </c>
      <c r="CB737" s="137">
        <f>CA741</f>
        <v>734.63512354465684</v>
      </c>
      <c r="CC737" s="444">
        <f>BX741</f>
        <v>750.23752091304186</v>
      </c>
      <c r="CD737" s="444">
        <f>CC741</f>
        <v>729.45041100150331</v>
      </c>
      <c r="CE737" s="444">
        <f>CD741</f>
        <v>709.02579949346125</v>
      </c>
      <c r="CF737" s="444">
        <f>CE741</f>
        <v>689.1730771076443</v>
      </c>
      <c r="CG737" s="109"/>
    </row>
    <row r="738" spans="1:85" ht="14.45" customHeight="1" x14ac:dyDescent="0.25">
      <c r="A738" s="125" t="s">
        <v>666</v>
      </c>
      <c r="B738" s="180"/>
      <c r="C738" s="438"/>
      <c r="D738" s="439">
        <f t="shared" ref="D738:AI738" si="680">-D413</f>
        <v>-0.48899999999999999</v>
      </c>
      <c r="E738" s="439">
        <f t="shared" si="680"/>
        <v>-0.432</v>
      </c>
      <c r="F738" s="439">
        <f t="shared" si="680"/>
        <v>-0.41599999999999998</v>
      </c>
      <c r="G738" s="128">
        <f t="shared" si="680"/>
        <v>-8.4000000000000005E-2</v>
      </c>
      <c r="H738" s="128">
        <f t="shared" si="680"/>
        <v>-8.2000000000000003E-2</v>
      </c>
      <c r="I738" s="128">
        <f t="shared" si="680"/>
        <v>-8.3999999999999991E-2</v>
      </c>
      <c r="J738" s="128">
        <f t="shared" si="680"/>
        <v>-8.3000000000000018E-2</v>
      </c>
      <c r="K738" s="439">
        <f t="shared" si="680"/>
        <v>-0.33300000000000002</v>
      </c>
      <c r="L738" s="128">
        <f t="shared" si="680"/>
        <v>-8.3000000000000004E-2</v>
      </c>
      <c r="M738" s="128">
        <f t="shared" si="680"/>
        <v>-0.115</v>
      </c>
      <c r="N738" s="128">
        <f t="shared" si="680"/>
        <v>-0.17899999999999999</v>
      </c>
      <c r="O738" s="128">
        <f t="shared" si="680"/>
        <v>-0.35599999999999998</v>
      </c>
      <c r="P738" s="439">
        <f t="shared" si="680"/>
        <v>-0.73299999999999998</v>
      </c>
      <c r="Q738" s="128">
        <f t="shared" si="680"/>
        <v>-0.59199999999999997</v>
      </c>
      <c r="R738" s="128">
        <f t="shared" si="680"/>
        <v>-0.78799999999999992</v>
      </c>
      <c r="S738" s="128">
        <f t="shared" si="680"/>
        <v>-0.73</v>
      </c>
      <c r="T738" s="128">
        <f t="shared" si="680"/>
        <v>-0.69</v>
      </c>
      <c r="U738" s="439">
        <f t="shared" si="680"/>
        <v>-2.8</v>
      </c>
      <c r="V738" s="128">
        <f t="shared" si="680"/>
        <v>-1.026</v>
      </c>
      <c r="W738" s="128">
        <f t="shared" si="680"/>
        <v>-1.401</v>
      </c>
      <c r="X738" s="128">
        <f t="shared" si="680"/>
        <v>-1.06</v>
      </c>
      <c r="Y738" s="128">
        <f t="shared" si="680"/>
        <v>-1.5229999999999997</v>
      </c>
      <c r="Z738" s="439">
        <f t="shared" si="680"/>
        <v>-5.01</v>
      </c>
      <c r="AA738" s="128">
        <f t="shared" si="680"/>
        <v>-1.994</v>
      </c>
      <c r="AB738" s="128">
        <f t="shared" si="680"/>
        <v>-4.7229999999999999</v>
      </c>
      <c r="AC738" s="128">
        <f t="shared" si="680"/>
        <v>-4.8790000000000004</v>
      </c>
      <c r="AD738" s="128">
        <f t="shared" si="680"/>
        <v>-6.8230000000000004</v>
      </c>
      <c r="AE738" s="439">
        <f t="shared" si="680"/>
        <v>-18.419</v>
      </c>
      <c r="AF738" s="128">
        <f t="shared" si="680"/>
        <v>-5.6479999999999997</v>
      </c>
      <c r="AG738" s="128">
        <f t="shared" si="680"/>
        <v>-5.6010000000000009</v>
      </c>
      <c r="AH738" s="128">
        <f t="shared" si="680"/>
        <v>-5.7050000000000001</v>
      </c>
      <c r="AI738" s="128">
        <f t="shared" si="680"/>
        <v>-5.8000000000000007</v>
      </c>
      <c r="AJ738" s="439">
        <f t="shared" ref="AJ738:BS738" si="681">-AJ413</f>
        <v>-22.754000000000001</v>
      </c>
      <c r="AK738" s="128">
        <f t="shared" si="681"/>
        <v>-5.7930000000000001</v>
      </c>
      <c r="AL738" s="128">
        <f t="shared" si="681"/>
        <v>-5.7190000000000003</v>
      </c>
      <c r="AM738" s="128">
        <f t="shared" si="681"/>
        <v>-5.7590000000000003</v>
      </c>
      <c r="AN738" s="128">
        <f t="shared" si="681"/>
        <v>-5.7590000000000003</v>
      </c>
      <c r="AO738" s="439">
        <f t="shared" si="681"/>
        <v>-23.03</v>
      </c>
      <c r="AP738" s="128">
        <f t="shared" si="681"/>
        <v>-5.76</v>
      </c>
      <c r="AQ738" s="128">
        <f t="shared" si="681"/>
        <v>-5.7580000000000009</v>
      </c>
      <c r="AR738" s="128">
        <f t="shared" si="681"/>
        <v>-5.7680000000000007</v>
      </c>
      <c r="AS738" s="128">
        <f t="shared" si="681"/>
        <v>-5.7949999999999982</v>
      </c>
      <c r="AT738" s="439">
        <f t="shared" si="681"/>
        <v>-23.081</v>
      </c>
      <c r="AU738" s="128">
        <f t="shared" si="681"/>
        <v>-5.81</v>
      </c>
      <c r="AV738" s="128">
        <f t="shared" si="681"/>
        <v>-5.8090000000000002</v>
      </c>
      <c r="AW738" s="128">
        <f t="shared" si="681"/>
        <v>-5.8120000000000012</v>
      </c>
      <c r="AX738" s="128">
        <f t="shared" si="681"/>
        <v>-5.8140000000000001</v>
      </c>
      <c r="AY738" s="439">
        <f t="shared" si="681"/>
        <v>-23.245000000000001</v>
      </c>
      <c r="AZ738" s="128">
        <f t="shared" si="681"/>
        <v>-5.9080000000000004</v>
      </c>
      <c r="BA738" s="128">
        <f t="shared" si="681"/>
        <v>-5.9069999999999991</v>
      </c>
      <c r="BB738" s="128">
        <f t="shared" si="681"/>
        <v>-5.9070000000000018</v>
      </c>
      <c r="BC738" s="128">
        <f t="shared" si="681"/>
        <v>-5.9059999999999988</v>
      </c>
      <c r="BD738" s="439">
        <f t="shared" si="681"/>
        <v>-23.628</v>
      </c>
      <c r="BE738" s="128">
        <f t="shared" si="681"/>
        <v>-5.9080000000000004</v>
      </c>
      <c r="BF738" s="128">
        <f t="shared" si="681"/>
        <v>-5.8619999999999992</v>
      </c>
      <c r="BG738" s="128">
        <f t="shared" si="681"/>
        <v>-5.8620000000000019</v>
      </c>
      <c r="BH738" s="128">
        <f t="shared" si="681"/>
        <v>-5.8619999999999983</v>
      </c>
      <c r="BI738" s="439">
        <f t="shared" si="681"/>
        <v>-23.494</v>
      </c>
      <c r="BJ738" s="128">
        <f t="shared" si="681"/>
        <v>-5.8630000000000004</v>
      </c>
      <c r="BK738" s="128">
        <f t="shared" si="681"/>
        <v>-5.8619999999999992</v>
      </c>
      <c r="BL738" s="128">
        <f t="shared" si="681"/>
        <v>-5.8609999999999989</v>
      </c>
      <c r="BM738" s="128">
        <f t="shared" si="681"/>
        <v>-5.8620000000000019</v>
      </c>
      <c r="BN738" s="439">
        <f t="shared" si="681"/>
        <v>-23.448</v>
      </c>
      <c r="BO738" s="128">
        <f t="shared" si="681"/>
        <v>-5.8620000000000001</v>
      </c>
      <c r="BP738" s="128">
        <f t="shared" si="681"/>
        <v>-5.8629999999999995</v>
      </c>
      <c r="BQ738" s="128">
        <f t="shared" si="681"/>
        <v>-5.8620000000000001</v>
      </c>
      <c r="BR738" s="128">
        <f t="shared" si="681"/>
        <v>-5.8620000000000019</v>
      </c>
      <c r="BS738" s="608">
        <f t="shared" si="681"/>
        <v>-23.449000000000002</v>
      </c>
      <c r="BT738" s="127">
        <f>-BT737*BT744*BT3/BX3</f>
        <v>-5.3865208657534245</v>
      </c>
      <c r="BU738" s="127">
        <f>-BU737*BU744*BU3/BX3</f>
        <v>-5.348918522833042</v>
      </c>
      <c r="BV738" s="127">
        <f>-BV737*BV744*BV3/BX3</f>
        <v>-5.3115786751722789</v>
      </c>
      <c r="BW738" s="127">
        <f>-BW737*BW744*BW3/BX3</f>
        <v>-5.3324610231993352</v>
      </c>
      <c r="BX738" s="438">
        <f>IF(OR(ISBLANK(BT738),ISBLANK(BU738),ISBLANK(BV738),ISBLANK(BW738)),"n/a",SUM(BT738,BU738,BV738,BW738))</f>
        <v>-21.379479086958082</v>
      </c>
      <c r="BY738" s="127">
        <f>-BY737*BY744*BY3/CC3</f>
        <v>-5.2372745295518648</v>
      </c>
      <c r="BZ738" s="127">
        <f>-BZ737*BZ744*BZ3/CC3</f>
        <v>-5.2007140487263905</v>
      </c>
      <c r="CA738" s="127">
        <f>-CA737*CA744*CA3/CC3</f>
        <v>-5.1644087901067879</v>
      </c>
      <c r="CB738" s="127">
        <f>-CB737*CB744*CB3/CC3</f>
        <v>-5.1847125431535233</v>
      </c>
      <c r="CC738" s="438">
        <f>IF(OR(ISBLANK(BY738),ISBLANK(BZ738),ISBLANK(CA738),ISBLANK(CB738)),"n/a",SUM(BY738,BZ738,CA738,CB738))</f>
        <v>-20.787109911538565</v>
      </c>
      <c r="CD738" s="438">
        <f>-CD737*CD744</f>
        <v>-20.424611508042094</v>
      </c>
      <c r="CE738" s="438">
        <f>-CE737*CE744</f>
        <v>-19.852722385816914</v>
      </c>
      <c r="CF738" s="438">
        <f>-CF737*CF744</f>
        <v>-19.296846159014041</v>
      </c>
      <c r="CG738" s="109"/>
    </row>
    <row r="739" spans="1:85" ht="14.45" customHeight="1" x14ac:dyDescent="0.25">
      <c r="A739" s="125" t="s">
        <v>667</v>
      </c>
      <c r="B739" s="180"/>
      <c r="C739" s="438"/>
      <c r="D739" s="438">
        <f t="shared" ref="D739:AI739" si="682">D749-D733</f>
        <v>0</v>
      </c>
      <c r="E739" s="438">
        <f t="shared" si="682"/>
        <v>0</v>
      </c>
      <c r="F739" s="438">
        <f t="shared" si="682"/>
        <v>0</v>
      </c>
      <c r="G739" s="127">
        <f t="shared" si="682"/>
        <v>0</v>
      </c>
      <c r="H739" s="127">
        <f t="shared" si="682"/>
        <v>0</v>
      </c>
      <c r="I739" s="127">
        <f t="shared" si="682"/>
        <v>0</v>
      </c>
      <c r="J739" s="127">
        <f t="shared" si="682"/>
        <v>0</v>
      </c>
      <c r="K739" s="438">
        <f t="shared" si="682"/>
        <v>0</v>
      </c>
      <c r="L739" s="127">
        <f t="shared" si="682"/>
        <v>0</v>
      </c>
      <c r="M739" s="127">
        <f t="shared" si="682"/>
        <v>0</v>
      </c>
      <c r="N739" s="127">
        <f t="shared" si="682"/>
        <v>0</v>
      </c>
      <c r="O739" s="127">
        <f t="shared" si="682"/>
        <v>0</v>
      </c>
      <c r="P739" s="438">
        <f t="shared" si="682"/>
        <v>0</v>
      </c>
      <c r="Q739" s="127">
        <f t="shared" si="682"/>
        <v>0</v>
      </c>
      <c r="R739" s="127">
        <f t="shared" si="682"/>
        <v>0</v>
      </c>
      <c r="S739" s="127">
        <f t="shared" si="682"/>
        <v>0</v>
      </c>
      <c r="T739" s="127">
        <f t="shared" si="682"/>
        <v>0</v>
      </c>
      <c r="U739" s="438">
        <f t="shared" si="682"/>
        <v>0</v>
      </c>
      <c r="V739" s="127">
        <f t="shared" si="682"/>
        <v>0</v>
      </c>
      <c r="W739" s="127">
        <f t="shared" si="682"/>
        <v>0</v>
      </c>
      <c r="X739" s="127">
        <f t="shared" si="682"/>
        <v>0</v>
      </c>
      <c r="Y739" s="127">
        <f t="shared" si="682"/>
        <v>0</v>
      </c>
      <c r="Z739" s="438">
        <f t="shared" si="682"/>
        <v>0</v>
      </c>
      <c r="AA739" s="127">
        <f t="shared" si="682"/>
        <v>0</v>
      </c>
      <c r="AB739" s="127">
        <f t="shared" si="682"/>
        <v>0</v>
      </c>
      <c r="AC739" s="127">
        <f t="shared" si="682"/>
        <v>0</v>
      </c>
      <c r="AD739" s="127">
        <f t="shared" si="682"/>
        <v>0</v>
      </c>
      <c r="AE739" s="438">
        <f t="shared" si="682"/>
        <v>0</v>
      </c>
      <c r="AF739" s="127">
        <f t="shared" si="682"/>
        <v>0</v>
      </c>
      <c r="AG739" s="127">
        <f t="shared" si="682"/>
        <v>0</v>
      </c>
      <c r="AH739" s="127">
        <f t="shared" si="682"/>
        <v>0</v>
      </c>
      <c r="AI739" s="127">
        <f t="shared" si="682"/>
        <v>0</v>
      </c>
      <c r="AJ739" s="438">
        <f t="shared" ref="AJ739:BS739" si="683">AJ749-AJ733</f>
        <v>0</v>
      </c>
      <c r="AK739" s="127">
        <f t="shared" si="683"/>
        <v>0</v>
      </c>
      <c r="AL739" s="127">
        <f t="shared" si="683"/>
        <v>0</v>
      </c>
      <c r="AM739" s="127">
        <f t="shared" si="683"/>
        <v>0</v>
      </c>
      <c r="AN739" s="127">
        <f t="shared" si="683"/>
        <v>0</v>
      </c>
      <c r="AO739" s="438">
        <f t="shared" si="683"/>
        <v>0</v>
      </c>
      <c r="AP739" s="127">
        <f t="shared" si="683"/>
        <v>0</v>
      </c>
      <c r="AQ739" s="127">
        <f t="shared" si="683"/>
        <v>0</v>
      </c>
      <c r="AR739" s="127">
        <f t="shared" si="683"/>
        <v>0</v>
      </c>
      <c r="AS739" s="127">
        <f t="shared" si="683"/>
        <v>0</v>
      </c>
      <c r="AT739" s="438">
        <f t="shared" si="683"/>
        <v>0</v>
      </c>
      <c r="AU739" s="127">
        <f t="shared" si="683"/>
        <v>0</v>
      </c>
      <c r="AV739" s="127">
        <f t="shared" si="683"/>
        <v>0</v>
      </c>
      <c r="AW739" s="127">
        <f t="shared" si="683"/>
        <v>0</v>
      </c>
      <c r="AX739" s="127">
        <f t="shared" si="683"/>
        <v>0</v>
      </c>
      <c r="AY739" s="438">
        <f t="shared" si="683"/>
        <v>0</v>
      </c>
      <c r="AZ739" s="127">
        <f t="shared" si="683"/>
        <v>0</v>
      </c>
      <c r="BA739" s="127">
        <f t="shared" si="683"/>
        <v>0</v>
      </c>
      <c r="BB739" s="127">
        <f t="shared" si="683"/>
        <v>0</v>
      </c>
      <c r="BC739" s="127">
        <f t="shared" si="683"/>
        <v>0</v>
      </c>
      <c r="BD739" s="438">
        <f t="shared" si="683"/>
        <v>0</v>
      </c>
      <c r="BE739" s="127">
        <f t="shared" si="683"/>
        <v>0</v>
      </c>
      <c r="BF739" s="127">
        <f t="shared" si="683"/>
        <v>0</v>
      </c>
      <c r="BG739" s="127">
        <f t="shared" si="683"/>
        <v>0</v>
      </c>
      <c r="BH739" s="127">
        <f t="shared" si="683"/>
        <v>0</v>
      </c>
      <c r="BI739" s="438">
        <f t="shared" si="683"/>
        <v>0</v>
      </c>
      <c r="BJ739" s="127">
        <f t="shared" si="683"/>
        <v>0</v>
      </c>
      <c r="BK739" s="127">
        <f t="shared" si="683"/>
        <v>0</v>
      </c>
      <c r="BL739" s="127">
        <f t="shared" si="683"/>
        <v>0</v>
      </c>
      <c r="BM739" s="127">
        <f t="shared" si="683"/>
        <v>0</v>
      </c>
      <c r="BN739" s="438">
        <f t="shared" si="683"/>
        <v>0</v>
      </c>
      <c r="BO739" s="127">
        <f t="shared" si="683"/>
        <v>0</v>
      </c>
      <c r="BP739" s="127">
        <f t="shared" si="683"/>
        <v>0</v>
      </c>
      <c r="BQ739" s="127">
        <f t="shared" si="683"/>
        <v>0</v>
      </c>
      <c r="BR739" s="127">
        <f t="shared" si="683"/>
        <v>0</v>
      </c>
      <c r="BS739" s="448">
        <f t="shared" si="683"/>
        <v>0</v>
      </c>
      <c r="BT739" s="127">
        <f>BT749*BT750</f>
        <v>0</v>
      </c>
      <c r="BU739" s="127">
        <f>BU749*BU750</f>
        <v>0</v>
      </c>
      <c r="BV739" s="127">
        <f>BV749*BV750</f>
        <v>0</v>
      </c>
      <c r="BW739" s="127">
        <f>BW749*BW750</f>
        <v>0</v>
      </c>
      <c r="BX739" s="438">
        <f>IF(OR(ISBLANK(BT739),ISBLANK(BU739),ISBLANK(BV739),ISBLANK(BW739)),"n/a",SUM(BT739,BU739,BV739,BW739))</f>
        <v>0</v>
      </c>
      <c r="BY739" s="127">
        <f>BY749*BY750</f>
        <v>0</v>
      </c>
      <c r="BZ739" s="127">
        <f>BZ749*BZ750</f>
        <v>0</v>
      </c>
      <c r="CA739" s="127">
        <f>CA749*CA750</f>
        <v>0</v>
      </c>
      <c r="CB739" s="127">
        <f>CB749*CB750</f>
        <v>0</v>
      </c>
      <c r="CC739" s="438">
        <f>IF(OR(ISBLANK(BY739),ISBLANK(BZ739),ISBLANK(CA739),ISBLANK(CB739)),"n/a",SUM(BY739,BZ739,CA739,CB739))</f>
        <v>0</v>
      </c>
      <c r="CD739" s="438">
        <f>CD749*CD750</f>
        <v>0</v>
      </c>
      <c r="CE739" s="438">
        <f>CE749*CE750</f>
        <v>0</v>
      </c>
      <c r="CF739" s="438">
        <f>CF749*CF750</f>
        <v>0</v>
      </c>
      <c r="CG739" s="109"/>
    </row>
    <row r="740" spans="1:85" ht="14.45" customHeight="1" x14ac:dyDescent="0.25">
      <c r="A740" s="125" t="s">
        <v>668</v>
      </c>
      <c r="B740" s="180"/>
      <c r="C740" s="438"/>
      <c r="D740" s="439">
        <f t="shared" ref="D740:AI740" si="684">ROUND(D741-D737-D738-D739,6)</f>
        <v>0.01</v>
      </c>
      <c r="E740" s="439">
        <f t="shared" si="684"/>
        <v>0</v>
      </c>
      <c r="F740" s="439">
        <f t="shared" si="684"/>
        <v>0</v>
      </c>
      <c r="G740" s="128">
        <f t="shared" si="684"/>
        <v>0</v>
      </c>
      <c r="H740" s="128">
        <f t="shared" si="684"/>
        <v>-0.01</v>
      </c>
      <c r="I740" s="128">
        <f t="shared" si="684"/>
        <v>1E-3</v>
      </c>
      <c r="J740" s="128">
        <f t="shared" si="684"/>
        <v>0</v>
      </c>
      <c r="K740" s="439">
        <f t="shared" si="684"/>
        <v>-8.9999999999999993E-3</v>
      </c>
      <c r="L740" s="128">
        <f t="shared" si="684"/>
        <v>-1E-3</v>
      </c>
      <c r="M740" s="128">
        <f t="shared" si="684"/>
        <v>13.801</v>
      </c>
      <c r="N740" s="128">
        <f t="shared" si="684"/>
        <v>0</v>
      </c>
      <c r="O740" s="128">
        <f t="shared" si="684"/>
        <v>40.4</v>
      </c>
      <c r="P740" s="439">
        <f t="shared" si="684"/>
        <v>54.2</v>
      </c>
      <c r="Q740" s="128">
        <f t="shared" si="684"/>
        <v>47.35</v>
      </c>
      <c r="R740" s="128">
        <f t="shared" si="684"/>
        <v>9.5679999999999996</v>
      </c>
      <c r="S740" s="128">
        <f t="shared" si="684"/>
        <v>-3</v>
      </c>
      <c r="T740" s="128">
        <f t="shared" si="684"/>
        <v>35.049999999999997</v>
      </c>
      <c r="U740" s="439">
        <f t="shared" si="684"/>
        <v>88.968000000000004</v>
      </c>
      <c r="V740" s="128">
        <f t="shared" si="684"/>
        <v>1.2989999999999999</v>
      </c>
      <c r="W740" s="128">
        <f t="shared" si="684"/>
        <v>30.646999999999998</v>
      </c>
      <c r="X740" s="128">
        <f t="shared" si="684"/>
        <v>0</v>
      </c>
      <c r="Y740" s="128">
        <f t="shared" si="684"/>
        <v>87.531000000000006</v>
      </c>
      <c r="Z740" s="439">
        <f t="shared" si="684"/>
        <v>119.477</v>
      </c>
      <c r="AA740" s="128">
        <f t="shared" si="684"/>
        <v>31.094000000000001</v>
      </c>
      <c r="AB740" s="128">
        <f t="shared" si="684"/>
        <v>8.9779999999999998</v>
      </c>
      <c r="AC740" s="128">
        <f t="shared" si="684"/>
        <v>-63.892000000000003</v>
      </c>
      <c r="AD740" s="128">
        <f t="shared" si="684"/>
        <v>195.45599999999999</v>
      </c>
      <c r="AE740" s="439">
        <f t="shared" si="684"/>
        <v>171.636</v>
      </c>
      <c r="AF740" s="128">
        <f t="shared" si="684"/>
        <v>-0.76300000000000001</v>
      </c>
      <c r="AG740" s="128">
        <f t="shared" si="684"/>
        <v>4.3369999999999997</v>
      </c>
      <c r="AH740" s="128">
        <f t="shared" si="684"/>
        <v>0.48</v>
      </c>
      <c r="AI740" s="128">
        <f t="shared" si="684"/>
        <v>3.8929999999999998</v>
      </c>
      <c r="AJ740" s="439">
        <f t="shared" ref="AJ740:BO740" si="685">ROUND(AJ741-AJ737-AJ738-AJ739,6)</f>
        <v>7.9470000000000001</v>
      </c>
      <c r="AK740" s="128">
        <f t="shared" si="685"/>
        <v>-0.78100000000000003</v>
      </c>
      <c r="AL740" s="128">
        <f t="shared" si="685"/>
        <v>-0.77200000000000002</v>
      </c>
      <c r="AM740" s="128">
        <f t="shared" si="685"/>
        <v>-0.77100000000000002</v>
      </c>
      <c r="AN740" s="128">
        <f t="shared" si="685"/>
        <v>-0.77200000000000002</v>
      </c>
      <c r="AO740" s="439">
        <f t="shared" si="685"/>
        <v>-3.0960000000000001</v>
      </c>
      <c r="AP740" s="128">
        <f t="shared" si="685"/>
        <v>-0.77100000000000002</v>
      </c>
      <c r="AQ740" s="128">
        <f t="shared" si="685"/>
        <v>-0.77200000000000002</v>
      </c>
      <c r="AR740" s="128">
        <f t="shared" si="685"/>
        <v>0.35699999999999998</v>
      </c>
      <c r="AS740" s="128">
        <f t="shared" si="685"/>
        <v>8.5000000000000006E-2</v>
      </c>
      <c r="AT740" s="439">
        <f t="shared" si="685"/>
        <v>-1.101</v>
      </c>
      <c r="AU740" s="128">
        <f t="shared" si="685"/>
        <v>-0.75700000000000001</v>
      </c>
      <c r="AV740" s="128">
        <f t="shared" si="685"/>
        <v>-0.77200000000000002</v>
      </c>
      <c r="AW740" s="128">
        <f t="shared" si="685"/>
        <v>-0.76900000000000002</v>
      </c>
      <c r="AX740" s="128">
        <f t="shared" si="685"/>
        <v>6.7290000000000001</v>
      </c>
      <c r="AY740" s="439">
        <f t="shared" si="685"/>
        <v>4.431</v>
      </c>
      <c r="AZ740" s="128">
        <f t="shared" si="685"/>
        <v>29.382999999999999</v>
      </c>
      <c r="BA740" s="128">
        <f t="shared" si="685"/>
        <v>-0.76600000000000001</v>
      </c>
      <c r="BB740" s="128">
        <f t="shared" si="685"/>
        <v>-0.76600000000000001</v>
      </c>
      <c r="BC740" s="128">
        <f t="shared" si="685"/>
        <v>-0.76600000000000001</v>
      </c>
      <c r="BD740" s="439">
        <f t="shared" si="685"/>
        <v>27.085000000000001</v>
      </c>
      <c r="BE740" s="128">
        <f t="shared" si="685"/>
        <v>-0.76600000000000001</v>
      </c>
      <c r="BF740" s="128">
        <f t="shared" si="685"/>
        <v>-0.76600000000000001</v>
      </c>
      <c r="BG740" s="128">
        <f t="shared" si="685"/>
        <v>-0.76600000000000001</v>
      </c>
      <c r="BH740" s="128">
        <f t="shared" si="685"/>
        <v>-0.76600000000000001</v>
      </c>
      <c r="BI740" s="439">
        <f t="shared" si="685"/>
        <v>-3.0640000000000001</v>
      </c>
      <c r="BJ740" s="128">
        <f t="shared" si="685"/>
        <v>-0.76600000000000001</v>
      </c>
      <c r="BK740" s="128">
        <f t="shared" si="685"/>
        <v>-0.76600000000000001</v>
      </c>
      <c r="BL740" s="128">
        <f t="shared" si="685"/>
        <v>-0.76600000000000001</v>
      </c>
      <c r="BM740" s="128">
        <f t="shared" si="685"/>
        <v>-0.76600000000000001</v>
      </c>
      <c r="BN740" s="439">
        <f t="shared" si="685"/>
        <v>-3.0640000000000001</v>
      </c>
      <c r="BO740" s="128">
        <f t="shared" si="685"/>
        <v>-0.76600000000000001</v>
      </c>
      <c r="BP740" s="128">
        <f t="shared" ref="BP740:BW740" si="686">ROUND(BP741-BP737-BP738-BP739,6)</f>
        <v>-0.76600000000000001</v>
      </c>
      <c r="BQ740" s="128">
        <f t="shared" si="686"/>
        <v>-0.76600000000000001</v>
      </c>
      <c r="BR740" s="128">
        <f t="shared" si="686"/>
        <v>-0.76600000000000001</v>
      </c>
      <c r="BS740" s="608">
        <f t="shared" si="686"/>
        <v>-3.0640000000000001</v>
      </c>
      <c r="BT740" s="127">
        <f t="shared" si="686"/>
        <v>0</v>
      </c>
      <c r="BU740" s="127">
        <f t="shared" si="686"/>
        <v>0</v>
      </c>
      <c r="BV740" s="127">
        <f t="shared" si="686"/>
        <v>0</v>
      </c>
      <c r="BW740" s="127">
        <f t="shared" si="686"/>
        <v>0</v>
      </c>
      <c r="BX740" s="438">
        <f>ROUND(BX741-BX737-IF(ISNUMBER(BX738),BX738,0)-IF(ISNUMBER(BX739),BX739,0),6)</f>
        <v>0</v>
      </c>
      <c r="BY740" s="127">
        <f>ROUND(BY741-BY737-BY738-BY739,6)</f>
        <v>0</v>
      </c>
      <c r="BZ740" s="127">
        <f>ROUND(BZ741-BZ737-BZ738-BZ739,6)</f>
        <v>0</v>
      </c>
      <c r="CA740" s="127">
        <f>ROUND(CA741-CA737-CA738-CA739,6)</f>
        <v>0</v>
      </c>
      <c r="CB740" s="127">
        <f>ROUND(CB741-CB737-CB738-CB739,6)</f>
        <v>0</v>
      </c>
      <c r="CC740" s="438">
        <f>ROUND(CC741-CC737-IF(ISNUMBER(CC738),CC738,0)-IF(ISNUMBER(CC739),CC739,0),6)</f>
        <v>0</v>
      </c>
      <c r="CD740" s="438">
        <f>ROUND(CD741-CD737-CD738-CD739,6)</f>
        <v>0</v>
      </c>
      <c r="CE740" s="438">
        <f>ROUND(CE741-CE737-CE738-CE739,6)</f>
        <v>0</v>
      </c>
      <c r="CF740" s="438">
        <f>ROUND(CF741-CF737-CF738-CF739,6)</f>
        <v>0</v>
      </c>
      <c r="CG740" s="109"/>
    </row>
    <row r="741" spans="1:85" ht="14.45" customHeight="1" x14ac:dyDescent="0.25">
      <c r="A741" s="306" t="s">
        <v>669</v>
      </c>
      <c r="B741" s="307"/>
      <c r="C741" s="609">
        <f t="shared" ref="C741:AH741" si="687">C777</f>
        <v>526.02200000000005</v>
      </c>
      <c r="D741" s="609">
        <f t="shared" si="687"/>
        <v>525.54300000000001</v>
      </c>
      <c r="E741" s="609">
        <f t="shared" si="687"/>
        <v>525.11099999999999</v>
      </c>
      <c r="F741" s="609">
        <f t="shared" si="687"/>
        <v>524.69500000000005</v>
      </c>
      <c r="G741" s="308">
        <f t="shared" si="687"/>
        <v>524.61099999999999</v>
      </c>
      <c r="H741" s="308">
        <f t="shared" si="687"/>
        <v>524.51900000000001</v>
      </c>
      <c r="I741" s="308">
        <f t="shared" si="687"/>
        <v>524.43600000000004</v>
      </c>
      <c r="J741" s="308">
        <f t="shared" si="687"/>
        <v>524.35300000000007</v>
      </c>
      <c r="K741" s="609">
        <f t="shared" si="687"/>
        <v>524.35300000000007</v>
      </c>
      <c r="L741" s="308">
        <f t="shared" si="687"/>
        <v>524.26900000000001</v>
      </c>
      <c r="M741" s="308">
        <f t="shared" si="687"/>
        <v>537.95500000000004</v>
      </c>
      <c r="N741" s="308">
        <f t="shared" si="687"/>
        <v>537.77600000000007</v>
      </c>
      <c r="O741" s="308">
        <f t="shared" si="687"/>
        <v>577.82000000000005</v>
      </c>
      <c r="P741" s="609">
        <f t="shared" si="687"/>
        <v>577.82000000000005</v>
      </c>
      <c r="Q741" s="308">
        <f t="shared" si="687"/>
        <v>624.57799999999997</v>
      </c>
      <c r="R741" s="308">
        <f t="shared" si="687"/>
        <v>633.35799999999995</v>
      </c>
      <c r="S741" s="308">
        <f t="shared" si="687"/>
        <v>629.62799999999993</v>
      </c>
      <c r="T741" s="308">
        <f t="shared" si="687"/>
        <v>663.98799999999994</v>
      </c>
      <c r="U741" s="609">
        <f t="shared" si="687"/>
        <v>663.98799999999994</v>
      </c>
      <c r="V741" s="308">
        <f t="shared" si="687"/>
        <v>664.26099999999997</v>
      </c>
      <c r="W741" s="308">
        <f t="shared" si="687"/>
        <v>693.50699999999995</v>
      </c>
      <c r="X741" s="308">
        <f t="shared" si="687"/>
        <v>692.447</v>
      </c>
      <c r="Y741" s="308">
        <f t="shared" si="687"/>
        <v>778.45499999999993</v>
      </c>
      <c r="Z741" s="609">
        <f t="shared" si="687"/>
        <v>778.45499999999993</v>
      </c>
      <c r="AA741" s="308">
        <f t="shared" si="687"/>
        <v>807.55499999999995</v>
      </c>
      <c r="AB741" s="308">
        <f t="shared" si="687"/>
        <v>811.81</v>
      </c>
      <c r="AC741" s="308">
        <f t="shared" si="687"/>
        <v>743.03899999999999</v>
      </c>
      <c r="AD741" s="308">
        <f t="shared" si="687"/>
        <v>931.67200000000003</v>
      </c>
      <c r="AE741" s="609">
        <f t="shared" si="687"/>
        <v>931.67200000000003</v>
      </c>
      <c r="AF741" s="308">
        <f t="shared" si="687"/>
        <v>925.26099999999997</v>
      </c>
      <c r="AG741" s="308">
        <f t="shared" si="687"/>
        <v>923.99699999999996</v>
      </c>
      <c r="AH741" s="308">
        <f t="shared" si="687"/>
        <v>918.77200000000005</v>
      </c>
      <c r="AI741" s="308">
        <f t="shared" ref="AI741:BN741" si="688">AI777</f>
        <v>916.86500000000001</v>
      </c>
      <c r="AJ741" s="609">
        <f t="shared" si="688"/>
        <v>916.86500000000001</v>
      </c>
      <c r="AK741" s="308">
        <f t="shared" si="688"/>
        <v>910.29100000000005</v>
      </c>
      <c r="AL741" s="308">
        <f t="shared" si="688"/>
        <v>903.80000000000007</v>
      </c>
      <c r="AM741" s="308">
        <f t="shared" si="688"/>
        <v>897.27</v>
      </c>
      <c r="AN741" s="308">
        <f t="shared" si="688"/>
        <v>890.73900000000003</v>
      </c>
      <c r="AO741" s="609">
        <f t="shared" si="688"/>
        <v>890.73900000000003</v>
      </c>
      <c r="AP741" s="308">
        <f t="shared" si="688"/>
        <v>884.20799999999997</v>
      </c>
      <c r="AQ741" s="308">
        <f t="shared" si="688"/>
        <v>877.678</v>
      </c>
      <c r="AR741" s="308">
        <f t="shared" si="688"/>
        <v>872.26700000000005</v>
      </c>
      <c r="AS741" s="308">
        <f t="shared" si="688"/>
        <v>866.55700000000002</v>
      </c>
      <c r="AT741" s="609">
        <f t="shared" si="688"/>
        <v>866.55700000000002</v>
      </c>
      <c r="AU741" s="308">
        <f t="shared" si="688"/>
        <v>859.99</v>
      </c>
      <c r="AV741" s="308">
        <f t="shared" si="688"/>
        <v>853.40899999999999</v>
      </c>
      <c r="AW741" s="308">
        <f t="shared" si="688"/>
        <v>846.82799999999997</v>
      </c>
      <c r="AX741" s="308">
        <f t="shared" si="688"/>
        <v>847.74300000000005</v>
      </c>
      <c r="AY741" s="609">
        <f t="shared" si="688"/>
        <v>847.74300000000005</v>
      </c>
      <c r="AZ741" s="308">
        <f t="shared" si="688"/>
        <v>871.21799999999996</v>
      </c>
      <c r="BA741" s="308">
        <f t="shared" si="688"/>
        <v>864.54500000000007</v>
      </c>
      <c r="BB741" s="308">
        <f t="shared" si="688"/>
        <v>857.87199999999996</v>
      </c>
      <c r="BC741" s="308">
        <f t="shared" si="688"/>
        <v>851.19999999999993</v>
      </c>
      <c r="BD741" s="609">
        <f t="shared" si="688"/>
        <v>851.19999999999993</v>
      </c>
      <c r="BE741" s="308">
        <f t="shared" si="688"/>
        <v>844.52600000000007</v>
      </c>
      <c r="BF741" s="308">
        <f t="shared" si="688"/>
        <v>837.89800000000002</v>
      </c>
      <c r="BG741" s="308">
        <f t="shared" si="688"/>
        <v>831.27</v>
      </c>
      <c r="BH741" s="308">
        <f t="shared" si="688"/>
        <v>824.64200000000005</v>
      </c>
      <c r="BI741" s="609">
        <f t="shared" si="688"/>
        <v>824.64200000000005</v>
      </c>
      <c r="BJ741" s="308">
        <f t="shared" si="688"/>
        <v>818.01299999999992</v>
      </c>
      <c r="BK741" s="308">
        <f t="shared" si="688"/>
        <v>811.38499999999999</v>
      </c>
      <c r="BL741" s="308">
        <f t="shared" si="688"/>
        <v>804.75800000000004</v>
      </c>
      <c r="BM741" s="308">
        <f t="shared" si="688"/>
        <v>798.13</v>
      </c>
      <c r="BN741" s="609">
        <f t="shared" si="688"/>
        <v>798.13</v>
      </c>
      <c r="BO741" s="308">
        <f t="shared" ref="BO741:CF741" si="689">BO777</f>
        <v>791.50199999999995</v>
      </c>
      <c r="BP741" s="308">
        <f t="shared" si="689"/>
        <v>784.87300000000005</v>
      </c>
      <c r="BQ741" s="308">
        <f t="shared" si="689"/>
        <v>778.245</v>
      </c>
      <c r="BR741" s="308">
        <f t="shared" si="689"/>
        <v>771.61699999999996</v>
      </c>
      <c r="BS741" s="610">
        <f t="shared" si="689"/>
        <v>771.61699999999996</v>
      </c>
      <c r="BT741" s="611">
        <f t="shared" si="689"/>
        <v>766.23047913424659</v>
      </c>
      <c r="BU741" s="611">
        <f t="shared" si="689"/>
        <v>760.88156061141353</v>
      </c>
      <c r="BV741" s="611">
        <f t="shared" si="689"/>
        <v>755.56998193624122</v>
      </c>
      <c r="BW741" s="611">
        <f t="shared" si="689"/>
        <v>750.23752091304186</v>
      </c>
      <c r="BX741" s="612">
        <f t="shared" si="689"/>
        <v>750.23752091304186</v>
      </c>
      <c r="BY741" s="611">
        <f t="shared" si="689"/>
        <v>745.00024638348998</v>
      </c>
      <c r="BZ741" s="611">
        <f t="shared" si="689"/>
        <v>739.79953233476363</v>
      </c>
      <c r="CA741" s="611">
        <f t="shared" si="689"/>
        <v>734.63512354465684</v>
      </c>
      <c r="CB741" s="611">
        <f t="shared" si="689"/>
        <v>729.45041100150331</v>
      </c>
      <c r="CC741" s="612">
        <f t="shared" si="689"/>
        <v>729.45041100150331</v>
      </c>
      <c r="CD741" s="612">
        <f t="shared" si="689"/>
        <v>709.02579949346125</v>
      </c>
      <c r="CE741" s="612">
        <f t="shared" si="689"/>
        <v>689.1730771076443</v>
      </c>
      <c r="CF741" s="612">
        <f t="shared" si="689"/>
        <v>669.87623094863022</v>
      </c>
      <c r="CG741" s="109"/>
    </row>
    <row r="742" spans="1:85" ht="14.45" customHeight="1" x14ac:dyDescent="0.25">
      <c r="A742" s="122"/>
      <c r="B742" s="302"/>
      <c r="C742" s="438"/>
      <c r="D742" s="438"/>
      <c r="E742" s="438"/>
      <c r="F742" s="438"/>
      <c r="G742" s="127"/>
      <c r="H742" s="127"/>
      <c r="I742" s="127"/>
      <c r="J742" s="127"/>
      <c r="K742" s="438"/>
      <c r="L742" s="127"/>
      <c r="M742" s="127"/>
      <c r="N742" s="127"/>
      <c r="O742" s="127"/>
      <c r="P742" s="438"/>
      <c r="Q742" s="127"/>
      <c r="R742" s="127"/>
      <c r="S742" s="127"/>
      <c r="T742" s="127"/>
      <c r="U742" s="438"/>
      <c r="V742" s="127"/>
      <c r="W742" s="127"/>
      <c r="X742" s="127"/>
      <c r="Y742" s="127"/>
      <c r="Z742" s="438"/>
      <c r="AA742" s="127"/>
      <c r="AB742" s="127"/>
      <c r="AC742" s="127"/>
      <c r="AD742" s="127"/>
      <c r="AE742" s="438"/>
      <c r="AF742" s="127"/>
      <c r="AG742" s="127"/>
      <c r="AH742" s="127"/>
      <c r="AI742" s="127"/>
      <c r="AJ742" s="438"/>
      <c r="AK742" s="127"/>
      <c r="AL742" s="127"/>
      <c r="AM742" s="127"/>
      <c r="AN742" s="127"/>
      <c r="AO742" s="438"/>
      <c r="AP742" s="127"/>
      <c r="AQ742" s="127"/>
      <c r="AR742" s="127"/>
      <c r="AS742" s="127"/>
      <c r="AT742" s="438"/>
      <c r="AU742" s="127"/>
      <c r="AV742" s="127"/>
      <c r="AW742" s="127"/>
      <c r="AX742" s="127"/>
      <c r="AY742" s="438"/>
      <c r="AZ742" s="127"/>
      <c r="BA742" s="127"/>
      <c r="BB742" s="127"/>
      <c r="BC742" s="127"/>
      <c r="BD742" s="438"/>
      <c r="BE742" s="127"/>
      <c r="BF742" s="127"/>
      <c r="BG742" s="127"/>
      <c r="BH742" s="127"/>
      <c r="BI742" s="438"/>
      <c r="BJ742" s="127"/>
      <c r="BK742" s="127"/>
      <c r="BL742" s="127"/>
      <c r="BM742" s="127"/>
      <c r="BN742" s="438"/>
      <c r="BO742" s="127"/>
      <c r="BP742" s="127"/>
      <c r="BQ742" s="127"/>
      <c r="BR742" s="127"/>
      <c r="BS742" s="448"/>
      <c r="BT742" s="127"/>
      <c r="BU742" s="127"/>
      <c r="BV742" s="127"/>
      <c r="BW742" s="127"/>
      <c r="BX742" s="438"/>
      <c r="BY742" s="127"/>
      <c r="BZ742" s="127"/>
      <c r="CA742" s="127"/>
      <c r="CB742" s="127"/>
      <c r="CC742" s="438"/>
      <c r="CD742" s="438"/>
      <c r="CE742" s="438"/>
      <c r="CF742" s="438"/>
      <c r="CG742" s="236"/>
    </row>
    <row r="743" spans="1:85" ht="14.45" customHeight="1" x14ac:dyDescent="0.25">
      <c r="A743" s="309" t="s">
        <v>670</v>
      </c>
      <c r="B743" s="204"/>
      <c r="C743" s="506"/>
      <c r="D743" s="613">
        <f>IFERROR(-D732/D731,"n/a")</f>
        <v>0.17958928806462177</v>
      </c>
      <c r="E743" s="613">
        <f>IFERROR(-E732/E731,"n/a")</f>
        <v>0.19148638958474964</v>
      </c>
      <c r="F743" s="613">
        <f>IFERROR(-F732/F731,"n/a")</f>
        <v>0.20192790175623926</v>
      </c>
      <c r="G743" s="310">
        <f>IFERROR(-G732/G731*K3/G3,"n/a")</f>
        <v>0.18936666373952327</v>
      </c>
      <c r="H743" s="310">
        <f>IFERROR(-H732/H731*K3/H3,"n/a")</f>
        <v>0.19096026379775502</v>
      </c>
      <c r="I743" s="310">
        <f>IFERROR(-I732/I731*K3/I3,"n/a")</f>
        <v>0.19803055753930338</v>
      </c>
      <c r="J743" s="310">
        <f>IFERROR(-J732/J731*K3/J3,"n/a")</f>
        <v>0.19899236651566846</v>
      </c>
      <c r="K743" s="613">
        <f>IFERROR(-K732/K731,"n/a")</f>
        <v>0.18973743523695227</v>
      </c>
      <c r="L743" s="310">
        <f>IFERROR(-L732/L731*P3/L3,"n/a")</f>
        <v>0.19123558571343707</v>
      </c>
      <c r="M743" s="310">
        <f>IFERROR(-M732/M731*P3/M3,"n/a")</f>
        <v>0.19288209022030695</v>
      </c>
      <c r="N743" s="310">
        <f>IFERROR(-N732/N731*P3/N3,"n/a")</f>
        <v>0.19071355109818341</v>
      </c>
      <c r="O743" s="310">
        <f>IFERROR(-O732/O731*P3/O3,"n/a")</f>
        <v>0.19605302562660817</v>
      </c>
      <c r="P743" s="613">
        <f>IFERROR(-P732/P731,"n/a")</f>
        <v>0.19933134872177374</v>
      </c>
      <c r="Q743" s="310">
        <f>IFERROR(-Q732/Q731*U3/Q3,"n/a")</f>
        <v>0.19421127176715733</v>
      </c>
      <c r="R743" s="310">
        <f>IFERROR(-R732/R731*U3/R3,"n/a")</f>
        <v>0.19694893533316554</v>
      </c>
      <c r="S743" s="310">
        <f>IFERROR(-S732/S731*U3/S3,"n/a")</f>
        <v>0.1974462880743664</v>
      </c>
      <c r="T743" s="310">
        <f>IFERROR(-T732/T731*U3/T3,"n/a")</f>
        <v>0.18469192938342394</v>
      </c>
      <c r="U743" s="613">
        <f>IFERROR(-U732/U731,"n/a")</f>
        <v>0.21800397507760333</v>
      </c>
      <c r="V743" s="310">
        <f>IFERROR(-V732/V731*Z3/V3,"n/a")</f>
        <v>0.17772621809744776</v>
      </c>
      <c r="W743" s="310">
        <f>IFERROR(-W732/W731*Z3/W3,"n/a")</f>
        <v>0.16615536800981695</v>
      </c>
      <c r="X743" s="310">
        <f>IFERROR(-X732/X731*Z3/X3,"n/a")</f>
        <v>0.16984136645382472</v>
      </c>
      <c r="Y743" s="310">
        <f>IFERROR(-Y732/Y731*Z3/Y3,"n/a")</f>
        <v>0.17569499074822997</v>
      </c>
      <c r="Z743" s="613">
        <f>IFERROR(-Z732/Z731,"n/a")</f>
        <v>0.21226465330341179</v>
      </c>
      <c r="AA743" s="310">
        <f>IFERROR(-AA732/AA731*AE3/AA3,"n/a")</f>
        <v>0.1622998589156803</v>
      </c>
      <c r="AB743" s="310">
        <f>IFERROR(-AB732/AB731*AE3/AB3,"n/a")</f>
        <v>0.16162704763265043</v>
      </c>
      <c r="AC743" s="310">
        <f>IFERROR(-AC732/AC731*AE3/AC3,"n/a")</f>
        <v>0.15699199941077366</v>
      </c>
      <c r="AD743" s="310">
        <f>IFERROR(-AD732/AD731*AE3/AD3,"n/a")</f>
        <v>0.17769118570804984</v>
      </c>
      <c r="AE743" s="613">
        <f>IFERROR(-AE732/AE731,"n/a")</f>
        <v>0.18502341360092203</v>
      </c>
      <c r="AF743" s="310">
        <f>IFERROR(-AF732/AF731*AJ3/AF3,"n/a")</f>
        <v>0.16122739454017307</v>
      </c>
      <c r="AG743" s="310">
        <f>IFERROR(-AG732/AG731*AJ3/AG3,"n/a")</f>
        <v>0.16075514146675468</v>
      </c>
      <c r="AH743" s="310">
        <f>IFERROR(-AH732/AH731*AJ3/AH3,"n/a")</f>
        <v>0.16152932124220806</v>
      </c>
      <c r="AI743" s="310">
        <f>IFERROR(-AI732/AI731*AJ3/AI3,"n/a")</f>
        <v>0.16414909274163253</v>
      </c>
      <c r="AJ743" s="613">
        <f>IFERROR(-AJ732/AJ731,"n/a")</f>
        <v>0.15949574747815567</v>
      </c>
      <c r="AK743" s="310">
        <f>IFERROR(-AK732/AK731*AO3/AK3,"n/a")</f>
        <v>0.16144455706630376</v>
      </c>
      <c r="AL743" s="310">
        <f>IFERROR(-AL732/AL731*AO3/AL3,"n/a")</f>
        <v>0.16213102744052288</v>
      </c>
      <c r="AM743" s="310">
        <f>IFERROR(-AM732/AM731*AO3/AM3,"n/a")</f>
        <v>0.16553997186207009</v>
      </c>
      <c r="AN743" s="310">
        <f>IFERROR(-AN732/AN731*AO3/AN3,"n/a")</f>
        <v>0.15771466061845157</v>
      </c>
      <c r="AO743" s="613">
        <f>IFERROR(-AO732/AO731,"n/a")</f>
        <v>0.15838559481167694</v>
      </c>
      <c r="AP743" s="310">
        <f>IFERROR(-AP732/AP731*AT3/AP3,"n/a")</f>
        <v>0.15325549903649224</v>
      </c>
      <c r="AQ743" s="310">
        <f>IFERROR(-AQ732/AQ731*AT3/AQ3,"n/a")</f>
        <v>0.15226499428175153</v>
      </c>
      <c r="AR743" s="310">
        <f>IFERROR(-AR732/AR731*AT3/AR3,"n/a")</f>
        <v>0.17373554785068238</v>
      </c>
      <c r="AS743" s="310">
        <f>IFERROR(-AS732/AS731*AT3/AS3,"n/a")</f>
        <v>0.15322495739046352</v>
      </c>
      <c r="AT743" s="613">
        <f>IFERROR(-AT732/AT731,"n/a")</f>
        <v>0.15634202022652829</v>
      </c>
      <c r="AU743" s="310">
        <f>IFERROR(-AU732/AU731*AY3/AU3,"n/a")</f>
        <v>0.14630968184392495</v>
      </c>
      <c r="AV743" s="310">
        <f>IFERROR(-AV732/AV731*AY3/AV3,"n/a")</f>
        <v>0.1514060979316493</v>
      </c>
      <c r="AW743" s="310">
        <f>IFERROR(-AW732/AW731*AY3/AW3,"n/a")</f>
        <v>0.16371929274399447</v>
      </c>
      <c r="AX743" s="310">
        <f>IFERROR(-AX732/AX731*AY3/AX3,"n/a")</f>
        <v>0.1566126638328357</v>
      </c>
      <c r="AY743" s="613">
        <f>IFERROR(-AY732/AY731,"n/a")</f>
        <v>0.1538247930522664</v>
      </c>
      <c r="AZ743" s="310">
        <f>IFERROR(-AZ732/AZ731*BD3/AZ3,"n/a")</f>
        <v>0.14539274779522068</v>
      </c>
      <c r="BA743" s="310">
        <f>IFERROR(-BA732/BA731*BD3/BA3,"n/a")</f>
        <v>0.13576918413133604</v>
      </c>
      <c r="BB743" s="310">
        <f>IFERROR(-BB732/BB731*BD3/BB3,"n/a")</f>
        <v>0.13732444283366801</v>
      </c>
      <c r="BC743" s="310">
        <f>IFERROR(-BC732/BC731*BD3/BC3,"n/a")</f>
        <v>0.13665361242864629</v>
      </c>
      <c r="BD743" s="613">
        <f>IFERROR(-BD732/BD731,"n/a")</f>
        <v>0.14355653699276597</v>
      </c>
      <c r="BE743" s="310">
        <f>IFERROR(-BE732/BE731*BI3/BE3,"n/a")</f>
        <v>0.12882409370755532</v>
      </c>
      <c r="BF743" s="310">
        <f>IFERROR(-BF732/BF731*BI3/BF3,"n/a")</f>
        <v>0.12963346116338034</v>
      </c>
      <c r="BG743" s="310">
        <f>IFERROR(-BG732/BG731*BI3/BG3,"n/a")</f>
        <v>0.13041845818366871</v>
      </c>
      <c r="BH743" s="310">
        <f>IFERROR(-BH732/BH731*BI3/BH3,"n/a")</f>
        <v>0.12967307684464383</v>
      </c>
      <c r="BI743" s="613">
        <f>IFERROR(-BI732/BI731,"n/a")</f>
        <v>0.12965118734846628</v>
      </c>
      <c r="BJ743" s="310">
        <f>IFERROR(-BJ732/BJ731*BN3/BJ3,"n/a")</f>
        <v>0.12732914469311254</v>
      </c>
      <c r="BK743" s="310">
        <f>IFERROR(-BK732/BK731*BN3/BK3,"n/a")</f>
        <v>0.1271884769521491</v>
      </c>
      <c r="BL743" s="310">
        <f>IFERROR(-BL732/BL731*BN3/BL3,"n/a")</f>
        <v>0.1263339918810347</v>
      </c>
      <c r="BM743" s="310">
        <f>IFERROR(-BM732/BM731*BN3/BM3,"n/a")</f>
        <v>0.11851227854064879</v>
      </c>
      <c r="BN743" s="613">
        <f>IFERROR(-BN732/BN731,"n/a")</f>
        <v>0.12899270992750816</v>
      </c>
      <c r="BO743" s="310">
        <f>IFERROR(-BO732/BO731*BS3/BO3,"n/a")</f>
        <v>0.13242020094819701</v>
      </c>
      <c r="BP743" s="310">
        <f>IFERROR(-BP732/BP731*BS3/BP3,"n/a")</f>
        <v>0.12757033418515634</v>
      </c>
      <c r="BQ743" s="310">
        <f>IFERROR(-BQ732/BQ731*BS3/BQ3,"n/a")</f>
        <v>0.12718427324748374</v>
      </c>
      <c r="BR743" s="310">
        <f>IFERROR(-BR732/BR731*BS3/BR3,"n/a")</f>
        <v>0.12177164188031252</v>
      </c>
      <c r="BS743" s="614">
        <f>IFERROR(-BS732/BS731,"n/a")</f>
        <v>0.12959893493978145</v>
      </c>
      <c r="BT743" s="615">
        <v>0.125</v>
      </c>
      <c r="BU743" s="615">
        <v>0.125</v>
      </c>
      <c r="BV743" s="615">
        <v>0.125</v>
      </c>
      <c r="BW743" s="615">
        <v>0.125</v>
      </c>
      <c r="BX743" s="506">
        <f>IFERROR(-BX732/BX731,"n/a")</f>
        <v>0.12786798531357951</v>
      </c>
      <c r="BY743" s="615">
        <v>0.125</v>
      </c>
      <c r="BZ743" s="615">
        <v>0.125</v>
      </c>
      <c r="CA743" s="615">
        <v>0.125</v>
      </c>
      <c r="CB743" s="615">
        <v>0.125</v>
      </c>
      <c r="CC743" s="506">
        <f>IFERROR(-CC732/CC731,"n/a")</f>
        <v>0.12738778786805185</v>
      </c>
      <c r="CD743" s="616">
        <v>0.127828841471778</v>
      </c>
      <c r="CE743" s="616">
        <v>0.127828841471778</v>
      </c>
      <c r="CF743" s="616">
        <v>0.127828841471778</v>
      </c>
      <c r="CG743" s="236"/>
    </row>
    <row r="744" spans="1:85" ht="14.45" customHeight="1" x14ac:dyDescent="0.25">
      <c r="A744" s="309" t="s">
        <v>671</v>
      </c>
      <c r="B744" s="204"/>
      <c r="C744" s="506"/>
      <c r="D744" s="613">
        <f>IFERROR(-D738/D737,"n/a")</f>
        <v>9.2961891327739132E-4</v>
      </c>
      <c r="E744" s="613">
        <f>IFERROR(-E738/E737,"n/a")</f>
        <v>8.2200695280880919E-4</v>
      </c>
      <c r="F744" s="613">
        <f>IFERROR(-F738/F737,"n/a")</f>
        <v>7.9221345582172146E-4</v>
      </c>
      <c r="G744" s="310">
        <f>IFERROR(-G738/G737*K3/G3,"n/a")</f>
        <v>6.4037202565299834E-4</v>
      </c>
      <c r="H744" s="310">
        <f>IFERROR(-H738/H737*K3/H3,"n/a")</f>
        <v>6.2522516683790469E-4</v>
      </c>
      <c r="I744" s="310">
        <f>IFERROR(-I738/I737*K3/I3,"n/a")</f>
        <v>6.40586899616601E-4</v>
      </c>
      <c r="J744" s="310">
        <f>IFERROR(-J738/J737*K3/J3,"n/a")</f>
        <v>6.3306104081336915E-4</v>
      </c>
      <c r="K744" s="613">
        <f>IFERROR(-K738/K737,"n/a")</f>
        <v>6.3465441828109662E-4</v>
      </c>
      <c r="L744" s="310">
        <f>IFERROR(-L738/L737*P3/L3,"n/a")</f>
        <v>6.3316124824307283E-4</v>
      </c>
      <c r="M744" s="310">
        <f>IFERROR(-M738/M737*P3/M3,"n/a")</f>
        <v>8.7741216818083845E-4</v>
      </c>
      <c r="N744" s="310">
        <f>IFERROR(-N738/N737*P3/N3,"n/a")</f>
        <v>1.3309663447686143E-3</v>
      </c>
      <c r="O744" s="310">
        <f>IFERROR(-O738/O737*P3/O3,"n/a")</f>
        <v>2.6479426378269015E-3</v>
      </c>
      <c r="P744" s="613">
        <f>IFERROR(-P738/P737,"n/a")</f>
        <v>1.3979132378378685E-3</v>
      </c>
      <c r="Q744" s="310">
        <f>IFERROR(-Q738/Q737*U3/Q3,"n/a")</f>
        <v>4.1769728661840378E-3</v>
      </c>
      <c r="R744" s="310">
        <f>IFERROR(-R738/R737*U3/R3,"n/a")</f>
        <v>5.1436576130049162E-3</v>
      </c>
      <c r="S744" s="310">
        <f>IFERROR(-S738/S737*U3/S3,"n/a")</f>
        <v>4.6990072694334736E-3</v>
      </c>
      <c r="T744" s="310">
        <f>IFERROR(-T738/T737*U3/T3,"n/a")</f>
        <v>4.1487082168246286E-3</v>
      </c>
      <c r="U744" s="613">
        <f>IFERROR(-U738/U737,"n/a")</f>
        <v>4.8457997300197283E-3</v>
      </c>
      <c r="V744" s="310">
        <f>IFERROR(-V738/V737*Z3/V3,"n/a")</f>
        <v>6.1808345933962667E-3</v>
      </c>
      <c r="W744" s="310">
        <f>IFERROR(-W738/W737*Z3/W3,"n/a")</f>
        <v>8.4364429042198784E-3</v>
      </c>
      <c r="X744" s="310">
        <f>IFERROR(-X738/X737*Z3/X3,"n/a")</f>
        <v>6.113853212728928E-3</v>
      </c>
      <c r="Y744" s="310">
        <f>IFERROR(-Y738/Y737*Z3/Y3,"n/a")</f>
        <v>8.7977852456577882E-3</v>
      </c>
      <c r="Z744" s="613">
        <f>IFERROR(-Z738/Z737,"n/a")</f>
        <v>7.545317084043688E-3</v>
      </c>
      <c r="AA744" s="310">
        <f>IFERROR(-AA738/AA737*AE3/AA3,"n/a")</f>
        <v>1.0245935860133214E-2</v>
      </c>
      <c r="AB744" s="310">
        <f>IFERROR(-AB738/AB737*AE3/AB3,"n/a")</f>
        <v>2.3394072230374399E-2</v>
      </c>
      <c r="AC744" s="310">
        <f>IFERROR(-AC738/AC737*AE3/AC3,"n/a")</f>
        <v>2.4040107907022584E-2</v>
      </c>
      <c r="AD744" s="310">
        <f>IFERROR(-AD738/AD737*AE3/AD3,"n/a")</f>
        <v>3.6730238924201825E-2</v>
      </c>
      <c r="AE744" s="613">
        <f>IFERROR(-AE738/AE737,"n/a")</f>
        <v>2.3660969484427492E-2</v>
      </c>
      <c r="AF744" s="310">
        <f>IFERROR(-AF738/AF737*AJ3/AF3,"n/a")</f>
        <v>2.4248877287285652E-2</v>
      </c>
      <c r="AG744" s="310">
        <f>IFERROR(-AG738/AG737*AJ3/AG3,"n/a")</f>
        <v>2.4213708348239039E-2</v>
      </c>
      <c r="AH744" s="310">
        <f>IFERROR(-AH738/AH737*AJ3/AH3,"n/a")</f>
        <v>2.4697049882196585E-2</v>
      </c>
      <c r="AI744" s="310">
        <f>IFERROR(-AI738/AI737*AJ3/AI3,"n/a")</f>
        <v>2.5251096028176743E-2</v>
      </c>
      <c r="AJ744" s="613">
        <f>IFERROR(-AJ738/AJ737,"n/a")</f>
        <v>2.4422758223924302E-2</v>
      </c>
      <c r="AK744" s="310">
        <f>IFERROR(-AK738/AK737*AO3/AK3,"n/a")</f>
        <v>2.5273077279643136E-2</v>
      </c>
      <c r="AL744" s="310">
        <f>IFERROR(-AL738/AL737*AO3/AL3,"n/a")</f>
        <v>2.5130425325527769E-2</v>
      </c>
      <c r="AM744" s="310">
        <f>IFERROR(-AM738/AM737*AO3/AM3,"n/a")</f>
        <v>2.5487939809692408E-2</v>
      </c>
      <c r="AN744" s="310">
        <f>IFERROR(-AN738/AN737*AO3/AN3,"n/a")</f>
        <v>2.5673431631504453E-2</v>
      </c>
      <c r="AO744" s="613">
        <f>IFERROR(-AO738/AO737,"n/a")</f>
        <v>2.5118201698178032E-2</v>
      </c>
      <c r="AP744" s="310">
        <f>IFERROR(-AP738/AP737*AT3/AP3,"n/a")</f>
        <v>2.6150406362791808E-2</v>
      </c>
      <c r="AQ744" s="310">
        <f>IFERROR(-AQ738/AQ737*AT3/AQ3,"n/a")</f>
        <v>2.633441328409029E-2</v>
      </c>
      <c r="AR744" s="310">
        <f>IFERROR(-AR738/AR737*AT3/AR3,"n/a")</f>
        <v>2.6576419212442904E-2</v>
      </c>
      <c r="AS744" s="310">
        <f>IFERROR(-AS738/AS737*AT3/AS3,"n/a")</f>
        <v>2.5735239324656316E-2</v>
      </c>
      <c r="AT744" s="613">
        <f>IFERROR(-AT738/AT737,"n/a")</f>
        <v>2.5912192011352371E-2</v>
      </c>
      <c r="AU744" s="310">
        <f>IFERROR(-AU738/AU737*AY3/AU3,"n/a")</f>
        <v>2.6600146878117504E-2</v>
      </c>
      <c r="AV744" s="310">
        <f>IFERROR(-AV738/AV737*AY3/AV3,"n/a")</f>
        <v>2.709314662360628E-2</v>
      </c>
      <c r="AW744" s="310">
        <f>IFERROR(-AW738/AW737*AY3/AW3,"n/a")</f>
        <v>2.7316173290729457E-2</v>
      </c>
      <c r="AX744" s="310">
        <f>IFERROR(-AX738/AX737*AY3/AX3,"n/a")</f>
        <v>2.7537929910076319E-2</v>
      </c>
      <c r="AY744" s="613">
        <f>IFERROR(-AY738/AY737,"n/a")</f>
        <v>2.6824548183212414E-2</v>
      </c>
      <c r="AZ744" s="310">
        <f>IFERROR(-AZ738/AZ737*BD3/AZ3,"n/a")</f>
        <v>2.7952956352247177E-2</v>
      </c>
      <c r="BA744" s="310">
        <f>IFERROR(-BA738/BA737*BD3/BA3,"n/a")</f>
        <v>2.6899559507244576E-2</v>
      </c>
      <c r="BB744" s="310">
        <f>IFERROR(-BB738/BB737*BD3/BB3,"n/a")</f>
        <v>2.7709565918103359E-2</v>
      </c>
      <c r="BC744" s="310">
        <f>IFERROR(-BC738/BC737*BD3/BC3,"n/a")</f>
        <v>2.7313413939933064E-2</v>
      </c>
      <c r="BD744" s="613">
        <f>IFERROR(-BD738/BD737,"n/a")</f>
        <v>2.7871654499063984E-2</v>
      </c>
      <c r="BE744" s="310">
        <f>IFERROR(-BE738/BE737*BI3/BE3,"n/a")</f>
        <v>2.8148757309941524E-2</v>
      </c>
      <c r="BF744" s="310">
        <f>IFERROR(-BF738/BF737*BI3/BF3,"n/a")</f>
        <v>2.7840963549278033E-2</v>
      </c>
      <c r="BG744" s="310">
        <f>IFERROR(-BG738/BG737*BI3/BG3,"n/a")</f>
        <v>2.8061193107535274E-2</v>
      </c>
      <c r="BH744" s="310">
        <f>IFERROR(-BH738/BH737*BI3/BH3,"n/a")</f>
        <v>2.7676656433587622E-2</v>
      </c>
      <c r="BI744" s="613">
        <f>IFERROR(-BI738/BI737,"n/a")</f>
        <v>2.7601033834586466E-2</v>
      </c>
      <c r="BJ744" s="310">
        <f>IFERROR(-BJ738/BJ737*BN3/BJ3,"n/a")</f>
        <v>2.9237855996837196E-2</v>
      </c>
      <c r="BK744" s="310">
        <f>IFERROR(-BK738/BK737*BN3/BK3,"n/a")</f>
        <v>2.8822078823729166E-2</v>
      </c>
      <c r="BL744" s="310">
        <f>IFERROR(-BL738/BL737*BN3/BL3,"n/a")</f>
        <v>2.9052562207599577E-2</v>
      </c>
      <c r="BM744" s="310">
        <f>IFERROR(-BM738/BM737*BN3/BM3,"n/a")</f>
        <v>2.8063251705220053E-2</v>
      </c>
      <c r="BN744" s="613">
        <f>IFERROR(-BN738/BN737,"n/a")</f>
        <v>2.8434156882623005E-2</v>
      </c>
      <c r="BO744" s="310">
        <f>IFERROR(-BO738/BO737*BS3/BO3,"n/a")</f>
        <v>3.0813837690428964E-2</v>
      </c>
      <c r="BP744" s="310">
        <f>IFERROR(-BP738/BP737*BS3/BP3,"n/a")</f>
        <v>2.9711142323618354E-2</v>
      </c>
      <c r="BQ744" s="310">
        <f>IFERROR(-BQ738/BQ737*BS3/BQ3,"n/a")</f>
        <v>2.9956970850593127E-2</v>
      </c>
      <c r="BR744" s="310">
        <f>IFERROR(-BR738/BR737*BS3/BR3,"n/a")</f>
        <v>2.8638555339256928E-2</v>
      </c>
      <c r="BS744" s="614">
        <f>IFERROR(-BS738/BS737,"n/a")</f>
        <v>2.9379925576033982E-2</v>
      </c>
      <c r="BT744" s="615">
        <v>2.8000000000000001E-2</v>
      </c>
      <c r="BU744" s="615">
        <v>2.8000000000000001E-2</v>
      </c>
      <c r="BV744" s="615">
        <v>2.8000000000000001E-2</v>
      </c>
      <c r="BW744" s="615">
        <v>2.8000000000000001E-2</v>
      </c>
      <c r="BX744" s="506">
        <f>IFERROR(-BX738/BX737,"n/a")</f>
        <v>2.7707371775062089E-2</v>
      </c>
      <c r="BY744" s="615">
        <v>2.8000000000000001E-2</v>
      </c>
      <c r="BZ744" s="615">
        <v>2.8000000000000001E-2</v>
      </c>
      <c r="CA744" s="615">
        <v>2.8000000000000001E-2</v>
      </c>
      <c r="CB744" s="615">
        <v>2.8000000000000001E-2</v>
      </c>
      <c r="CC744" s="506">
        <f>IFERROR(-CC738/CC737,"n/a")</f>
        <v>2.7707371775062082E-2</v>
      </c>
      <c r="CD744" s="616">
        <v>2.8000000000000001E-2</v>
      </c>
      <c r="CE744" s="616">
        <v>2.8000000000000001E-2</v>
      </c>
      <c r="CF744" s="616">
        <v>2.8000000000000001E-2</v>
      </c>
      <c r="CG744" s="236"/>
    </row>
    <row r="745" spans="1:85" ht="14.45" customHeight="1" x14ac:dyDescent="0.25">
      <c r="A745" s="177" t="s">
        <v>672</v>
      </c>
      <c r="B745" s="311"/>
      <c r="C745" s="617"/>
      <c r="D745" s="618">
        <f>IFERROR(-D731/D732,"n/a")</f>
        <v>5.568260839923644</v>
      </c>
      <c r="E745" s="618">
        <f>IFERROR(-E731/E732,"n/a")</f>
        <v>5.222303277891255</v>
      </c>
      <c r="F745" s="618">
        <f>IFERROR(-F731/F732,"n/a")</f>
        <v>4.9522626209782894</v>
      </c>
      <c r="G745" s="312">
        <f>IFERROR(-G731/G732*G3/K3,"n/a")</f>
        <v>5.2807605111294311</v>
      </c>
      <c r="H745" s="312">
        <f>IFERROR(-H731/H732*H3/K3,"n/a")</f>
        <v>5.2366915509663015</v>
      </c>
      <c r="I745" s="312">
        <f>IFERROR(-I731/I732*I3/K3,"n/a")</f>
        <v>5.049725721251523</v>
      </c>
      <c r="J745" s="312">
        <f>IFERROR(-J731/J732*J3/K3,"n/a")</f>
        <v>5.0253183954232785</v>
      </c>
      <c r="K745" s="618">
        <f>IFERROR(-K731/K732,"n/a")</f>
        <v>5.2704412218451093</v>
      </c>
      <c r="L745" s="312">
        <f>IFERROR(-L731/L732*L3/P3,"n/a")</f>
        <v>5.2291522849647931</v>
      </c>
      <c r="M745" s="312">
        <f>IFERROR(-M731/M732*M3/P3,"n/a")</f>
        <v>5.1845145335049798</v>
      </c>
      <c r="N745" s="312">
        <f>IFERROR(-N731/N732*N3/P3,"n/a")</f>
        <v>5.2434658902931268</v>
      </c>
      <c r="O745" s="312">
        <f>IFERROR(-O731/O732*O3/P3,"n/a")</f>
        <v>5.1006608890828602</v>
      </c>
      <c r="P745" s="618">
        <f>IFERROR(-P731/P732,"n/a")</f>
        <v>5.0167723562428597</v>
      </c>
      <c r="Q745" s="312">
        <f>IFERROR(-Q731/Q732*Q3/U3,"n/a")</f>
        <v>5.1490317266389889</v>
      </c>
      <c r="R745" s="312">
        <f>IFERROR(-R731/R732*R3/U3,"n/a")</f>
        <v>5.0774582675878186</v>
      </c>
      <c r="S745" s="312">
        <f>IFERROR(-S731/S732*S3/U3,"n/a")</f>
        <v>5.0646685220203214</v>
      </c>
      <c r="T745" s="312">
        <f>IFERROR(-T731/T732*T3/U3,"n/a")</f>
        <v>5.4144217526905631</v>
      </c>
      <c r="U745" s="618">
        <f>IFERROR(-U731/U732,"n/a")</f>
        <v>4.5870723212456461</v>
      </c>
      <c r="V745" s="312">
        <f>IFERROR(-V731/V732*V3/Z3,"n/a")</f>
        <v>5.6266318537859012</v>
      </c>
      <c r="W745" s="312">
        <f>IFERROR(-W731/W732*W3/Z3,"n/a")</f>
        <v>6.0184633934963632</v>
      </c>
      <c r="X745" s="312">
        <f>IFERROR(-X731/X732*X3/Z3,"n/a")</f>
        <v>5.8878471180451379</v>
      </c>
      <c r="Y745" s="312">
        <f>IFERROR(-Y731/Y732*Y3/Z3,"n/a")</f>
        <v>5.6916819070442077</v>
      </c>
      <c r="Z745" s="618">
        <f>IFERROR(-Z731/Z732,"n/a")</f>
        <v>4.7110999614740221</v>
      </c>
      <c r="AA745" s="312">
        <f>IFERROR(-AA731/AA732*AA3/AE3,"n/a")</f>
        <v>6.1614348076514993</v>
      </c>
      <c r="AB745" s="312">
        <f>IFERROR(-AB731/AB732*AB3/AE3,"n/a")</f>
        <v>6.1870832552285586</v>
      </c>
      <c r="AC745" s="312">
        <f>IFERROR(-AC731/AC732*AC3/AE3,"n/a")</f>
        <v>6.3697513488153872</v>
      </c>
      <c r="AD745" s="312">
        <f>IFERROR(-AD731/AD732*AD3/AE3,"n/a")</f>
        <v>5.6277411623726792</v>
      </c>
      <c r="AE745" s="618">
        <f>IFERROR(-AE731/AE732,"n/a")</f>
        <v>5.4047213838401298</v>
      </c>
      <c r="AF745" s="312">
        <f>IFERROR(-AF731/AF732*AF3/AJ3,"n/a")</f>
        <v>6.2024198980082748</v>
      </c>
      <c r="AG745" s="312">
        <f>IFERROR(-AG731/AG732*AG3/AJ3,"n/a")</f>
        <v>6.2206408508981159</v>
      </c>
      <c r="AH745" s="312">
        <f>IFERROR(-AH731/AH732*AH3/AJ3,"n/a")</f>
        <v>6.1908264846883867</v>
      </c>
      <c r="AI745" s="312">
        <f>IFERROR(-AI731/AI732*AI3/AJ3,"n/a")</f>
        <v>6.0920227050781248</v>
      </c>
      <c r="AJ745" s="618">
        <f>IFERROR(-AJ731/AJ732,"n/a")</f>
        <v>6.2697596381806902</v>
      </c>
      <c r="AK745" s="312">
        <f>IFERROR(-AK731/AK732*AK3/AO3,"n/a")</f>
        <v>6.1940768903674437</v>
      </c>
      <c r="AL745" s="312">
        <f>IFERROR(-AL731/AL732*AL3/AO3,"n/a")</f>
        <v>6.167850878307954</v>
      </c>
      <c r="AM745" s="312">
        <f>IFERROR(-AM731/AM732*AM3/AO3,"n/a")</f>
        <v>6.0408370785106342</v>
      </c>
      <c r="AN745" s="312">
        <f>IFERROR(-AN731/AN732*AN3/AO3,"n/a")</f>
        <v>6.3405646379269234</v>
      </c>
      <c r="AO745" s="618">
        <f>IFERROR(-AO731/AO732,"n/a")</f>
        <v>6.3137054931606391</v>
      </c>
      <c r="AP745" s="312">
        <f>IFERROR(-AP731/AP732*AP3/AT3,"n/a")</f>
        <v>6.5250513442384603</v>
      </c>
      <c r="AQ745" s="312">
        <f>IFERROR(-AQ731/AQ732*AQ3/AT3,"n/a")</f>
        <v>6.5674977017343688</v>
      </c>
      <c r="AR745" s="312">
        <f>IFERROR(-AR731/AR732*AR3/AT3,"n/a")</f>
        <v>5.7558744446441867</v>
      </c>
      <c r="AS745" s="312">
        <f>IFERROR(-AS731/AS732*AS3/AT3,"n/a")</f>
        <v>6.5263519535639194</v>
      </c>
      <c r="AT745" s="618">
        <f>IFERROR(-AT731/AT732,"n/a")</f>
        <v>6.3962330699774261</v>
      </c>
      <c r="AU745" s="312">
        <f>IFERROR(-AU731/AU732*AU3/AY3,"n/a")</f>
        <v>6.8348176784824428</v>
      </c>
      <c r="AV745" s="312">
        <f>IFERROR(-AV731/AV732*AV3/AY3,"n/a")</f>
        <v>6.6047537956591391</v>
      </c>
      <c r="AW745" s="312">
        <f>IFERROR(-AW731/AW732*AW3/AY3,"n/a")</f>
        <v>6.1080156360294433</v>
      </c>
      <c r="AX745" s="312">
        <f>IFERROR(-AX731/AX732*AX3/AY3,"n/a")</f>
        <v>6.38517968807027</v>
      </c>
      <c r="AY745" s="618">
        <f>IFERROR(-AY731/AY732,"n/a")</f>
        <v>6.5009026188660055</v>
      </c>
      <c r="AZ745" s="312">
        <f>IFERROR(-AZ731/AZ732*AZ3/BD3,"n/a")</f>
        <v>6.8779221464914899</v>
      </c>
      <c r="BA745" s="312">
        <f>IFERROR(-BA731/BA732*BA3/BD3,"n/a")</f>
        <v>7.3654416235767615</v>
      </c>
      <c r="BB745" s="312">
        <f>IFERROR(-BB731/BB732*BB3/BD3,"n/a")</f>
        <v>7.2820248119355835</v>
      </c>
      <c r="BC745" s="312">
        <f>IFERROR(-BC731/BC732*BC3/BD3,"n/a")</f>
        <v>7.3177721556548709</v>
      </c>
      <c r="BD745" s="618">
        <f>IFERROR(-BD731/BD732,"n/a")</f>
        <v>6.965896649139645</v>
      </c>
      <c r="BE745" s="312">
        <f>IFERROR(-BE731/BE732*BE3/BI3,"n/a")</f>
        <v>7.7625230748380716</v>
      </c>
      <c r="BF745" s="312">
        <f>IFERROR(-BF731/BF732*BF3/BI3,"n/a")</f>
        <v>7.7140577056696387</v>
      </c>
      <c r="BG745" s="312">
        <f>IFERROR(-BG731/BG732*BG3/BI3,"n/a")</f>
        <v>7.6676263001951526</v>
      </c>
      <c r="BH745" s="312">
        <f>IFERROR(-BH731/BH732*BH3/BI3,"n/a")</f>
        <v>7.7117010279478473</v>
      </c>
      <c r="BI745" s="618">
        <f>IFERROR(-BI731/BI732,"n/a")</f>
        <v>7.713003023352794</v>
      </c>
      <c r="BJ745" s="312">
        <f>IFERROR(-BJ731/BJ732*BJ3/BN3,"n/a")</f>
        <v>7.8536614881863089</v>
      </c>
      <c r="BK745" s="312">
        <f>IFERROR(-BK731/BK732*BK3/BN3,"n/a")</f>
        <v>7.8623474701738916</v>
      </c>
      <c r="BL745" s="312">
        <f>IFERROR(-BL731/BL732*BL3/BN3,"n/a")</f>
        <v>7.9155260204369462</v>
      </c>
      <c r="BM745" s="312">
        <f>IFERROR(-BM731/BM732*BM3/BN3,"n/a")</f>
        <v>8.4379442561895193</v>
      </c>
      <c r="BN745" s="618">
        <f>IFERROR(-BN731/BN732,"n/a")</f>
        <v>7.752376088245482</v>
      </c>
      <c r="BO745" s="312">
        <f>IFERROR(-BO731/BO732*BO3/BS3,"n/a")</f>
        <v>7.5517178862400423</v>
      </c>
      <c r="BP745" s="312">
        <f>IFERROR(-BP731/BP732*BP3/BS3,"n/a")</f>
        <v>7.8388130468373163</v>
      </c>
      <c r="BQ745" s="312">
        <f>IFERROR(-BQ731/BQ732*BQ3/BS3,"n/a")</f>
        <v>7.8626073371047411</v>
      </c>
      <c r="BR745" s="312">
        <f>IFERROR(-BR731/BR732*BR3/BS3,"n/a")</f>
        <v>8.2120926067736253</v>
      </c>
      <c r="BS745" s="619">
        <f>IFERROR(-BS731/BS732,"n/a")</f>
        <v>7.7161127941726777</v>
      </c>
      <c r="BT745" s="620">
        <f>IFERROR(-BT731/BT732*BT3/BX3,"n/a")</f>
        <v>8</v>
      </c>
      <c r="BU745" s="620">
        <f>IFERROR(-BU731/BU732*BU3/BX3,"n/a")</f>
        <v>8</v>
      </c>
      <c r="BV745" s="620">
        <f>IFERROR(-BV731/BV732*BV3/BX3,"n/a")</f>
        <v>8</v>
      </c>
      <c r="BW745" s="620">
        <f>IFERROR(-BW731/BW732*BW3/BX3,"n/a")</f>
        <v>8</v>
      </c>
      <c r="BX745" s="617">
        <f>IFERROR(-BX731/BX732,"n/a")</f>
        <v>7.8205658558522746</v>
      </c>
      <c r="BY745" s="620">
        <f>IFERROR(-BY731/BY732*BY3/CC3,"n/a")</f>
        <v>8</v>
      </c>
      <c r="BZ745" s="620">
        <f>IFERROR(-BZ731/BZ732*BZ3/CC3,"n/a")</f>
        <v>8</v>
      </c>
      <c r="CA745" s="620">
        <f>IFERROR(-CA731/CA732*CA3/CC3,"n/a")</f>
        <v>8</v>
      </c>
      <c r="CB745" s="620">
        <f>IFERROR(-CB731/CB732*CB3/CC3,"n/a")</f>
        <v>8</v>
      </c>
      <c r="CC745" s="617">
        <f>IFERROR(-CC731/CC732,"n/a")</f>
        <v>7.8500460423710239</v>
      </c>
      <c r="CD745" s="617">
        <f>IFERROR(-CD731/CD732,"n/a")</f>
        <v>7.8229606752774918</v>
      </c>
      <c r="CE745" s="617">
        <f>IFERROR(-CE731/CE732,"n/a")</f>
        <v>7.8229606752774927</v>
      </c>
      <c r="CF745" s="617">
        <f>IFERROR(-CF731/CF732,"n/a")</f>
        <v>7.8229606752774918</v>
      </c>
      <c r="CG745" s="491"/>
    </row>
    <row r="746" spans="1:85" ht="14.45" customHeight="1" x14ac:dyDescent="0.25">
      <c r="A746" s="177" t="s">
        <v>673</v>
      </c>
      <c r="B746" s="311"/>
      <c r="C746" s="617"/>
      <c r="D746" s="618">
        <f>IFERROR(-D737/D738,"n/a")</f>
        <v>1075.7096114519429</v>
      </c>
      <c r="E746" s="618">
        <f>IFERROR(-E737/E738,"n/a")</f>
        <v>1216.5347222222222</v>
      </c>
      <c r="F746" s="618">
        <f>IFERROR(-F737/F738,"n/a")</f>
        <v>1262.2860576923076</v>
      </c>
      <c r="G746" s="312">
        <f>IFERROR(-G737/G738*G3/K3,"n/a")</f>
        <v>1561.5922619047619</v>
      </c>
      <c r="H746" s="312">
        <f>IFERROR(-H737/H738*H3/K3,"n/a")</f>
        <v>1599.4237804878048</v>
      </c>
      <c r="I746" s="312">
        <f>IFERROR(-I737/I738*I3/K3,"n/a")</f>
        <v>1561.0684523809525</v>
      </c>
      <c r="J746" s="312">
        <f>IFERROR(-J737/J738*J3/K3,"n/a")</f>
        <v>1579.6265060240962</v>
      </c>
      <c r="K746" s="618">
        <f>IFERROR(-K737/K738,"n/a")</f>
        <v>1575.6606606606608</v>
      </c>
      <c r="L746" s="312">
        <f>IFERROR(-L737/L738*L3/P3,"n/a")</f>
        <v>1579.3765060240967</v>
      </c>
      <c r="M746" s="312">
        <f>IFERROR(-M737/M738*M3/P3,"n/a")</f>
        <v>1139.7152173913043</v>
      </c>
      <c r="N746" s="312">
        <f>IFERROR(-N737/N738*N3/P3,"n/a")</f>
        <v>751.33379888268166</v>
      </c>
      <c r="O746" s="312">
        <f>IFERROR(-O737/O738*O3/P3,"n/a")</f>
        <v>377.6516853932585</v>
      </c>
      <c r="P746" s="618">
        <f>IFERROR(-P737/P738,"n/a")</f>
        <v>715.35197817189646</v>
      </c>
      <c r="Q746" s="312">
        <f>IFERROR(-Q737/Q738*Q3/U3,"n/a")</f>
        <v>239.40782763895976</v>
      </c>
      <c r="R746" s="312">
        <f>IFERROR(-R737/R738*R3/U3,"n/a")</f>
        <v>194.41418446508956</v>
      </c>
      <c r="S746" s="312">
        <f>IFERROR(-S737/S738*S3/U3,"n/a")</f>
        <v>212.81090721116564</v>
      </c>
      <c r="T746" s="312">
        <f>IFERROR(-T737/T738*T3/U3,"n/a")</f>
        <v>241.03888433141918</v>
      </c>
      <c r="U746" s="618">
        <f>IFERROR(-U737/U738,"n/a")</f>
        <v>206.36428571428576</v>
      </c>
      <c r="V746" s="312">
        <f>IFERROR(-V737/V738*V3/Z3,"n/a")</f>
        <v>161.7904483430799</v>
      </c>
      <c r="W746" s="312">
        <f>IFERROR(-W737/W738*W3/Z3,"n/a")</f>
        <v>118.53336902212705</v>
      </c>
      <c r="X746" s="312">
        <f>IFERROR(-X737/X738*X3/Z3,"n/a")</f>
        <v>163.56297169811319</v>
      </c>
      <c r="Y746" s="312">
        <f>IFERROR(-Y737/Y738*Y3/Z3,"n/a")</f>
        <v>113.66497045305323</v>
      </c>
      <c r="Z746" s="618">
        <f>IFERROR(-Z737/Z738,"n/a")</f>
        <v>132.53253493013972</v>
      </c>
      <c r="AA746" s="312">
        <f>IFERROR(-AA737/AA738*AA3/AE3,"n/a")</f>
        <v>97.599674022066196</v>
      </c>
      <c r="AB746" s="312">
        <f>IFERROR(-AB737/AB738*AB3/AE3,"n/a")</f>
        <v>42.745871268261695</v>
      </c>
      <c r="AC746" s="312">
        <f>IFERROR(-AC737/AC738*AC3/AE3,"n/a")</f>
        <v>41.59715105554416</v>
      </c>
      <c r="AD746" s="312">
        <f>IFERROR(-AD737/AD738*AD3/AE3,"n/a")</f>
        <v>27.225523963066099</v>
      </c>
      <c r="AE746" s="618">
        <f>IFERROR(-AE737/AE738,"n/a")</f>
        <v>42.263695097453713</v>
      </c>
      <c r="AF746" s="312">
        <f>IFERROR(-AF737/AF738*AF3/AJ3,"n/a")</f>
        <v>41.239022662889525</v>
      </c>
      <c r="AG746" s="312">
        <f>IFERROR(-AG737/AG738*AG3/AJ3,"n/a")</f>
        <v>41.298919835743611</v>
      </c>
      <c r="AH746" s="312">
        <f>IFERROR(-AH737/AH738*AH3/AJ3,"n/a")</f>
        <v>40.490666082383875</v>
      </c>
      <c r="AI746" s="312">
        <f>IFERROR(-AI737/AI738*AI3/AJ3,"n/a")</f>
        <v>39.602241379310342</v>
      </c>
      <c r="AJ746" s="618">
        <f>IFERROR(-AJ737/AJ738,"n/a")</f>
        <v>40.945416190559904</v>
      </c>
      <c r="AK746" s="312">
        <f>IFERROR(-AK737/AK738*AK3/AO3,"n/a")</f>
        <v>39.567797341619197</v>
      </c>
      <c r="AL746" s="312">
        <f>IFERROR(-AL737/AL738*AL3/AO3,"n/a")</f>
        <v>39.792402517922717</v>
      </c>
      <c r="AM746" s="312">
        <f>IFERROR(-AM737/AM738*AM3/AO3,"n/a")</f>
        <v>39.234242055912489</v>
      </c>
      <c r="AN746" s="312">
        <f>IFERROR(-AN737/AN738*AN3/AO3,"n/a")</f>
        <v>38.950772703594367</v>
      </c>
      <c r="AO746" s="618">
        <f>IFERROR(-AO737/AO738,"n/a")</f>
        <v>39.811767260095529</v>
      </c>
      <c r="AP746" s="312">
        <f>IFERROR(-AP737/AP738*AP3/AT3,"n/a")</f>
        <v>38.240323539402176</v>
      </c>
      <c r="AQ746" s="312">
        <f>IFERROR(-AQ737/AQ738*AQ3/AT3,"n/a")</f>
        <v>37.973126236464957</v>
      </c>
      <c r="AR746" s="312">
        <f>IFERROR(-AR737/AR738*AR3/AT3,"n/a")</f>
        <v>37.627341441536508</v>
      </c>
      <c r="AS746" s="312">
        <f>IFERROR(-AS737/AS738*AS3/AT3,"n/a")</f>
        <v>38.857225588025678</v>
      </c>
      <c r="AT746" s="618">
        <f>IFERROR(-AT737/AT738,"n/a")</f>
        <v>38.591872102595211</v>
      </c>
      <c r="AU746" s="312">
        <f>IFERROR(-AU737/AU738*AU3/AY3,"n/a")</f>
        <v>37.59377737957702</v>
      </c>
      <c r="AV746" s="312">
        <f>IFERROR(-AV737/AV738*AV3/AY3,"n/a")</f>
        <v>36.909703176695579</v>
      </c>
      <c r="AW746" s="312">
        <f>IFERROR(-AW737/AW738*AW3/AY3,"n/a")</f>
        <v>36.608348810679828</v>
      </c>
      <c r="AX746" s="312">
        <f>IFERROR(-AX737/AX738*AX3/AY3,"n/a")</f>
        <v>36.313550192968314</v>
      </c>
      <c r="AY746" s="618">
        <f>IFERROR(-AY737/AY738,"n/a")</f>
        <v>37.279285867928586</v>
      </c>
      <c r="AZ746" s="312">
        <f>IFERROR(-AZ737/AZ738*AZ3/BD3,"n/a")</f>
        <v>35.774391352333964</v>
      </c>
      <c r="BA746" s="312">
        <f>IFERROR(-BA737/BA738*BA3/BD3,"n/a")</f>
        <v>37.175329942881795</v>
      </c>
      <c r="BB746" s="312">
        <f>IFERROR(-BB737/BB738*BB3/BD3,"n/a")</f>
        <v>36.088620188260492</v>
      </c>
      <c r="BC746" s="312">
        <f>IFERROR(-BC737/BC738*BC3/BD3,"n/a")</f>
        <v>36.612047186747638</v>
      </c>
      <c r="BD746" s="618">
        <f>IFERROR(-BD737/BD738,"n/a")</f>
        <v>35.87874555611986</v>
      </c>
      <c r="BE746" s="312">
        <f>IFERROR(-BE737/BE738*BE3/BI3,"n/a")</f>
        <v>35.525546971369209</v>
      </c>
      <c r="BF746" s="312">
        <f>IFERROR(-BF737/BF738*BF3/BI3,"n/a")</f>
        <v>35.918297088749</v>
      </c>
      <c r="BG746" s="312">
        <f>IFERROR(-BG737/BG738*BG3/BI3,"n/a")</f>
        <v>35.636403490323083</v>
      </c>
      <c r="BH746" s="312">
        <f>IFERROR(-BH737/BH738*BH3/BI3,"n/a")</f>
        <v>36.131532087323521</v>
      </c>
      <c r="BI746" s="618">
        <f>IFERROR(-BI737/BI738,"n/a")</f>
        <v>36.230526943049284</v>
      </c>
      <c r="BJ746" s="312">
        <f>IFERROR(-BJ737/BJ738*BJ3/BN3,"n/a")</f>
        <v>34.20223425781203</v>
      </c>
      <c r="BK746" s="312">
        <f>IFERROR(-BK737/BK738*BK3/BN3,"n/a")</f>
        <v>34.695623661146257</v>
      </c>
      <c r="BL746" s="312">
        <f>IFERROR(-BL737/BL738*BL3/BN3,"n/a")</f>
        <v>34.420372043413778</v>
      </c>
      <c r="BM746" s="312">
        <f>IFERROR(-BM737/BM738*BM3/BN3,"n/a")</f>
        <v>35.633789359270494</v>
      </c>
      <c r="BN746" s="618">
        <f>IFERROR(-BN737/BN738,"n/a")</f>
        <v>35.168969634936886</v>
      </c>
      <c r="BO746" s="312">
        <f>IFERROR(-BO737/BO738*BO3/BS3,"n/a")</f>
        <v>32.452952145931768</v>
      </c>
      <c r="BP746" s="312">
        <f>IFERROR(-BP737/BP738*BP3/BS3,"n/a")</f>
        <v>33.657406676183825</v>
      </c>
      <c r="BQ746" s="312">
        <f>IFERROR(-BQ737/BQ738*BQ3/BS3,"n/a")</f>
        <v>33.381212172197998</v>
      </c>
      <c r="BR746" s="312">
        <f>IFERROR(-BR737/BR738*BR3/BS3,"n/a")</f>
        <v>34.917962451451878</v>
      </c>
      <c r="BS746" s="619">
        <f>IFERROR(-BS737/BS738,"n/a")</f>
        <v>34.036845920934795</v>
      </c>
      <c r="BT746" s="620">
        <f>IFERROR(-BT737/BT738*BT3/BX3,"n/a")</f>
        <v>35.714285714285708</v>
      </c>
      <c r="BU746" s="620">
        <f>IFERROR(-BU737/BU738*BU3/BX3,"n/a")</f>
        <v>35.714285714285708</v>
      </c>
      <c r="BV746" s="620">
        <f>IFERROR(-BV737/BV738*BV3/BX3,"n/a")</f>
        <v>35.714285714285708</v>
      </c>
      <c r="BW746" s="620">
        <f>IFERROR(-BW737/BW738*BW3/BX3,"n/a")</f>
        <v>35.714285714285715</v>
      </c>
      <c r="BX746" s="617">
        <f>IFERROR(-BX737/BX738,"n/a")</f>
        <v>36.09147804123544</v>
      </c>
      <c r="BY746" s="620">
        <f>IFERROR(-BY737/BY738*BY3/CC3,"n/a")</f>
        <v>35.714285714285708</v>
      </c>
      <c r="BZ746" s="620">
        <f>IFERROR(-BZ737/BZ738*BZ3/CC3,"n/a")</f>
        <v>35.714285714285708</v>
      </c>
      <c r="CA746" s="620">
        <f>IFERROR(-CA737/CA738*CA3/CC3,"n/a")</f>
        <v>35.714285714285722</v>
      </c>
      <c r="CB746" s="620">
        <f>IFERROR(-CB737/CB738*CB3/CC3,"n/a")</f>
        <v>35.714285714285715</v>
      </c>
      <c r="CC746" s="617">
        <f>IFERROR(-CC737/CC738,"n/a")</f>
        <v>36.091478041235447</v>
      </c>
      <c r="CD746" s="617">
        <f>IFERROR(-CD737/CD738,"n/a")</f>
        <v>35.714285714285708</v>
      </c>
      <c r="CE746" s="617">
        <f>IFERROR(-CE737/CE738,"n/a")</f>
        <v>35.714285714285715</v>
      </c>
      <c r="CF746" s="617">
        <f>IFERROR(-CF737/CF738,"n/a")</f>
        <v>35.714285714285715</v>
      </c>
      <c r="CG746" s="491"/>
    </row>
    <row r="747" spans="1:85" ht="14.45" customHeight="1" x14ac:dyDescent="0.25">
      <c r="A747" s="122"/>
      <c r="B747" s="302"/>
      <c r="C747" s="438"/>
      <c r="D747" s="438"/>
      <c r="E747" s="438"/>
      <c r="F747" s="438"/>
      <c r="G747" s="127"/>
      <c r="H747" s="127"/>
      <c r="I747" s="127"/>
      <c r="J747" s="127"/>
      <c r="K747" s="438"/>
      <c r="L747" s="127"/>
      <c r="M747" s="127"/>
      <c r="N747" s="127"/>
      <c r="O747" s="127"/>
      <c r="P747" s="438"/>
      <c r="Q747" s="127"/>
      <c r="R747" s="127"/>
      <c r="S747" s="127"/>
      <c r="T747" s="127"/>
      <c r="U747" s="438"/>
      <c r="V747" s="127"/>
      <c r="W747" s="127"/>
      <c r="X747" s="127"/>
      <c r="Y747" s="127"/>
      <c r="Z747" s="438"/>
      <c r="AA747" s="127"/>
      <c r="AB747" s="127"/>
      <c r="AC747" s="127"/>
      <c r="AD747" s="127"/>
      <c r="AE747" s="438"/>
      <c r="AF747" s="127"/>
      <c r="AG747" s="127"/>
      <c r="AH747" s="127"/>
      <c r="AI747" s="127"/>
      <c r="AJ747" s="438"/>
      <c r="AK747" s="127"/>
      <c r="AL747" s="127"/>
      <c r="AM747" s="127"/>
      <c r="AN747" s="127"/>
      <c r="AO747" s="438"/>
      <c r="AP747" s="127"/>
      <c r="AQ747" s="127"/>
      <c r="AR747" s="127"/>
      <c r="AS747" s="127"/>
      <c r="AT747" s="438"/>
      <c r="AU747" s="127"/>
      <c r="AV747" s="127"/>
      <c r="AW747" s="127"/>
      <c r="AX747" s="127"/>
      <c r="AY747" s="438"/>
      <c r="AZ747" s="127"/>
      <c r="BA747" s="127"/>
      <c r="BB747" s="127"/>
      <c r="BC747" s="127"/>
      <c r="BD747" s="438"/>
      <c r="BE747" s="127"/>
      <c r="BF747" s="127"/>
      <c r="BG747" s="127"/>
      <c r="BH747" s="127"/>
      <c r="BI747" s="438"/>
      <c r="BJ747" s="127"/>
      <c r="BK747" s="127"/>
      <c r="BL747" s="127"/>
      <c r="BM747" s="127"/>
      <c r="BN747" s="438"/>
      <c r="BO747" s="127"/>
      <c r="BP747" s="127"/>
      <c r="BQ747" s="127"/>
      <c r="BR747" s="127"/>
      <c r="BS747" s="448"/>
      <c r="BT747" s="127"/>
      <c r="BU747" s="127"/>
      <c r="BV747" s="127"/>
      <c r="BW747" s="127"/>
      <c r="BX747" s="438"/>
      <c r="BY747" s="127"/>
      <c r="BZ747" s="127"/>
      <c r="CA747" s="127"/>
      <c r="CB747" s="127"/>
      <c r="CC747" s="438"/>
      <c r="CD747" s="438"/>
      <c r="CE747" s="438"/>
      <c r="CF747" s="438"/>
      <c r="CG747" s="236"/>
    </row>
    <row r="748" spans="1:85" ht="14.45" customHeight="1" x14ac:dyDescent="0.25">
      <c r="A748" s="135" t="s">
        <v>674</v>
      </c>
      <c r="B748" s="211"/>
      <c r="C748" s="446">
        <f t="shared" ref="C748:AH748" si="690">C412+C413</f>
        <v>61.015000000000001</v>
      </c>
      <c r="D748" s="446">
        <f t="shared" si="690"/>
        <v>59.160999999999994</v>
      </c>
      <c r="E748" s="446">
        <f t="shared" si="690"/>
        <v>62.118000000000002</v>
      </c>
      <c r="F748" s="446">
        <f t="shared" si="690"/>
        <v>61.583999999999996</v>
      </c>
      <c r="G748" s="139">
        <f t="shared" si="690"/>
        <v>14.639999999999999</v>
      </c>
      <c r="H748" s="139">
        <f t="shared" si="690"/>
        <v>14.415000000000001</v>
      </c>
      <c r="I748" s="139">
        <f t="shared" si="690"/>
        <v>14.850000000000001</v>
      </c>
      <c r="J748" s="139">
        <f t="shared" si="690"/>
        <v>14.766</v>
      </c>
      <c r="K748" s="446">
        <f t="shared" si="690"/>
        <v>58.670999999999999</v>
      </c>
      <c r="L748" s="139">
        <f t="shared" si="690"/>
        <v>14.569000000000001</v>
      </c>
      <c r="M748" s="139">
        <f t="shared" si="690"/>
        <v>14.874000000000001</v>
      </c>
      <c r="N748" s="139">
        <f t="shared" si="690"/>
        <v>15.291999999999996</v>
      </c>
      <c r="O748" s="139">
        <f t="shared" si="690"/>
        <v>16.395000000000003</v>
      </c>
      <c r="P748" s="446">
        <f t="shared" si="690"/>
        <v>61.129999999999995</v>
      </c>
      <c r="Q748" s="139">
        <f t="shared" si="690"/>
        <v>17.657</v>
      </c>
      <c r="R748" s="139">
        <f t="shared" si="690"/>
        <v>19.716999999999999</v>
      </c>
      <c r="S748" s="139">
        <f t="shared" si="690"/>
        <v>21.035</v>
      </c>
      <c r="T748" s="139">
        <f t="shared" si="690"/>
        <v>22.487000000000005</v>
      </c>
      <c r="U748" s="446">
        <f t="shared" si="690"/>
        <v>80.896000000000001</v>
      </c>
      <c r="V748" s="139">
        <f t="shared" si="690"/>
        <v>24.388999999999999</v>
      </c>
      <c r="W748" s="139">
        <f t="shared" si="690"/>
        <v>27.94</v>
      </c>
      <c r="X748" s="139">
        <f t="shared" si="690"/>
        <v>31.056999999999999</v>
      </c>
      <c r="Y748" s="139">
        <f t="shared" si="690"/>
        <v>33.236999999999995</v>
      </c>
      <c r="Z748" s="446">
        <f t="shared" si="690"/>
        <v>116.623</v>
      </c>
      <c r="AA748" s="139">
        <f t="shared" si="690"/>
        <v>34.981000000000002</v>
      </c>
      <c r="AB748" s="139">
        <f t="shared" si="690"/>
        <v>42.065999999999995</v>
      </c>
      <c r="AC748" s="139">
        <f t="shared" si="690"/>
        <v>43.246000000000002</v>
      </c>
      <c r="AD748" s="139">
        <f t="shared" si="690"/>
        <v>48.547999999999995</v>
      </c>
      <c r="AE748" s="446">
        <f t="shared" si="690"/>
        <v>168.84100000000001</v>
      </c>
      <c r="AF748" s="139">
        <f t="shared" si="690"/>
        <v>47.22</v>
      </c>
      <c r="AG748" s="139">
        <f t="shared" si="690"/>
        <v>46.686999999999998</v>
      </c>
      <c r="AH748" s="139">
        <f t="shared" si="690"/>
        <v>46.588999999999999</v>
      </c>
      <c r="AI748" s="139">
        <f t="shared" ref="AI748:BN748" si="691">AI412+AI413</f>
        <v>46.760000000000005</v>
      </c>
      <c r="AJ748" s="446">
        <f t="shared" si="691"/>
        <v>187.256</v>
      </c>
      <c r="AK748" s="139">
        <f t="shared" si="691"/>
        <v>45.771999999999998</v>
      </c>
      <c r="AL748" s="139">
        <f t="shared" si="691"/>
        <v>45.056000000000004</v>
      </c>
      <c r="AM748" s="139">
        <f t="shared" si="691"/>
        <v>45.587999999999994</v>
      </c>
      <c r="AN748" s="139">
        <f t="shared" si="691"/>
        <v>43.5</v>
      </c>
      <c r="AO748" s="446">
        <f t="shared" si="691"/>
        <v>179.916</v>
      </c>
      <c r="AP748" s="139">
        <f t="shared" si="691"/>
        <v>43.558999999999997</v>
      </c>
      <c r="AQ748" s="139">
        <f t="shared" si="691"/>
        <v>42.837000000000003</v>
      </c>
      <c r="AR748" s="139">
        <f t="shared" si="691"/>
        <v>48.093000000000004</v>
      </c>
      <c r="AS748" s="139">
        <f t="shared" si="691"/>
        <v>44.528000000000006</v>
      </c>
      <c r="AT748" s="446">
        <f t="shared" si="691"/>
        <v>179.017</v>
      </c>
      <c r="AU748" s="139">
        <f t="shared" si="691"/>
        <v>43.526000000000003</v>
      </c>
      <c r="AV748" s="139">
        <f t="shared" si="691"/>
        <v>44.356999999999992</v>
      </c>
      <c r="AW748" s="139">
        <f t="shared" si="691"/>
        <v>47.457999999999998</v>
      </c>
      <c r="AX748" s="139">
        <f t="shared" si="691"/>
        <v>45.223999999999997</v>
      </c>
      <c r="AY748" s="446">
        <f t="shared" si="691"/>
        <v>180.565</v>
      </c>
      <c r="AZ748" s="139">
        <f t="shared" si="691"/>
        <v>43.268999999999998</v>
      </c>
      <c r="BA748" s="139">
        <f t="shared" si="691"/>
        <v>42.583000000000006</v>
      </c>
      <c r="BB748" s="139">
        <f t="shared" si="691"/>
        <v>42.530999999999999</v>
      </c>
      <c r="BC748" s="139">
        <f t="shared" si="691"/>
        <v>43.206999999999987</v>
      </c>
      <c r="BD748" s="446">
        <f t="shared" si="691"/>
        <v>171.58999999999997</v>
      </c>
      <c r="BE748" s="139">
        <f t="shared" si="691"/>
        <v>43.509</v>
      </c>
      <c r="BF748" s="139">
        <f t="shared" si="691"/>
        <v>43.676000000000009</v>
      </c>
      <c r="BG748" s="139">
        <f t="shared" si="691"/>
        <v>44.110999999999997</v>
      </c>
      <c r="BH748" s="139">
        <f t="shared" si="691"/>
        <v>45.67</v>
      </c>
      <c r="BI748" s="446">
        <f t="shared" si="691"/>
        <v>176.96600000000001</v>
      </c>
      <c r="BJ748" s="139">
        <f t="shared" si="691"/>
        <v>46.750999999999998</v>
      </c>
      <c r="BK748" s="139">
        <f t="shared" si="691"/>
        <v>47.658000000000001</v>
      </c>
      <c r="BL748" s="139">
        <f t="shared" si="691"/>
        <v>48.77</v>
      </c>
      <c r="BM748" s="139">
        <f t="shared" si="691"/>
        <v>50.611999999999988</v>
      </c>
      <c r="BN748" s="446">
        <f t="shared" si="691"/>
        <v>193.791</v>
      </c>
      <c r="BO748" s="139">
        <f t="shared" ref="BO748:CF748" si="692">BO412+BO413</f>
        <v>53.373000000000005</v>
      </c>
      <c r="BP748" s="139">
        <f t="shared" si="692"/>
        <v>54.764999999999993</v>
      </c>
      <c r="BQ748" s="139">
        <f t="shared" si="692"/>
        <v>55.086000000000006</v>
      </c>
      <c r="BR748" s="139">
        <f t="shared" si="692"/>
        <v>55.30599999999999</v>
      </c>
      <c r="BS748" s="447">
        <f t="shared" si="692"/>
        <v>218.53</v>
      </c>
      <c r="BT748" s="137">
        <f t="shared" si="692"/>
        <v>55.393046550684929</v>
      </c>
      <c r="BU748" s="137">
        <f t="shared" si="692"/>
        <v>56.134350427857427</v>
      </c>
      <c r="BV748" s="137">
        <f t="shared" si="692"/>
        <v>56.851642668088033</v>
      </c>
      <c r="BW748" s="137">
        <f t="shared" si="692"/>
        <v>58.178048014423929</v>
      </c>
      <c r="BX748" s="444">
        <f t="shared" si="692"/>
        <v>226.55708766105431</v>
      </c>
      <c r="BY748" s="137">
        <f t="shared" si="692"/>
        <v>58.198881591112567</v>
      </c>
      <c r="BZ748" s="137">
        <f t="shared" si="692"/>
        <v>58.84913404090284</v>
      </c>
      <c r="CA748" s="137">
        <f t="shared" si="692"/>
        <v>59.478237611294169</v>
      </c>
      <c r="CB748" s="137">
        <f t="shared" si="692"/>
        <v>60.747152704348757</v>
      </c>
      <c r="CC748" s="444">
        <f t="shared" si="692"/>
        <v>237.27340594765832</v>
      </c>
      <c r="CD748" s="444">
        <f t="shared" si="692"/>
        <v>248.33590614414103</v>
      </c>
      <c r="CE748" s="444">
        <f t="shared" si="692"/>
        <v>256.97903271178365</v>
      </c>
      <c r="CF748" s="444">
        <f t="shared" si="692"/>
        <v>264.46022739506856</v>
      </c>
      <c r="CG748" s="109"/>
    </row>
    <row r="749" spans="1:85" ht="14.45" customHeight="1" x14ac:dyDescent="0.25">
      <c r="A749" s="135" t="s">
        <v>675</v>
      </c>
      <c r="B749" s="211"/>
      <c r="C749" s="446">
        <f t="shared" ref="C749:AH749" si="693">-C484</f>
        <v>43.338999999999999</v>
      </c>
      <c r="D749" s="446">
        <f t="shared" si="693"/>
        <v>57.798000000000002</v>
      </c>
      <c r="E749" s="446">
        <f t="shared" si="693"/>
        <v>53.155999999999999</v>
      </c>
      <c r="F749" s="446">
        <f t="shared" si="693"/>
        <v>53.271000000000001</v>
      </c>
      <c r="G749" s="139">
        <f t="shared" si="693"/>
        <v>20.382999999999999</v>
      </c>
      <c r="H749" s="139">
        <f t="shared" si="693"/>
        <v>12.757000000000001</v>
      </c>
      <c r="I749" s="139">
        <f t="shared" si="693"/>
        <v>12.057000000000002</v>
      </c>
      <c r="J749" s="139">
        <f t="shared" si="693"/>
        <v>16.234999999999999</v>
      </c>
      <c r="K749" s="446">
        <f t="shared" si="693"/>
        <v>61.432000000000002</v>
      </c>
      <c r="L749" s="139">
        <f t="shared" si="693"/>
        <v>17.814</v>
      </c>
      <c r="M749" s="139">
        <f t="shared" si="693"/>
        <v>19.22</v>
      </c>
      <c r="N749" s="139">
        <f t="shared" si="693"/>
        <v>24.323</v>
      </c>
      <c r="O749" s="139">
        <f t="shared" si="693"/>
        <v>23.007000000000005</v>
      </c>
      <c r="P749" s="446">
        <f t="shared" si="693"/>
        <v>84.364000000000004</v>
      </c>
      <c r="Q749" s="139">
        <f t="shared" si="693"/>
        <v>30.841999999999999</v>
      </c>
      <c r="R749" s="139">
        <f t="shared" si="693"/>
        <v>26.298000000000002</v>
      </c>
      <c r="S749" s="139">
        <f t="shared" si="693"/>
        <v>47.281999999999996</v>
      </c>
      <c r="T749" s="139">
        <f t="shared" si="693"/>
        <v>59.465000000000003</v>
      </c>
      <c r="U749" s="446">
        <f t="shared" si="693"/>
        <v>163.887</v>
      </c>
      <c r="V749" s="139">
        <f t="shared" si="693"/>
        <v>36.784999999999997</v>
      </c>
      <c r="W749" s="139">
        <f t="shared" si="693"/>
        <v>42.84</v>
      </c>
      <c r="X749" s="139">
        <f t="shared" si="693"/>
        <v>44.974000000000004</v>
      </c>
      <c r="Y749" s="139">
        <f t="shared" si="693"/>
        <v>47.987000000000009</v>
      </c>
      <c r="Z749" s="446">
        <f t="shared" si="693"/>
        <v>172.58600000000001</v>
      </c>
      <c r="AA749" s="139">
        <f t="shared" si="693"/>
        <v>41.58</v>
      </c>
      <c r="AB749" s="139">
        <f t="shared" si="693"/>
        <v>38.027000000000001</v>
      </c>
      <c r="AC749" s="139">
        <f t="shared" si="693"/>
        <v>35.346000000000004</v>
      </c>
      <c r="AD749" s="139">
        <f t="shared" si="693"/>
        <v>61.647999999999996</v>
      </c>
      <c r="AE749" s="446">
        <f t="shared" si="693"/>
        <v>176.601</v>
      </c>
      <c r="AF749" s="139">
        <f t="shared" si="693"/>
        <v>42.048000000000002</v>
      </c>
      <c r="AG749" s="139">
        <f t="shared" si="693"/>
        <v>43.230999999999995</v>
      </c>
      <c r="AH749" s="139">
        <f t="shared" si="693"/>
        <v>27.825000000000003</v>
      </c>
      <c r="AI749" s="139">
        <f t="shared" ref="AI749:BN749" si="694">-AI484</f>
        <v>25.131000000000014</v>
      </c>
      <c r="AJ749" s="446">
        <f t="shared" si="694"/>
        <v>138.23500000000001</v>
      </c>
      <c r="AK749" s="139">
        <f t="shared" si="694"/>
        <v>29.315000000000001</v>
      </c>
      <c r="AL749" s="139">
        <f t="shared" si="694"/>
        <v>28.266000000000002</v>
      </c>
      <c r="AM749" s="139">
        <f t="shared" si="694"/>
        <v>39.165999999999997</v>
      </c>
      <c r="AN749" s="139">
        <f t="shared" si="694"/>
        <v>74.626999999999995</v>
      </c>
      <c r="AO749" s="446">
        <f t="shared" si="694"/>
        <v>171.374</v>
      </c>
      <c r="AP749" s="139">
        <f t="shared" si="694"/>
        <v>33.093000000000004</v>
      </c>
      <c r="AQ749" s="139">
        <f t="shared" si="694"/>
        <v>39.792999999999992</v>
      </c>
      <c r="AR749" s="139">
        <f t="shared" si="694"/>
        <v>37.831000000000003</v>
      </c>
      <c r="AS749" s="139">
        <f t="shared" si="694"/>
        <v>91.316999999999993</v>
      </c>
      <c r="AT749" s="446">
        <f t="shared" si="694"/>
        <v>202.03399999999999</v>
      </c>
      <c r="AU749" s="139">
        <f t="shared" si="694"/>
        <v>37.204000000000001</v>
      </c>
      <c r="AV749" s="139">
        <f t="shared" si="694"/>
        <v>43.104000000000006</v>
      </c>
      <c r="AW749" s="139">
        <f t="shared" si="694"/>
        <v>39.311999999999998</v>
      </c>
      <c r="AX749" s="139">
        <f t="shared" si="694"/>
        <v>36.073000000000008</v>
      </c>
      <c r="AY749" s="446">
        <f t="shared" si="694"/>
        <v>155.69300000000001</v>
      </c>
      <c r="AZ749" s="139">
        <f t="shared" si="694"/>
        <v>104.35299999999999</v>
      </c>
      <c r="BA749" s="139">
        <f t="shared" si="694"/>
        <v>40.828999999999994</v>
      </c>
      <c r="BB749" s="139">
        <f t="shared" si="694"/>
        <v>38.747000000000014</v>
      </c>
      <c r="BC749" s="139">
        <f t="shared" si="694"/>
        <v>114.68199999999999</v>
      </c>
      <c r="BD749" s="446">
        <f t="shared" si="694"/>
        <v>298.61099999999999</v>
      </c>
      <c r="BE749" s="139">
        <f t="shared" si="694"/>
        <v>52.7</v>
      </c>
      <c r="BF749" s="139">
        <f t="shared" si="694"/>
        <v>40.192999999999998</v>
      </c>
      <c r="BG749" s="139">
        <f t="shared" si="694"/>
        <v>59.36699999999999</v>
      </c>
      <c r="BH749" s="139">
        <f t="shared" si="694"/>
        <v>130.04399999999998</v>
      </c>
      <c r="BI749" s="446">
        <f t="shared" si="694"/>
        <v>282.30399999999997</v>
      </c>
      <c r="BJ749" s="139">
        <f t="shared" si="694"/>
        <v>77.040000000000006</v>
      </c>
      <c r="BK749" s="139">
        <f t="shared" si="694"/>
        <v>82.36</v>
      </c>
      <c r="BL749" s="139">
        <f t="shared" si="694"/>
        <v>127.93300000000002</v>
      </c>
      <c r="BM749" s="139">
        <f t="shared" si="694"/>
        <v>83.68199999999996</v>
      </c>
      <c r="BN749" s="446">
        <f t="shared" si="694"/>
        <v>371.01499999999999</v>
      </c>
      <c r="BO749" s="139">
        <f t="shared" ref="BO749:CF749" si="695">-BO484</f>
        <v>97.866</v>
      </c>
      <c r="BP749" s="139">
        <f t="shared" si="695"/>
        <v>59.51700000000001</v>
      </c>
      <c r="BQ749" s="139">
        <f t="shared" si="695"/>
        <v>52.61099999999999</v>
      </c>
      <c r="BR749" s="139">
        <f t="shared" si="695"/>
        <v>102.321</v>
      </c>
      <c r="BS749" s="447">
        <f t="shared" si="695"/>
        <v>312.315</v>
      </c>
      <c r="BT749" s="137">
        <f t="shared" si="695"/>
        <v>75</v>
      </c>
      <c r="BU749" s="137">
        <f t="shared" si="695"/>
        <v>75</v>
      </c>
      <c r="BV749" s="137">
        <f t="shared" si="695"/>
        <v>75</v>
      </c>
      <c r="BW749" s="137">
        <f t="shared" si="695"/>
        <v>75</v>
      </c>
      <c r="BX749" s="444">
        <f t="shared" si="695"/>
        <v>300</v>
      </c>
      <c r="BY749" s="137">
        <f t="shared" si="695"/>
        <v>75</v>
      </c>
      <c r="BZ749" s="137">
        <f t="shared" si="695"/>
        <v>75</v>
      </c>
      <c r="CA749" s="137">
        <f t="shared" si="695"/>
        <v>75</v>
      </c>
      <c r="CB749" s="137">
        <f t="shared" si="695"/>
        <v>75</v>
      </c>
      <c r="CC749" s="444">
        <f t="shared" si="695"/>
        <v>300</v>
      </c>
      <c r="CD749" s="444">
        <f t="shared" si="695"/>
        <v>300</v>
      </c>
      <c r="CE749" s="444">
        <f t="shared" si="695"/>
        <v>300</v>
      </c>
      <c r="CF749" s="444">
        <f t="shared" si="695"/>
        <v>300</v>
      </c>
      <c r="CG749" s="109"/>
    </row>
    <row r="750" spans="1:85" ht="14.45" customHeight="1" x14ac:dyDescent="0.25">
      <c r="A750" s="309" t="s">
        <v>676</v>
      </c>
      <c r="B750" s="204"/>
      <c r="C750" s="506"/>
      <c r="D750" s="506"/>
      <c r="E750" s="506"/>
      <c r="F750" s="506"/>
      <c r="G750" s="209"/>
      <c r="H750" s="209"/>
      <c r="I750" s="209"/>
      <c r="J750" s="209"/>
      <c r="K750" s="506"/>
      <c r="L750" s="209"/>
      <c r="M750" s="209"/>
      <c r="N750" s="209"/>
      <c r="O750" s="209"/>
      <c r="P750" s="506"/>
      <c r="Q750" s="209"/>
      <c r="R750" s="209"/>
      <c r="S750" s="209"/>
      <c r="T750" s="209"/>
      <c r="U750" s="506"/>
      <c r="V750" s="209"/>
      <c r="W750" s="209"/>
      <c r="X750" s="209"/>
      <c r="Y750" s="209"/>
      <c r="Z750" s="506"/>
      <c r="AA750" s="209"/>
      <c r="AB750" s="209"/>
      <c r="AC750" s="209"/>
      <c r="AD750" s="209"/>
      <c r="AE750" s="506"/>
      <c r="AF750" s="209"/>
      <c r="AG750" s="209"/>
      <c r="AH750" s="209"/>
      <c r="AI750" s="209"/>
      <c r="AJ750" s="506"/>
      <c r="AK750" s="209"/>
      <c r="AL750" s="209"/>
      <c r="AM750" s="209"/>
      <c r="AN750" s="209"/>
      <c r="AO750" s="506"/>
      <c r="AP750" s="209"/>
      <c r="AQ750" s="209"/>
      <c r="AR750" s="209"/>
      <c r="AS750" s="209"/>
      <c r="AT750" s="506"/>
      <c r="AU750" s="209"/>
      <c r="AV750" s="209"/>
      <c r="AW750" s="209"/>
      <c r="AX750" s="209"/>
      <c r="AY750" s="506"/>
      <c r="AZ750" s="209"/>
      <c r="BA750" s="209"/>
      <c r="BB750" s="209"/>
      <c r="BC750" s="209"/>
      <c r="BD750" s="506"/>
      <c r="BE750" s="209"/>
      <c r="BF750" s="209"/>
      <c r="BG750" s="209"/>
      <c r="BH750" s="209"/>
      <c r="BI750" s="506"/>
      <c r="BJ750" s="209"/>
      <c r="BK750" s="209"/>
      <c r="BL750" s="209"/>
      <c r="BM750" s="209"/>
      <c r="BN750" s="506"/>
      <c r="BO750" s="209"/>
      <c r="BP750" s="209"/>
      <c r="BQ750" s="209"/>
      <c r="BR750" s="209"/>
      <c r="BS750" s="507"/>
      <c r="BT750" s="615">
        <v>0</v>
      </c>
      <c r="BU750" s="615">
        <v>0</v>
      </c>
      <c r="BV750" s="615">
        <v>0</v>
      </c>
      <c r="BW750" s="615">
        <v>0</v>
      </c>
      <c r="BX750" s="506">
        <f>AVERAGE(BT750,BU750,BV750,BW750)</f>
        <v>0</v>
      </c>
      <c r="BY750" s="615">
        <v>0</v>
      </c>
      <c r="BZ750" s="615">
        <v>0</v>
      </c>
      <c r="CA750" s="615">
        <v>0</v>
      </c>
      <c r="CB750" s="615">
        <v>0</v>
      </c>
      <c r="CC750" s="506">
        <f>AVERAGE(BY750,BZ750,CA750,CB750)</f>
        <v>0</v>
      </c>
      <c r="CD750" s="616">
        <v>0</v>
      </c>
      <c r="CE750" s="616">
        <v>0</v>
      </c>
      <c r="CF750" s="616">
        <v>0</v>
      </c>
      <c r="CG750" s="236"/>
    </row>
    <row r="751" spans="1:85" ht="14.45" customHeight="1" x14ac:dyDescent="0.25">
      <c r="A751" s="122"/>
      <c r="B751" s="302"/>
      <c r="C751" s="438"/>
      <c r="D751" s="438"/>
      <c r="E751" s="438"/>
      <c r="F751" s="438"/>
      <c r="G751" s="127"/>
      <c r="H751" s="127"/>
      <c r="I751" s="127"/>
      <c r="J751" s="127"/>
      <c r="K751" s="438"/>
      <c r="L751" s="127"/>
      <c r="M751" s="127"/>
      <c r="N751" s="127"/>
      <c r="O751" s="127"/>
      <c r="P751" s="438"/>
      <c r="Q751" s="127"/>
      <c r="R751" s="127"/>
      <c r="S751" s="127"/>
      <c r="T751" s="127"/>
      <c r="U751" s="438"/>
      <c r="V751" s="127"/>
      <c r="W751" s="127"/>
      <c r="X751" s="127"/>
      <c r="Y751" s="127"/>
      <c r="Z751" s="438"/>
      <c r="AA751" s="127"/>
      <c r="AB751" s="127"/>
      <c r="AC751" s="127"/>
      <c r="AD751" s="127"/>
      <c r="AE751" s="438"/>
      <c r="AF751" s="127"/>
      <c r="AG751" s="127"/>
      <c r="AH751" s="127"/>
      <c r="AI751" s="127"/>
      <c r="AJ751" s="438"/>
      <c r="AK751" s="127"/>
      <c r="AL751" s="127"/>
      <c r="AM751" s="127"/>
      <c r="AN751" s="127"/>
      <c r="AO751" s="438"/>
      <c r="AP751" s="127"/>
      <c r="AQ751" s="127"/>
      <c r="AR751" s="127"/>
      <c r="AS751" s="127"/>
      <c r="AT751" s="438"/>
      <c r="AU751" s="127"/>
      <c r="AV751" s="127"/>
      <c r="AW751" s="127"/>
      <c r="AX751" s="127"/>
      <c r="AY751" s="438"/>
      <c r="AZ751" s="127"/>
      <c r="BA751" s="127"/>
      <c r="BB751" s="127"/>
      <c r="BC751" s="127"/>
      <c r="BD751" s="438"/>
      <c r="BE751" s="127"/>
      <c r="BF751" s="127"/>
      <c r="BG751" s="127"/>
      <c r="BH751" s="127"/>
      <c r="BI751" s="438"/>
      <c r="BJ751" s="127"/>
      <c r="BK751" s="127"/>
      <c r="BL751" s="127"/>
      <c r="BM751" s="127"/>
      <c r="BN751" s="438"/>
      <c r="BO751" s="127"/>
      <c r="BP751" s="127"/>
      <c r="BQ751" s="127"/>
      <c r="BR751" s="127"/>
      <c r="BS751" s="448"/>
      <c r="BT751" s="127"/>
      <c r="BU751" s="127"/>
      <c r="BV751" s="127"/>
      <c r="BW751" s="127"/>
      <c r="BX751" s="438"/>
      <c r="BY751" s="127"/>
      <c r="BZ751" s="127"/>
      <c r="CA751" s="127"/>
      <c r="CB751" s="127"/>
      <c r="CC751" s="438"/>
      <c r="CD751" s="438"/>
      <c r="CE751" s="438"/>
      <c r="CF751" s="438"/>
      <c r="CG751" s="236"/>
    </row>
    <row r="752" spans="1:85" ht="14.45" customHeight="1" x14ac:dyDescent="0.25">
      <c r="A752" s="95" t="s">
        <v>677</v>
      </c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409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109"/>
    </row>
    <row r="753" spans="1:85" ht="14.45" customHeight="1" x14ac:dyDescent="0.25">
      <c r="A753" s="135" t="s">
        <v>678</v>
      </c>
      <c r="B753" s="211"/>
      <c r="C753" s="423"/>
      <c r="D753" s="423"/>
      <c r="E753" s="423"/>
      <c r="F753" s="423"/>
      <c r="G753" s="112"/>
      <c r="H753" s="112"/>
      <c r="I753" s="112"/>
      <c r="J753" s="112"/>
      <c r="K753" s="423"/>
      <c r="L753" s="112"/>
      <c r="M753" s="112"/>
      <c r="N753" s="112"/>
      <c r="O753" s="112"/>
      <c r="P753" s="423"/>
      <c r="Q753" s="112"/>
      <c r="R753" s="112"/>
      <c r="S753" s="112"/>
      <c r="T753" s="112"/>
      <c r="U753" s="423"/>
      <c r="V753" s="112"/>
      <c r="W753" s="112"/>
      <c r="X753" s="112"/>
      <c r="Y753" s="112"/>
      <c r="Z753" s="423"/>
      <c r="AA753" s="112"/>
      <c r="AB753" s="112"/>
      <c r="AC753" s="112"/>
      <c r="AD753" s="112"/>
      <c r="AE753" s="423"/>
      <c r="AF753" s="112"/>
      <c r="AG753" s="112"/>
      <c r="AH753" s="112"/>
      <c r="AI753" s="112"/>
      <c r="AJ753" s="423"/>
      <c r="AK753" s="112"/>
      <c r="AL753" s="112"/>
      <c r="AM753" s="112"/>
      <c r="AN753" s="112"/>
      <c r="AO753" s="423"/>
      <c r="AP753" s="112"/>
      <c r="AQ753" s="112"/>
      <c r="AR753" s="112"/>
      <c r="AS753" s="112"/>
      <c r="AT753" s="423"/>
      <c r="AU753" s="112"/>
      <c r="AV753" s="112"/>
      <c r="AW753" s="112"/>
      <c r="AX753" s="112"/>
      <c r="AY753" s="423"/>
      <c r="AZ753" s="112"/>
      <c r="BA753" s="112"/>
      <c r="BB753" s="112"/>
      <c r="BC753" s="112"/>
      <c r="BD753" s="423"/>
      <c r="BE753" s="112"/>
      <c r="BF753" s="112"/>
      <c r="BG753" s="112"/>
      <c r="BH753" s="112"/>
      <c r="BI753" s="423"/>
      <c r="BJ753" s="112"/>
      <c r="BK753" s="112"/>
      <c r="BL753" s="112"/>
      <c r="BM753" s="112"/>
      <c r="BN753" s="423"/>
      <c r="BO753" s="112"/>
      <c r="BP753" s="112"/>
      <c r="BQ753" s="112"/>
      <c r="BR753" s="112"/>
      <c r="BS753" s="424"/>
      <c r="BT753" s="112"/>
      <c r="BU753" s="112"/>
      <c r="BV753" s="112"/>
      <c r="BW753" s="112"/>
      <c r="BX753" s="423"/>
      <c r="BY753" s="112"/>
      <c r="BZ753" s="112"/>
      <c r="CA753" s="112"/>
      <c r="CB753" s="112"/>
      <c r="CC753" s="423"/>
      <c r="CD753" s="423"/>
      <c r="CE753" s="423"/>
      <c r="CF753" s="423"/>
      <c r="CG753" s="109"/>
    </row>
    <row r="754" spans="1:85" ht="14.45" customHeight="1" x14ac:dyDescent="0.25">
      <c r="A754" s="125" t="s">
        <v>679</v>
      </c>
      <c r="B754" s="180"/>
      <c r="C754" s="410">
        <v>17.77</v>
      </c>
      <c r="D754" s="410">
        <v>45.872</v>
      </c>
      <c r="E754" s="410">
        <v>90.757999999999996</v>
      </c>
      <c r="F754" s="410">
        <v>10.398999999999999</v>
      </c>
      <c r="G754" s="98">
        <v>11.89</v>
      </c>
      <c r="H754" s="98">
        <v>25.725000000000001</v>
      </c>
      <c r="I754" s="98">
        <v>25.283000000000001</v>
      </c>
      <c r="J754" s="99">
        <f>K754</f>
        <v>11.760999999999999</v>
      </c>
      <c r="K754" s="410">
        <v>11.760999999999999</v>
      </c>
      <c r="L754" s="98">
        <v>18.774000000000001</v>
      </c>
      <c r="M754" s="98">
        <v>22.873999999999999</v>
      </c>
      <c r="N754" s="98">
        <v>23.067</v>
      </c>
      <c r="O754" s="99">
        <f>P754</f>
        <v>9.0950000000000006</v>
      </c>
      <c r="P754" s="410">
        <v>9.0950000000000006</v>
      </c>
      <c r="Q754" s="98">
        <v>21.163</v>
      </c>
      <c r="R754" s="98">
        <v>43.801000000000002</v>
      </c>
      <c r="S754" s="98">
        <v>40.491</v>
      </c>
      <c r="T754" s="99">
        <f>U754</f>
        <v>55.497999999999998</v>
      </c>
      <c r="U754" s="410">
        <v>55.497999999999998</v>
      </c>
      <c r="V754" s="98">
        <v>32.6</v>
      </c>
      <c r="W754" s="98">
        <v>49.323</v>
      </c>
      <c r="X754" s="98">
        <v>54.216999999999999</v>
      </c>
      <c r="Y754" s="99">
        <f>Z754</f>
        <v>21.85</v>
      </c>
      <c r="Z754" s="410">
        <v>21.85</v>
      </c>
      <c r="AA754" s="98">
        <v>31.94</v>
      </c>
      <c r="AB754" s="98">
        <v>43.514000000000003</v>
      </c>
      <c r="AC754" s="98">
        <v>11.922000000000001</v>
      </c>
      <c r="AD754" s="99">
        <f>AE754</f>
        <v>16.902000000000001</v>
      </c>
      <c r="AE754" s="410">
        <v>16.902000000000001</v>
      </c>
      <c r="AF754" s="98">
        <v>8.4789999999999992</v>
      </c>
      <c r="AG754" s="98">
        <v>19.724</v>
      </c>
      <c r="AH754" s="98">
        <v>9.3369999999999997</v>
      </c>
      <c r="AI754" s="99">
        <f>AJ754</f>
        <v>13.548</v>
      </c>
      <c r="AJ754" s="410">
        <v>13.548</v>
      </c>
      <c r="AK754" s="98">
        <v>8.4969999999999999</v>
      </c>
      <c r="AL754" s="98">
        <v>5.6920000000000002</v>
      </c>
      <c r="AM754" s="98">
        <v>5.9889999999999999</v>
      </c>
      <c r="AN754" s="99">
        <f>AO754</f>
        <v>9.6140000000000008</v>
      </c>
      <c r="AO754" s="410">
        <v>9.6140000000000008</v>
      </c>
      <c r="AP754" s="98">
        <v>47.747999999999998</v>
      </c>
      <c r="AQ754" s="98">
        <v>77.55</v>
      </c>
      <c r="AR754" s="98">
        <v>164.82300000000001</v>
      </c>
      <c r="AS754" s="99">
        <f>AT754</f>
        <v>54.792999999999999</v>
      </c>
      <c r="AT754" s="410">
        <v>54.792999999999999</v>
      </c>
      <c r="AU754" s="98">
        <v>51.828000000000003</v>
      </c>
      <c r="AV754" s="98">
        <v>54.204000000000001</v>
      </c>
      <c r="AW754" s="98">
        <v>186.87799999999999</v>
      </c>
      <c r="AX754" s="99">
        <f>AY754</f>
        <v>142.31399999999999</v>
      </c>
      <c r="AY754" s="410">
        <v>142.31399999999999</v>
      </c>
      <c r="AZ754" s="98">
        <v>127.08499999999999</v>
      </c>
      <c r="BA754" s="98">
        <v>188.803</v>
      </c>
      <c r="BB754" s="98">
        <v>163.244</v>
      </c>
      <c r="BC754" s="99">
        <f>BD754</f>
        <v>197.648</v>
      </c>
      <c r="BD754" s="410">
        <v>197.648</v>
      </c>
      <c r="BE754" s="98">
        <v>289.78100000000001</v>
      </c>
      <c r="BF754" s="98">
        <v>430.17200000000003</v>
      </c>
      <c r="BG754" s="98">
        <v>616.21699999999998</v>
      </c>
      <c r="BH754" s="99">
        <f>BI754</f>
        <v>635.26900000000001</v>
      </c>
      <c r="BI754" s="410">
        <v>635.26900000000001</v>
      </c>
      <c r="BJ754" s="98">
        <v>401.26</v>
      </c>
      <c r="BK754" s="98">
        <v>1699.288</v>
      </c>
      <c r="BL754" s="98">
        <v>1236.0060000000001</v>
      </c>
      <c r="BM754" s="99">
        <f t="shared" ref="BM754:BM760" si="696">BN754</f>
        <v>1135.8240000000001</v>
      </c>
      <c r="BN754" s="410">
        <v>1135.8240000000001</v>
      </c>
      <c r="BO754" s="98">
        <v>1151.8050000000001</v>
      </c>
      <c r="BP754" s="98">
        <v>1219.925</v>
      </c>
      <c r="BQ754" s="98">
        <v>1532.473</v>
      </c>
      <c r="BR754" s="99">
        <f t="shared" ref="BR754:BR760" si="697">BS754</f>
        <v>281.91800000000001</v>
      </c>
      <c r="BS754" s="419">
        <v>281.91800000000001</v>
      </c>
      <c r="BT754" s="63" t="e">
        <f>BS754+BT711</f>
        <v>#NAME?</v>
      </c>
      <c r="BU754" s="63" t="e">
        <f>BT754+BU711</f>
        <v>#NAME?</v>
      </c>
      <c r="BV754" s="63" t="e">
        <f>BU754+BV711</f>
        <v>#NAME?</v>
      </c>
      <c r="BW754" s="63" t="e">
        <f>BV754+BW711</f>
        <v>#NAME?</v>
      </c>
      <c r="BX754" s="413" t="e">
        <f>BW754</f>
        <v>#NAME?</v>
      </c>
      <c r="BY754" s="63" t="e">
        <f>BX754+BY711</f>
        <v>#NAME?</v>
      </c>
      <c r="BZ754" s="63" t="e">
        <f>BY754+BZ711</f>
        <v>#NAME?</v>
      </c>
      <c r="CA754" s="63" t="e">
        <f>BZ754+CA711</f>
        <v>#NAME?</v>
      </c>
      <c r="CB754" s="63" t="e">
        <f>CA754+CB711</f>
        <v>#NAME?</v>
      </c>
      <c r="CC754" s="413" t="e">
        <f>CB754</f>
        <v>#NAME?</v>
      </c>
      <c r="CD754" s="413" t="e">
        <f>CC754+CD711</f>
        <v>#NAME?</v>
      </c>
      <c r="CE754" s="413" t="e">
        <f>CD754+CE711</f>
        <v>#NAME?</v>
      </c>
      <c r="CF754" s="413" t="e">
        <f>CE754+CF711</f>
        <v>#NAME?</v>
      </c>
      <c r="CG754" s="99"/>
    </row>
    <row r="755" spans="1:85" ht="14.45" customHeight="1" x14ac:dyDescent="0.25">
      <c r="A755" s="125" t="s">
        <v>680</v>
      </c>
      <c r="B755" s="180"/>
      <c r="C755" s="413"/>
      <c r="D755" s="413"/>
      <c r="E755" s="413"/>
      <c r="F755" s="413"/>
      <c r="G755" s="63"/>
      <c r="H755" s="63"/>
      <c r="I755" s="63"/>
      <c r="J755" s="63"/>
      <c r="K755" s="413"/>
      <c r="L755" s="63"/>
      <c r="M755" s="63"/>
      <c r="N755" s="63"/>
      <c r="O755" s="63"/>
      <c r="P755" s="413"/>
      <c r="Q755" s="63"/>
      <c r="R755" s="63"/>
      <c r="S755" s="63"/>
      <c r="T755" s="63"/>
      <c r="U755" s="413"/>
      <c r="V755" s="63"/>
      <c r="W755" s="63"/>
      <c r="X755" s="63"/>
      <c r="Y755" s="63"/>
      <c r="Z755" s="413"/>
      <c r="AA755" s="63"/>
      <c r="AB755" s="63"/>
      <c r="AC755" s="63"/>
      <c r="AD755" s="63"/>
      <c r="AE755" s="413"/>
      <c r="AF755" s="63"/>
      <c r="AG755" s="63"/>
      <c r="AH755" s="63"/>
      <c r="AI755" s="63"/>
      <c r="AJ755" s="413"/>
      <c r="AK755" s="63"/>
      <c r="AL755" s="63"/>
      <c r="AM755" s="63"/>
      <c r="AN755" s="63"/>
      <c r="AO755" s="413"/>
      <c r="AP755" s="63"/>
      <c r="AQ755" s="63"/>
      <c r="AR755" s="63"/>
      <c r="AS755" s="63"/>
      <c r="AT755" s="413"/>
      <c r="AU755" s="63"/>
      <c r="AV755" s="63"/>
      <c r="AW755" s="63"/>
      <c r="AX755" s="63"/>
      <c r="AY755" s="413"/>
      <c r="AZ755" s="63"/>
      <c r="BA755" s="63"/>
      <c r="BB755" s="63"/>
      <c r="BC755" s="63"/>
      <c r="BD755" s="413"/>
      <c r="BE755" s="63"/>
      <c r="BF755" s="63"/>
      <c r="BG755" s="63"/>
      <c r="BH755" s="63"/>
      <c r="BI755" s="413"/>
      <c r="BJ755" s="98">
        <v>183.63900000000001</v>
      </c>
      <c r="BK755" s="98">
        <v>198.77099999999999</v>
      </c>
      <c r="BL755" s="98">
        <v>215.04400000000001</v>
      </c>
      <c r="BM755" s="99">
        <f t="shared" si="696"/>
        <v>301.20999999999998</v>
      </c>
      <c r="BN755" s="410">
        <v>301.20999999999998</v>
      </c>
      <c r="BO755" s="98">
        <v>340.05</v>
      </c>
      <c r="BP755" s="98">
        <v>350.18599999999998</v>
      </c>
      <c r="BQ755" s="98">
        <v>149.06100000000001</v>
      </c>
      <c r="BR755" s="99">
        <f t="shared" si="697"/>
        <v>0</v>
      </c>
      <c r="BS755" s="419">
        <v>0</v>
      </c>
      <c r="BT755" s="63">
        <f t="shared" ref="BT755:BW756" si="698">BS755</f>
        <v>0</v>
      </c>
      <c r="BU755" s="63">
        <f t="shared" si="698"/>
        <v>0</v>
      </c>
      <c r="BV755" s="63">
        <f t="shared" si="698"/>
        <v>0</v>
      </c>
      <c r="BW755" s="63">
        <f t="shared" si="698"/>
        <v>0</v>
      </c>
      <c r="BX755" s="413">
        <f>BW755</f>
        <v>0</v>
      </c>
      <c r="BY755" s="63">
        <f t="shared" ref="BY755:CB756" si="699">BX755</f>
        <v>0</v>
      </c>
      <c r="BZ755" s="63">
        <f t="shared" si="699"/>
        <v>0</v>
      </c>
      <c r="CA755" s="63">
        <f t="shared" si="699"/>
        <v>0</v>
      </c>
      <c r="CB755" s="63">
        <f t="shared" si="699"/>
        <v>0</v>
      </c>
      <c r="CC755" s="413">
        <f>CB755</f>
        <v>0</v>
      </c>
      <c r="CD755" s="413">
        <f t="shared" ref="CD755:CF756" si="700">CC755</f>
        <v>0</v>
      </c>
      <c r="CE755" s="413">
        <f t="shared" si="700"/>
        <v>0</v>
      </c>
      <c r="CF755" s="413">
        <f t="shared" si="700"/>
        <v>0</v>
      </c>
      <c r="CG755" s="99"/>
    </row>
    <row r="756" spans="1:85" ht="14.45" customHeight="1" x14ac:dyDescent="0.25">
      <c r="A756" s="125" t="s">
        <v>681</v>
      </c>
      <c r="B756" s="180"/>
      <c r="C756" s="410">
        <v>4.5</v>
      </c>
      <c r="D756" s="410">
        <v>3.5</v>
      </c>
      <c r="E756" s="410">
        <v>3</v>
      </c>
      <c r="F756" s="413"/>
      <c r="G756" s="63"/>
      <c r="H756" s="63"/>
      <c r="I756" s="63"/>
      <c r="J756" s="99">
        <f>K756</f>
        <v>0</v>
      </c>
      <c r="K756" s="413"/>
      <c r="L756" s="63"/>
      <c r="M756" s="63"/>
      <c r="N756" s="63"/>
      <c r="O756" s="99">
        <f>P756</f>
        <v>0</v>
      </c>
      <c r="P756" s="413"/>
      <c r="Q756" s="63"/>
      <c r="R756" s="63"/>
      <c r="S756" s="63"/>
      <c r="T756" s="99">
        <f>U756</f>
        <v>0</v>
      </c>
      <c r="U756" s="413"/>
      <c r="V756" s="63"/>
      <c r="W756" s="63"/>
      <c r="X756" s="63"/>
      <c r="Y756" s="99">
        <f>Z756</f>
        <v>0</v>
      </c>
      <c r="Z756" s="413"/>
      <c r="AA756" s="63"/>
      <c r="AB756" s="63"/>
      <c r="AC756" s="63"/>
      <c r="AD756" s="99">
        <f>AE756</f>
        <v>0</v>
      </c>
      <c r="AE756" s="413"/>
      <c r="AF756" s="63"/>
      <c r="AG756" s="63"/>
      <c r="AH756" s="63"/>
      <c r="AI756" s="99">
        <f>AJ756</f>
        <v>0</v>
      </c>
      <c r="AJ756" s="413"/>
      <c r="AK756" s="63"/>
      <c r="AL756" s="63"/>
      <c r="AM756" s="63"/>
      <c r="AN756" s="99">
        <f>AO756</f>
        <v>0</v>
      </c>
      <c r="AO756" s="413"/>
      <c r="AP756" s="63"/>
      <c r="AQ756" s="63"/>
      <c r="AR756" s="63"/>
      <c r="AS756" s="99">
        <f>AT756</f>
        <v>0</v>
      </c>
      <c r="AT756" s="413"/>
      <c r="AU756" s="63"/>
      <c r="AV756" s="63"/>
      <c r="AW756" s="63"/>
      <c r="AX756" s="99">
        <f>AY756</f>
        <v>0</v>
      </c>
      <c r="AY756" s="413"/>
      <c r="AZ756" s="63"/>
      <c r="BA756" s="63"/>
      <c r="BB756" s="63"/>
      <c r="BC756" s="99">
        <f>BD756</f>
        <v>0</v>
      </c>
      <c r="BD756" s="413"/>
      <c r="BE756" s="63"/>
      <c r="BF756" s="63"/>
      <c r="BG756" s="63"/>
      <c r="BH756" s="99">
        <f>BI756</f>
        <v>0</v>
      </c>
      <c r="BI756" s="413"/>
      <c r="BJ756" s="63"/>
      <c r="BK756" s="63"/>
      <c r="BL756" s="63"/>
      <c r="BM756" s="99">
        <f t="shared" si="696"/>
        <v>0</v>
      </c>
      <c r="BN756" s="413"/>
      <c r="BO756" s="63"/>
      <c r="BP756" s="63"/>
      <c r="BQ756" s="63"/>
      <c r="BR756" s="99">
        <f t="shared" si="697"/>
        <v>0</v>
      </c>
      <c r="BS756" s="425"/>
      <c r="BT756" s="63">
        <f t="shared" si="698"/>
        <v>0</v>
      </c>
      <c r="BU756" s="63">
        <f t="shared" si="698"/>
        <v>0</v>
      </c>
      <c r="BV756" s="63">
        <f t="shared" si="698"/>
        <v>0</v>
      </c>
      <c r="BW756" s="63">
        <f t="shared" si="698"/>
        <v>0</v>
      </c>
      <c r="BX756" s="413">
        <f>BW756</f>
        <v>0</v>
      </c>
      <c r="BY756" s="63">
        <f t="shared" si="699"/>
        <v>0</v>
      </c>
      <c r="BZ756" s="63">
        <f t="shared" si="699"/>
        <v>0</v>
      </c>
      <c r="CA756" s="63">
        <f t="shared" si="699"/>
        <v>0</v>
      </c>
      <c r="CB756" s="63">
        <f t="shared" si="699"/>
        <v>0</v>
      </c>
      <c r="CC756" s="413">
        <f>CB756</f>
        <v>0</v>
      </c>
      <c r="CD756" s="413">
        <f t="shared" si="700"/>
        <v>0</v>
      </c>
      <c r="CE756" s="413">
        <f t="shared" si="700"/>
        <v>0</v>
      </c>
      <c r="CF756" s="413">
        <f t="shared" si="700"/>
        <v>0</v>
      </c>
      <c r="CG756" s="99"/>
    </row>
    <row r="757" spans="1:85" ht="14.45" hidden="1" customHeight="1" x14ac:dyDescent="0.25">
      <c r="A757" s="96" t="s">
        <v>682</v>
      </c>
      <c r="B757" s="180"/>
      <c r="C757" s="410">
        <v>92.727000000000004</v>
      </c>
      <c r="D757" s="410">
        <v>96.787000000000006</v>
      </c>
      <c r="E757" s="410">
        <v>105.515</v>
      </c>
      <c r="F757" s="410">
        <v>103.524</v>
      </c>
      <c r="G757" s="98">
        <v>111.423</v>
      </c>
      <c r="H757" s="98">
        <v>121.29600000000001</v>
      </c>
      <c r="I757" s="98">
        <v>114.068</v>
      </c>
      <c r="J757" s="99">
        <f>K757</f>
        <v>105.61</v>
      </c>
      <c r="K757" s="410">
        <v>105.61</v>
      </c>
      <c r="L757" s="98">
        <v>118.205</v>
      </c>
      <c r="M757" s="98">
        <v>133.50899999999999</v>
      </c>
      <c r="N757" s="98">
        <v>121.46599999999999</v>
      </c>
      <c r="O757" s="99">
        <f>P757</f>
        <v>125.726</v>
      </c>
      <c r="P757" s="410">
        <v>125.726</v>
      </c>
      <c r="Q757" s="98">
        <v>144.35599999999999</v>
      </c>
      <c r="R757" s="98">
        <v>192.6</v>
      </c>
      <c r="S757" s="98">
        <v>175.93</v>
      </c>
      <c r="T757" s="99">
        <f>U757</f>
        <v>184.00899999999999</v>
      </c>
      <c r="U757" s="410">
        <v>184.00899999999999</v>
      </c>
      <c r="V757" s="98">
        <v>206.292</v>
      </c>
      <c r="W757" s="98">
        <v>285.44200000000001</v>
      </c>
      <c r="X757" s="98">
        <v>268.11</v>
      </c>
      <c r="Y757" s="99">
        <f>Z757</f>
        <v>271.661</v>
      </c>
      <c r="Z757" s="410">
        <v>271.661</v>
      </c>
      <c r="AA757" s="98">
        <v>293.291</v>
      </c>
      <c r="AB757" s="98">
        <v>389.12400000000002</v>
      </c>
      <c r="AC757" s="98">
        <v>382.07299999999998</v>
      </c>
      <c r="AD757" s="99">
        <f>AE757</f>
        <v>396.02199999999999</v>
      </c>
      <c r="AE757" s="410">
        <v>396.02199999999999</v>
      </c>
      <c r="AF757" s="98">
        <v>419.262</v>
      </c>
      <c r="AG757" s="98">
        <v>456.74799999999999</v>
      </c>
      <c r="AH757" s="98">
        <v>432.38400000000001</v>
      </c>
      <c r="AI757" s="99">
        <f>AJ757</f>
        <v>436.89</v>
      </c>
      <c r="AJ757" s="410">
        <v>436.89</v>
      </c>
      <c r="AK757" s="98">
        <v>425.50400000000002</v>
      </c>
      <c r="AL757" s="98">
        <v>460.911</v>
      </c>
      <c r="AM757" s="98">
        <v>448.52800000000002</v>
      </c>
      <c r="AN757" s="99">
        <f>AO757</f>
        <v>433.55200000000002</v>
      </c>
      <c r="AO757" s="410">
        <v>433.55200000000002</v>
      </c>
      <c r="AP757" s="98">
        <v>470.86799999999999</v>
      </c>
      <c r="AQ757" s="98">
        <v>471.96199999999999</v>
      </c>
      <c r="AR757" s="98">
        <v>453.40199999999999</v>
      </c>
      <c r="AS757" s="99">
        <f>AT757</f>
        <v>425.44499999999999</v>
      </c>
      <c r="AT757" s="410">
        <v>425.44499999999999</v>
      </c>
      <c r="AU757" s="98">
        <v>460.02199999999999</v>
      </c>
      <c r="AV757" s="98">
        <v>481.99799999999999</v>
      </c>
      <c r="AW757" s="98">
        <v>482.21100000000001</v>
      </c>
      <c r="AX757" s="99">
        <f>AY757</f>
        <v>472.27</v>
      </c>
      <c r="AY757" s="410">
        <v>472.27</v>
      </c>
      <c r="AZ757" s="98">
        <v>475.303</v>
      </c>
      <c r="BA757" s="98">
        <v>554.32899999999995</v>
      </c>
      <c r="BB757" s="98">
        <v>557.02599999999995</v>
      </c>
      <c r="BC757" s="99">
        <f>BD757</f>
        <v>532.04700000000003</v>
      </c>
      <c r="BD757" s="410">
        <v>532.04700000000003</v>
      </c>
      <c r="BE757" s="98">
        <v>555.08500000000004</v>
      </c>
      <c r="BF757" s="98">
        <v>603.72799999999995</v>
      </c>
      <c r="BG757" s="98">
        <v>558.13300000000004</v>
      </c>
      <c r="BH757" s="99">
        <f>BI757</f>
        <v>555.93299999999999</v>
      </c>
      <c r="BI757" s="410">
        <v>555.93299999999999</v>
      </c>
      <c r="BJ757" s="98">
        <v>568.01400000000001</v>
      </c>
      <c r="BK757" s="98">
        <v>617.83900000000006</v>
      </c>
      <c r="BL757" s="98">
        <v>572.85900000000004</v>
      </c>
      <c r="BM757" s="99">
        <f t="shared" si="696"/>
        <v>567.65300000000002</v>
      </c>
      <c r="BN757" s="410">
        <v>567.65300000000002</v>
      </c>
      <c r="BO757" s="98">
        <v>557.18600000000004</v>
      </c>
      <c r="BP757" s="98">
        <v>604.24699999999996</v>
      </c>
      <c r="BQ757" s="98">
        <v>588.51199999999994</v>
      </c>
      <c r="BR757" s="99">
        <f t="shared" si="697"/>
        <v>585.77700000000004</v>
      </c>
      <c r="BS757" s="419">
        <v>585.77700000000004</v>
      </c>
      <c r="BT757" s="63"/>
      <c r="BU757" s="63"/>
      <c r="BV757" s="63"/>
      <c r="BW757" s="63"/>
      <c r="BX757" s="413"/>
      <c r="BY757" s="63"/>
      <c r="BZ757" s="63"/>
      <c r="CA757" s="63"/>
      <c r="CB757" s="63"/>
      <c r="CC757" s="413"/>
      <c r="CD757" s="413"/>
      <c r="CE757" s="413"/>
      <c r="CF757" s="413"/>
      <c r="CG757" s="99"/>
    </row>
    <row r="758" spans="1:85" ht="14.45" hidden="1" customHeight="1" x14ac:dyDescent="0.25">
      <c r="A758" s="96" t="s">
        <v>683</v>
      </c>
      <c r="B758" s="180"/>
      <c r="C758" s="413"/>
      <c r="D758" s="413"/>
      <c r="E758" s="413"/>
      <c r="F758" s="413"/>
      <c r="G758" s="63"/>
      <c r="H758" s="63"/>
      <c r="I758" s="63"/>
      <c r="J758" s="63"/>
      <c r="K758" s="413"/>
      <c r="L758" s="63"/>
      <c r="M758" s="63"/>
      <c r="N758" s="63"/>
      <c r="O758" s="63"/>
      <c r="P758" s="413"/>
      <c r="Q758" s="63"/>
      <c r="R758" s="63"/>
      <c r="S758" s="63"/>
      <c r="T758" s="63"/>
      <c r="U758" s="413"/>
      <c r="V758" s="63"/>
      <c r="W758" s="63"/>
      <c r="X758" s="98">
        <v>-3.3730000000000002</v>
      </c>
      <c r="Y758" s="98">
        <v>-4.4480000000000004</v>
      </c>
      <c r="Z758" s="413">
        <f>Y758</f>
        <v>-4.4480000000000004</v>
      </c>
      <c r="AA758" s="98">
        <v>-5.2450000000000001</v>
      </c>
      <c r="AB758" s="98">
        <v>-5.69</v>
      </c>
      <c r="AC758" s="98">
        <v>-5.8369999999999997</v>
      </c>
      <c r="AD758" s="63">
        <f>AE758</f>
        <v>-7.6059999999999999</v>
      </c>
      <c r="AE758" s="410">
        <v>-7.6059999999999999</v>
      </c>
      <c r="AF758" s="98">
        <v>-6.8070000000000004</v>
      </c>
      <c r="AG758" s="98">
        <v>-7.74</v>
      </c>
      <c r="AH758" s="98">
        <v>-9.0690000000000008</v>
      </c>
      <c r="AI758" s="63">
        <f>AJ758</f>
        <v>-9.141</v>
      </c>
      <c r="AJ758" s="410">
        <v>-9.141</v>
      </c>
      <c r="AK758" s="98">
        <v>-11.143000000000001</v>
      </c>
      <c r="AL758" s="98">
        <v>-12.788</v>
      </c>
      <c r="AM758" s="98">
        <v>-13.31</v>
      </c>
      <c r="AN758" s="63">
        <f>AO758</f>
        <v>-13.782</v>
      </c>
      <c r="AO758" s="410">
        <v>-13.782</v>
      </c>
      <c r="AP758" s="98">
        <v>-16.161999999999999</v>
      </c>
      <c r="AQ758" s="98">
        <v>-21.244</v>
      </c>
      <c r="AR758" s="98">
        <v>-25.05</v>
      </c>
      <c r="AS758" s="63">
        <f>AT758</f>
        <v>-21.62</v>
      </c>
      <c r="AT758" s="410">
        <v>-21.62</v>
      </c>
      <c r="AU758" s="98">
        <v>-20.648</v>
      </c>
      <c r="AV758" s="98">
        <v>-16.431999999999999</v>
      </c>
      <c r="AW758" s="98">
        <v>-16.61</v>
      </c>
      <c r="AX758" s="63">
        <f>AY758</f>
        <v>-17.335999999999999</v>
      </c>
      <c r="AY758" s="410">
        <v>-17.335999999999999</v>
      </c>
      <c r="AZ758" s="98">
        <v>-16.762</v>
      </c>
      <c r="BA758" s="98">
        <v>-14.523</v>
      </c>
      <c r="BB758" s="98">
        <v>-15.617000000000001</v>
      </c>
      <c r="BC758" s="63">
        <f>BD758</f>
        <v>-16.119</v>
      </c>
      <c r="BD758" s="410">
        <v>-16.119</v>
      </c>
      <c r="BE758" s="98">
        <v>-17.006</v>
      </c>
      <c r="BF758" s="98">
        <v>-17.623999999999999</v>
      </c>
      <c r="BG758" s="98">
        <v>-18.134</v>
      </c>
      <c r="BH758" s="63">
        <f>BI758</f>
        <v>-16.059999999999999</v>
      </c>
      <c r="BI758" s="410">
        <v>-16.059999999999999</v>
      </c>
      <c r="BJ758" s="98">
        <v>-16.574999999999999</v>
      </c>
      <c r="BK758" s="98">
        <v>-15.276</v>
      </c>
      <c r="BL758" s="98">
        <v>-16.158000000000001</v>
      </c>
      <c r="BM758" s="63">
        <f t="shared" si="696"/>
        <v>-14.673999999999999</v>
      </c>
      <c r="BN758" s="410">
        <v>-14.673999999999999</v>
      </c>
      <c r="BO758" s="98">
        <v>-14.01</v>
      </c>
      <c r="BP758" s="98">
        <v>-11.724</v>
      </c>
      <c r="BQ758" s="98">
        <v>-13.061</v>
      </c>
      <c r="BR758" s="63">
        <f t="shared" si="697"/>
        <v>-11.176</v>
      </c>
      <c r="BS758" s="419">
        <v>-11.176</v>
      </c>
      <c r="BT758" s="63"/>
      <c r="BU758" s="63"/>
      <c r="BV758" s="63"/>
      <c r="BW758" s="63"/>
      <c r="BX758" s="413"/>
      <c r="BY758" s="63"/>
      <c r="BZ758" s="63"/>
      <c r="CA758" s="63"/>
      <c r="CB758" s="63"/>
      <c r="CC758" s="413"/>
      <c r="CD758" s="413"/>
      <c r="CE758" s="413"/>
      <c r="CF758" s="413"/>
      <c r="CG758" s="99"/>
    </row>
    <row r="759" spans="1:85" ht="14.45" hidden="1" customHeight="1" x14ac:dyDescent="0.25">
      <c r="A759" s="96" t="s">
        <v>684</v>
      </c>
      <c r="B759" s="180"/>
      <c r="C759" s="410">
        <v>4.109</v>
      </c>
      <c r="D759" s="410">
        <v>12.081</v>
      </c>
      <c r="E759" s="410">
        <v>9.3000000000000007</v>
      </c>
      <c r="F759" s="410">
        <v>15.521000000000001</v>
      </c>
      <c r="G759" s="98">
        <v>20.803999999999998</v>
      </c>
      <c r="H759" s="98">
        <v>25.114000000000001</v>
      </c>
      <c r="I759" s="98">
        <v>24.548999999999999</v>
      </c>
      <c r="J759" s="99">
        <f>K759</f>
        <v>17.849</v>
      </c>
      <c r="K759" s="410">
        <v>17.849</v>
      </c>
      <c r="L759" s="98">
        <v>25.815999999999999</v>
      </c>
      <c r="M759" s="98">
        <v>30.754999999999999</v>
      </c>
      <c r="N759" s="98">
        <v>33.073999999999998</v>
      </c>
      <c r="O759" s="99">
        <f>P759</f>
        <v>22.741</v>
      </c>
      <c r="P759" s="410">
        <v>22.741</v>
      </c>
      <c r="Q759" s="98">
        <v>30.638999999999999</v>
      </c>
      <c r="R759" s="98">
        <v>41.323999999999998</v>
      </c>
      <c r="S759" s="98">
        <v>42.348999999999997</v>
      </c>
      <c r="T759" s="99">
        <f>U759</f>
        <v>28.564</v>
      </c>
      <c r="U759" s="410">
        <v>28.564</v>
      </c>
      <c r="V759" s="98">
        <v>53.091999999999999</v>
      </c>
      <c r="W759" s="98">
        <v>51.62</v>
      </c>
      <c r="X759" s="98">
        <v>52.046999999999997</v>
      </c>
      <c r="Y759" s="99">
        <f>Z759</f>
        <v>67.590999999999994</v>
      </c>
      <c r="Z759" s="410">
        <v>67.590999999999994</v>
      </c>
      <c r="AA759" s="98">
        <v>76.179000000000002</v>
      </c>
      <c r="AB759" s="98">
        <v>87.29</v>
      </c>
      <c r="AC759" s="98">
        <v>65.900000000000006</v>
      </c>
      <c r="AD759" s="99">
        <f>AE759</f>
        <v>65.995999999999995</v>
      </c>
      <c r="AE759" s="410">
        <v>65.995999999999995</v>
      </c>
      <c r="AF759" s="98">
        <v>69.643000000000001</v>
      </c>
      <c r="AG759" s="98">
        <v>64.144000000000005</v>
      </c>
      <c r="AH759" s="98">
        <v>62.540999999999997</v>
      </c>
      <c r="AI759" s="99">
        <f>AJ759</f>
        <v>44.914999999999999</v>
      </c>
      <c r="AJ759" s="410">
        <v>44.914999999999999</v>
      </c>
      <c r="AK759" s="98">
        <v>56.445</v>
      </c>
      <c r="AL759" s="98">
        <v>68.188000000000002</v>
      </c>
      <c r="AM759" s="98">
        <v>60.423999999999999</v>
      </c>
      <c r="AN759" s="99">
        <f>AO759</f>
        <v>62.411000000000001</v>
      </c>
      <c r="AO759" s="410">
        <v>62.411000000000001</v>
      </c>
      <c r="AP759" s="98">
        <v>56.66</v>
      </c>
      <c r="AQ759" s="98">
        <v>48.091999999999999</v>
      </c>
      <c r="AR759" s="98">
        <v>54.515999999999998</v>
      </c>
      <c r="AS759" s="99">
        <f>AT759</f>
        <v>49.203000000000003</v>
      </c>
      <c r="AT759" s="410">
        <v>49.203000000000003</v>
      </c>
      <c r="AU759" s="98">
        <v>62.731999999999999</v>
      </c>
      <c r="AV759" s="98">
        <v>58.475000000000001</v>
      </c>
      <c r="AW759" s="98">
        <v>58.323</v>
      </c>
      <c r="AX759" s="99">
        <f>AY759</f>
        <v>57.737000000000002</v>
      </c>
      <c r="AY759" s="410">
        <v>57.737000000000002</v>
      </c>
      <c r="AZ759" s="98">
        <v>55.302</v>
      </c>
      <c r="BA759" s="98">
        <v>49.576999999999998</v>
      </c>
      <c r="BB759" s="98">
        <v>46.744999999999997</v>
      </c>
      <c r="BC759" s="99">
        <f>BD759</f>
        <v>35.786000000000001</v>
      </c>
      <c r="BD759" s="410">
        <v>35.786000000000001</v>
      </c>
      <c r="BE759" s="98">
        <v>46.593000000000004</v>
      </c>
      <c r="BF759" s="98">
        <v>57.466000000000001</v>
      </c>
      <c r="BG759" s="98">
        <v>55.697000000000003</v>
      </c>
      <c r="BH759" s="99">
        <f>BI759</f>
        <v>51.936</v>
      </c>
      <c r="BI759" s="410">
        <v>51.936</v>
      </c>
      <c r="BJ759" s="98">
        <v>60.74</v>
      </c>
      <c r="BK759" s="98">
        <v>72.44</v>
      </c>
      <c r="BL759" s="98">
        <v>88.447000000000003</v>
      </c>
      <c r="BM759" s="99">
        <f t="shared" si="696"/>
        <v>89.870999999999995</v>
      </c>
      <c r="BN759" s="410">
        <v>89.870999999999995</v>
      </c>
      <c r="BO759" s="98">
        <v>96.685000000000002</v>
      </c>
      <c r="BP759" s="98">
        <v>87.221000000000004</v>
      </c>
      <c r="BQ759" s="98">
        <v>85.944999999999993</v>
      </c>
      <c r="BR759" s="99">
        <f t="shared" si="697"/>
        <v>70.197000000000003</v>
      </c>
      <c r="BS759" s="419">
        <v>70.197000000000003</v>
      </c>
      <c r="BT759" s="63"/>
      <c r="BU759" s="63"/>
      <c r="BV759" s="63"/>
      <c r="BW759" s="63"/>
      <c r="BX759" s="413"/>
      <c r="BY759" s="63"/>
      <c r="BZ759" s="63"/>
      <c r="CA759" s="63"/>
      <c r="CB759" s="63"/>
      <c r="CC759" s="413"/>
      <c r="CD759" s="413"/>
      <c r="CE759" s="413"/>
      <c r="CF759" s="413"/>
      <c r="CG759" s="99"/>
    </row>
    <row r="760" spans="1:85" ht="14.45" hidden="1" customHeight="1" x14ac:dyDescent="0.25">
      <c r="A760" s="100" t="s">
        <v>685</v>
      </c>
      <c r="B760" s="190"/>
      <c r="C760" s="414">
        <v>17.004999999999999</v>
      </c>
      <c r="D760" s="414">
        <v>15.829000000000001</v>
      </c>
      <c r="E760" s="414">
        <v>15.874000000000001</v>
      </c>
      <c r="F760" s="414">
        <v>12.875999999999999</v>
      </c>
      <c r="G760" s="102">
        <v>11.62</v>
      </c>
      <c r="H760" s="102">
        <v>12.379</v>
      </c>
      <c r="I760" s="102">
        <v>14.526</v>
      </c>
      <c r="J760" s="103">
        <f>K760</f>
        <v>15.135999999999999</v>
      </c>
      <c r="K760" s="414">
        <v>15.135999999999999</v>
      </c>
      <c r="L760" s="102">
        <v>11.968999999999999</v>
      </c>
      <c r="M760" s="102">
        <v>13.872999999999999</v>
      </c>
      <c r="N760" s="102">
        <v>15.66</v>
      </c>
      <c r="O760" s="103">
        <f>P760</f>
        <v>14.531000000000001</v>
      </c>
      <c r="P760" s="414">
        <v>14.531000000000001</v>
      </c>
      <c r="Q760" s="102">
        <v>12.308</v>
      </c>
      <c r="R760" s="102">
        <v>19.466999999999999</v>
      </c>
      <c r="S760" s="102">
        <v>22.52</v>
      </c>
      <c r="T760" s="103">
        <f>U760</f>
        <v>24.047000000000001</v>
      </c>
      <c r="U760" s="414">
        <v>24.047000000000001</v>
      </c>
      <c r="V760" s="102">
        <v>26.824000000000002</v>
      </c>
      <c r="W760" s="102">
        <v>24.172999999999998</v>
      </c>
      <c r="X760" s="102">
        <v>32.494</v>
      </c>
      <c r="Y760" s="103">
        <f>Z760</f>
        <v>29.77</v>
      </c>
      <c r="Z760" s="414">
        <v>29.77</v>
      </c>
      <c r="AA760" s="102">
        <v>21.341999999999999</v>
      </c>
      <c r="AB760" s="102">
        <v>29.824999999999999</v>
      </c>
      <c r="AC760" s="102">
        <v>38.078000000000003</v>
      </c>
      <c r="AD760" s="103">
        <f>AE760</f>
        <v>38.96</v>
      </c>
      <c r="AE760" s="414">
        <v>38.96</v>
      </c>
      <c r="AF760" s="102">
        <v>22.841999999999999</v>
      </c>
      <c r="AG760" s="102">
        <v>29.036999999999999</v>
      </c>
      <c r="AH760" s="102">
        <v>28.632000000000001</v>
      </c>
      <c r="AI760" s="103">
        <f>AJ760</f>
        <v>30.492999999999999</v>
      </c>
      <c r="AJ760" s="414">
        <v>30.492999999999999</v>
      </c>
      <c r="AK760" s="102">
        <v>39.454000000000001</v>
      </c>
      <c r="AL760" s="102">
        <v>38.692</v>
      </c>
      <c r="AM760" s="102">
        <v>40.113999999999997</v>
      </c>
      <c r="AN760" s="103">
        <f>AO760</f>
        <v>43.094000000000001</v>
      </c>
      <c r="AO760" s="414">
        <v>43.094000000000001</v>
      </c>
      <c r="AP760" s="102">
        <v>42.155000000000001</v>
      </c>
      <c r="AQ760" s="102">
        <v>40.453000000000003</v>
      </c>
      <c r="AR760" s="102">
        <v>44.569000000000003</v>
      </c>
      <c r="AS760" s="103">
        <f>AT760</f>
        <v>37.084000000000003</v>
      </c>
      <c r="AT760" s="414">
        <v>37.084000000000003</v>
      </c>
      <c r="AU760" s="102">
        <v>32.609000000000002</v>
      </c>
      <c r="AV760" s="102">
        <v>26.373999999999999</v>
      </c>
      <c r="AW760" s="102">
        <v>29.238</v>
      </c>
      <c r="AX760" s="103">
        <f>AY760</f>
        <v>33.878</v>
      </c>
      <c r="AY760" s="414">
        <v>33.878</v>
      </c>
      <c r="AZ760" s="102">
        <v>36.838999999999999</v>
      </c>
      <c r="BA760" s="102">
        <v>41.588999999999999</v>
      </c>
      <c r="BB760" s="102">
        <v>70.168000000000006</v>
      </c>
      <c r="BC760" s="103">
        <f>BD760</f>
        <v>54.631</v>
      </c>
      <c r="BD760" s="414">
        <v>54.631</v>
      </c>
      <c r="BE760" s="102">
        <v>53.573</v>
      </c>
      <c r="BF760" s="102">
        <v>55.762999999999998</v>
      </c>
      <c r="BG760" s="102">
        <v>52.851999999999997</v>
      </c>
      <c r="BH760" s="103">
        <f>BI760</f>
        <v>67.533000000000001</v>
      </c>
      <c r="BI760" s="414">
        <v>67.533000000000001</v>
      </c>
      <c r="BJ760" s="102">
        <v>67.096000000000004</v>
      </c>
      <c r="BK760" s="102">
        <v>41.808</v>
      </c>
      <c r="BL760" s="102">
        <v>46.832999999999998</v>
      </c>
      <c r="BM760" s="103">
        <f t="shared" si="696"/>
        <v>40.692</v>
      </c>
      <c r="BN760" s="414">
        <v>40.692</v>
      </c>
      <c r="BO760" s="102">
        <v>45.286999999999999</v>
      </c>
      <c r="BP760" s="102">
        <v>39.369</v>
      </c>
      <c r="BQ760" s="102">
        <v>49.402999999999999</v>
      </c>
      <c r="BR760" s="103">
        <f t="shared" si="697"/>
        <v>54.889000000000003</v>
      </c>
      <c r="BS760" s="420">
        <v>54.889000000000003</v>
      </c>
      <c r="BT760" s="158"/>
      <c r="BU760" s="158"/>
      <c r="BV760" s="158"/>
      <c r="BW760" s="158"/>
      <c r="BX760" s="415"/>
      <c r="BY760" s="158"/>
      <c r="BZ760" s="158"/>
      <c r="CA760" s="158"/>
      <c r="CB760" s="158"/>
      <c r="CC760" s="415"/>
      <c r="CD760" s="415"/>
      <c r="CE760" s="415"/>
      <c r="CF760" s="415"/>
      <c r="CG760" s="99"/>
    </row>
    <row r="761" spans="1:85" ht="14.45" customHeight="1" x14ac:dyDescent="0.25">
      <c r="A761" s="125" t="s">
        <v>686</v>
      </c>
      <c r="B761" s="180"/>
      <c r="C761" s="467">
        <f t="shared" ref="C761:AH761" si="701">SUM(C757:C760)</f>
        <v>113.84099999999999</v>
      </c>
      <c r="D761" s="467">
        <f t="shared" si="701"/>
        <v>124.697</v>
      </c>
      <c r="E761" s="467">
        <f t="shared" si="701"/>
        <v>130.68899999999999</v>
      </c>
      <c r="F761" s="467">
        <f t="shared" si="701"/>
        <v>131.92099999999999</v>
      </c>
      <c r="G761" s="99">
        <f t="shared" si="701"/>
        <v>143.84700000000001</v>
      </c>
      <c r="H761" s="99">
        <f t="shared" si="701"/>
        <v>158.78899999999999</v>
      </c>
      <c r="I761" s="99">
        <f t="shared" si="701"/>
        <v>153.143</v>
      </c>
      <c r="J761" s="99">
        <f t="shared" si="701"/>
        <v>138.595</v>
      </c>
      <c r="K761" s="467">
        <f t="shared" si="701"/>
        <v>138.595</v>
      </c>
      <c r="L761" s="99">
        <f t="shared" si="701"/>
        <v>155.98999999999998</v>
      </c>
      <c r="M761" s="99">
        <f t="shared" si="701"/>
        <v>178.13699999999997</v>
      </c>
      <c r="N761" s="99">
        <f t="shared" si="701"/>
        <v>170.2</v>
      </c>
      <c r="O761" s="99">
        <f t="shared" si="701"/>
        <v>162.99799999999999</v>
      </c>
      <c r="P761" s="467">
        <f t="shared" si="701"/>
        <v>162.99799999999999</v>
      </c>
      <c r="Q761" s="99">
        <f t="shared" si="701"/>
        <v>187.303</v>
      </c>
      <c r="R761" s="99">
        <f t="shared" si="701"/>
        <v>253.39099999999996</v>
      </c>
      <c r="S761" s="99">
        <f t="shared" si="701"/>
        <v>240.79900000000001</v>
      </c>
      <c r="T761" s="99">
        <f t="shared" si="701"/>
        <v>236.61999999999998</v>
      </c>
      <c r="U761" s="467">
        <f t="shared" si="701"/>
        <v>236.61999999999998</v>
      </c>
      <c r="V761" s="99">
        <f t="shared" si="701"/>
        <v>286.20800000000003</v>
      </c>
      <c r="W761" s="99">
        <f t="shared" si="701"/>
        <v>361.23500000000001</v>
      </c>
      <c r="X761" s="99">
        <f t="shared" si="701"/>
        <v>349.27800000000002</v>
      </c>
      <c r="Y761" s="99">
        <f t="shared" si="701"/>
        <v>364.57400000000001</v>
      </c>
      <c r="Z761" s="467">
        <f t="shared" si="701"/>
        <v>364.57400000000001</v>
      </c>
      <c r="AA761" s="99">
        <f t="shared" si="701"/>
        <v>385.56700000000001</v>
      </c>
      <c r="AB761" s="99">
        <f t="shared" si="701"/>
        <v>500.54900000000004</v>
      </c>
      <c r="AC761" s="99">
        <f t="shared" si="701"/>
        <v>480.21399999999994</v>
      </c>
      <c r="AD761" s="99">
        <f t="shared" si="701"/>
        <v>493.37199999999996</v>
      </c>
      <c r="AE761" s="467">
        <f t="shared" si="701"/>
        <v>493.37199999999996</v>
      </c>
      <c r="AF761" s="99">
        <f t="shared" si="701"/>
        <v>504.93999999999994</v>
      </c>
      <c r="AG761" s="99">
        <f t="shared" si="701"/>
        <v>542.18900000000008</v>
      </c>
      <c r="AH761" s="99">
        <f t="shared" si="701"/>
        <v>514.48799999999994</v>
      </c>
      <c r="AI761" s="99">
        <f t="shared" ref="AI761:BN761" si="702">SUM(AI757:AI760)</f>
        <v>503.15699999999998</v>
      </c>
      <c r="AJ761" s="467">
        <f t="shared" si="702"/>
        <v>503.15699999999998</v>
      </c>
      <c r="AK761" s="99">
        <f t="shared" si="702"/>
        <v>510.26</v>
      </c>
      <c r="AL761" s="99">
        <f t="shared" si="702"/>
        <v>555.00300000000004</v>
      </c>
      <c r="AM761" s="99">
        <f t="shared" si="702"/>
        <v>535.75599999999997</v>
      </c>
      <c r="AN761" s="99">
        <f t="shared" si="702"/>
        <v>525.27500000000009</v>
      </c>
      <c r="AO761" s="467">
        <f t="shared" si="702"/>
        <v>525.27500000000009</v>
      </c>
      <c r="AP761" s="99">
        <f t="shared" si="702"/>
        <v>553.52099999999996</v>
      </c>
      <c r="AQ761" s="99">
        <f t="shared" si="702"/>
        <v>539.26299999999992</v>
      </c>
      <c r="AR761" s="99">
        <f t="shared" si="702"/>
        <v>527.43700000000001</v>
      </c>
      <c r="AS761" s="99">
        <f t="shared" si="702"/>
        <v>490.11200000000002</v>
      </c>
      <c r="AT761" s="467">
        <f t="shared" si="702"/>
        <v>490.11200000000002</v>
      </c>
      <c r="AU761" s="99">
        <f t="shared" si="702"/>
        <v>534.71500000000003</v>
      </c>
      <c r="AV761" s="99">
        <f t="shared" si="702"/>
        <v>550.41499999999996</v>
      </c>
      <c r="AW761" s="99">
        <f t="shared" si="702"/>
        <v>553.16200000000003</v>
      </c>
      <c r="AX761" s="99">
        <f t="shared" si="702"/>
        <v>546.54899999999998</v>
      </c>
      <c r="AY761" s="467">
        <f t="shared" si="702"/>
        <v>546.54899999999998</v>
      </c>
      <c r="AZ761" s="99">
        <f t="shared" si="702"/>
        <v>550.68200000000002</v>
      </c>
      <c r="BA761" s="99">
        <f t="shared" si="702"/>
        <v>630.97199999999998</v>
      </c>
      <c r="BB761" s="99">
        <f t="shared" si="702"/>
        <v>658.322</v>
      </c>
      <c r="BC761" s="99">
        <f t="shared" si="702"/>
        <v>606.34499999999991</v>
      </c>
      <c r="BD761" s="467">
        <f t="shared" si="702"/>
        <v>606.34499999999991</v>
      </c>
      <c r="BE761" s="99">
        <f t="shared" si="702"/>
        <v>638.245</v>
      </c>
      <c r="BF761" s="99">
        <f t="shared" si="702"/>
        <v>699.33299999999997</v>
      </c>
      <c r="BG761" s="99">
        <f t="shared" si="702"/>
        <v>648.548</v>
      </c>
      <c r="BH761" s="99">
        <f t="shared" si="702"/>
        <v>659.3420000000001</v>
      </c>
      <c r="BI761" s="467">
        <f t="shared" si="702"/>
        <v>659.3420000000001</v>
      </c>
      <c r="BJ761" s="99">
        <f t="shared" si="702"/>
        <v>679.27499999999998</v>
      </c>
      <c r="BK761" s="99">
        <f t="shared" si="702"/>
        <v>716.81100000000015</v>
      </c>
      <c r="BL761" s="99">
        <f t="shared" si="702"/>
        <v>691.98099999999999</v>
      </c>
      <c r="BM761" s="99">
        <f t="shared" si="702"/>
        <v>683.54200000000003</v>
      </c>
      <c r="BN761" s="467">
        <f t="shared" si="702"/>
        <v>683.54200000000003</v>
      </c>
      <c r="BO761" s="99">
        <f t="shared" ref="BO761:BS761" si="703">SUM(BO757:BO760)</f>
        <v>685.14800000000014</v>
      </c>
      <c r="BP761" s="99">
        <f t="shared" si="703"/>
        <v>719.11299999999994</v>
      </c>
      <c r="BQ761" s="99">
        <f t="shared" si="703"/>
        <v>710.79899999999998</v>
      </c>
      <c r="BR761" s="99">
        <f t="shared" si="703"/>
        <v>699.68700000000001</v>
      </c>
      <c r="BS761" s="468">
        <f t="shared" si="703"/>
        <v>699.68700000000001</v>
      </c>
      <c r="BT761" s="63">
        <f>(BT$401+BR$401+BQ$401+BP$401)*BT722</f>
        <v>720.42112297496317</v>
      </c>
      <c r="BU761" s="63">
        <f>(BU$401+BT$401+BR$401+BQ$401)*BU722</f>
        <v>753.78708949199711</v>
      </c>
      <c r="BV761" s="63">
        <f>(BV$401+BU$401+BT$401+BR$401)*BV722</f>
        <v>739.94818541874656</v>
      </c>
      <c r="BW761" s="63">
        <f>(BW$401+BV$401+BU$401+BT$401)*BW722</f>
        <v>715.25865600734335</v>
      </c>
      <c r="BX761" s="413">
        <f>BW761</f>
        <v>715.25865600734335</v>
      </c>
      <c r="BY761" s="63">
        <f>(BY$401+BW$401+BV$401+BU$401)*BY722</f>
        <v>736.48373366071348</v>
      </c>
      <c r="BZ761" s="63">
        <f>(BZ$401+BY$401+BW$401+BV$401)*BZ722</f>
        <v>768.27076714549855</v>
      </c>
      <c r="CA761" s="63">
        <f>(CA$401+BZ$401+BY$401+BW$401)*CA722</f>
        <v>748.1736778419629</v>
      </c>
      <c r="CB761" s="63">
        <f>(CB$401+CA$401+BZ$401+BY$401)*CB722</f>
        <v>722.16513768449113</v>
      </c>
      <c r="CC761" s="413">
        <f>CB761</f>
        <v>722.16513768449113</v>
      </c>
      <c r="CD761" s="413">
        <f>CD401*CD722</f>
        <v>730.38822161366602</v>
      </c>
      <c r="CE761" s="413">
        <f>CE401*CE722</f>
        <v>738.74466612730203</v>
      </c>
      <c r="CF761" s="413">
        <f>CF401*CF722</f>
        <v>747.2369829316176</v>
      </c>
      <c r="CG761" s="99"/>
    </row>
    <row r="762" spans="1:85" ht="14.45" customHeight="1" x14ac:dyDescent="0.25">
      <c r="A762" s="125" t="s">
        <v>687</v>
      </c>
      <c r="B762" s="180"/>
      <c r="C762" s="410">
        <v>59.122</v>
      </c>
      <c r="D762" s="410">
        <v>64.87</v>
      </c>
      <c r="E762" s="410">
        <v>66.158000000000001</v>
      </c>
      <c r="F762" s="410">
        <v>65.924000000000007</v>
      </c>
      <c r="G762" s="98">
        <v>74.097999999999999</v>
      </c>
      <c r="H762" s="98">
        <v>75.352999999999994</v>
      </c>
      <c r="I762" s="98">
        <v>70.254999999999995</v>
      </c>
      <c r="J762" s="99">
        <f>K762</f>
        <v>61.987000000000002</v>
      </c>
      <c r="K762" s="410">
        <v>61.987000000000002</v>
      </c>
      <c r="L762" s="98">
        <v>76.113</v>
      </c>
      <c r="M762" s="98">
        <v>83.313000000000002</v>
      </c>
      <c r="N762" s="98">
        <v>80.123000000000005</v>
      </c>
      <c r="O762" s="99">
        <f>P762</f>
        <v>70.739999999999995</v>
      </c>
      <c r="P762" s="410">
        <v>70.739999999999995</v>
      </c>
      <c r="Q762" s="98">
        <v>91.129000000000005</v>
      </c>
      <c r="R762" s="98">
        <v>99.641000000000005</v>
      </c>
      <c r="S762" s="98">
        <v>94.147999999999996</v>
      </c>
      <c r="T762" s="99">
        <f>U762</f>
        <v>89.463999999999999</v>
      </c>
      <c r="U762" s="410">
        <v>89.463999999999999</v>
      </c>
      <c r="V762" s="98">
        <v>110.45</v>
      </c>
      <c r="W762" s="98">
        <v>126.73099999999999</v>
      </c>
      <c r="X762" s="98">
        <v>126.039</v>
      </c>
      <c r="Y762" s="99">
        <f>Z762</f>
        <v>143.553</v>
      </c>
      <c r="Z762" s="410">
        <v>143.553</v>
      </c>
      <c r="AA762" s="98">
        <v>180.05199999999999</v>
      </c>
      <c r="AB762" s="98">
        <v>200.441</v>
      </c>
      <c r="AC762" s="98">
        <v>191.94300000000001</v>
      </c>
      <c r="AD762" s="99">
        <f>AE762</f>
        <v>183.61799999999999</v>
      </c>
      <c r="AE762" s="410">
        <v>183.61799999999999</v>
      </c>
      <c r="AF762" s="98">
        <v>207.16300000000001</v>
      </c>
      <c r="AG762" s="98">
        <v>222.07300000000001</v>
      </c>
      <c r="AH762" s="98">
        <v>229.892</v>
      </c>
      <c r="AI762" s="99">
        <f>AJ762</f>
        <v>210.03299999999999</v>
      </c>
      <c r="AJ762" s="410">
        <v>210.03299999999999</v>
      </c>
      <c r="AK762" s="98">
        <v>220.31700000000001</v>
      </c>
      <c r="AL762" s="98">
        <v>230.898</v>
      </c>
      <c r="AM762" s="98">
        <v>231.75200000000001</v>
      </c>
      <c r="AN762" s="99">
        <f>AO762</f>
        <v>225.92599999999999</v>
      </c>
      <c r="AO762" s="410">
        <v>225.92599999999999</v>
      </c>
      <c r="AP762" s="98">
        <v>228.624</v>
      </c>
      <c r="AQ762" s="98">
        <v>211.12799999999999</v>
      </c>
      <c r="AR762" s="98">
        <v>207.773</v>
      </c>
      <c r="AS762" s="99">
        <f>AT762</f>
        <v>225.75700000000001</v>
      </c>
      <c r="AT762" s="410">
        <v>225.75700000000001</v>
      </c>
      <c r="AU762" s="98">
        <v>257.363</v>
      </c>
      <c r="AV762" s="98">
        <v>237.82300000000001</v>
      </c>
      <c r="AW762" s="98">
        <v>240.495</v>
      </c>
      <c r="AX762" s="99">
        <f>AY762</f>
        <v>302.851</v>
      </c>
      <c r="AY762" s="410">
        <v>302.851</v>
      </c>
      <c r="AZ762" s="98">
        <v>276.27800000000002</v>
      </c>
      <c r="BA762" s="98">
        <v>303.53899999999999</v>
      </c>
      <c r="BB762" s="98">
        <v>313.69900000000001</v>
      </c>
      <c r="BC762" s="99">
        <f>BD762</f>
        <v>347.54500000000002</v>
      </c>
      <c r="BD762" s="410">
        <v>347.54500000000002</v>
      </c>
      <c r="BE762" s="98">
        <v>337.31299999999999</v>
      </c>
      <c r="BF762" s="98">
        <v>333.87400000000002</v>
      </c>
      <c r="BG762" s="98">
        <v>320.40100000000001</v>
      </c>
      <c r="BH762" s="99">
        <f>BI762</f>
        <v>321.93200000000002</v>
      </c>
      <c r="BI762" s="410">
        <v>321.93200000000002</v>
      </c>
      <c r="BJ762" s="98">
        <v>361.08600000000001</v>
      </c>
      <c r="BK762" s="98">
        <v>338.24900000000002</v>
      </c>
      <c r="BL762" s="98">
        <v>334.68099999999998</v>
      </c>
      <c r="BM762" s="99">
        <f>BN762</f>
        <v>330.39499999999998</v>
      </c>
      <c r="BN762" s="410">
        <v>330.39499999999998</v>
      </c>
      <c r="BO762" s="98">
        <v>340.214</v>
      </c>
      <c r="BP762" s="98">
        <v>349.16800000000001</v>
      </c>
      <c r="BQ762" s="98">
        <v>354.85700000000003</v>
      </c>
      <c r="BR762" s="99">
        <f>BS762</f>
        <v>336.40100000000001</v>
      </c>
      <c r="BS762" s="419">
        <v>336.40100000000001</v>
      </c>
      <c r="BT762" s="63">
        <f>(BT$401+BR$401+BQ$401+BP$401)*BT723</f>
        <v>357.7290628182584</v>
      </c>
      <c r="BU762" s="63">
        <f>(BU$401+BT$401+BR$401+BQ$401)*BU723</f>
        <v>366.00413351412323</v>
      </c>
      <c r="BV762" s="63">
        <f>(BV$401+BU$401+BT$401+BR$401)*BV723</f>
        <v>369.40934530456593</v>
      </c>
      <c r="BW762" s="63">
        <f>(BW$401+BV$401+BU$401+BT$401)*BW723</f>
        <v>343.88766282570106</v>
      </c>
      <c r="BX762" s="413">
        <f>BW762</f>
        <v>343.88766282570106</v>
      </c>
      <c r="BY762" s="63">
        <f>(BY$401+BW$401+BV$401+BU$401)*BY723</f>
        <v>365.70504031777938</v>
      </c>
      <c r="BZ762" s="63">
        <f>(BZ$401+BY$401+BW$401+BV$401)*BZ723</f>
        <v>373.03673723414749</v>
      </c>
      <c r="CA762" s="63">
        <f>(CA$401+BZ$401+BY$401+BW$401)*CA723</f>
        <v>373.51581360970607</v>
      </c>
      <c r="CB762" s="63">
        <f>(CB$401+CA$401+BZ$401+BY$401)*CB723</f>
        <v>347.20821521937739</v>
      </c>
      <c r="CC762" s="413">
        <f>CB762</f>
        <v>347.20821521937739</v>
      </c>
      <c r="CD762" s="413">
        <f>CD401*CD723</f>
        <v>351.16177396329914</v>
      </c>
      <c r="CE762" s="413">
        <f>CE401*CE723</f>
        <v>355.1794508542971</v>
      </c>
      <c r="CF762" s="413">
        <f>CF401*CF723</f>
        <v>359.26245349017364</v>
      </c>
      <c r="CG762" s="99"/>
    </row>
    <row r="763" spans="1:85" ht="14.45" customHeight="1" x14ac:dyDescent="0.25">
      <c r="A763" s="125" t="s">
        <v>688</v>
      </c>
      <c r="B763" s="180"/>
      <c r="C763" s="410">
        <v>35.015999999999998</v>
      </c>
      <c r="D763" s="410">
        <v>25.76</v>
      </c>
      <c r="E763" s="410">
        <v>31.606999999999999</v>
      </c>
      <c r="F763" s="410">
        <v>33.067999999999998</v>
      </c>
      <c r="G763" s="98">
        <v>32.088000000000001</v>
      </c>
      <c r="H763" s="98">
        <v>31.100999999999999</v>
      </c>
      <c r="I763" s="98">
        <v>32.209000000000003</v>
      </c>
      <c r="J763" s="99">
        <f>K763</f>
        <v>26.872</v>
      </c>
      <c r="K763" s="410">
        <v>26.872</v>
      </c>
      <c r="L763" s="98">
        <v>29.562999999999999</v>
      </c>
      <c r="M763" s="98">
        <v>30.315999999999999</v>
      </c>
      <c r="N763" s="98">
        <v>30.46</v>
      </c>
      <c r="O763" s="99">
        <f>P763</f>
        <v>44.167999999999999</v>
      </c>
      <c r="P763" s="410">
        <v>44.167999999999999</v>
      </c>
      <c r="Q763" s="98">
        <v>39.734999999999999</v>
      </c>
      <c r="R763" s="98">
        <v>41.084000000000003</v>
      </c>
      <c r="S763" s="98">
        <v>39.972000000000001</v>
      </c>
      <c r="T763" s="99">
        <f>U763</f>
        <v>53.337000000000003</v>
      </c>
      <c r="U763" s="410">
        <v>53.337000000000003</v>
      </c>
      <c r="V763" s="98">
        <v>49.427999999999997</v>
      </c>
      <c r="W763" s="98">
        <v>53.174999999999997</v>
      </c>
      <c r="X763" s="98">
        <v>51.131999999999998</v>
      </c>
      <c r="Y763" s="99">
        <f>Z763</f>
        <v>63.834000000000003</v>
      </c>
      <c r="Z763" s="410">
        <v>63.834000000000003</v>
      </c>
      <c r="AA763" s="98">
        <v>61.603999999999999</v>
      </c>
      <c r="AB763" s="98">
        <v>66.870999999999995</v>
      </c>
      <c r="AC763" s="98">
        <v>129.67400000000001</v>
      </c>
      <c r="AD763" s="99">
        <f>AE763</f>
        <v>100.646</v>
      </c>
      <c r="AE763" s="410">
        <v>100.646</v>
      </c>
      <c r="AF763" s="98">
        <v>108.319</v>
      </c>
      <c r="AG763" s="98">
        <v>88.9</v>
      </c>
      <c r="AH763" s="98">
        <v>91.513999999999996</v>
      </c>
      <c r="AI763" s="99">
        <f>AJ763</f>
        <v>70.680000000000007</v>
      </c>
      <c r="AJ763" s="410">
        <v>70.680000000000007</v>
      </c>
      <c r="AK763" s="98">
        <v>69.356999999999999</v>
      </c>
      <c r="AL763" s="98">
        <v>72.326999999999998</v>
      </c>
      <c r="AM763" s="98">
        <v>78.397000000000006</v>
      </c>
      <c r="AN763" s="99">
        <f>AO763</f>
        <v>69.460999999999999</v>
      </c>
      <c r="AO763" s="410">
        <v>69.460999999999999</v>
      </c>
      <c r="AP763" s="98">
        <v>73.591999999999999</v>
      </c>
      <c r="AQ763" s="98">
        <v>72.17</v>
      </c>
      <c r="AR763" s="98">
        <v>69.829000000000008</v>
      </c>
      <c r="AS763" s="99">
        <f>AT763</f>
        <v>74.146000000000001</v>
      </c>
      <c r="AT763" s="410">
        <v>74.146000000000001</v>
      </c>
      <c r="AU763" s="98">
        <v>76.591999999999999</v>
      </c>
      <c r="AV763" s="98">
        <v>76.322999999999993</v>
      </c>
      <c r="AW763" s="98">
        <v>84.152000000000001</v>
      </c>
      <c r="AX763" s="99">
        <f>AY763</f>
        <v>78.067999999999998</v>
      </c>
      <c r="AY763" s="410">
        <v>78.067999999999998</v>
      </c>
      <c r="AZ763" s="98">
        <v>94.150999999999996</v>
      </c>
      <c r="BA763" s="98">
        <v>86.843999999999994</v>
      </c>
      <c r="BB763" s="98">
        <v>91.959000000000003</v>
      </c>
      <c r="BC763" s="99">
        <f>BD763</f>
        <v>94.263000000000005</v>
      </c>
      <c r="BD763" s="410">
        <v>94.263000000000005</v>
      </c>
      <c r="BE763" s="98">
        <v>88.287999999999997</v>
      </c>
      <c r="BF763" s="98">
        <v>84.634</v>
      </c>
      <c r="BG763" s="98">
        <v>91.308999999999997</v>
      </c>
      <c r="BH763" s="99">
        <f>BI763</f>
        <v>88.584999999999994</v>
      </c>
      <c r="BI763" s="410">
        <v>88.584999999999994</v>
      </c>
      <c r="BJ763" s="98">
        <v>89.593000000000004</v>
      </c>
      <c r="BK763" s="98">
        <v>83.224999999999994</v>
      </c>
      <c r="BL763" s="98">
        <v>93.421000000000006</v>
      </c>
      <c r="BM763" s="99">
        <f>BN763</f>
        <v>96.331000000000003</v>
      </c>
      <c r="BN763" s="410">
        <v>96.331000000000003</v>
      </c>
      <c r="BO763" s="98">
        <v>96.216999999999999</v>
      </c>
      <c r="BP763" s="98">
        <v>92.846999999999994</v>
      </c>
      <c r="BQ763" s="98">
        <v>100.55</v>
      </c>
      <c r="BR763" s="99">
        <f>BS763</f>
        <v>108.66800000000001</v>
      </c>
      <c r="BS763" s="419">
        <v>108.66800000000001</v>
      </c>
      <c r="BT763" s="63">
        <f t="shared" ref="BT763:BW764" si="704">BS763</f>
        <v>108.66800000000001</v>
      </c>
      <c r="BU763" s="63">
        <f t="shared" si="704"/>
        <v>108.66800000000001</v>
      </c>
      <c r="BV763" s="63">
        <f t="shared" si="704"/>
        <v>108.66800000000001</v>
      </c>
      <c r="BW763" s="63">
        <f t="shared" si="704"/>
        <v>108.66800000000001</v>
      </c>
      <c r="BX763" s="413">
        <f>BW763</f>
        <v>108.66800000000001</v>
      </c>
      <c r="BY763" s="63">
        <f t="shared" ref="BY763:CB764" si="705">BX763</f>
        <v>108.66800000000001</v>
      </c>
      <c r="BZ763" s="63">
        <f t="shared" si="705"/>
        <v>108.66800000000001</v>
      </c>
      <c r="CA763" s="63">
        <f t="shared" si="705"/>
        <v>108.66800000000001</v>
      </c>
      <c r="CB763" s="63">
        <f t="shared" si="705"/>
        <v>108.66800000000001</v>
      </c>
      <c r="CC763" s="413">
        <f>CB763</f>
        <v>108.66800000000001</v>
      </c>
      <c r="CD763" s="413">
        <f t="shared" ref="CD763:CF764" si="706">CC763</f>
        <v>108.66800000000001</v>
      </c>
      <c r="CE763" s="413">
        <f t="shared" si="706"/>
        <v>108.66800000000001</v>
      </c>
      <c r="CF763" s="413">
        <f t="shared" si="706"/>
        <v>108.66800000000001</v>
      </c>
      <c r="CG763" s="99"/>
    </row>
    <row r="764" spans="1:85" ht="14.45" customHeight="1" x14ac:dyDescent="0.25">
      <c r="A764" s="130" t="s">
        <v>689</v>
      </c>
      <c r="B764" s="190"/>
      <c r="C764" s="415"/>
      <c r="D764" s="415"/>
      <c r="E764" s="415"/>
      <c r="F764" s="415"/>
      <c r="G764" s="158"/>
      <c r="H764" s="158"/>
      <c r="I764" s="158"/>
      <c r="J764" s="158"/>
      <c r="K764" s="415"/>
      <c r="L764" s="158"/>
      <c r="M764" s="158"/>
      <c r="N764" s="158"/>
      <c r="O764" s="158"/>
      <c r="P764" s="415"/>
      <c r="Q764" s="158"/>
      <c r="R764" s="158"/>
      <c r="S764" s="158"/>
      <c r="T764" s="158"/>
      <c r="U764" s="415"/>
      <c r="V764" s="158"/>
      <c r="W764" s="158"/>
      <c r="X764" s="158"/>
      <c r="Y764" s="158"/>
      <c r="Z764" s="415"/>
      <c r="AA764" s="158"/>
      <c r="AB764" s="158"/>
      <c r="AC764" s="102">
        <v>128.96299999999999</v>
      </c>
      <c r="AD764" s="158"/>
      <c r="AE764" s="415"/>
      <c r="AF764" s="158"/>
      <c r="AG764" s="158"/>
      <c r="AH764" s="158"/>
      <c r="AI764" s="158"/>
      <c r="AJ764" s="415"/>
      <c r="AK764" s="158"/>
      <c r="AL764" s="158"/>
      <c r="AM764" s="158"/>
      <c r="AN764" s="158"/>
      <c r="AO764" s="415"/>
      <c r="AP764" s="158"/>
      <c r="AQ764" s="158"/>
      <c r="AR764" s="102">
        <v>7.0359999999999996</v>
      </c>
      <c r="AS764" s="103">
        <f>AT764</f>
        <v>6.4290000000000003</v>
      </c>
      <c r="AT764" s="414">
        <v>6.4290000000000003</v>
      </c>
      <c r="AU764" s="102">
        <v>6.35</v>
      </c>
      <c r="AV764" s="102">
        <v>8.1039999999999992</v>
      </c>
      <c r="AW764" s="102">
        <v>6.9320000000000004</v>
      </c>
      <c r="AX764" s="103">
        <f>AY764</f>
        <v>6.88</v>
      </c>
      <c r="AY764" s="414">
        <v>6.88</v>
      </c>
      <c r="AZ764" s="102">
        <v>3.0219999999999998</v>
      </c>
      <c r="BA764" s="102">
        <v>3.0449999999999999</v>
      </c>
      <c r="BB764" s="102">
        <v>3.0449999999999999</v>
      </c>
      <c r="BC764" s="103">
        <f>BD764</f>
        <v>0</v>
      </c>
      <c r="BD764" s="415"/>
      <c r="BE764" s="158"/>
      <c r="BF764" s="158"/>
      <c r="BG764" s="158"/>
      <c r="BH764" s="103">
        <f>BI764</f>
        <v>0</v>
      </c>
      <c r="BI764" s="415"/>
      <c r="BJ764" s="158"/>
      <c r="BK764" s="63"/>
      <c r="BL764" s="158"/>
      <c r="BM764" s="103">
        <f>BN764</f>
        <v>0</v>
      </c>
      <c r="BN764" s="415"/>
      <c r="BO764" s="158"/>
      <c r="BP764" s="63"/>
      <c r="BQ764" s="63"/>
      <c r="BR764" s="103">
        <f>BS764</f>
        <v>0</v>
      </c>
      <c r="BS764" s="470"/>
      <c r="BT764" s="158">
        <f t="shared" si="704"/>
        <v>0</v>
      </c>
      <c r="BU764" s="158">
        <f t="shared" si="704"/>
        <v>0</v>
      </c>
      <c r="BV764" s="158">
        <f t="shared" si="704"/>
        <v>0</v>
      </c>
      <c r="BW764" s="158">
        <f t="shared" si="704"/>
        <v>0</v>
      </c>
      <c r="BX764" s="415">
        <f>BW764</f>
        <v>0</v>
      </c>
      <c r="BY764" s="158">
        <f t="shared" si="705"/>
        <v>0</v>
      </c>
      <c r="BZ764" s="158">
        <f t="shared" si="705"/>
        <v>0</v>
      </c>
      <c r="CA764" s="158">
        <f t="shared" si="705"/>
        <v>0</v>
      </c>
      <c r="CB764" s="158">
        <f t="shared" si="705"/>
        <v>0</v>
      </c>
      <c r="CC764" s="415">
        <f>CB764</f>
        <v>0</v>
      </c>
      <c r="CD764" s="415">
        <f t="shared" si="706"/>
        <v>0</v>
      </c>
      <c r="CE764" s="415">
        <f t="shared" si="706"/>
        <v>0</v>
      </c>
      <c r="CF764" s="415">
        <f t="shared" si="706"/>
        <v>0</v>
      </c>
      <c r="CG764" s="99"/>
    </row>
    <row r="765" spans="1:85" ht="14.45" customHeight="1" x14ac:dyDescent="0.25">
      <c r="A765" s="110" t="s">
        <v>690</v>
      </c>
      <c r="B765" s="212"/>
      <c r="C765" s="416">
        <f t="shared" ref="C765:AH765" si="707">C754+C755+C756+SUM(C761:C764)</f>
        <v>230.249</v>
      </c>
      <c r="D765" s="416">
        <f t="shared" si="707"/>
        <v>264.69900000000001</v>
      </c>
      <c r="E765" s="416">
        <f t="shared" si="707"/>
        <v>322.21199999999999</v>
      </c>
      <c r="F765" s="416">
        <f t="shared" si="707"/>
        <v>241.31200000000001</v>
      </c>
      <c r="G765" s="106">
        <f t="shared" si="707"/>
        <v>261.923</v>
      </c>
      <c r="H765" s="106">
        <f t="shared" si="707"/>
        <v>290.96800000000002</v>
      </c>
      <c r="I765" s="106">
        <f t="shared" si="707"/>
        <v>280.89</v>
      </c>
      <c r="J765" s="106">
        <f t="shared" si="707"/>
        <v>239.215</v>
      </c>
      <c r="K765" s="416">
        <f t="shared" si="707"/>
        <v>239.215</v>
      </c>
      <c r="L765" s="106">
        <f t="shared" si="707"/>
        <v>280.44</v>
      </c>
      <c r="M765" s="106">
        <f t="shared" si="707"/>
        <v>314.64</v>
      </c>
      <c r="N765" s="106">
        <f t="shared" si="707"/>
        <v>303.84999999999997</v>
      </c>
      <c r="O765" s="106">
        <f t="shared" si="707"/>
        <v>287.00100000000003</v>
      </c>
      <c r="P765" s="416">
        <f t="shared" si="707"/>
        <v>287.00100000000003</v>
      </c>
      <c r="Q765" s="106">
        <f t="shared" si="707"/>
        <v>339.33000000000004</v>
      </c>
      <c r="R765" s="106">
        <f t="shared" si="707"/>
        <v>437.91699999999997</v>
      </c>
      <c r="S765" s="106">
        <f t="shared" si="707"/>
        <v>415.40999999999997</v>
      </c>
      <c r="T765" s="106">
        <f t="shared" si="707"/>
        <v>434.91899999999993</v>
      </c>
      <c r="U765" s="416">
        <f t="shared" si="707"/>
        <v>434.91899999999993</v>
      </c>
      <c r="V765" s="106">
        <f t="shared" si="707"/>
        <v>478.68600000000004</v>
      </c>
      <c r="W765" s="106">
        <f t="shared" si="707"/>
        <v>590.46399999999994</v>
      </c>
      <c r="X765" s="106">
        <f t="shared" si="707"/>
        <v>580.66599999999994</v>
      </c>
      <c r="Y765" s="106">
        <f t="shared" si="707"/>
        <v>593.81100000000004</v>
      </c>
      <c r="Z765" s="416">
        <f t="shared" si="707"/>
        <v>593.81100000000004</v>
      </c>
      <c r="AA765" s="106">
        <f t="shared" si="707"/>
        <v>659.16300000000012</v>
      </c>
      <c r="AB765" s="106">
        <f t="shared" si="707"/>
        <v>811.375</v>
      </c>
      <c r="AC765" s="106">
        <f t="shared" si="707"/>
        <v>942.71599999999989</v>
      </c>
      <c r="AD765" s="106">
        <f t="shared" si="707"/>
        <v>794.53800000000001</v>
      </c>
      <c r="AE765" s="416">
        <f t="shared" si="707"/>
        <v>794.53800000000001</v>
      </c>
      <c r="AF765" s="106">
        <f t="shared" si="707"/>
        <v>828.90099999999995</v>
      </c>
      <c r="AG765" s="106">
        <f t="shared" si="707"/>
        <v>872.88600000000008</v>
      </c>
      <c r="AH765" s="106">
        <f t="shared" si="707"/>
        <v>845.23099999999988</v>
      </c>
      <c r="AI765" s="106">
        <f t="shared" ref="AI765:BN765" si="708">AI754+AI755+AI756+SUM(AI761:AI764)</f>
        <v>797.41799999999989</v>
      </c>
      <c r="AJ765" s="416">
        <f t="shared" si="708"/>
        <v>797.41799999999989</v>
      </c>
      <c r="AK765" s="106">
        <f t="shared" si="708"/>
        <v>808.43099999999993</v>
      </c>
      <c r="AL765" s="106">
        <f t="shared" si="708"/>
        <v>863.92000000000007</v>
      </c>
      <c r="AM765" s="106">
        <f t="shared" si="708"/>
        <v>851.89400000000012</v>
      </c>
      <c r="AN765" s="106">
        <f t="shared" si="708"/>
        <v>830.27600000000007</v>
      </c>
      <c r="AO765" s="416">
        <f t="shared" si="708"/>
        <v>830.27600000000007</v>
      </c>
      <c r="AP765" s="106">
        <f t="shared" si="708"/>
        <v>903.48500000000001</v>
      </c>
      <c r="AQ765" s="106">
        <f t="shared" si="708"/>
        <v>900.11099999999976</v>
      </c>
      <c r="AR765" s="106">
        <f t="shared" si="708"/>
        <v>976.89799999999991</v>
      </c>
      <c r="AS765" s="106">
        <f t="shared" si="708"/>
        <v>851.23699999999997</v>
      </c>
      <c r="AT765" s="416">
        <f t="shared" si="708"/>
        <v>851.23699999999997</v>
      </c>
      <c r="AU765" s="106">
        <f t="shared" si="708"/>
        <v>926.84799999999996</v>
      </c>
      <c r="AV765" s="106">
        <f t="shared" si="708"/>
        <v>926.86899999999991</v>
      </c>
      <c r="AW765" s="106">
        <f t="shared" si="708"/>
        <v>1071.6190000000001</v>
      </c>
      <c r="AX765" s="106">
        <f t="shared" si="708"/>
        <v>1076.662</v>
      </c>
      <c r="AY765" s="416">
        <f t="shared" si="708"/>
        <v>1076.662</v>
      </c>
      <c r="AZ765" s="106">
        <f t="shared" si="708"/>
        <v>1051.2180000000001</v>
      </c>
      <c r="BA765" s="106">
        <f t="shared" si="708"/>
        <v>1213.203</v>
      </c>
      <c r="BB765" s="106">
        <f t="shared" si="708"/>
        <v>1230.269</v>
      </c>
      <c r="BC765" s="106">
        <f t="shared" si="708"/>
        <v>1245.8009999999997</v>
      </c>
      <c r="BD765" s="416">
        <f t="shared" si="708"/>
        <v>1245.8009999999997</v>
      </c>
      <c r="BE765" s="106">
        <f t="shared" si="708"/>
        <v>1353.627</v>
      </c>
      <c r="BF765" s="106">
        <f t="shared" si="708"/>
        <v>1548.0129999999999</v>
      </c>
      <c r="BG765" s="106">
        <f t="shared" si="708"/>
        <v>1676.4749999999999</v>
      </c>
      <c r="BH765" s="106">
        <f t="shared" si="708"/>
        <v>1705.1280000000002</v>
      </c>
      <c r="BI765" s="416">
        <f t="shared" si="708"/>
        <v>1705.1280000000002</v>
      </c>
      <c r="BJ765" s="106">
        <f t="shared" si="708"/>
        <v>1714.8530000000001</v>
      </c>
      <c r="BK765" s="106">
        <f t="shared" si="708"/>
        <v>3036.3440000000001</v>
      </c>
      <c r="BL765" s="106">
        <f t="shared" si="708"/>
        <v>2571.1330000000003</v>
      </c>
      <c r="BM765" s="106">
        <f t="shared" si="708"/>
        <v>2547.3020000000001</v>
      </c>
      <c r="BN765" s="416">
        <f t="shared" si="708"/>
        <v>2547.3020000000001</v>
      </c>
      <c r="BO765" s="106">
        <f t="shared" ref="BO765:CF765" si="709">BO754+BO755+BO756+SUM(BO761:BO764)</f>
        <v>2613.4340000000002</v>
      </c>
      <c r="BP765" s="106">
        <f t="shared" si="709"/>
        <v>2731.2389999999996</v>
      </c>
      <c r="BQ765" s="106">
        <f t="shared" si="709"/>
        <v>2847.74</v>
      </c>
      <c r="BR765" s="106">
        <f t="shared" si="709"/>
        <v>1426.674</v>
      </c>
      <c r="BS765" s="417">
        <f t="shared" si="709"/>
        <v>1426.674</v>
      </c>
      <c r="BT765" s="159" t="e">
        <f t="shared" si="709"/>
        <v>#NAME?</v>
      </c>
      <c r="BU765" s="159" t="e">
        <f t="shared" si="709"/>
        <v>#NAME?</v>
      </c>
      <c r="BV765" s="159" t="e">
        <f t="shared" si="709"/>
        <v>#NAME?</v>
      </c>
      <c r="BW765" s="159" t="e">
        <f t="shared" si="709"/>
        <v>#NAME?</v>
      </c>
      <c r="BX765" s="418" t="e">
        <f t="shared" si="709"/>
        <v>#NAME?</v>
      </c>
      <c r="BY765" s="159" t="e">
        <f t="shared" si="709"/>
        <v>#NAME?</v>
      </c>
      <c r="BZ765" s="159" t="e">
        <f t="shared" si="709"/>
        <v>#NAME?</v>
      </c>
      <c r="CA765" s="159" t="e">
        <f t="shared" si="709"/>
        <v>#NAME?</v>
      </c>
      <c r="CB765" s="159" t="e">
        <f t="shared" si="709"/>
        <v>#NAME?</v>
      </c>
      <c r="CC765" s="418" t="e">
        <f t="shared" si="709"/>
        <v>#NAME?</v>
      </c>
      <c r="CD765" s="418" t="e">
        <f t="shared" si="709"/>
        <v>#NAME?</v>
      </c>
      <c r="CE765" s="418" t="e">
        <f t="shared" si="709"/>
        <v>#NAME?</v>
      </c>
      <c r="CF765" s="418" t="e">
        <f t="shared" si="709"/>
        <v>#NAME?</v>
      </c>
      <c r="CG765" s="109"/>
    </row>
    <row r="766" spans="1:85" ht="14.45" customHeight="1" x14ac:dyDescent="0.25">
      <c r="A766" s="111"/>
      <c r="B766" s="211"/>
      <c r="C766" s="423"/>
      <c r="D766" s="423"/>
      <c r="E766" s="423"/>
      <c r="F766" s="423"/>
      <c r="G766" s="112"/>
      <c r="H766" s="112"/>
      <c r="I766" s="112"/>
      <c r="J766" s="112"/>
      <c r="K766" s="423"/>
      <c r="L766" s="112"/>
      <c r="M766" s="112"/>
      <c r="N766" s="112"/>
      <c r="O766" s="112"/>
      <c r="P766" s="423"/>
      <c r="Q766" s="112"/>
      <c r="R766" s="112"/>
      <c r="S766" s="112"/>
      <c r="T766" s="112"/>
      <c r="U766" s="423"/>
      <c r="V766" s="112"/>
      <c r="W766" s="112"/>
      <c r="X766" s="112"/>
      <c r="Y766" s="112"/>
      <c r="Z766" s="423"/>
      <c r="AA766" s="112"/>
      <c r="AB766" s="112"/>
      <c r="AC766" s="112"/>
      <c r="AD766" s="112"/>
      <c r="AE766" s="423"/>
      <c r="AF766" s="112"/>
      <c r="AG766" s="112"/>
      <c r="AH766" s="112"/>
      <c r="AI766" s="112"/>
      <c r="AJ766" s="423"/>
      <c r="AK766" s="112"/>
      <c r="AL766" s="112"/>
      <c r="AM766" s="112"/>
      <c r="AN766" s="112"/>
      <c r="AO766" s="423"/>
      <c r="AP766" s="112"/>
      <c r="AQ766" s="112"/>
      <c r="AR766" s="112"/>
      <c r="AS766" s="112"/>
      <c r="AT766" s="423"/>
      <c r="AU766" s="112"/>
      <c r="AV766" s="112"/>
      <c r="AW766" s="112"/>
      <c r="AX766" s="112"/>
      <c r="AY766" s="423"/>
      <c r="AZ766" s="112"/>
      <c r="BA766" s="112"/>
      <c r="BB766" s="112"/>
      <c r="BC766" s="112"/>
      <c r="BD766" s="423"/>
      <c r="BE766" s="112"/>
      <c r="BF766" s="112"/>
      <c r="BG766" s="112"/>
      <c r="BH766" s="112"/>
      <c r="BI766" s="423"/>
      <c r="BJ766" s="112"/>
      <c r="BK766" s="112"/>
      <c r="BL766" s="112"/>
      <c r="BM766" s="112"/>
      <c r="BN766" s="423"/>
      <c r="BO766" s="112"/>
      <c r="BP766" s="112"/>
      <c r="BQ766" s="112"/>
      <c r="BR766" s="112"/>
      <c r="BS766" s="424"/>
      <c r="BT766" s="112"/>
      <c r="BU766" s="112"/>
      <c r="BV766" s="112"/>
      <c r="BW766" s="112"/>
      <c r="BX766" s="423"/>
      <c r="BY766" s="112"/>
      <c r="BZ766" s="112"/>
      <c r="CA766" s="112"/>
      <c r="CB766" s="112"/>
      <c r="CC766" s="423"/>
      <c r="CD766" s="423"/>
      <c r="CE766" s="423"/>
      <c r="CF766" s="423"/>
      <c r="CG766" s="109"/>
    </row>
    <row r="767" spans="1:85" ht="14.45" customHeight="1" x14ac:dyDescent="0.25">
      <c r="A767" s="219" t="s">
        <v>691</v>
      </c>
      <c r="B767" s="211"/>
      <c r="C767" s="423"/>
      <c r="D767" s="423"/>
      <c r="E767" s="423"/>
      <c r="F767" s="423"/>
      <c r="G767" s="112"/>
      <c r="H767" s="112"/>
      <c r="I767" s="112"/>
      <c r="J767" s="112"/>
      <c r="K767" s="423"/>
      <c r="L767" s="112"/>
      <c r="M767" s="112"/>
      <c r="N767" s="112"/>
      <c r="O767" s="112"/>
      <c r="P767" s="423"/>
      <c r="Q767" s="112"/>
      <c r="R767" s="112"/>
      <c r="S767" s="112"/>
      <c r="T767" s="112"/>
      <c r="U767" s="423"/>
      <c r="V767" s="112"/>
      <c r="W767" s="112"/>
      <c r="X767" s="112"/>
      <c r="Y767" s="112"/>
      <c r="Z767" s="423"/>
      <c r="AA767" s="112"/>
      <c r="AB767" s="112"/>
      <c r="AC767" s="112"/>
      <c r="AD767" s="112"/>
      <c r="AE767" s="423"/>
      <c r="AF767" s="112"/>
      <c r="AG767" s="112"/>
      <c r="AH767" s="112"/>
      <c r="AI767" s="112"/>
      <c r="AJ767" s="423"/>
      <c r="AK767" s="112"/>
      <c r="AL767" s="112"/>
      <c r="AM767" s="112"/>
      <c r="AN767" s="112"/>
      <c r="AO767" s="423"/>
      <c r="AP767" s="112"/>
      <c r="AQ767" s="112"/>
      <c r="AR767" s="112"/>
      <c r="AS767" s="112"/>
      <c r="AT767" s="423"/>
      <c r="AU767" s="112"/>
      <c r="AV767" s="112"/>
      <c r="AW767" s="112"/>
      <c r="AX767" s="112"/>
      <c r="AY767" s="423"/>
      <c r="AZ767" s="112"/>
      <c r="BA767" s="112"/>
      <c r="BB767" s="112"/>
      <c r="BC767" s="112"/>
      <c r="BD767" s="423"/>
      <c r="BE767" s="112"/>
      <c r="BF767" s="112"/>
      <c r="BG767" s="112"/>
      <c r="BH767" s="112"/>
      <c r="BI767" s="423"/>
      <c r="BJ767" s="112"/>
      <c r="BK767" s="112"/>
      <c r="BL767" s="112"/>
      <c r="BM767" s="112"/>
      <c r="BN767" s="423"/>
      <c r="BO767" s="112"/>
      <c r="BP767" s="112"/>
      <c r="BQ767" s="112"/>
      <c r="BR767" s="112"/>
      <c r="BS767" s="424"/>
      <c r="BT767" s="112"/>
      <c r="BU767" s="112"/>
      <c r="BV767" s="112"/>
      <c r="BW767" s="112"/>
      <c r="BX767" s="423"/>
      <c r="BY767" s="112"/>
      <c r="BZ767" s="112"/>
      <c r="CA767" s="112"/>
      <c r="CB767" s="112"/>
      <c r="CC767" s="423"/>
      <c r="CD767" s="423"/>
      <c r="CE767" s="423"/>
      <c r="CF767" s="423"/>
      <c r="CG767" s="109"/>
    </row>
    <row r="768" spans="1:85" ht="14.45" customHeight="1" x14ac:dyDescent="0.25">
      <c r="A768" s="125" t="s">
        <v>692</v>
      </c>
      <c r="B768" s="180"/>
      <c r="C768" s="410">
        <v>326.70100000000002</v>
      </c>
      <c r="D768" s="410">
        <v>322.14299999999997</v>
      </c>
      <c r="E768" s="410">
        <v>302.92</v>
      </c>
      <c r="F768" s="410">
        <v>307.46699999999998</v>
      </c>
      <c r="G768" s="98">
        <v>300.23</v>
      </c>
      <c r="H768" s="98">
        <v>298.25700000000001</v>
      </c>
      <c r="I768" s="98">
        <v>295.14699999999999</v>
      </c>
      <c r="J768" s="99">
        <f>K768</f>
        <v>302.99799999999999</v>
      </c>
      <c r="K768" s="410">
        <v>302.99799999999999</v>
      </c>
      <c r="L768" s="98">
        <v>306.07299999999998</v>
      </c>
      <c r="M768" s="98">
        <v>316.97800000000001</v>
      </c>
      <c r="N768" s="98">
        <v>327.238</v>
      </c>
      <c r="O768" s="99">
        <f>P768</f>
        <v>358.23200000000003</v>
      </c>
      <c r="P768" s="410">
        <v>358.23200000000003</v>
      </c>
      <c r="Q768" s="98">
        <v>391.83800000000002</v>
      </c>
      <c r="R768" s="98">
        <v>419.26299999999998</v>
      </c>
      <c r="S768" s="98">
        <v>446.78300000000002</v>
      </c>
      <c r="T768" s="99">
        <f>U768</f>
        <v>525.82000000000005</v>
      </c>
      <c r="U768" s="410">
        <v>525.82000000000005</v>
      </c>
      <c r="V768" s="98">
        <v>638.89599999999996</v>
      </c>
      <c r="W768" s="98">
        <v>706.471</v>
      </c>
      <c r="X768" s="98">
        <v>722.024</v>
      </c>
      <c r="Y768" s="99">
        <f>Z768</f>
        <v>812.98900000000003</v>
      </c>
      <c r="Z768" s="410">
        <v>812.98900000000003</v>
      </c>
      <c r="AA768" s="98">
        <v>924.17700000000002</v>
      </c>
      <c r="AB768" s="98">
        <v>977.553</v>
      </c>
      <c r="AC768" s="98">
        <v>939.27</v>
      </c>
      <c r="AD768" s="99">
        <f>AE768</f>
        <v>1031.3879999999999</v>
      </c>
      <c r="AE768" s="410">
        <v>1031.3879999999999</v>
      </c>
      <c r="AF768" s="98">
        <v>1022.325</v>
      </c>
      <c r="AG768" s="98">
        <v>1012.423</v>
      </c>
      <c r="AH768" s="98">
        <v>998.11699999999996</v>
      </c>
      <c r="AI768" s="99">
        <f>AJ768</f>
        <v>990.53200000000004</v>
      </c>
      <c r="AJ768" s="410">
        <v>990.53200000000004</v>
      </c>
      <c r="AK768" s="98">
        <v>970.49900000000002</v>
      </c>
      <c r="AL768" s="98">
        <v>962.40200000000004</v>
      </c>
      <c r="AM768" s="98">
        <v>957.197</v>
      </c>
      <c r="AN768" s="99">
        <f>AO768</f>
        <v>997.40300000000002</v>
      </c>
      <c r="AO768" s="410">
        <v>997.40300000000002</v>
      </c>
      <c r="AP768" s="98">
        <v>984.76900000000001</v>
      </c>
      <c r="AQ768" s="98">
        <v>985.178</v>
      </c>
      <c r="AR768" s="98">
        <v>979.21</v>
      </c>
      <c r="AS768" s="99">
        <f t="shared" ref="AS768:AS776" si="710">AT768</f>
        <v>1022.722</v>
      </c>
      <c r="AT768" s="410">
        <v>1022.722</v>
      </c>
      <c r="AU768" s="98">
        <v>1021.198</v>
      </c>
      <c r="AV768" s="98">
        <v>1020.293</v>
      </c>
      <c r="AW768" s="98">
        <v>1009.325</v>
      </c>
      <c r="AX768" s="99">
        <f t="shared" ref="AX768:AX776" si="711">AY768</f>
        <v>1030.6880000000001</v>
      </c>
      <c r="AY768" s="410">
        <v>1030.6880000000001</v>
      </c>
      <c r="AZ768" s="98">
        <v>1071.731</v>
      </c>
      <c r="BA768" s="98">
        <v>1081.604</v>
      </c>
      <c r="BB768" s="98">
        <v>1082.94</v>
      </c>
      <c r="BC768" s="99">
        <f t="shared" ref="BC768:BC776" si="712">BD768</f>
        <v>1183.73</v>
      </c>
      <c r="BD768" s="410">
        <v>1183.73</v>
      </c>
      <c r="BE768" s="98">
        <v>1170.0029999999999</v>
      </c>
      <c r="BF768" s="98">
        <v>1176.3389999999999</v>
      </c>
      <c r="BG768" s="98">
        <v>1204.8430000000001</v>
      </c>
      <c r="BH768" s="99">
        <f t="shared" ref="BH768:BH776" si="713">BI768</f>
        <v>1320.5630000000001</v>
      </c>
      <c r="BI768" s="410">
        <v>1320.5630000000001</v>
      </c>
      <c r="BJ768" s="98">
        <v>1321.681</v>
      </c>
      <c r="BK768" s="98">
        <v>1366.0540000000001</v>
      </c>
      <c r="BL768" s="98">
        <v>1454.7460000000001</v>
      </c>
      <c r="BM768" s="99">
        <f t="shared" ref="BM768:BM776" si="714">BN768</f>
        <v>1505.2670000000001</v>
      </c>
      <c r="BN768" s="410">
        <v>1505.2670000000001</v>
      </c>
      <c r="BO768" s="98">
        <v>1537.547</v>
      </c>
      <c r="BP768" s="98">
        <v>1552.3689999999999</v>
      </c>
      <c r="BQ768" s="98">
        <v>1543.7929999999999</v>
      </c>
      <c r="BR768" s="99">
        <f t="shared" ref="BR768:BR776" si="715">BS768</f>
        <v>1604.605</v>
      </c>
      <c r="BS768" s="419">
        <v>1604.605</v>
      </c>
      <c r="BT768" s="63">
        <f>BS768-BT671-BT679+BT733+BT732</f>
        <v>1629.5984743150684</v>
      </c>
      <c r="BU768" s="63">
        <f>BT768-BU671-BU679+BU733+BU732</f>
        <v>1653.8130424100441</v>
      </c>
      <c r="BV768" s="63">
        <f>BU768-BV671-BV679+BV733+BV732</f>
        <v>1677.2729784171283</v>
      </c>
      <c r="BW768" s="63">
        <f>BV768-BW671-BW679+BW733+BW732</f>
        <v>1699.4273914259038</v>
      </c>
      <c r="BX768" s="413">
        <f t="shared" ref="BX768:BX773" si="716">BW768</f>
        <v>1699.4273914259038</v>
      </c>
      <c r="BY768" s="63">
        <f>BX768-BY671-BY679+BY733+BY732</f>
        <v>1721.4657843643431</v>
      </c>
      <c r="BZ768" s="63">
        <f>BY768-BZ671-BZ679+BZ733+BZ732</f>
        <v>1742.8173643721666</v>
      </c>
      <c r="CA768" s="63">
        <f>BZ768-CA671-CA679+CA733+CA732</f>
        <v>1763.5035355509792</v>
      </c>
      <c r="CB768" s="63">
        <f>CA768-CB671-CB679+CB733+CB732</f>
        <v>1782.9410953897841</v>
      </c>
      <c r="CC768" s="413">
        <f t="shared" ref="CC768:CC773" si="717">CB768</f>
        <v>1782.9410953897841</v>
      </c>
      <c r="CD768" s="413">
        <f>CC768-CD671-CD679+CD733+CD732</f>
        <v>1855.0298007536851</v>
      </c>
      <c r="CE768" s="413">
        <f>CD768-CE671-CE679+CE733+CE732</f>
        <v>1917.9034904277182</v>
      </c>
      <c r="CF768" s="413">
        <f>CE768-CF671-CF679+CF733+CF732</f>
        <v>1972.7401091916638</v>
      </c>
      <c r="CG768" s="99"/>
    </row>
    <row r="769" spans="1:85" ht="14.45" customHeight="1" x14ac:dyDescent="0.25">
      <c r="A769" s="125" t="s">
        <v>693</v>
      </c>
      <c r="B769" s="180"/>
      <c r="C769" s="413"/>
      <c r="D769" s="413"/>
      <c r="E769" s="413"/>
      <c r="F769" s="413"/>
      <c r="G769" s="63"/>
      <c r="H769" s="63"/>
      <c r="I769" s="63"/>
      <c r="J769" s="63"/>
      <c r="K769" s="413"/>
      <c r="L769" s="63"/>
      <c r="M769" s="63"/>
      <c r="N769" s="63"/>
      <c r="O769" s="63"/>
      <c r="P769" s="413"/>
      <c r="Q769" s="63"/>
      <c r="R769" s="63"/>
      <c r="S769" s="63"/>
      <c r="T769" s="63"/>
      <c r="U769" s="413"/>
      <c r="V769" s="63"/>
      <c r="W769" s="63"/>
      <c r="X769" s="63"/>
      <c r="Y769" s="63"/>
      <c r="Z769" s="413"/>
      <c r="AA769" s="63"/>
      <c r="AB769" s="63"/>
      <c r="AC769" s="63"/>
      <c r="AD769" s="63"/>
      <c r="AE769" s="413"/>
      <c r="AF769" s="63"/>
      <c r="AG769" s="63"/>
      <c r="AH769" s="63"/>
      <c r="AI769" s="63"/>
      <c r="AJ769" s="413"/>
      <c r="AK769" s="98">
        <v>84.591999999999999</v>
      </c>
      <c r="AL769" s="98">
        <v>102.151</v>
      </c>
      <c r="AM769" s="98">
        <v>115.98099999999999</v>
      </c>
      <c r="AN769" s="99">
        <f>+AO769</f>
        <v>111.376</v>
      </c>
      <c r="AO769" s="410">
        <v>111.376</v>
      </c>
      <c r="AP769" s="98">
        <v>138.447</v>
      </c>
      <c r="AQ769" s="98">
        <v>134.315</v>
      </c>
      <c r="AR769" s="98">
        <v>135.559</v>
      </c>
      <c r="AS769" s="99">
        <f t="shared" si="710"/>
        <v>134.38300000000001</v>
      </c>
      <c r="AT769" s="410">
        <v>134.38300000000001</v>
      </c>
      <c r="AU769" s="98">
        <v>129.44499999999999</v>
      </c>
      <c r="AV769" s="98">
        <v>131.53299999999999</v>
      </c>
      <c r="AW769" s="98">
        <v>140.41</v>
      </c>
      <c r="AX769" s="99">
        <f t="shared" si="711"/>
        <v>139.87700000000001</v>
      </c>
      <c r="AY769" s="410">
        <v>139.87700000000001</v>
      </c>
      <c r="AZ769" s="98">
        <v>138.85599999999999</v>
      </c>
      <c r="BA769" s="98">
        <v>137.02600000000001</v>
      </c>
      <c r="BB769" s="98">
        <v>140.977</v>
      </c>
      <c r="BC769" s="99">
        <f t="shared" si="712"/>
        <v>140.58799999999999</v>
      </c>
      <c r="BD769" s="410">
        <v>140.58799999999999</v>
      </c>
      <c r="BE769" s="98">
        <v>134.304</v>
      </c>
      <c r="BF769" s="98">
        <v>128.75899999999999</v>
      </c>
      <c r="BG769" s="98">
        <v>123.63500000000001</v>
      </c>
      <c r="BH769" s="99">
        <f t="shared" si="713"/>
        <v>122.708</v>
      </c>
      <c r="BI769" s="410">
        <v>122.708</v>
      </c>
      <c r="BJ769" s="98">
        <v>116.129</v>
      </c>
      <c r="BK769" s="98">
        <v>110.139</v>
      </c>
      <c r="BL769" s="98">
        <v>102.33</v>
      </c>
      <c r="BM769" s="99">
        <f t="shared" si="714"/>
        <v>112.351</v>
      </c>
      <c r="BN769" s="410">
        <v>112.351</v>
      </c>
      <c r="BO769" s="98">
        <v>107.099</v>
      </c>
      <c r="BP769" s="98">
        <v>107.551</v>
      </c>
      <c r="BQ769" s="98">
        <v>121.485</v>
      </c>
      <c r="BR769" s="99">
        <f t="shared" si="715"/>
        <v>116.611</v>
      </c>
      <c r="BS769" s="419">
        <v>116.611</v>
      </c>
      <c r="BT769" s="63">
        <f t="shared" ref="BT769:BW773" si="718">BS769</f>
        <v>116.611</v>
      </c>
      <c r="BU769" s="63">
        <f t="shared" si="718"/>
        <v>116.611</v>
      </c>
      <c r="BV769" s="63">
        <f t="shared" si="718"/>
        <v>116.611</v>
      </c>
      <c r="BW769" s="63">
        <f t="shared" si="718"/>
        <v>116.611</v>
      </c>
      <c r="BX769" s="413">
        <f t="shared" si="716"/>
        <v>116.611</v>
      </c>
      <c r="BY769" s="63">
        <f t="shared" ref="BY769:CB773" si="719">BX769</f>
        <v>116.611</v>
      </c>
      <c r="BZ769" s="63">
        <f t="shared" si="719"/>
        <v>116.611</v>
      </c>
      <c r="CA769" s="63">
        <f t="shared" si="719"/>
        <v>116.611</v>
      </c>
      <c r="CB769" s="63">
        <f t="shared" si="719"/>
        <v>116.611</v>
      </c>
      <c r="CC769" s="413">
        <f t="shared" si="717"/>
        <v>116.611</v>
      </c>
      <c r="CD769" s="413">
        <f t="shared" ref="CD769:CF773" si="720">CC769</f>
        <v>116.611</v>
      </c>
      <c r="CE769" s="413">
        <f t="shared" si="720"/>
        <v>116.611</v>
      </c>
      <c r="CF769" s="413">
        <f t="shared" si="720"/>
        <v>116.611</v>
      </c>
      <c r="CG769" s="99"/>
    </row>
    <row r="770" spans="1:85" ht="14.45" customHeight="1" x14ac:dyDescent="0.25">
      <c r="A770" s="125" t="s">
        <v>694</v>
      </c>
      <c r="B770" s="180"/>
      <c r="C770" s="410">
        <v>51.548000000000002</v>
      </c>
      <c r="D770" s="410">
        <v>46.856000000000002</v>
      </c>
      <c r="E770" s="410">
        <v>59.804000000000002</v>
      </c>
      <c r="F770" s="410">
        <v>54.15</v>
      </c>
      <c r="G770" s="98">
        <v>52.692999999999998</v>
      </c>
      <c r="H770" s="98">
        <v>51.243000000000002</v>
      </c>
      <c r="I770" s="98">
        <v>50.212000000000003</v>
      </c>
      <c r="J770" s="99">
        <f>K770</f>
        <v>48.981000000000002</v>
      </c>
      <c r="K770" s="410">
        <v>48.981000000000002</v>
      </c>
      <c r="L770" s="98">
        <v>47.473999999999997</v>
      </c>
      <c r="M770" s="98">
        <v>45.969000000000001</v>
      </c>
      <c r="N770" s="98">
        <v>44.47</v>
      </c>
      <c r="O770" s="99">
        <f>P770</f>
        <v>42.970999999999997</v>
      </c>
      <c r="P770" s="410">
        <v>42.970999999999997</v>
      </c>
      <c r="Q770" s="98">
        <v>41.587000000000003</v>
      </c>
      <c r="R770" s="98">
        <v>43.256999999999998</v>
      </c>
      <c r="S770" s="98">
        <v>41.682000000000002</v>
      </c>
      <c r="T770" s="99">
        <f>U770</f>
        <v>40.145000000000003</v>
      </c>
      <c r="U770" s="410">
        <v>40.145000000000003</v>
      </c>
      <c r="V770" s="98">
        <v>38.405999999999999</v>
      </c>
      <c r="W770" s="98">
        <v>36.49</v>
      </c>
      <c r="X770" s="98">
        <v>35.002000000000002</v>
      </c>
      <c r="Y770" s="99">
        <f>Z770</f>
        <v>33.552</v>
      </c>
      <c r="Z770" s="410">
        <v>33.552</v>
      </c>
      <c r="AA770" s="98">
        <v>32.121000000000002</v>
      </c>
      <c r="AB770" s="98">
        <v>30.689</v>
      </c>
      <c r="AC770" s="98">
        <v>29.259</v>
      </c>
      <c r="AD770" s="99">
        <f t="shared" ref="AD770:AD776" si="721">AE770</f>
        <v>29.837</v>
      </c>
      <c r="AE770" s="410">
        <v>29.837</v>
      </c>
      <c r="AF770" s="98">
        <v>28.175000000000001</v>
      </c>
      <c r="AG770" s="98">
        <v>26.692</v>
      </c>
      <c r="AH770" s="98">
        <v>25.207999999999998</v>
      </c>
      <c r="AI770" s="99">
        <f t="shared" ref="AI770:AI776" si="722">AJ770</f>
        <v>23.72</v>
      </c>
      <c r="AJ770" s="410">
        <v>23.72</v>
      </c>
      <c r="AK770" s="98">
        <v>22.434999999999999</v>
      </c>
      <c r="AL770" s="98">
        <v>20.943999999999999</v>
      </c>
      <c r="AM770" s="98">
        <v>19.452000000000002</v>
      </c>
      <c r="AN770" s="99">
        <f t="shared" ref="AN770:AN776" si="723">AO770</f>
        <v>17.96</v>
      </c>
      <c r="AO770" s="410">
        <v>17.96</v>
      </c>
      <c r="AP770" s="98">
        <v>12.497999999999999</v>
      </c>
      <c r="AQ770" s="98">
        <v>11.573</v>
      </c>
      <c r="AR770" s="98">
        <v>71.281000000000006</v>
      </c>
      <c r="AS770" s="99">
        <f t="shared" si="710"/>
        <v>69.867000000000004</v>
      </c>
      <c r="AT770" s="410">
        <v>69.867000000000004</v>
      </c>
      <c r="AU770" s="98">
        <v>68.453000000000003</v>
      </c>
      <c r="AV770" s="98">
        <v>67.039000000000001</v>
      </c>
      <c r="AW770" s="98">
        <v>65.625</v>
      </c>
      <c r="AX770" s="99">
        <f t="shared" si="711"/>
        <v>64.210999999999999</v>
      </c>
      <c r="AY770" s="410">
        <v>64.210999999999999</v>
      </c>
      <c r="AZ770" s="98">
        <v>7.6660000000000004</v>
      </c>
      <c r="BA770" s="98">
        <v>7.2539999999999996</v>
      </c>
      <c r="BB770" s="98">
        <v>6.843</v>
      </c>
      <c r="BC770" s="99">
        <f t="shared" si="712"/>
        <v>6.431</v>
      </c>
      <c r="BD770" s="410">
        <v>6.431</v>
      </c>
      <c r="BE770" s="98">
        <v>6.02</v>
      </c>
      <c r="BF770" s="98">
        <v>5.6079999999999997</v>
      </c>
      <c r="BG770" s="98">
        <v>5.1959999999999997</v>
      </c>
      <c r="BH770" s="99">
        <f t="shared" si="713"/>
        <v>4.7850000000000001</v>
      </c>
      <c r="BI770" s="410">
        <v>4.7850000000000001</v>
      </c>
      <c r="BJ770" s="98">
        <v>4.3730000000000002</v>
      </c>
      <c r="BK770" s="98">
        <v>3.9620000000000002</v>
      </c>
      <c r="BL770" s="98">
        <v>3.55</v>
      </c>
      <c r="BM770" s="99">
        <f t="shared" si="714"/>
        <v>3.1379999999999999</v>
      </c>
      <c r="BN770" s="410">
        <v>3.1379999999999999</v>
      </c>
      <c r="BO770" s="98">
        <v>2.7269999999999999</v>
      </c>
      <c r="BP770" s="98">
        <v>1.9910000000000001</v>
      </c>
      <c r="BQ770" s="98">
        <v>1.2609999999999999</v>
      </c>
      <c r="BR770" s="99">
        <f t="shared" si="715"/>
        <v>1.1599999999999999</v>
      </c>
      <c r="BS770" s="419">
        <v>1.1599999999999999</v>
      </c>
      <c r="BT770" s="63">
        <f t="shared" si="718"/>
        <v>1.1599999999999999</v>
      </c>
      <c r="BU770" s="63">
        <f t="shared" si="718"/>
        <v>1.1599999999999999</v>
      </c>
      <c r="BV770" s="63">
        <f t="shared" si="718"/>
        <v>1.1599999999999999</v>
      </c>
      <c r="BW770" s="63">
        <f t="shared" si="718"/>
        <v>1.1599999999999999</v>
      </c>
      <c r="BX770" s="413">
        <f t="shared" si="716"/>
        <v>1.1599999999999999</v>
      </c>
      <c r="BY770" s="63">
        <f t="shared" si="719"/>
        <v>1.1599999999999999</v>
      </c>
      <c r="BZ770" s="63">
        <f t="shared" si="719"/>
        <v>1.1599999999999999</v>
      </c>
      <c r="CA770" s="63">
        <f t="shared" si="719"/>
        <v>1.1599999999999999</v>
      </c>
      <c r="CB770" s="63">
        <f t="shared" si="719"/>
        <v>1.1599999999999999</v>
      </c>
      <c r="CC770" s="413">
        <f t="shared" si="717"/>
        <v>1.1599999999999999</v>
      </c>
      <c r="CD770" s="413">
        <f t="shared" si="720"/>
        <v>1.1599999999999999</v>
      </c>
      <c r="CE770" s="413">
        <f t="shared" si="720"/>
        <v>1.1599999999999999</v>
      </c>
      <c r="CF770" s="413">
        <f t="shared" si="720"/>
        <v>1.1599999999999999</v>
      </c>
      <c r="CG770" s="99"/>
    </row>
    <row r="771" spans="1:85" ht="14.45" customHeight="1" x14ac:dyDescent="0.25">
      <c r="A771" s="125" t="s">
        <v>695</v>
      </c>
      <c r="B771" s="180"/>
      <c r="C771" s="410">
        <v>46.508000000000003</v>
      </c>
      <c r="D771" s="410">
        <v>46.332000000000001</v>
      </c>
      <c r="E771" s="410">
        <v>50.329000000000001</v>
      </c>
      <c r="F771" s="410">
        <v>53.801000000000002</v>
      </c>
      <c r="G771" s="98">
        <v>56.735999999999997</v>
      </c>
      <c r="H771" s="98">
        <v>61.171999999999997</v>
      </c>
      <c r="I771" s="98">
        <v>62.621000000000002</v>
      </c>
      <c r="J771" s="99">
        <f>K771</f>
        <v>58.56</v>
      </c>
      <c r="K771" s="410">
        <v>58.56</v>
      </c>
      <c r="L771" s="98">
        <v>59.959000000000003</v>
      </c>
      <c r="M771" s="98">
        <v>60.344000000000001</v>
      </c>
      <c r="N771" s="98">
        <v>60.497</v>
      </c>
      <c r="O771" s="99">
        <f>P771</f>
        <v>60.832000000000001</v>
      </c>
      <c r="P771" s="410">
        <v>60.832000000000001</v>
      </c>
      <c r="Q771" s="98">
        <v>63.307000000000002</v>
      </c>
      <c r="R771" s="98">
        <v>64.605000000000004</v>
      </c>
      <c r="S771" s="98">
        <v>63.509</v>
      </c>
      <c r="T771" s="99">
        <f>U771</f>
        <v>63.738999999999997</v>
      </c>
      <c r="U771" s="410">
        <v>63.738999999999997</v>
      </c>
      <c r="V771" s="98">
        <v>68.302999999999997</v>
      </c>
      <c r="W771" s="98">
        <v>79.061999999999998</v>
      </c>
      <c r="X771" s="98">
        <v>82.614999999999995</v>
      </c>
      <c r="Y771" s="99">
        <f>Z771</f>
        <v>86.090999999999994</v>
      </c>
      <c r="Z771" s="410">
        <v>86.090999999999994</v>
      </c>
      <c r="AA771" s="98">
        <v>92.421000000000006</v>
      </c>
      <c r="AB771" s="98">
        <v>99.587000000000003</v>
      </c>
      <c r="AC771" s="98">
        <v>104.111</v>
      </c>
      <c r="AD771" s="99">
        <f t="shared" si="721"/>
        <v>116.209</v>
      </c>
      <c r="AE771" s="410">
        <v>116.209</v>
      </c>
      <c r="AF771" s="98">
        <v>115.51900000000001</v>
      </c>
      <c r="AG771" s="98">
        <v>116.09099999999999</v>
      </c>
      <c r="AH771" s="98">
        <v>119.193</v>
      </c>
      <c r="AI771" s="99">
        <f t="shared" si="722"/>
        <v>115.49</v>
      </c>
      <c r="AJ771" s="410">
        <v>115.49</v>
      </c>
      <c r="AK771" s="98">
        <v>113.53700000000001</v>
      </c>
      <c r="AL771" s="98">
        <v>113.033</v>
      </c>
      <c r="AM771" s="98">
        <v>111.021</v>
      </c>
      <c r="AN771" s="99">
        <f t="shared" si="723"/>
        <v>113.26900000000001</v>
      </c>
      <c r="AO771" s="410">
        <v>113.26900000000001</v>
      </c>
      <c r="AP771" s="98">
        <v>106.43300000000001</v>
      </c>
      <c r="AQ771" s="98">
        <v>109.822</v>
      </c>
      <c r="AR771" s="98">
        <v>111.77500000000001</v>
      </c>
      <c r="AS771" s="99">
        <f t="shared" si="710"/>
        <v>111.78100000000001</v>
      </c>
      <c r="AT771" s="410">
        <v>111.78100000000001</v>
      </c>
      <c r="AU771" s="98">
        <v>112.995</v>
      </c>
      <c r="AV771" s="98">
        <v>117.252</v>
      </c>
      <c r="AW771" s="98">
        <v>120.23</v>
      </c>
      <c r="AX771" s="99">
        <f t="shared" si="711"/>
        <v>120.486</v>
      </c>
      <c r="AY771" s="410">
        <v>120.486</v>
      </c>
      <c r="AZ771" s="98">
        <v>119.34</v>
      </c>
      <c r="BA771" s="98">
        <v>112.133</v>
      </c>
      <c r="BB771" s="98">
        <v>112.474</v>
      </c>
      <c r="BC771" s="99">
        <f t="shared" si="712"/>
        <v>115.892</v>
      </c>
      <c r="BD771" s="410">
        <v>115.892</v>
      </c>
      <c r="BE771" s="98">
        <v>125.312</v>
      </c>
      <c r="BF771" s="98">
        <v>132.017</v>
      </c>
      <c r="BG771" s="98">
        <v>133.96</v>
      </c>
      <c r="BH771" s="99">
        <f t="shared" si="713"/>
        <v>145.21299999999999</v>
      </c>
      <c r="BI771" s="410">
        <v>145.21299999999999</v>
      </c>
      <c r="BJ771" s="98">
        <v>156.13999999999999</v>
      </c>
      <c r="BK771" s="98">
        <v>162.285</v>
      </c>
      <c r="BL771" s="98">
        <v>170.304</v>
      </c>
      <c r="BM771" s="99">
        <f t="shared" si="714"/>
        <v>181.048</v>
      </c>
      <c r="BN771" s="410">
        <v>181.048</v>
      </c>
      <c r="BO771" s="98">
        <v>185.52600000000001</v>
      </c>
      <c r="BP771" s="98">
        <v>197.565</v>
      </c>
      <c r="BQ771" s="98">
        <v>210.083</v>
      </c>
      <c r="BR771" s="99">
        <f t="shared" si="715"/>
        <v>216.428</v>
      </c>
      <c r="BS771" s="419">
        <v>216.428</v>
      </c>
      <c r="BT771" s="63">
        <f t="shared" si="718"/>
        <v>216.428</v>
      </c>
      <c r="BU771" s="63">
        <f t="shared" si="718"/>
        <v>216.428</v>
      </c>
      <c r="BV771" s="63">
        <f t="shared" si="718"/>
        <v>216.428</v>
      </c>
      <c r="BW771" s="63">
        <f t="shared" si="718"/>
        <v>216.428</v>
      </c>
      <c r="BX771" s="413">
        <f t="shared" si="716"/>
        <v>216.428</v>
      </c>
      <c r="BY771" s="63">
        <f t="shared" si="719"/>
        <v>216.428</v>
      </c>
      <c r="BZ771" s="63">
        <f t="shared" si="719"/>
        <v>216.428</v>
      </c>
      <c r="CA771" s="63">
        <f t="shared" si="719"/>
        <v>216.428</v>
      </c>
      <c r="CB771" s="63">
        <f t="shared" si="719"/>
        <v>216.428</v>
      </c>
      <c r="CC771" s="413">
        <f t="shared" si="717"/>
        <v>216.428</v>
      </c>
      <c r="CD771" s="413">
        <f t="shared" si="720"/>
        <v>216.428</v>
      </c>
      <c r="CE771" s="413">
        <f t="shared" si="720"/>
        <v>216.428</v>
      </c>
      <c r="CF771" s="413">
        <f t="shared" si="720"/>
        <v>216.428</v>
      </c>
      <c r="CG771" s="99"/>
    </row>
    <row r="772" spans="1:85" ht="14.45" customHeight="1" x14ac:dyDescent="0.25">
      <c r="A772" s="125" t="s">
        <v>696</v>
      </c>
      <c r="B772" s="180"/>
      <c r="C772" s="410">
        <v>102.04900000000001</v>
      </c>
      <c r="D772" s="410">
        <v>102.04900000000001</v>
      </c>
      <c r="E772" s="410">
        <v>102.04900000000001</v>
      </c>
      <c r="F772" s="410">
        <v>102.04900000000001</v>
      </c>
      <c r="G772" s="98">
        <v>102.04900000000001</v>
      </c>
      <c r="H772" s="98">
        <v>102.04900000000001</v>
      </c>
      <c r="I772" s="98">
        <v>102.04900000000001</v>
      </c>
      <c r="J772" s="99">
        <f>K772</f>
        <v>102.04900000000001</v>
      </c>
      <c r="K772" s="410">
        <v>102.04900000000001</v>
      </c>
      <c r="L772" s="98">
        <v>102.04900000000001</v>
      </c>
      <c r="M772" s="98">
        <v>103.294</v>
      </c>
      <c r="N772" s="98">
        <v>103.294</v>
      </c>
      <c r="O772" s="99">
        <f>P772</f>
        <v>106.22</v>
      </c>
      <c r="P772" s="410">
        <v>106.22</v>
      </c>
      <c r="Q772" s="98">
        <v>109.98399999999999</v>
      </c>
      <c r="R772" s="98">
        <v>111.59099999999999</v>
      </c>
      <c r="S772" s="98">
        <v>113.83499999999999</v>
      </c>
      <c r="T772" s="99">
        <f>U772</f>
        <v>117.95399999999999</v>
      </c>
      <c r="U772" s="410">
        <v>117.95399999999999</v>
      </c>
      <c r="V772" s="98">
        <v>135.31100000000001</v>
      </c>
      <c r="W772" s="98">
        <v>139.756</v>
      </c>
      <c r="X772" s="98">
        <v>141.27099999999999</v>
      </c>
      <c r="Y772" s="99">
        <f>Z772</f>
        <v>144.58600000000001</v>
      </c>
      <c r="Z772" s="410">
        <v>144.58600000000001</v>
      </c>
      <c r="AA772" s="98">
        <v>149.38300000000001</v>
      </c>
      <c r="AB772" s="98">
        <v>160.42699999999999</v>
      </c>
      <c r="AC772" s="98">
        <v>152.70099999999999</v>
      </c>
      <c r="AD772" s="99">
        <f t="shared" si="721"/>
        <v>169.316</v>
      </c>
      <c r="AE772" s="410">
        <v>169.316</v>
      </c>
      <c r="AF772" s="98">
        <v>170.262</v>
      </c>
      <c r="AG772" s="98">
        <v>170.899</v>
      </c>
      <c r="AH772" s="98">
        <v>165.90299999999999</v>
      </c>
      <c r="AI772" s="99">
        <f t="shared" si="722"/>
        <v>165.90299999999999</v>
      </c>
      <c r="AJ772" s="410">
        <v>165.90299999999999</v>
      </c>
      <c r="AK772" s="98">
        <v>165.90299999999999</v>
      </c>
      <c r="AL772" s="98">
        <v>165.90299999999999</v>
      </c>
      <c r="AM772" s="98">
        <v>165.90299999999999</v>
      </c>
      <c r="AN772" s="99">
        <f t="shared" si="723"/>
        <v>165.90299999999999</v>
      </c>
      <c r="AO772" s="410">
        <v>165.90299999999999</v>
      </c>
      <c r="AP772" s="98">
        <v>165.90299999999999</v>
      </c>
      <c r="AQ772" s="98">
        <v>165.90299999999999</v>
      </c>
      <c r="AR772" s="98">
        <v>165.90299999999999</v>
      </c>
      <c r="AS772" s="99">
        <f t="shared" si="710"/>
        <v>165.90299999999999</v>
      </c>
      <c r="AT772" s="410">
        <v>165.90299999999999</v>
      </c>
      <c r="AU772" s="98">
        <v>165.90299999999999</v>
      </c>
      <c r="AV772" s="98">
        <v>165.90299999999999</v>
      </c>
      <c r="AW772" s="98">
        <v>165.90299999999999</v>
      </c>
      <c r="AX772" s="99">
        <f t="shared" si="711"/>
        <v>165.90299999999999</v>
      </c>
      <c r="AY772" s="410">
        <v>165.90299999999999</v>
      </c>
      <c r="AZ772" s="98">
        <v>165.90299999999999</v>
      </c>
      <c r="BA772" s="98">
        <v>165.90299999999999</v>
      </c>
      <c r="BB772" s="98">
        <v>165.90299999999999</v>
      </c>
      <c r="BC772" s="99">
        <f t="shared" si="712"/>
        <v>165.90299999999999</v>
      </c>
      <c r="BD772" s="410">
        <v>165.90299999999999</v>
      </c>
      <c r="BE772" s="98">
        <v>165.90299999999999</v>
      </c>
      <c r="BF772" s="98">
        <v>165.90299999999999</v>
      </c>
      <c r="BG772" s="98">
        <v>165.90299999999999</v>
      </c>
      <c r="BH772" s="99">
        <f t="shared" si="713"/>
        <v>165.90299999999999</v>
      </c>
      <c r="BI772" s="410">
        <v>165.90299999999999</v>
      </c>
      <c r="BJ772" s="98">
        <v>165.90299999999999</v>
      </c>
      <c r="BK772" s="98">
        <v>165.90299999999999</v>
      </c>
      <c r="BL772" s="98">
        <v>165.90299999999999</v>
      </c>
      <c r="BM772" s="99">
        <f t="shared" si="714"/>
        <v>165.90299999999999</v>
      </c>
      <c r="BN772" s="410">
        <v>165.90299999999999</v>
      </c>
      <c r="BO772" s="98">
        <v>165.90299999999999</v>
      </c>
      <c r="BP772" s="98">
        <v>165.90299999999999</v>
      </c>
      <c r="BQ772" s="98">
        <v>165.90299999999999</v>
      </c>
      <c r="BR772" s="99">
        <f t="shared" si="715"/>
        <v>165.90299999999999</v>
      </c>
      <c r="BS772" s="419">
        <v>165.90299999999999</v>
      </c>
      <c r="BT772" s="63">
        <f t="shared" si="718"/>
        <v>165.90299999999999</v>
      </c>
      <c r="BU772" s="63">
        <f t="shared" si="718"/>
        <v>165.90299999999999</v>
      </c>
      <c r="BV772" s="63">
        <f t="shared" si="718"/>
        <v>165.90299999999999</v>
      </c>
      <c r="BW772" s="63">
        <f t="shared" si="718"/>
        <v>165.90299999999999</v>
      </c>
      <c r="BX772" s="413">
        <f t="shared" si="716"/>
        <v>165.90299999999999</v>
      </c>
      <c r="BY772" s="63">
        <f t="shared" si="719"/>
        <v>165.90299999999999</v>
      </c>
      <c r="BZ772" s="63">
        <f t="shared" si="719"/>
        <v>165.90299999999999</v>
      </c>
      <c r="CA772" s="63">
        <f t="shared" si="719"/>
        <v>165.90299999999999</v>
      </c>
      <c r="CB772" s="63">
        <f t="shared" si="719"/>
        <v>165.90299999999999</v>
      </c>
      <c r="CC772" s="413">
        <f t="shared" si="717"/>
        <v>165.90299999999999</v>
      </c>
      <c r="CD772" s="413">
        <f t="shared" si="720"/>
        <v>165.90299999999999</v>
      </c>
      <c r="CE772" s="413">
        <f t="shared" si="720"/>
        <v>165.90299999999999</v>
      </c>
      <c r="CF772" s="413">
        <f t="shared" si="720"/>
        <v>165.90299999999999</v>
      </c>
      <c r="CG772" s="99"/>
    </row>
    <row r="773" spans="1:85" ht="14.45" hidden="1" customHeight="1" x14ac:dyDescent="0.25">
      <c r="A773" s="96" t="s">
        <v>697</v>
      </c>
      <c r="B773" s="180"/>
      <c r="C773" s="413"/>
      <c r="D773" s="413"/>
      <c r="E773" s="413"/>
      <c r="F773" s="413"/>
      <c r="G773" s="63"/>
      <c r="H773" s="63"/>
      <c r="I773" s="63"/>
      <c r="J773" s="63"/>
      <c r="K773" s="413"/>
      <c r="L773" s="63"/>
      <c r="M773" s="63"/>
      <c r="N773" s="63"/>
      <c r="O773" s="63"/>
      <c r="P773" s="413"/>
      <c r="Q773" s="63"/>
      <c r="R773" s="63"/>
      <c r="S773" s="63"/>
      <c r="T773" s="63"/>
      <c r="U773" s="413"/>
      <c r="V773" s="63"/>
      <c r="W773" s="63"/>
      <c r="X773" s="63"/>
      <c r="Y773" s="63"/>
      <c r="Z773" s="413"/>
      <c r="AA773" s="63"/>
      <c r="AB773" s="63"/>
      <c r="AC773" s="63"/>
      <c r="AD773" s="99">
        <f t="shared" si="721"/>
        <v>913.35199999999998</v>
      </c>
      <c r="AE773" s="410">
        <v>913.35199999999998</v>
      </c>
      <c r="AF773" s="98">
        <v>907.4</v>
      </c>
      <c r="AG773" s="98">
        <v>906.596</v>
      </c>
      <c r="AH773" s="98">
        <v>901.83100000000002</v>
      </c>
      <c r="AI773" s="99">
        <f t="shared" si="722"/>
        <v>900.38300000000004</v>
      </c>
      <c r="AJ773" s="410">
        <v>900.38300000000004</v>
      </c>
      <c r="AK773" s="98">
        <v>894.26900000000001</v>
      </c>
      <c r="AL773" s="98">
        <v>888.23800000000006</v>
      </c>
      <c r="AM773" s="98">
        <v>882.16700000000003</v>
      </c>
      <c r="AN773" s="99">
        <f t="shared" si="723"/>
        <v>876.096</v>
      </c>
      <c r="AO773" s="410">
        <v>876.096</v>
      </c>
      <c r="AP773" s="98">
        <v>870.02499999999998</v>
      </c>
      <c r="AQ773" s="98">
        <v>863.95399999999995</v>
      </c>
      <c r="AR773" s="98">
        <v>859.00300000000004</v>
      </c>
      <c r="AS773" s="99">
        <f t="shared" si="710"/>
        <v>853.75300000000004</v>
      </c>
      <c r="AT773" s="410">
        <v>853.75300000000004</v>
      </c>
      <c r="AU773" s="98">
        <v>847.64499999999998</v>
      </c>
      <c r="AV773" s="98">
        <v>841.524</v>
      </c>
      <c r="AW773" s="98">
        <v>835.40300000000002</v>
      </c>
      <c r="AX773" s="99">
        <f t="shared" si="711"/>
        <v>836.77700000000004</v>
      </c>
      <c r="AY773" s="410">
        <v>836.77700000000004</v>
      </c>
      <c r="AZ773" s="98">
        <v>860.70299999999997</v>
      </c>
      <c r="BA773" s="98">
        <v>854.48</v>
      </c>
      <c r="BB773" s="98">
        <v>848.25699999999995</v>
      </c>
      <c r="BC773" s="99">
        <f t="shared" si="712"/>
        <v>842.03499999999997</v>
      </c>
      <c r="BD773" s="410">
        <v>842.03499999999997</v>
      </c>
      <c r="BE773" s="98">
        <v>835.81200000000001</v>
      </c>
      <c r="BF773" s="98">
        <v>829.58900000000006</v>
      </c>
      <c r="BG773" s="98">
        <v>823.36599999999999</v>
      </c>
      <c r="BH773" s="99">
        <f t="shared" si="713"/>
        <v>817.14300000000003</v>
      </c>
      <c r="BI773" s="410">
        <v>817.14300000000003</v>
      </c>
      <c r="BJ773" s="98">
        <v>810.92</v>
      </c>
      <c r="BK773" s="98">
        <v>804.697</v>
      </c>
      <c r="BL773" s="98">
        <v>798.47500000000002</v>
      </c>
      <c r="BM773" s="99">
        <f t="shared" si="714"/>
        <v>792.25199999999995</v>
      </c>
      <c r="BN773" s="410">
        <v>792.25199999999995</v>
      </c>
      <c r="BO773" s="98">
        <v>786.029</v>
      </c>
      <c r="BP773" s="98">
        <v>779.80600000000004</v>
      </c>
      <c r="BQ773" s="98">
        <v>773.58299999999997</v>
      </c>
      <c r="BR773" s="99">
        <f t="shared" si="715"/>
        <v>767.36</v>
      </c>
      <c r="BS773" s="419">
        <v>767.36</v>
      </c>
      <c r="BT773" s="63">
        <f t="shared" si="718"/>
        <v>767.36</v>
      </c>
      <c r="BU773" s="63">
        <f t="shared" si="718"/>
        <v>767.36</v>
      </c>
      <c r="BV773" s="63">
        <f t="shared" si="718"/>
        <v>767.36</v>
      </c>
      <c r="BW773" s="63">
        <f t="shared" si="718"/>
        <v>767.36</v>
      </c>
      <c r="BX773" s="413">
        <f t="shared" si="716"/>
        <v>767.36</v>
      </c>
      <c r="BY773" s="63">
        <f t="shared" si="719"/>
        <v>767.36</v>
      </c>
      <c r="BZ773" s="63">
        <f t="shared" si="719"/>
        <v>767.36</v>
      </c>
      <c r="CA773" s="63">
        <f t="shared" si="719"/>
        <v>767.36</v>
      </c>
      <c r="CB773" s="63">
        <f t="shared" si="719"/>
        <v>767.36</v>
      </c>
      <c r="CC773" s="413">
        <f t="shared" si="717"/>
        <v>767.36</v>
      </c>
      <c r="CD773" s="413">
        <f t="shared" si="720"/>
        <v>767.36</v>
      </c>
      <c r="CE773" s="413">
        <f t="shared" si="720"/>
        <v>767.36</v>
      </c>
      <c r="CF773" s="413">
        <f t="shared" si="720"/>
        <v>767.36</v>
      </c>
      <c r="CG773" s="99"/>
    </row>
    <row r="774" spans="1:85" ht="14.45" hidden="1" customHeight="1" x14ac:dyDescent="0.25">
      <c r="A774" s="96" t="s">
        <v>698</v>
      </c>
      <c r="B774" s="180"/>
      <c r="C774" s="410">
        <v>520.67200000000003</v>
      </c>
      <c r="D774" s="410">
        <v>520.67200000000003</v>
      </c>
      <c r="E774" s="410">
        <v>520.67200000000003</v>
      </c>
      <c r="F774" s="410">
        <v>520.67200000000003</v>
      </c>
      <c r="G774" s="98">
        <v>520.67200000000003</v>
      </c>
      <c r="H774" s="98">
        <v>520.67200000000003</v>
      </c>
      <c r="I774" s="98">
        <v>520.67200000000003</v>
      </c>
      <c r="J774" s="99">
        <f>K774</f>
        <v>520.67200000000003</v>
      </c>
      <c r="K774" s="410">
        <v>520.67200000000003</v>
      </c>
      <c r="L774" s="98">
        <v>520.67200000000003</v>
      </c>
      <c r="M774" s="98">
        <v>520.67200000000003</v>
      </c>
      <c r="N774" s="98">
        <v>520.67200000000003</v>
      </c>
      <c r="O774" s="99">
        <f>P774</f>
        <v>520.67200000000003</v>
      </c>
      <c r="P774" s="410">
        <v>520.67200000000003</v>
      </c>
      <c r="Q774" s="98">
        <v>520.67200000000003</v>
      </c>
      <c r="R774" s="98">
        <v>527.54</v>
      </c>
      <c r="S774" s="98">
        <v>527.54</v>
      </c>
      <c r="T774" s="99">
        <f>U774</f>
        <v>527.54</v>
      </c>
      <c r="U774" s="410">
        <v>527.54</v>
      </c>
      <c r="V774" s="98">
        <v>527.54</v>
      </c>
      <c r="W774" s="98">
        <v>533.04</v>
      </c>
      <c r="X774" s="98">
        <v>533.04</v>
      </c>
      <c r="Y774" s="99">
        <f>Z774</f>
        <v>533.04</v>
      </c>
      <c r="Z774" s="410">
        <v>533.04</v>
      </c>
      <c r="AA774" s="98">
        <v>0</v>
      </c>
      <c r="AB774" s="98">
        <v>0</v>
      </c>
      <c r="AC774" s="63"/>
      <c r="AD774" s="99">
        <f t="shared" si="721"/>
        <v>0</v>
      </c>
      <c r="AE774" s="413"/>
      <c r="AF774" s="63"/>
      <c r="AG774" s="63"/>
      <c r="AH774" s="63"/>
      <c r="AI774" s="99">
        <f t="shared" si="722"/>
        <v>0</v>
      </c>
      <c r="AJ774" s="413"/>
      <c r="AK774" s="63"/>
      <c r="AL774" s="63"/>
      <c r="AM774" s="63"/>
      <c r="AN774" s="99">
        <f t="shared" si="723"/>
        <v>0</v>
      </c>
      <c r="AO774" s="413"/>
      <c r="AP774" s="63"/>
      <c r="AQ774" s="63"/>
      <c r="AR774" s="63"/>
      <c r="AS774" s="99">
        <f t="shared" si="710"/>
        <v>0</v>
      </c>
      <c r="AT774" s="413"/>
      <c r="AU774" s="63"/>
      <c r="AV774" s="63"/>
      <c r="AW774" s="63"/>
      <c r="AX774" s="99">
        <f t="shared" si="711"/>
        <v>0</v>
      </c>
      <c r="AY774" s="413"/>
      <c r="AZ774" s="63"/>
      <c r="BA774" s="63"/>
      <c r="BB774" s="63"/>
      <c r="BC774" s="99">
        <f t="shared" si="712"/>
        <v>0</v>
      </c>
      <c r="BD774" s="413"/>
      <c r="BE774" s="63"/>
      <c r="BF774" s="63"/>
      <c r="BG774" s="63"/>
      <c r="BH774" s="99">
        <f t="shared" si="713"/>
        <v>0</v>
      </c>
      <c r="BI774" s="413"/>
      <c r="BJ774" s="63"/>
      <c r="BK774" s="63"/>
      <c r="BL774" s="63"/>
      <c r="BM774" s="99">
        <f t="shared" si="714"/>
        <v>0</v>
      </c>
      <c r="BN774" s="413"/>
      <c r="BO774" s="63"/>
      <c r="BP774" s="63"/>
      <c r="BQ774" s="63"/>
      <c r="BR774" s="99">
        <f t="shared" si="715"/>
        <v>0</v>
      </c>
      <c r="BS774" s="425"/>
      <c r="BT774" s="63"/>
      <c r="BU774" s="63"/>
      <c r="BV774" s="63"/>
      <c r="BW774" s="63"/>
      <c r="BX774" s="413"/>
      <c r="BY774" s="63"/>
      <c r="BZ774" s="63"/>
      <c r="CA774" s="63"/>
      <c r="CB774" s="63"/>
      <c r="CC774" s="413"/>
      <c r="CD774" s="413"/>
      <c r="CE774" s="413"/>
      <c r="CF774" s="413"/>
      <c r="CG774" s="99"/>
    </row>
    <row r="775" spans="1:85" ht="14.45" hidden="1" customHeight="1" x14ac:dyDescent="0.25">
      <c r="A775" s="96" t="s">
        <v>699</v>
      </c>
      <c r="B775" s="180"/>
      <c r="C775" s="413"/>
      <c r="D775" s="413"/>
      <c r="E775" s="413"/>
      <c r="F775" s="413"/>
      <c r="G775" s="63"/>
      <c r="H775" s="63"/>
      <c r="I775" s="63"/>
      <c r="J775" s="63"/>
      <c r="K775" s="413"/>
      <c r="L775" s="63"/>
      <c r="M775" s="63"/>
      <c r="N775" s="63"/>
      <c r="O775" s="63"/>
      <c r="P775" s="413"/>
      <c r="Q775" s="63"/>
      <c r="R775" s="63"/>
      <c r="S775" s="63"/>
      <c r="T775" s="63"/>
      <c r="U775" s="413"/>
      <c r="V775" s="63"/>
      <c r="W775" s="63"/>
      <c r="X775" s="63"/>
      <c r="Y775" s="63"/>
      <c r="Z775" s="413"/>
      <c r="AA775" s="63"/>
      <c r="AB775" s="63"/>
      <c r="AC775" s="63"/>
      <c r="AD775" s="99">
        <f t="shared" si="721"/>
        <v>18.32</v>
      </c>
      <c r="AE775" s="410">
        <v>18.32</v>
      </c>
      <c r="AF775" s="98">
        <v>17.861000000000001</v>
      </c>
      <c r="AG775" s="98">
        <v>17.401</v>
      </c>
      <c r="AH775" s="98">
        <v>16.940999999999999</v>
      </c>
      <c r="AI775" s="99">
        <f t="shared" si="722"/>
        <v>16.481999999999999</v>
      </c>
      <c r="AJ775" s="410">
        <v>16.481999999999999</v>
      </c>
      <c r="AK775" s="98">
        <v>16.021999999999998</v>
      </c>
      <c r="AL775" s="98">
        <v>15.561999999999999</v>
      </c>
      <c r="AM775" s="98">
        <v>15.103</v>
      </c>
      <c r="AN775" s="99">
        <f t="shared" si="723"/>
        <v>14.643000000000001</v>
      </c>
      <c r="AO775" s="410">
        <v>14.643000000000001</v>
      </c>
      <c r="AP775" s="98">
        <v>14.183</v>
      </c>
      <c r="AQ775" s="98">
        <v>13.724</v>
      </c>
      <c r="AR775" s="98">
        <v>13.263999999999999</v>
      </c>
      <c r="AS775" s="99">
        <f t="shared" si="710"/>
        <v>12.804</v>
      </c>
      <c r="AT775" s="410">
        <v>12.804</v>
      </c>
      <c r="AU775" s="98">
        <v>12.345000000000001</v>
      </c>
      <c r="AV775" s="98">
        <v>11.885</v>
      </c>
      <c r="AW775" s="98">
        <v>11.425000000000001</v>
      </c>
      <c r="AX775" s="99">
        <f t="shared" si="711"/>
        <v>10.965999999999999</v>
      </c>
      <c r="AY775" s="410">
        <v>10.965999999999999</v>
      </c>
      <c r="AZ775" s="98">
        <v>10.515000000000001</v>
      </c>
      <c r="BA775" s="98">
        <v>10.065</v>
      </c>
      <c r="BB775" s="98">
        <v>9.6150000000000002</v>
      </c>
      <c r="BC775" s="99">
        <f t="shared" si="712"/>
        <v>9.1649999999999991</v>
      </c>
      <c r="BD775" s="410">
        <v>9.1649999999999991</v>
      </c>
      <c r="BE775" s="98">
        <v>8.7140000000000004</v>
      </c>
      <c r="BF775" s="98">
        <v>8.3089999999999993</v>
      </c>
      <c r="BG775" s="98">
        <v>7.9039999999999999</v>
      </c>
      <c r="BH775" s="99">
        <f t="shared" si="713"/>
        <v>7.4989999999999997</v>
      </c>
      <c r="BI775" s="410">
        <v>7.4989999999999997</v>
      </c>
      <c r="BJ775" s="98">
        <v>7.093</v>
      </c>
      <c r="BK775" s="98">
        <v>6.6879999999999997</v>
      </c>
      <c r="BL775" s="98">
        <v>6.2830000000000004</v>
      </c>
      <c r="BM775" s="99">
        <f t="shared" si="714"/>
        <v>5.8780000000000001</v>
      </c>
      <c r="BN775" s="410">
        <v>5.8780000000000001</v>
      </c>
      <c r="BO775" s="98">
        <v>5.4729999999999999</v>
      </c>
      <c r="BP775" s="98">
        <v>5.0670000000000002</v>
      </c>
      <c r="BQ775" s="98">
        <v>4.6619999999999999</v>
      </c>
      <c r="BR775" s="99">
        <f t="shared" si="715"/>
        <v>4.2569999999999997</v>
      </c>
      <c r="BS775" s="419">
        <v>4.2569999999999997</v>
      </c>
      <c r="BT775" s="63"/>
      <c r="BU775" s="63"/>
      <c r="BV775" s="63"/>
      <c r="BW775" s="63"/>
      <c r="BX775" s="413"/>
      <c r="BY775" s="63"/>
      <c r="BZ775" s="63"/>
      <c r="CA775" s="63"/>
      <c r="CB775" s="63"/>
      <c r="CC775" s="413"/>
      <c r="CD775" s="413"/>
      <c r="CE775" s="413"/>
      <c r="CF775" s="413"/>
      <c r="CG775" s="99"/>
    </row>
    <row r="776" spans="1:85" ht="14.45" hidden="1" customHeight="1" x14ac:dyDescent="0.25">
      <c r="A776" s="96" t="s">
        <v>700</v>
      </c>
      <c r="B776" s="180"/>
      <c r="C776" s="410">
        <v>5.35</v>
      </c>
      <c r="D776" s="410">
        <v>4.8710000000000004</v>
      </c>
      <c r="E776" s="410">
        <v>4.4390000000000001</v>
      </c>
      <c r="F776" s="410">
        <v>4.0229999999999997</v>
      </c>
      <c r="G776" s="98">
        <v>3.9390000000000001</v>
      </c>
      <c r="H776" s="98">
        <v>3.847</v>
      </c>
      <c r="I776" s="98">
        <v>3.7639999999999998</v>
      </c>
      <c r="J776" s="99">
        <f>K776</f>
        <v>3.681</v>
      </c>
      <c r="K776" s="410">
        <v>3.681</v>
      </c>
      <c r="L776" s="98">
        <v>3.597</v>
      </c>
      <c r="M776" s="98">
        <v>17.283000000000001</v>
      </c>
      <c r="N776" s="98">
        <v>17.103999999999999</v>
      </c>
      <c r="O776" s="99">
        <f>P776</f>
        <v>57.148000000000003</v>
      </c>
      <c r="P776" s="410">
        <v>57.148000000000003</v>
      </c>
      <c r="Q776" s="98">
        <v>103.90600000000001</v>
      </c>
      <c r="R776" s="98">
        <v>105.818</v>
      </c>
      <c r="S776" s="98">
        <v>102.08799999999999</v>
      </c>
      <c r="T776" s="99">
        <f>U776</f>
        <v>136.44800000000001</v>
      </c>
      <c r="U776" s="410">
        <v>136.44800000000001</v>
      </c>
      <c r="V776" s="98">
        <v>136.721</v>
      </c>
      <c r="W776" s="98">
        <v>160.46700000000001</v>
      </c>
      <c r="X776" s="98">
        <v>159.40700000000001</v>
      </c>
      <c r="Y776" s="99">
        <f>Z776</f>
        <v>245.41499999999999</v>
      </c>
      <c r="Z776" s="410">
        <v>245.41499999999999</v>
      </c>
      <c r="AA776" s="98">
        <v>807.55499999999995</v>
      </c>
      <c r="AB776" s="98">
        <f>798.204+13.606</f>
        <v>811.81</v>
      </c>
      <c r="AC776" s="98">
        <f>729.777+13.262</f>
        <v>743.03899999999999</v>
      </c>
      <c r="AD776" s="99">
        <f t="shared" si="721"/>
        <v>0</v>
      </c>
      <c r="AE776" s="413"/>
      <c r="AF776" s="63"/>
      <c r="AG776" s="63"/>
      <c r="AH776" s="63"/>
      <c r="AI776" s="99">
        <f t="shared" si="722"/>
        <v>0</v>
      </c>
      <c r="AJ776" s="413"/>
      <c r="AK776" s="63"/>
      <c r="AL776" s="63"/>
      <c r="AM776" s="63"/>
      <c r="AN776" s="99">
        <f t="shared" si="723"/>
        <v>0</v>
      </c>
      <c r="AO776" s="413"/>
      <c r="AP776" s="63"/>
      <c r="AQ776" s="63"/>
      <c r="AR776" s="63"/>
      <c r="AS776" s="99">
        <f t="shared" si="710"/>
        <v>0</v>
      </c>
      <c r="AT776" s="413"/>
      <c r="AU776" s="63"/>
      <c r="AV776" s="63"/>
      <c r="AW776" s="63"/>
      <c r="AX776" s="99">
        <f t="shared" si="711"/>
        <v>0</v>
      </c>
      <c r="AY776" s="413"/>
      <c r="AZ776" s="63"/>
      <c r="BA776" s="63"/>
      <c r="BB776" s="63"/>
      <c r="BC776" s="99">
        <f t="shared" si="712"/>
        <v>0</v>
      </c>
      <c r="BD776" s="413"/>
      <c r="BE776" s="63"/>
      <c r="BF776" s="63"/>
      <c r="BG776" s="63"/>
      <c r="BH776" s="99">
        <f t="shared" si="713"/>
        <v>0</v>
      </c>
      <c r="BI776" s="413"/>
      <c r="BJ776" s="63"/>
      <c r="BK776" s="63"/>
      <c r="BL776" s="63"/>
      <c r="BM776" s="99">
        <f t="shared" si="714"/>
        <v>0</v>
      </c>
      <c r="BN776" s="413"/>
      <c r="BO776" s="63"/>
      <c r="BP776" s="63"/>
      <c r="BQ776" s="63"/>
      <c r="BR776" s="99">
        <f t="shared" si="715"/>
        <v>0</v>
      </c>
      <c r="BS776" s="425"/>
      <c r="BT776" s="63"/>
      <c r="BU776" s="63"/>
      <c r="BV776" s="63"/>
      <c r="BW776" s="63"/>
      <c r="BX776" s="413"/>
      <c r="BY776" s="63"/>
      <c r="BZ776" s="63"/>
      <c r="CA776" s="63"/>
      <c r="CB776" s="63"/>
      <c r="CC776" s="413"/>
      <c r="CD776" s="413"/>
      <c r="CE776" s="413"/>
      <c r="CF776" s="413"/>
      <c r="CG776" s="99"/>
    </row>
    <row r="777" spans="1:85" ht="14.45" customHeight="1" x14ac:dyDescent="0.25">
      <c r="A777" s="130" t="s">
        <v>701</v>
      </c>
      <c r="B777" s="190"/>
      <c r="C777" s="520">
        <f t="shared" ref="C777:AH777" si="724">C774+C775+C776+C773</f>
        <v>526.02200000000005</v>
      </c>
      <c r="D777" s="520">
        <f t="shared" si="724"/>
        <v>525.54300000000001</v>
      </c>
      <c r="E777" s="520">
        <f t="shared" si="724"/>
        <v>525.11099999999999</v>
      </c>
      <c r="F777" s="520">
        <f t="shared" si="724"/>
        <v>524.69500000000005</v>
      </c>
      <c r="G777" s="103">
        <f t="shared" si="724"/>
        <v>524.61099999999999</v>
      </c>
      <c r="H777" s="103">
        <f t="shared" si="724"/>
        <v>524.51900000000001</v>
      </c>
      <c r="I777" s="103">
        <f t="shared" si="724"/>
        <v>524.43600000000004</v>
      </c>
      <c r="J777" s="103">
        <f t="shared" si="724"/>
        <v>524.35300000000007</v>
      </c>
      <c r="K777" s="520">
        <f t="shared" si="724"/>
        <v>524.35300000000007</v>
      </c>
      <c r="L777" s="103">
        <f t="shared" si="724"/>
        <v>524.26900000000001</v>
      </c>
      <c r="M777" s="103">
        <f t="shared" si="724"/>
        <v>537.95500000000004</v>
      </c>
      <c r="N777" s="103">
        <f t="shared" si="724"/>
        <v>537.77600000000007</v>
      </c>
      <c r="O777" s="103">
        <f t="shared" si="724"/>
        <v>577.82000000000005</v>
      </c>
      <c r="P777" s="520">
        <f t="shared" si="724"/>
        <v>577.82000000000005</v>
      </c>
      <c r="Q777" s="103">
        <f t="shared" si="724"/>
        <v>624.57799999999997</v>
      </c>
      <c r="R777" s="103">
        <f t="shared" si="724"/>
        <v>633.35799999999995</v>
      </c>
      <c r="S777" s="103">
        <f t="shared" si="724"/>
        <v>629.62799999999993</v>
      </c>
      <c r="T777" s="103">
        <f t="shared" si="724"/>
        <v>663.98799999999994</v>
      </c>
      <c r="U777" s="520">
        <f t="shared" si="724"/>
        <v>663.98799999999994</v>
      </c>
      <c r="V777" s="103">
        <f t="shared" si="724"/>
        <v>664.26099999999997</v>
      </c>
      <c r="W777" s="103">
        <f t="shared" si="724"/>
        <v>693.50699999999995</v>
      </c>
      <c r="X777" s="103">
        <f t="shared" si="724"/>
        <v>692.447</v>
      </c>
      <c r="Y777" s="103">
        <f t="shared" si="724"/>
        <v>778.45499999999993</v>
      </c>
      <c r="Z777" s="520">
        <f t="shared" si="724"/>
        <v>778.45499999999993</v>
      </c>
      <c r="AA777" s="103">
        <f t="shared" si="724"/>
        <v>807.55499999999995</v>
      </c>
      <c r="AB777" s="103">
        <f t="shared" si="724"/>
        <v>811.81</v>
      </c>
      <c r="AC777" s="103">
        <f t="shared" si="724"/>
        <v>743.03899999999999</v>
      </c>
      <c r="AD777" s="103">
        <f t="shared" si="724"/>
        <v>931.67200000000003</v>
      </c>
      <c r="AE777" s="520">
        <f t="shared" si="724"/>
        <v>931.67200000000003</v>
      </c>
      <c r="AF777" s="103">
        <f t="shared" si="724"/>
        <v>925.26099999999997</v>
      </c>
      <c r="AG777" s="103">
        <f t="shared" si="724"/>
        <v>923.99699999999996</v>
      </c>
      <c r="AH777" s="103">
        <f t="shared" si="724"/>
        <v>918.77200000000005</v>
      </c>
      <c r="AI777" s="103">
        <f t="shared" ref="AI777:BN777" si="725">AI774+AI775+AI776+AI773</f>
        <v>916.86500000000001</v>
      </c>
      <c r="AJ777" s="520">
        <f t="shared" si="725"/>
        <v>916.86500000000001</v>
      </c>
      <c r="AK777" s="103">
        <f t="shared" si="725"/>
        <v>910.29100000000005</v>
      </c>
      <c r="AL777" s="103">
        <f t="shared" si="725"/>
        <v>903.80000000000007</v>
      </c>
      <c r="AM777" s="103">
        <f t="shared" si="725"/>
        <v>897.27</v>
      </c>
      <c r="AN777" s="103">
        <f t="shared" si="725"/>
        <v>890.73900000000003</v>
      </c>
      <c r="AO777" s="520">
        <f t="shared" si="725"/>
        <v>890.73900000000003</v>
      </c>
      <c r="AP777" s="103">
        <f t="shared" si="725"/>
        <v>884.20799999999997</v>
      </c>
      <c r="AQ777" s="103">
        <f t="shared" si="725"/>
        <v>877.678</v>
      </c>
      <c r="AR777" s="103">
        <f t="shared" si="725"/>
        <v>872.26700000000005</v>
      </c>
      <c r="AS777" s="103">
        <f t="shared" si="725"/>
        <v>866.55700000000002</v>
      </c>
      <c r="AT777" s="520">
        <f t="shared" si="725"/>
        <v>866.55700000000002</v>
      </c>
      <c r="AU777" s="103">
        <f t="shared" si="725"/>
        <v>859.99</v>
      </c>
      <c r="AV777" s="103">
        <f t="shared" si="725"/>
        <v>853.40899999999999</v>
      </c>
      <c r="AW777" s="103">
        <f t="shared" si="725"/>
        <v>846.82799999999997</v>
      </c>
      <c r="AX777" s="103">
        <f t="shared" si="725"/>
        <v>847.74300000000005</v>
      </c>
      <c r="AY777" s="520">
        <f t="shared" si="725"/>
        <v>847.74300000000005</v>
      </c>
      <c r="AZ777" s="103">
        <f t="shared" si="725"/>
        <v>871.21799999999996</v>
      </c>
      <c r="BA777" s="103">
        <f t="shared" si="725"/>
        <v>864.54500000000007</v>
      </c>
      <c r="BB777" s="103">
        <f t="shared" si="725"/>
        <v>857.87199999999996</v>
      </c>
      <c r="BC777" s="103">
        <f t="shared" si="725"/>
        <v>851.19999999999993</v>
      </c>
      <c r="BD777" s="520">
        <f t="shared" si="725"/>
        <v>851.19999999999993</v>
      </c>
      <c r="BE777" s="103">
        <f t="shared" si="725"/>
        <v>844.52600000000007</v>
      </c>
      <c r="BF777" s="103">
        <f t="shared" si="725"/>
        <v>837.89800000000002</v>
      </c>
      <c r="BG777" s="103">
        <f t="shared" si="725"/>
        <v>831.27</v>
      </c>
      <c r="BH777" s="103">
        <f t="shared" si="725"/>
        <v>824.64200000000005</v>
      </c>
      <c r="BI777" s="520">
        <f t="shared" si="725"/>
        <v>824.64200000000005</v>
      </c>
      <c r="BJ777" s="103">
        <f t="shared" si="725"/>
        <v>818.01299999999992</v>
      </c>
      <c r="BK777" s="103">
        <f t="shared" si="725"/>
        <v>811.38499999999999</v>
      </c>
      <c r="BL777" s="103">
        <f t="shared" si="725"/>
        <v>804.75800000000004</v>
      </c>
      <c r="BM777" s="103">
        <f t="shared" si="725"/>
        <v>798.13</v>
      </c>
      <c r="BN777" s="520">
        <f t="shared" si="725"/>
        <v>798.13</v>
      </c>
      <c r="BO777" s="103">
        <f t="shared" ref="BO777:BS777" si="726">BO774+BO775+BO776+BO773</f>
        <v>791.50199999999995</v>
      </c>
      <c r="BP777" s="103">
        <f t="shared" si="726"/>
        <v>784.87300000000005</v>
      </c>
      <c r="BQ777" s="103">
        <f t="shared" si="726"/>
        <v>778.245</v>
      </c>
      <c r="BR777" s="103">
        <f t="shared" si="726"/>
        <v>771.61699999999996</v>
      </c>
      <c r="BS777" s="521">
        <f t="shared" si="726"/>
        <v>771.61699999999996</v>
      </c>
      <c r="BT777" s="158">
        <f>BS777+BT739+BT738</f>
        <v>766.23047913424659</v>
      </c>
      <c r="BU777" s="158">
        <f>BT777+BU739+BU738</f>
        <v>760.88156061141353</v>
      </c>
      <c r="BV777" s="158">
        <f>BU777+BV739+BV738</f>
        <v>755.56998193624122</v>
      </c>
      <c r="BW777" s="158">
        <f>BV777+BW739+BW738</f>
        <v>750.23752091304186</v>
      </c>
      <c r="BX777" s="415">
        <f>BW777</f>
        <v>750.23752091304186</v>
      </c>
      <c r="BY777" s="158">
        <f>BX777+BY739+BY738</f>
        <v>745.00024638348998</v>
      </c>
      <c r="BZ777" s="158">
        <f>BY777+BZ739+BZ738</f>
        <v>739.79953233476363</v>
      </c>
      <c r="CA777" s="158">
        <f>BZ777+CA739+CA738</f>
        <v>734.63512354465684</v>
      </c>
      <c r="CB777" s="158">
        <f>CA777+CB739+CB738</f>
        <v>729.45041100150331</v>
      </c>
      <c r="CC777" s="415">
        <f>CB777</f>
        <v>729.45041100150331</v>
      </c>
      <c r="CD777" s="415">
        <f>CC777+CD739+CD738</f>
        <v>709.02579949346125</v>
      </c>
      <c r="CE777" s="415">
        <f>CD777+CE739+CE738</f>
        <v>689.1730771076443</v>
      </c>
      <c r="CF777" s="415">
        <f>CE777+CF739+CF738</f>
        <v>669.87623094863022</v>
      </c>
      <c r="CG777" s="99"/>
    </row>
    <row r="778" spans="1:85" ht="14.45" customHeight="1" x14ac:dyDescent="0.25">
      <c r="A778" s="110" t="s">
        <v>702</v>
      </c>
      <c r="B778" s="212"/>
      <c r="C778" s="416">
        <f t="shared" ref="C778:AH778" si="727">SUM(C768:C772,C777)</f>
        <v>1052.828</v>
      </c>
      <c r="D778" s="416">
        <f t="shared" si="727"/>
        <v>1042.923</v>
      </c>
      <c r="E778" s="416">
        <f t="shared" si="727"/>
        <v>1040.2130000000002</v>
      </c>
      <c r="F778" s="416">
        <f t="shared" si="727"/>
        <v>1042.162</v>
      </c>
      <c r="G778" s="106">
        <f t="shared" si="727"/>
        <v>1036.319</v>
      </c>
      <c r="H778" s="106">
        <f t="shared" si="727"/>
        <v>1037.24</v>
      </c>
      <c r="I778" s="106">
        <f t="shared" si="727"/>
        <v>1034.4650000000001</v>
      </c>
      <c r="J778" s="106">
        <f t="shared" si="727"/>
        <v>1036.941</v>
      </c>
      <c r="K778" s="416">
        <f t="shared" si="727"/>
        <v>1036.941</v>
      </c>
      <c r="L778" s="106">
        <f t="shared" si="727"/>
        <v>1039.8240000000001</v>
      </c>
      <c r="M778" s="106">
        <f t="shared" si="727"/>
        <v>1064.54</v>
      </c>
      <c r="N778" s="106">
        <f t="shared" si="727"/>
        <v>1073.2750000000001</v>
      </c>
      <c r="O778" s="106">
        <f t="shared" si="727"/>
        <v>1146.075</v>
      </c>
      <c r="P778" s="416">
        <f t="shared" si="727"/>
        <v>1146.075</v>
      </c>
      <c r="Q778" s="106">
        <f t="shared" si="727"/>
        <v>1231.2939999999999</v>
      </c>
      <c r="R778" s="106">
        <f t="shared" si="727"/>
        <v>1272.0740000000001</v>
      </c>
      <c r="S778" s="106">
        <f t="shared" si="727"/>
        <v>1295.4369999999999</v>
      </c>
      <c r="T778" s="106">
        <f t="shared" si="727"/>
        <v>1411.646</v>
      </c>
      <c r="U778" s="416">
        <f t="shared" si="727"/>
        <v>1411.646</v>
      </c>
      <c r="V778" s="106">
        <f t="shared" si="727"/>
        <v>1545.1769999999999</v>
      </c>
      <c r="W778" s="106">
        <f t="shared" si="727"/>
        <v>1655.2860000000001</v>
      </c>
      <c r="X778" s="106">
        <f t="shared" si="727"/>
        <v>1673.3589999999999</v>
      </c>
      <c r="Y778" s="106">
        <f t="shared" si="727"/>
        <v>1855.673</v>
      </c>
      <c r="Z778" s="416">
        <f t="shared" si="727"/>
        <v>1855.673</v>
      </c>
      <c r="AA778" s="106">
        <f t="shared" si="727"/>
        <v>2005.6570000000002</v>
      </c>
      <c r="AB778" s="106">
        <f t="shared" si="727"/>
        <v>2080.0659999999998</v>
      </c>
      <c r="AC778" s="106">
        <f t="shared" si="727"/>
        <v>1968.38</v>
      </c>
      <c r="AD778" s="106">
        <f t="shared" si="727"/>
        <v>2278.422</v>
      </c>
      <c r="AE778" s="416">
        <f t="shared" si="727"/>
        <v>2278.422</v>
      </c>
      <c r="AF778" s="106">
        <f t="shared" si="727"/>
        <v>2261.5419999999999</v>
      </c>
      <c r="AG778" s="106">
        <f t="shared" si="727"/>
        <v>2250.1019999999999</v>
      </c>
      <c r="AH778" s="106">
        <f t="shared" si="727"/>
        <v>2227.1930000000002</v>
      </c>
      <c r="AI778" s="106">
        <f t="shared" ref="AI778:BN778" si="728">SUM(AI768:AI772,AI777)</f>
        <v>2212.5100000000002</v>
      </c>
      <c r="AJ778" s="416">
        <f t="shared" si="728"/>
        <v>2212.5100000000002</v>
      </c>
      <c r="AK778" s="106">
        <f t="shared" si="728"/>
        <v>2267.2570000000001</v>
      </c>
      <c r="AL778" s="106">
        <f t="shared" si="728"/>
        <v>2268.2330000000002</v>
      </c>
      <c r="AM778" s="106">
        <f t="shared" si="728"/>
        <v>2266.8239999999996</v>
      </c>
      <c r="AN778" s="106">
        <f t="shared" si="728"/>
        <v>2296.65</v>
      </c>
      <c r="AO778" s="416">
        <f t="shared" si="728"/>
        <v>2296.65</v>
      </c>
      <c r="AP778" s="106">
        <f t="shared" si="728"/>
        <v>2292.2579999999998</v>
      </c>
      <c r="AQ778" s="106">
        <f t="shared" si="728"/>
        <v>2284.4690000000001</v>
      </c>
      <c r="AR778" s="106">
        <f t="shared" si="728"/>
        <v>2335.9949999999999</v>
      </c>
      <c r="AS778" s="106">
        <f t="shared" si="728"/>
        <v>2371.2129999999997</v>
      </c>
      <c r="AT778" s="416">
        <f t="shared" si="728"/>
        <v>2371.2129999999997</v>
      </c>
      <c r="AU778" s="106">
        <f t="shared" si="728"/>
        <v>2357.9839999999999</v>
      </c>
      <c r="AV778" s="106">
        <f t="shared" si="728"/>
        <v>2355.4290000000001</v>
      </c>
      <c r="AW778" s="106">
        <f t="shared" si="728"/>
        <v>2348.3209999999999</v>
      </c>
      <c r="AX778" s="106">
        <f t="shared" si="728"/>
        <v>2368.9080000000004</v>
      </c>
      <c r="AY778" s="416">
        <f t="shared" si="728"/>
        <v>2368.9080000000004</v>
      </c>
      <c r="AZ778" s="106">
        <f t="shared" si="728"/>
        <v>2374.7139999999999</v>
      </c>
      <c r="BA778" s="106">
        <f t="shared" si="728"/>
        <v>2368.4650000000001</v>
      </c>
      <c r="BB778" s="106">
        <f t="shared" si="728"/>
        <v>2367.009</v>
      </c>
      <c r="BC778" s="106">
        <f t="shared" si="728"/>
        <v>2463.7440000000001</v>
      </c>
      <c r="BD778" s="416">
        <f t="shared" si="728"/>
        <v>2463.7440000000001</v>
      </c>
      <c r="BE778" s="106">
        <f t="shared" si="728"/>
        <v>2446.0680000000002</v>
      </c>
      <c r="BF778" s="106">
        <f t="shared" si="728"/>
        <v>2446.5239999999999</v>
      </c>
      <c r="BG778" s="106">
        <f t="shared" si="728"/>
        <v>2464.8069999999998</v>
      </c>
      <c r="BH778" s="106">
        <f t="shared" si="728"/>
        <v>2583.8140000000003</v>
      </c>
      <c r="BI778" s="416">
        <f t="shared" si="728"/>
        <v>2583.8140000000003</v>
      </c>
      <c r="BJ778" s="106">
        <f t="shared" si="728"/>
        <v>2582.2389999999996</v>
      </c>
      <c r="BK778" s="109">
        <f t="shared" si="728"/>
        <v>2619.7280000000001</v>
      </c>
      <c r="BL778" s="106">
        <f t="shared" si="728"/>
        <v>2701.5910000000003</v>
      </c>
      <c r="BM778" s="106">
        <f t="shared" si="728"/>
        <v>2765.837</v>
      </c>
      <c r="BN778" s="416">
        <f t="shared" si="728"/>
        <v>2765.837</v>
      </c>
      <c r="BO778" s="106">
        <f t="shared" ref="BO778:CF778" si="729">SUM(BO768:BO772,BO777)</f>
        <v>2790.3040000000001</v>
      </c>
      <c r="BP778" s="109">
        <f t="shared" si="729"/>
        <v>2810.252</v>
      </c>
      <c r="BQ778" s="109">
        <f t="shared" si="729"/>
        <v>2820.77</v>
      </c>
      <c r="BR778" s="106">
        <f t="shared" si="729"/>
        <v>2876.3239999999996</v>
      </c>
      <c r="BS778" s="417">
        <f t="shared" si="729"/>
        <v>2876.3239999999996</v>
      </c>
      <c r="BT778" s="159">
        <f t="shared" si="729"/>
        <v>2895.930953449315</v>
      </c>
      <c r="BU778" s="159">
        <f t="shared" si="729"/>
        <v>2914.7966030214575</v>
      </c>
      <c r="BV778" s="159">
        <f t="shared" si="729"/>
        <v>2932.9449603533694</v>
      </c>
      <c r="BW778" s="159">
        <f t="shared" si="729"/>
        <v>2949.7669123389455</v>
      </c>
      <c r="BX778" s="418">
        <f t="shared" si="729"/>
        <v>2949.7669123389455</v>
      </c>
      <c r="BY778" s="159">
        <f t="shared" si="729"/>
        <v>2966.5680307478328</v>
      </c>
      <c r="BZ778" s="159">
        <f t="shared" si="729"/>
        <v>2982.7188967069301</v>
      </c>
      <c r="CA778" s="159">
        <f t="shared" si="729"/>
        <v>2998.2406590956361</v>
      </c>
      <c r="CB778" s="159">
        <f t="shared" si="729"/>
        <v>3012.4935063912872</v>
      </c>
      <c r="CC778" s="418">
        <f t="shared" si="729"/>
        <v>3012.4935063912872</v>
      </c>
      <c r="CD778" s="418">
        <f t="shared" si="729"/>
        <v>3064.1576002471465</v>
      </c>
      <c r="CE778" s="418">
        <f t="shared" si="729"/>
        <v>3107.1785675353622</v>
      </c>
      <c r="CF778" s="418">
        <f t="shared" si="729"/>
        <v>3142.7183401402935</v>
      </c>
      <c r="CG778" s="109"/>
    </row>
    <row r="779" spans="1:85" ht="14.45" customHeight="1" x14ac:dyDescent="0.25">
      <c r="A779" s="135" t="s">
        <v>703</v>
      </c>
      <c r="B779" s="211"/>
      <c r="C779" s="421">
        <f t="shared" ref="C779:AH779" si="730">C765+C778</f>
        <v>1283.077</v>
      </c>
      <c r="D779" s="421">
        <f t="shared" si="730"/>
        <v>1307.6220000000001</v>
      </c>
      <c r="E779" s="421">
        <f t="shared" si="730"/>
        <v>1362.4250000000002</v>
      </c>
      <c r="F779" s="421">
        <f t="shared" si="730"/>
        <v>1283.4740000000002</v>
      </c>
      <c r="G779" s="109">
        <f t="shared" si="730"/>
        <v>1298.242</v>
      </c>
      <c r="H779" s="109">
        <f t="shared" si="730"/>
        <v>1328.2080000000001</v>
      </c>
      <c r="I779" s="109">
        <f t="shared" si="730"/>
        <v>1315.355</v>
      </c>
      <c r="J779" s="109">
        <f t="shared" si="730"/>
        <v>1276.1559999999999</v>
      </c>
      <c r="K779" s="421">
        <f t="shared" si="730"/>
        <v>1276.1559999999999</v>
      </c>
      <c r="L779" s="109">
        <f t="shared" si="730"/>
        <v>1320.2640000000001</v>
      </c>
      <c r="M779" s="109">
        <f t="shared" si="730"/>
        <v>1379.1799999999998</v>
      </c>
      <c r="N779" s="109">
        <f t="shared" si="730"/>
        <v>1377.125</v>
      </c>
      <c r="O779" s="109">
        <f t="shared" si="730"/>
        <v>1433.076</v>
      </c>
      <c r="P779" s="421">
        <f t="shared" si="730"/>
        <v>1433.076</v>
      </c>
      <c r="Q779" s="109">
        <f t="shared" si="730"/>
        <v>1570.6239999999998</v>
      </c>
      <c r="R779" s="109">
        <f t="shared" si="730"/>
        <v>1709.991</v>
      </c>
      <c r="S779" s="109">
        <f t="shared" si="730"/>
        <v>1710.8469999999998</v>
      </c>
      <c r="T779" s="109">
        <f t="shared" si="730"/>
        <v>1846.5649999999998</v>
      </c>
      <c r="U779" s="421">
        <f t="shared" si="730"/>
        <v>1846.5649999999998</v>
      </c>
      <c r="V779" s="109">
        <f t="shared" si="730"/>
        <v>2023.8629999999998</v>
      </c>
      <c r="W779" s="109">
        <f t="shared" si="730"/>
        <v>2245.75</v>
      </c>
      <c r="X779" s="109">
        <f t="shared" si="730"/>
        <v>2254.0249999999996</v>
      </c>
      <c r="Y779" s="109">
        <f t="shared" si="730"/>
        <v>2449.4839999999999</v>
      </c>
      <c r="Z779" s="421">
        <f t="shared" si="730"/>
        <v>2449.4839999999999</v>
      </c>
      <c r="AA779" s="109">
        <f t="shared" si="730"/>
        <v>2664.82</v>
      </c>
      <c r="AB779" s="109">
        <f t="shared" si="730"/>
        <v>2891.4409999999998</v>
      </c>
      <c r="AC779" s="109">
        <f t="shared" si="730"/>
        <v>2911.096</v>
      </c>
      <c r="AD779" s="109">
        <f t="shared" si="730"/>
        <v>3072.96</v>
      </c>
      <c r="AE779" s="421">
        <f t="shared" si="730"/>
        <v>3072.96</v>
      </c>
      <c r="AF779" s="109">
        <f t="shared" si="730"/>
        <v>3090.4429999999998</v>
      </c>
      <c r="AG779" s="109">
        <f t="shared" si="730"/>
        <v>3122.9879999999998</v>
      </c>
      <c r="AH779" s="109">
        <f t="shared" si="730"/>
        <v>3072.424</v>
      </c>
      <c r="AI779" s="109">
        <f t="shared" ref="AI779:BN779" si="731">AI765+AI778</f>
        <v>3009.9279999999999</v>
      </c>
      <c r="AJ779" s="421">
        <f t="shared" si="731"/>
        <v>3009.9279999999999</v>
      </c>
      <c r="AK779" s="109">
        <f t="shared" si="731"/>
        <v>3075.6880000000001</v>
      </c>
      <c r="AL779" s="109">
        <f t="shared" si="731"/>
        <v>3132.1530000000002</v>
      </c>
      <c r="AM779" s="109">
        <f t="shared" si="731"/>
        <v>3118.7179999999998</v>
      </c>
      <c r="AN779" s="109">
        <f t="shared" si="731"/>
        <v>3126.9260000000004</v>
      </c>
      <c r="AO779" s="421">
        <f t="shared" si="731"/>
        <v>3126.9260000000004</v>
      </c>
      <c r="AP779" s="109">
        <f t="shared" si="731"/>
        <v>3195.7429999999999</v>
      </c>
      <c r="AQ779" s="109">
        <f t="shared" si="731"/>
        <v>3184.58</v>
      </c>
      <c r="AR779" s="109">
        <f t="shared" si="731"/>
        <v>3312.893</v>
      </c>
      <c r="AS779" s="109">
        <f t="shared" si="731"/>
        <v>3222.45</v>
      </c>
      <c r="AT779" s="421">
        <f t="shared" si="731"/>
        <v>3222.45</v>
      </c>
      <c r="AU779" s="109">
        <f t="shared" si="731"/>
        <v>3284.8319999999999</v>
      </c>
      <c r="AV779" s="109">
        <f t="shared" si="731"/>
        <v>3282.2979999999998</v>
      </c>
      <c r="AW779" s="109">
        <f t="shared" si="731"/>
        <v>3419.94</v>
      </c>
      <c r="AX779" s="109">
        <f t="shared" si="731"/>
        <v>3445.5700000000006</v>
      </c>
      <c r="AY779" s="421">
        <f t="shared" si="731"/>
        <v>3445.5700000000006</v>
      </c>
      <c r="AZ779" s="109">
        <f t="shared" si="731"/>
        <v>3425.9319999999998</v>
      </c>
      <c r="BA779" s="109">
        <f t="shared" si="731"/>
        <v>3581.6680000000001</v>
      </c>
      <c r="BB779" s="109">
        <f t="shared" si="731"/>
        <v>3597.2780000000002</v>
      </c>
      <c r="BC779" s="109">
        <f t="shared" si="731"/>
        <v>3709.5450000000001</v>
      </c>
      <c r="BD779" s="421">
        <f t="shared" si="731"/>
        <v>3709.5450000000001</v>
      </c>
      <c r="BE779" s="109">
        <f t="shared" si="731"/>
        <v>3799.6950000000002</v>
      </c>
      <c r="BF779" s="109">
        <f t="shared" si="731"/>
        <v>3994.5369999999998</v>
      </c>
      <c r="BG779" s="109">
        <f t="shared" si="731"/>
        <v>4141.2819999999992</v>
      </c>
      <c r="BH779" s="109">
        <f t="shared" si="731"/>
        <v>4288.9420000000009</v>
      </c>
      <c r="BI779" s="421">
        <f t="shared" si="731"/>
        <v>4288.9420000000009</v>
      </c>
      <c r="BJ779" s="109">
        <f t="shared" si="731"/>
        <v>4297.0919999999996</v>
      </c>
      <c r="BK779" s="109">
        <f t="shared" si="731"/>
        <v>5656.0720000000001</v>
      </c>
      <c r="BL779" s="109">
        <f t="shared" si="731"/>
        <v>5272.7240000000002</v>
      </c>
      <c r="BM779" s="109">
        <f t="shared" si="731"/>
        <v>5313.1390000000001</v>
      </c>
      <c r="BN779" s="421">
        <f t="shared" si="731"/>
        <v>5313.1390000000001</v>
      </c>
      <c r="BO779" s="109">
        <f t="shared" ref="BO779:CF779" si="732">BO765+BO778</f>
        <v>5403.7380000000003</v>
      </c>
      <c r="BP779" s="109">
        <f t="shared" si="732"/>
        <v>5541.491</v>
      </c>
      <c r="BQ779" s="109">
        <f t="shared" si="732"/>
        <v>5668.51</v>
      </c>
      <c r="BR779" s="109">
        <f t="shared" si="732"/>
        <v>4302.9979999999996</v>
      </c>
      <c r="BS779" s="422">
        <f t="shared" si="732"/>
        <v>4302.9979999999996</v>
      </c>
      <c r="BT779" s="112" t="e">
        <f t="shared" si="732"/>
        <v>#NAME?</v>
      </c>
      <c r="BU779" s="112" t="e">
        <f t="shared" si="732"/>
        <v>#NAME?</v>
      </c>
      <c r="BV779" s="112" t="e">
        <f t="shared" si="732"/>
        <v>#NAME?</v>
      </c>
      <c r="BW779" s="112" t="e">
        <f t="shared" si="732"/>
        <v>#NAME?</v>
      </c>
      <c r="BX779" s="423" t="e">
        <f t="shared" si="732"/>
        <v>#NAME?</v>
      </c>
      <c r="BY779" s="112" t="e">
        <f t="shared" si="732"/>
        <v>#NAME?</v>
      </c>
      <c r="BZ779" s="112" t="e">
        <f t="shared" si="732"/>
        <v>#NAME?</v>
      </c>
      <c r="CA779" s="112" t="e">
        <f t="shared" si="732"/>
        <v>#NAME?</v>
      </c>
      <c r="CB779" s="112" t="e">
        <f t="shared" si="732"/>
        <v>#NAME?</v>
      </c>
      <c r="CC779" s="423" t="e">
        <f t="shared" si="732"/>
        <v>#NAME?</v>
      </c>
      <c r="CD779" s="423" t="e">
        <f t="shared" si="732"/>
        <v>#NAME?</v>
      </c>
      <c r="CE779" s="423" t="e">
        <f t="shared" si="732"/>
        <v>#NAME?</v>
      </c>
      <c r="CF779" s="423" t="e">
        <f t="shared" si="732"/>
        <v>#NAME?</v>
      </c>
      <c r="CG779" s="109"/>
    </row>
    <row r="780" spans="1:85" ht="14.45" customHeight="1" x14ac:dyDescent="0.25">
      <c r="A780" s="111"/>
      <c r="B780" s="211"/>
      <c r="C780" s="423"/>
      <c r="D780" s="423"/>
      <c r="E780" s="423"/>
      <c r="F780" s="423"/>
      <c r="G780" s="112"/>
      <c r="H780" s="112"/>
      <c r="I780" s="112"/>
      <c r="J780" s="112"/>
      <c r="K780" s="423"/>
      <c r="L780" s="112"/>
      <c r="M780" s="112"/>
      <c r="N780" s="112"/>
      <c r="O780" s="112"/>
      <c r="P780" s="423"/>
      <c r="Q780" s="112"/>
      <c r="R780" s="112"/>
      <c r="S780" s="112"/>
      <c r="T780" s="112"/>
      <c r="U780" s="423"/>
      <c r="V780" s="112"/>
      <c r="W780" s="112"/>
      <c r="X780" s="112"/>
      <c r="Y780" s="112"/>
      <c r="Z780" s="423"/>
      <c r="AA780" s="112"/>
      <c r="AB780" s="112"/>
      <c r="AC780" s="112"/>
      <c r="AD780" s="112"/>
      <c r="AE780" s="423"/>
      <c r="AF780" s="112"/>
      <c r="AG780" s="112"/>
      <c r="AH780" s="112"/>
      <c r="AI780" s="112"/>
      <c r="AJ780" s="423"/>
      <c r="AK780" s="112"/>
      <c r="AL780" s="112"/>
      <c r="AM780" s="112"/>
      <c r="AN780" s="112"/>
      <c r="AO780" s="423"/>
      <c r="AP780" s="112"/>
      <c r="AQ780" s="112"/>
      <c r="AR780" s="112"/>
      <c r="AS780" s="112"/>
      <c r="AT780" s="423"/>
      <c r="AU780" s="112"/>
      <c r="AV780" s="112"/>
      <c r="AW780" s="112"/>
      <c r="AX780" s="112"/>
      <c r="AY780" s="423"/>
      <c r="AZ780" s="112"/>
      <c r="BA780" s="112"/>
      <c r="BB780" s="112"/>
      <c r="BC780" s="112"/>
      <c r="BD780" s="423"/>
      <c r="BE780" s="112"/>
      <c r="BF780" s="112"/>
      <c r="BG780" s="112"/>
      <c r="BH780" s="112"/>
      <c r="BI780" s="423"/>
      <c r="BJ780" s="112"/>
      <c r="BK780" s="112"/>
      <c r="BL780" s="112"/>
      <c r="BM780" s="112"/>
      <c r="BN780" s="423"/>
      <c r="BO780" s="112"/>
      <c r="BP780" s="112"/>
      <c r="BQ780" s="112"/>
      <c r="BR780" s="112"/>
      <c r="BS780" s="424"/>
      <c r="BT780" s="112"/>
      <c r="BU780" s="112"/>
      <c r="BV780" s="112"/>
      <c r="BW780" s="112"/>
      <c r="BX780" s="423"/>
      <c r="BY780" s="112"/>
      <c r="BZ780" s="112"/>
      <c r="CA780" s="112"/>
      <c r="CB780" s="112"/>
      <c r="CC780" s="423"/>
      <c r="CD780" s="423"/>
      <c r="CE780" s="423"/>
      <c r="CF780" s="423"/>
      <c r="CG780" s="109"/>
    </row>
    <row r="781" spans="1:85" ht="14.45" customHeight="1" x14ac:dyDescent="0.25">
      <c r="A781" s="135" t="s">
        <v>704</v>
      </c>
      <c r="B781" s="211"/>
      <c r="C781" s="423"/>
      <c r="D781" s="423"/>
      <c r="E781" s="423"/>
      <c r="F781" s="423"/>
      <c r="G781" s="112"/>
      <c r="H781" s="112"/>
      <c r="I781" s="112"/>
      <c r="J781" s="112"/>
      <c r="K781" s="423"/>
      <c r="L781" s="112"/>
      <c r="M781" s="112"/>
      <c r="N781" s="112"/>
      <c r="O781" s="112"/>
      <c r="P781" s="423"/>
      <c r="Q781" s="112"/>
      <c r="R781" s="112"/>
      <c r="S781" s="112"/>
      <c r="T781" s="112"/>
      <c r="U781" s="423"/>
      <c r="V781" s="112"/>
      <c r="W781" s="112"/>
      <c r="X781" s="112"/>
      <c r="Y781" s="112"/>
      <c r="Z781" s="423"/>
      <c r="AA781" s="112"/>
      <c r="AB781" s="112"/>
      <c r="AC781" s="112"/>
      <c r="AD781" s="112"/>
      <c r="AE781" s="423"/>
      <c r="AF781" s="112"/>
      <c r="AG781" s="112"/>
      <c r="AH781" s="112"/>
      <c r="AI781" s="112"/>
      <c r="AJ781" s="423"/>
      <c r="AK781" s="112"/>
      <c r="AL781" s="112"/>
      <c r="AM781" s="112"/>
      <c r="AN781" s="112"/>
      <c r="AO781" s="423"/>
      <c r="AP781" s="112"/>
      <c r="AQ781" s="112"/>
      <c r="AR781" s="112"/>
      <c r="AS781" s="112"/>
      <c r="AT781" s="423"/>
      <c r="AU781" s="112"/>
      <c r="AV781" s="112"/>
      <c r="AW781" s="112"/>
      <c r="AX781" s="112"/>
      <c r="AY781" s="423"/>
      <c r="AZ781" s="112"/>
      <c r="BA781" s="112"/>
      <c r="BB781" s="112"/>
      <c r="BC781" s="112"/>
      <c r="BD781" s="423"/>
      <c r="BE781" s="112"/>
      <c r="BF781" s="112"/>
      <c r="BG781" s="112"/>
      <c r="BH781" s="112"/>
      <c r="BI781" s="423"/>
      <c r="BJ781" s="112"/>
      <c r="BK781" s="112"/>
      <c r="BL781" s="112"/>
      <c r="BM781" s="112"/>
      <c r="BN781" s="423"/>
      <c r="BO781" s="112"/>
      <c r="BP781" s="112"/>
      <c r="BQ781" s="112"/>
      <c r="BR781" s="112"/>
      <c r="BS781" s="424"/>
      <c r="BT781" s="112"/>
      <c r="BU781" s="112"/>
      <c r="BV781" s="112"/>
      <c r="BW781" s="112"/>
      <c r="BX781" s="423"/>
      <c r="BY781" s="112"/>
      <c r="BZ781" s="112"/>
      <c r="CA781" s="112"/>
      <c r="CB781" s="112"/>
      <c r="CC781" s="423"/>
      <c r="CD781" s="423"/>
      <c r="CE781" s="423"/>
      <c r="CF781" s="423"/>
      <c r="CG781" s="109"/>
    </row>
    <row r="782" spans="1:85" ht="14.45" customHeight="1" x14ac:dyDescent="0.25">
      <c r="A782" s="125" t="s">
        <v>705</v>
      </c>
      <c r="B782" s="180"/>
      <c r="C782" s="413"/>
      <c r="D782" s="410">
        <v>0</v>
      </c>
      <c r="E782" s="410">
        <v>120</v>
      </c>
      <c r="F782" s="410">
        <v>20</v>
      </c>
      <c r="G782" s="98">
        <v>20</v>
      </c>
      <c r="H782" s="98">
        <v>20</v>
      </c>
      <c r="I782" s="98">
        <v>20</v>
      </c>
      <c r="J782" s="99">
        <f>K782</f>
        <v>20</v>
      </c>
      <c r="K782" s="410">
        <v>20</v>
      </c>
      <c r="L782" s="98">
        <v>20</v>
      </c>
      <c r="M782" s="98">
        <v>20</v>
      </c>
      <c r="N782" s="98">
        <v>0</v>
      </c>
      <c r="O782" s="99">
        <f>P782</f>
        <v>0</v>
      </c>
      <c r="P782" s="413"/>
      <c r="Q782" s="98">
        <v>0</v>
      </c>
      <c r="R782" s="98">
        <v>0</v>
      </c>
      <c r="S782" s="98">
        <v>164.75700000000001</v>
      </c>
      <c r="T782" s="99">
        <f>U782</f>
        <v>0</v>
      </c>
      <c r="U782" s="413"/>
      <c r="V782" s="63"/>
      <c r="W782" s="63"/>
      <c r="X782" s="63"/>
      <c r="Y782" s="99">
        <f>Z782</f>
        <v>0</v>
      </c>
      <c r="Z782" s="413"/>
      <c r="AA782" s="63"/>
      <c r="AB782" s="63"/>
      <c r="AC782" s="63"/>
      <c r="AD782" s="99">
        <f>AE782</f>
        <v>0</v>
      </c>
      <c r="AE782" s="413"/>
      <c r="AF782" s="63"/>
      <c r="AG782" s="63"/>
      <c r="AH782" s="63"/>
      <c r="AI782" s="99">
        <f>AJ782</f>
        <v>0</v>
      </c>
      <c r="AJ782" s="413"/>
      <c r="AK782" s="63"/>
      <c r="AL782" s="63"/>
      <c r="AM782" s="63"/>
      <c r="AN782" s="99">
        <f>AO782</f>
        <v>0</v>
      </c>
      <c r="AO782" s="413"/>
      <c r="AP782" s="63"/>
      <c r="AQ782" s="63"/>
      <c r="AR782" s="63"/>
      <c r="AS782" s="99">
        <f>AT782</f>
        <v>0</v>
      </c>
      <c r="AT782" s="413"/>
      <c r="AU782" s="63"/>
      <c r="AV782" s="63"/>
      <c r="AW782" s="63"/>
      <c r="AX782" s="99">
        <f>AY782</f>
        <v>0</v>
      </c>
      <c r="AY782" s="413"/>
      <c r="AZ782" s="98">
        <v>125</v>
      </c>
      <c r="BA782" s="98">
        <v>125</v>
      </c>
      <c r="BB782" s="63"/>
      <c r="BC782" s="99">
        <f>BD782</f>
        <v>0</v>
      </c>
      <c r="BD782" s="413"/>
      <c r="BE782" s="63"/>
      <c r="BF782" s="63"/>
      <c r="BG782" s="63"/>
      <c r="BH782" s="99">
        <f>BI782</f>
        <v>0</v>
      </c>
      <c r="BI782" s="413"/>
      <c r="BJ782" s="63"/>
      <c r="BK782" s="63"/>
      <c r="BL782" s="63"/>
      <c r="BM782" s="99">
        <f>BN782</f>
        <v>349.69900000000001</v>
      </c>
      <c r="BN782" s="410">
        <v>349.69900000000001</v>
      </c>
      <c r="BO782" s="98">
        <v>349.78100000000001</v>
      </c>
      <c r="BP782" s="98">
        <v>349.863</v>
      </c>
      <c r="BQ782" s="98">
        <v>349.94499999999999</v>
      </c>
      <c r="BR782" s="99">
        <f>BS782</f>
        <v>100</v>
      </c>
      <c r="BS782" s="419">
        <v>100</v>
      </c>
      <c r="BT782" s="63"/>
      <c r="BU782" s="63"/>
      <c r="BV782" s="63"/>
      <c r="BW782" s="63"/>
      <c r="BX782" s="413"/>
      <c r="BY782" s="63"/>
      <c r="BZ782" s="63"/>
      <c r="CA782" s="63"/>
      <c r="CB782" s="63"/>
      <c r="CC782" s="413"/>
      <c r="CD782" s="413"/>
      <c r="CE782" s="413"/>
      <c r="CF782" s="413"/>
      <c r="CG782" s="99"/>
    </row>
    <row r="783" spans="1:85" ht="14.45" customHeight="1" x14ac:dyDescent="0.25">
      <c r="A783" s="125" t="s">
        <v>706</v>
      </c>
      <c r="B783" s="180"/>
      <c r="C783" s="413"/>
      <c r="D783" s="413"/>
      <c r="E783" s="413"/>
      <c r="F783" s="413"/>
      <c r="G783" s="63"/>
      <c r="H783" s="63"/>
      <c r="I783" s="63"/>
      <c r="J783" s="63"/>
      <c r="K783" s="413"/>
      <c r="L783" s="63"/>
      <c r="M783" s="63"/>
      <c r="N783" s="63"/>
      <c r="O783" s="63"/>
      <c r="P783" s="413"/>
      <c r="Q783" s="63"/>
      <c r="R783" s="63"/>
      <c r="S783" s="63"/>
      <c r="T783" s="63"/>
      <c r="U783" s="413"/>
      <c r="V783" s="63"/>
      <c r="W783" s="63"/>
      <c r="X783" s="63"/>
      <c r="Y783" s="63"/>
      <c r="Z783" s="413"/>
      <c r="AA783" s="63"/>
      <c r="AB783" s="63"/>
      <c r="AC783" s="63"/>
      <c r="AD783" s="63"/>
      <c r="AE783" s="413"/>
      <c r="AF783" s="63"/>
      <c r="AG783" s="63"/>
      <c r="AH783" s="63"/>
      <c r="AI783" s="63"/>
      <c r="AJ783" s="413"/>
      <c r="AK783" s="98">
        <v>13.555</v>
      </c>
      <c r="AL783" s="98">
        <v>14.771000000000001</v>
      </c>
      <c r="AM783" s="98">
        <v>14.929</v>
      </c>
      <c r="AN783" s="99">
        <f>+AO783</f>
        <v>15.023999999999999</v>
      </c>
      <c r="AO783" s="410">
        <v>15.023999999999999</v>
      </c>
      <c r="AP783" s="98">
        <v>17.837</v>
      </c>
      <c r="AQ783" s="98">
        <v>17.602</v>
      </c>
      <c r="AR783" s="98">
        <v>18.812000000000001</v>
      </c>
      <c r="AS783" s="99">
        <f>+AT783</f>
        <v>19.765999999999998</v>
      </c>
      <c r="AT783" s="410">
        <v>19.765999999999998</v>
      </c>
      <c r="AU783" s="98">
        <v>19.388000000000002</v>
      </c>
      <c r="AV783" s="98">
        <v>19.956</v>
      </c>
      <c r="AW783" s="98">
        <v>20.65</v>
      </c>
      <c r="AX783" s="99">
        <f>+AY783</f>
        <v>22.047999999999998</v>
      </c>
      <c r="AY783" s="410">
        <v>22.047999999999998</v>
      </c>
      <c r="AZ783" s="98">
        <v>23.556000000000001</v>
      </c>
      <c r="BA783" s="98">
        <v>24.771000000000001</v>
      </c>
      <c r="BB783" s="98">
        <v>26.465</v>
      </c>
      <c r="BC783" s="99">
        <f>+BD783</f>
        <v>27.635000000000002</v>
      </c>
      <c r="BD783" s="410">
        <v>27.635000000000002</v>
      </c>
      <c r="BE783" s="98">
        <v>27.321000000000002</v>
      </c>
      <c r="BF783" s="98">
        <v>26.44</v>
      </c>
      <c r="BG783" s="98">
        <v>26.074000000000002</v>
      </c>
      <c r="BH783" s="99">
        <f>+BI783</f>
        <v>26.193999999999999</v>
      </c>
      <c r="BI783" s="410">
        <v>26.193999999999999</v>
      </c>
      <c r="BJ783" s="98">
        <v>25.085000000000001</v>
      </c>
      <c r="BK783" s="98">
        <v>23.922999999999998</v>
      </c>
      <c r="BL783" s="98">
        <v>22.323</v>
      </c>
      <c r="BM783" s="99">
        <f>+BN783</f>
        <v>23.257000000000001</v>
      </c>
      <c r="BN783" s="410">
        <v>23.257000000000001</v>
      </c>
      <c r="BO783" s="98">
        <v>23.199000000000002</v>
      </c>
      <c r="BP783" s="98">
        <v>24.538</v>
      </c>
      <c r="BQ783" s="98">
        <v>24.544</v>
      </c>
      <c r="BR783" s="99">
        <f>+BS783</f>
        <v>24.411999999999999</v>
      </c>
      <c r="BS783" s="419">
        <v>24.411999999999999</v>
      </c>
      <c r="BT783" s="63">
        <f t="shared" ref="BT783:CF783" si="733">BS783</f>
        <v>24.411999999999999</v>
      </c>
      <c r="BU783" s="63">
        <f t="shared" si="733"/>
        <v>24.411999999999999</v>
      </c>
      <c r="BV783" s="63">
        <f t="shared" si="733"/>
        <v>24.411999999999999</v>
      </c>
      <c r="BW783" s="63">
        <f t="shared" si="733"/>
        <v>24.411999999999999</v>
      </c>
      <c r="BX783" s="413">
        <f t="shared" si="733"/>
        <v>24.411999999999999</v>
      </c>
      <c r="BY783" s="63">
        <f t="shared" si="733"/>
        <v>24.411999999999999</v>
      </c>
      <c r="BZ783" s="63">
        <f t="shared" si="733"/>
        <v>24.411999999999999</v>
      </c>
      <c r="CA783" s="63">
        <f t="shared" si="733"/>
        <v>24.411999999999999</v>
      </c>
      <c r="CB783" s="63">
        <f t="shared" si="733"/>
        <v>24.411999999999999</v>
      </c>
      <c r="CC783" s="413">
        <f t="shared" si="733"/>
        <v>24.411999999999999</v>
      </c>
      <c r="CD783" s="413">
        <f t="shared" si="733"/>
        <v>24.411999999999999</v>
      </c>
      <c r="CE783" s="413">
        <f t="shared" si="733"/>
        <v>24.411999999999999</v>
      </c>
      <c r="CF783" s="413">
        <f t="shared" si="733"/>
        <v>24.411999999999999</v>
      </c>
      <c r="CG783" s="99"/>
    </row>
    <row r="784" spans="1:85" ht="14.45" customHeight="1" x14ac:dyDescent="0.25">
      <c r="A784" s="125" t="s">
        <v>707</v>
      </c>
      <c r="B784" s="180"/>
      <c r="C784" s="410">
        <v>3.8460000000000001</v>
      </c>
      <c r="D784" s="410">
        <v>3.8660000000000001</v>
      </c>
      <c r="E784" s="410">
        <v>4.5739999999999998</v>
      </c>
      <c r="F784" s="410">
        <v>5.23</v>
      </c>
      <c r="G784" s="98">
        <v>5.3520000000000003</v>
      </c>
      <c r="H784" s="98">
        <v>5.6120000000000001</v>
      </c>
      <c r="I784" s="98">
        <v>5.7320000000000002</v>
      </c>
      <c r="J784" s="99">
        <f>K784</f>
        <v>5.9390000000000001</v>
      </c>
      <c r="K784" s="410">
        <v>5.9390000000000001</v>
      </c>
      <c r="L784" s="98">
        <v>6.0620000000000003</v>
      </c>
      <c r="M784" s="98">
        <v>6.19</v>
      </c>
      <c r="N784" s="98">
        <v>6.3250000000000002</v>
      </c>
      <c r="O784" s="99">
        <f>P784</f>
        <v>6.4459999999999997</v>
      </c>
      <c r="P784" s="410">
        <v>6.4459999999999997</v>
      </c>
      <c r="Q784" s="98">
        <v>6.6790000000000003</v>
      </c>
      <c r="R784" s="98">
        <v>6.859</v>
      </c>
      <c r="S784" s="98">
        <v>6.9450000000000003</v>
      </c>
      <c r="T784" s="99">
        <f>U784</f>
        <v>7.0629999999999997</v>
      </c>
      <c r="U784" s="410">
        <v>7.0629999999999997</v>
      </c>
      <c r="V784" s="98">
        <v>7.165</v>
      </c>
      <c r="W784" s="98">
        <v>7.27</v>
      </c>
      <c r="X784" s="98">
        <v>7.3780000000000001</v>
      </c>
      <c r="Y784" s="99">
        <f>Z784</f>
        <v>7.5270000000000001</v>
      </c>
      <c r="Z784" s="410">
        <v>7.5270000000000001</v>
      </c>
      <c r="AA784" s="98">
        <v>7.6989999999999998</v>
      </c>
      <c r="AB784" s="98">
        <v>7.875</v>
      </c>
      <c r="AC784" s="98">
        <v>7.9630000000000001</v>
      </c>
      <c r="AD784" s="99">
        <f>AE784</f>
        <v>8.2210000000000001</v>
      </c>
      <c r="AE784" s="410">
        <v>8.2210000000000001</v>
      </c>
      <c r="AF784" s="98">
        <v>8.2650000000000006</v>
      </c>
      <c r="AG784" s="98">
        <v>8.2629999999999999</v>
      </c>
      <c r="AH784" s="98">
        <v>8.4380000000000006</v>
      </c>
      <c r="AI784" s="99">
        <f>AJ784</f>
        <v>8.6170000000000009</v>
      </c>
      <c r="AJ784" s="410">
        <v>8.6170000000000009</v>
      </c>
      <c r="AK784" s="98">
        <v>8.8330000000000002</v>
      </c>
      <c r="AL784" s="98">
        <v>9.0190000000000001</v>
      </c>
      <c r="AM784" s="98">
        <v>9.2089999999999996</v>
      </c>
      <c r="AN784" s="99">
        <f>AO784</f>
        <v>9.4030000000000005</v>
      </c>
      <c r="AO784" s="410">
        <v>9.4030000000000005</v>
      </c>
      <c r="AP784" s="98">
        <v>5.0990000000000002</v>
      </c>
      <c r="AQ784" s="98">
        <v>4.07</v>
      </c>
      <c r="AR784" s="98">
        <v>5.8140000000000001</v>
      </c>
      <c r="AS784" s="99">
        <f>AT784</f>
        <v>5.86</v>
      </c>
      <c r="AT784" s="410">
        <v>5.86</v>
      </c>
      <c r="AU784" s="98">
        <v>5.9089999999999998</v>
      </c>
      <c r="AV784" s="98">
        <v>5.9589999999999996</v>
      </c>
      <c r="AW784" s="98">
        <v>6.0090000000000003</v>
      </c>
      <c r="AX784" s="99">
        <f>AY784</f>
        <v>6.06</v>
      </c>
      <c r="AY784" s="410">
        <v>6.06</v>
      </c>
      <c r="AZ784" s="98">
        <v>2.1709999999999998</v>
      </c>
      <c r="BA784" s="98">
        <v>2.214</v>
      </c>
      <c r="BB784" s="98">
        <v>2.2589999999999999</v>
      </c>
      <c r="BC784" s="99">
        <f>BD784</f>
        <v>2.3029999999999999</v>
      </c>
      <c r="BD784" s="410">
        <v>2.3029999999999999</v>
      </c>
      <c r="BE784" s="98">
        <v>2.347</v>
      </c>
      <c r="BF784" s="98">
        <v>2.3929999999999998</v>
      </c>
      <c r="BG784" s="98">
        <v>2.44</v>
      </c>
      <c r="BH784" s="99">
        <f>BI784</f>
        <v>2.4870000000000001</v>
      </c>
      <c r="BI784" s="410">
        <v>2.4870000000000001</v>
      </c>
      <c r="BJ784" s="98">
        <v>2.536</v>
      </c>
      <c r="BK784" s="98">
        <v>2.5840000000000001</v>
      </c>
      <c r="BL784" s="98">
        <v>2.6349999999999998</v>
      </c>
      <c r="BM784" s="99">
        <f>BN784</f>
        <v>2.6850000000000001</v>
      </c>
      <c r="BN784" s="410">
        <v>2.6850000000000001</v>
      </c>
      <c r="BO784" s="98">
        <v>2.66</v>
      </c>
      <c r="BP784" s="98">
        <v>1.66</v>
      </c>
      <c r="BQ784" s="98">
        <v>0.54800000000000004</v>
      </c>
      <c r="BR784" s="99">
        <f>BS784</f>
        <v>0.55600000000000005</v>
      </c>
      <c r="BS784" s="419">
        <v>0.55600000000000005</v>
      </c>
      <c r="BT784" s="63">
        <f>BT506</f>
        <v>100.55600000000004</v>
      </c>
      <c r="BU784" s="63">
        <f>BU506</f>
        <v>100.55600000000004</v>
      </c>
      <c r="BV784" s="63">
        <f>BV506</f>
        <v>100.55600000000004</v>
      </c>
      <c r="BW784" s="63">
        <f>BW506</f>
        <v>100.55600000000004</v>
      </c>
      <c r="BX784" s="413">
        <f>BW784</f>
        <v>100.55600000000004</v>
      </c>
      <c r="BY784" s="63">
        <f>BY506</f>
        <v>100.55600000000004</v>
      </c>
      <c r="BZ784" s="63">
        <f>BZ506</f>
        <v>100.55600000000004</v>
      </c>
      <c r="CA784" s="63">
        <f>CA506</f>
        <v>100.55600000000004</v>
      </c>
      <c r="CB784" s="63">
        <f>CB506</f>
        <v>100.55600000000004</v>
      </c>
      <c r="CC784" s="413">
        <f>CB784</f>
        <v>100.55600000000004</v>
      </c>
      <c r="CD784" s="413">
        <f>CD506</f>
        <v>100.55600000000004</v>
      </c>
      <c r="CE784" s="413">
        <f>CE506</f>
        <v>100.55600000000004</v>
      </c>
      <c r="CF784" s="413">
        <f>CF506</f>
        <v>100.55600000000004</v>
      </c>
      <c r="CG784" s="99"/>
    </row>
    <row r="785" spans="1:85" ht="14.45" hidden="1" customHeight="1" x14ac:dyDescent="0.25">
      <c r="A785" s="96" t="s">
        <v>708</v>
      </c>
      <c r="B785" s="180"/>
      <c r="C785" s="410">
        <v>36.793999999999997</v>
      </c>
      <c r="D785" s="410">
        <v>41.878</v>
      </c>
      <c r="E785" s="410">
        <v>42.203000000000003</v>
      </c>
      <c r="F785" s="410">
        <v>51.651000000000003</v>
      </c>
      <c r="G785" s="98">
        <v>50.081000000000003</v>
      </c>
      <c r="H785" s="98">
        <v>49.24</v>
      </c>
      <c r="I785" s="98">
        <v>46.279000000000003</v>
      </c>
      <c r="J785" s="99">
        <f>K785</f>
        <v>43.579000000000001</v>
      </c>
      <c r="K785" s="410">
        <v>43.579000000000001</v>
      </c>
      <c r="L785" s="98">
        <v>52.308999999999997</v>
      </c>
      <c r="M785" s="98">
        <v>54.280999999999999</v>
      </c>
      <c r="N785" s="98">
        <v>49.476999999999997</v>
      </c>
      <c r="O785" s="99">
        <f>P785</f>
        <v>58.64</v>
      </c>
      <c r="P785" s="410">
        <v>58.64</v>
      </c>
      <c r="Q785" s="98">
        <v>58.457999999999998</v>
      </c>
      <c r="R785" s="98">
        <v>79.326999999999998</v>
      </c>
      <c r="S785" s="98">
        <v>78.872</v>
      </c>
      <c r="T785" s="99">
        <f>U785</f>
        <v>82.936999999999998</v>
      </c>
      <c r="U785" s="410">
        <v>82.936999999999998</v>
      </c>
      <c r="V785" s="98">
        <v>95.022999999999996</v>
      </c>
      <c r="W785" s="98">
        <v>125.261</v>
      </c>
      <c r="X785" s="98">
        <v>117.247</v>
      </c>
      <c r="Y785" s="99">
        <f>Z785</f>
        <v>116.821</v>
      </c>
      <c r="Z785" s="410">
        <v>116.821</v>
      </c>
      <c r="AA785" s="98">
        <v>135.02699999999999</v>
      </c>
      <c r="AB785" s="98">
        <v>164.62200000000001</v>
      </c>
      <c r="AC785" s="98">
        <v>182.69</v>
      </c>
      <c r="AD785" s="99">
        <f>AE785</f>
        <v>197.04900000000001</v>
      </c>
      <c r="AE785" s="410">
        <v>197.04900000000001</v>
      </c>
      <c r="AF785" s="98">
        <v>192.14099999999999</v>
      </c>
      <c r="AG785" s="98">
        <v>191.66499999999999</v>
      </c>
      <c r="AH785" s="98">
        <v>186.70599999999999</v>
      </c>
      <c r="AI785" s="99">
        <f>AJ785</f>
        <v>152.04</v>
      </c>
      <c r="AJ785" s="410">
        <v>152.04</v>
      </c>
      <c r="AK785" s="98">
        <v>168.52600000000001</v>
      </c>
      <c r="AL785" s="98">
        <v>181.41800000000001</v>
      </c>
      <c r="AM785" s="98">
        <v>191.78</v>
      </c>
      <c r="AN785" s="99">
        <f>+AO785</f>
        <v>187.476</v>
      </c>
      <c r="AO785" s="410">
        <v>187.476</v>
      </c>
      <c r="AP785" s="98">
        <v>209.69399999999999</v>
      </c>
      <c r="AQ785" s="98">
        <v>216.13800000000001</v>
      </c>
      <c r="AR785" s="98">
        <v>234.715</v>
      </c>
      <c r="AS785" s="99">
        <f>+AT785</f>
        <v>217.56</v>
      </c>
      <c r="AT785" s="410">
        <v>217.56</v>
      </c>
      <c r="AU785" s="98">
        <v>227.935</v>
      </c>
      <c r="AV785" s="98">
        <v>283.452</v>
      </c>
      <c r="AW785" s="98">
        <v>270.93700000000001</v>
      </c>
      <c r="AX785" s="99">
        <f>+AY785</f>
        <v>319.31799999999998</v>
      </c>
      <c r="AY785" s="410">
        <v>319.31799999999998</v>
      </c>
      <c r="AZ785" s="98">
        <v>273.702</v>
      </c>
      <c r="BA785" s="98">
        <v>323.44900000000001</v>
      </c>
      <c r="BB785" s="98">
        <v>323.35199999999998</v>
      </c>
      <c r="BC785" s="99">
        <f>+BD785</f>
        <v>351.72899999999998</v>
      </c>
      <c r="BD785" s="410">
        <v>351.72899999999998</v>
      </c>
      <c r="BE785" s="98">
        <v>310.435</v>
      </c>
      <c r="BF785" s="98">
        <v>361.82499999999999</v>
      </c>
      <c r="BG785" s="98">
        <v>348.37</v>
      </c>
      <c r="BH785" s="99">
        <f>+BI785</f>
        <v>383.56200000000001</v>
      </c>
      <c r="BI785" s="410">
        <v>383.56200000000001</v>
      </c>
      <c r="BJ785" s="98">
        <v>346.99900000000002</v>
      </c>
      <c r="BK785" s="98">
        <v>368.59800000000001</v>
      </c>
      <c r="BL785" s="98">
        <v>346.99700000000001</v>
      </c>
      <c r="BM785" s="99">
        <f>+BN785</f>
        <v>334.87799999999999</v>
      </c>
      <c r="BN785" s="410">
        <v>334.87799999999999</v>
      </c>
      <c r="BO785" s="98">
        <v>328.387</v>
      </c>
      <c r="BP785" s="98">
        <v>365.85300000000001</v>
      </c>
      <c r="BQ785" s="98">
        <v>362.39299999999997</v>
      </c>
      <c r="BR785" s="99">
        <f>+BS785</f>
        <v>359.10700000000003</v>
      </c>
      <c r="BS785" s="419">
        <v>359.10700000000003</v>
      </c>
      <c r="BT785" s="63"/>
      <c r="BU785" s="63"/>
      <c r="BV785" s="63"/>
      <c r="BW785" s="63"/>
      <c r="BX785" s="413"/>
      <c r="BY785" s="63"/>
      <c r="BZ785" s="63"/>
      <c r="CA785" s="63"/>
      <c r="CB785" s="63"/>
      <c r="CC785" s="413"/>
      <c r="CD785" s="413"/>
      <c r="CE785" s="413"/>
      <c r="CF785" s="413"/>
      <c r="CG785" s="99"/>
    </row>
    <row r="786" spans="1:85" ht="14.45" hidden="1" customHeight="1" x14ac:dyDescent="0.25">
      <c r="A786" s="100" t="s">
        <v>709</v>
      </c>
      <c r="B786" s="190"/>
      <c r="C786" s="414">
        <v>27.88</v>
      </c>
      <c r="D786" s="414">
        <v>25.058</v>
      </c>
      <c r="E786" s="414">
        <v>34.15</v>
      </c>
      <c r="F786" s="414">
        <v>27.83</v>
      </c>
      <c r="G786" s="102">
        <v>39.988999999999997</v>
      </c>
      <c r="H786" s="102">
        <v>49.875999999999998</v>
      </c>
      <c r="I786" s="102">
        <v>43.363</v>
      </c>
      <c r="J786" s="103">
        <f>K786</f>
        <v>25.869</v>
      </c>
      <c r="K786" s="414">
        <v>25.869</v>
      </c>
      <c r="L786" s="102">
        <v>39.048999999999999</v>
      </c>
      <c r="M786" s="102">
        <v>55.316000000000003</v>
      </c>
      <c r="N786" s="102">
        <v>47.093000000000004</v>
      </c>
      <c r="O786" s="103">
        <f>P786</f>
        <v>51.226999999999997</v>
      </c>
      <c r="P786" s="414">
        <v>51.226999999999997</v>
      </c>
      <c r="Q786" s="102">
        <v>60.210999999999999</v>
      </c>
      <c r="R786" s="102">
        <v>92.004000000000005</v>
      </c>
      <c r="S786" s="102">
        <v>85.89</v>
      </c>
      <c r="T786" s="103">
        <f>U786</f>
        <v>79.064999999999998</v>
      </c>
      <c r="U786" s="414">
        <v>79.064999999999998</v>
      </c>
      <c r="V786" s="102">
        <v>96.95</v>
      </c>
      <c r="W786" s="102">
        <v>130.452</v>
      </c>
      <c r="X786" s="102">
        <v>125.91800000000001</v>
      </c>
      <c r="Y786" s="103">
        <f>Z786</f>
        <v>135.155</v>
      </c>
      <c r="Z786" s="414">
        <v>135.155</v>
      </c>
      <c r="AA786" s="102">
        <v>134.441</v>
      </c>
      <c r="AB786" s="102">
        <v>187.476</v>
      </c>
      <c r="AC786" s="102">
        <v>165.279</v>
      </c>
      <c r="AD786" s="103">
        <f>AE786</f>
        <v>171.042</v>
      </c>
      <c r="AE786" s="414">
        <v>171.042</v>
      </c>
      <c r="AF786" s="102">
        <v>181.72399999999999</v>
      </c>
      <c r="AG786" s="102">
        <v>234.69800000000001</v>
      </c>
      <c r="AH786" s="102">
        <v>142.84899999999999</v>
      </c>
      <c r="AI786" s="103">
        <f>AJ786</f>
        <v>112.425</v>
      </c>
      <c r="AJ786" s="414">
        <v>112.425</v>
      </c>
      <c r="AK786" s="102">
        <v>120.77800000000001</v>
      </c>
      <c r="AL786" s="102">
        <v>135.99799999999999</v>
      </c>
      <c r="AM786" s="102">
        <v>130.916</v>
      </c>
      <c r="AN786" s="103">
        <f>+AO786</f>
        <v>108.699</v>
      </c>
      <c r="AO786" s="414">
        <v>108.699</v>
      </c>
      <c r="AP786" s="102">
        <v>136.76599999999999</v>
      </c>
      <c r="AQ786" s="102">
        <v>139.78</v>
      </c>
      <c r="AR786" s="102">
        <v>135.65600000000001</v>
      </c>
      <c r="AS786" s="103">
        <f>+AT786</f>
        <v>107.181</v>
      </c>
      <c r="AT786" s="414">
        <v>107.181</v>
      </c>
      <c r="AU786" s="102">
        <v>142.29499999999999</v>
      </c>
      <c r="AV786" s="102">
        <v>139.76</v>
      </c>
      <c r="AW786" s="102">
        <v>153.70099999999999</v>
      </c>
      <c r="AX786" s="103">
        <f>+AY786</f>
        <v>145.67099999999999</v>
      </c>
      <c r="AY786" s="414">
        <v>145.67099999999999</v>
      </c>
      <c r="AZ786" s="102">
        <v>159.506</v>
      </c>
      <c r="BA786" s="102">
        <v>198.73500000000001</v>
      </c>
      <c r="BB786" s="102">
        <v>189.88499999999999</v>
      </c>
      <c r="BC786" s="103">
        <f>+BD786</f>
        <v>162.78299999999999</v>
      </c>
      <c r="BD786" s="414">
        <v>162.78299999999999</v>
      </c>
      <c r="BE786" s="102">
        <v>189.304</v>
      </c>
      <c r="BF786" s="102">
        <v>194.893</v>
      </c>
      <c r="BG786" s="102">
        <v>180.68700000000001</v>
      </c>
      <c r="BH786" s="103">
        <f>+BI786</f>
        <v>139.499</v>
      </c>
      <c r="BI786" s="414">
        <v>139.499</v>
      </c>
      <c r="BJ786" s="102">
        <v>206.494</v>
      </c>
      <c r="BK786" s="102">
        <v>248.64</v>
      </c>
      <c r="BL786" s="102">
        <v>229.18100000000001</v>
      </c>
      <c r="BM786" s="103">
        <f>+BN786</f>
        <v>187.27099999999999</v>
      </c>
      <c r="BN786" s="414">
        <v>187.27099999999999</v>
      </c>
      <c r="BO786" s="102">
        <v>234.90100000000001</v>
      </c>
      <c r="BP786" s="102">
        <v>252.661</v>
      </c>
      <c r="BQ786" s="102">
        <v>227.62299999999999</v>
      </c>
      <c r="BR786" s="103">
        <f>+BS786</f>
        <v>182.446</v>
      </c>
      <c r="BS786" s="420">
        <v>182.446</v>
      </c>
      <c r="BT786" s="158"/>
      <c r="BU786" s="158"/>
      <c r="BV786" s="158"/>
      <c r="BW786" s="158"/>
      <c r="BX786" s="415"/>
      <c r="BY786" s="158"/>
      <c r="BZ786" s="158"/>
      <c r="CA786" s="158"/>
      <c r="CB786" s="158"/>
      <c r="CC786" s="415"/>
      <c r="CD786" s="415"/>
      <c r="CE786" s="415"/>
      <c r="CF786" s="415"/>
      <c r="CG786" s="99"/>
    </row>
    <row r="787" spans="1:85" ht="14.45" customHeight="1" x14ac:dyDescent="0.25">
      <c r="A787" s="125" t="s">
        <v>710</v>
      </c>
      <c r="B787" s="180"/>
      <c r="C787" s="467">
        <f t="shared" ref="C787:AH787" si="734">SUM(C785:C786)</f>
        <v>64.673999999999992</v>
      </c>
      <c r="D787" s="467">
        <f t="shared" si="734"/>
        <v>66.936000000000007</v>
      </c>
      <c r="E787" s="467">
        <f t="shared" si="734"/>
        <v>76.353000000000009</v>
      </c>
      <c r="F787" s="467">
        <f t="shared" si="734"/>
        <v>79.480999999999995</v>
      </c>
      <c r="G787" s="99">
        <f t="shared" si="734"/>
        <v>90.07</v>
      </c>
      <c r="H787" s="99">
        <f t="shared" si="734"/>
        <v>99.116</v>
      </c>
      <c r="I787" s="99">
        <f t="shared" si="734"/>
        <v>89.641999999999996</v>
      </c>
      <c r="J787" s="99">
        <f t="shared" si="734"/>
        <v>69.448000000000008</v>
      </c>
      <c r="K787" s="467">
        <f t="shared" si="734"/>
        <v>69.448000000000008</v>
      </c>
      <c r="L787" s="99">
        <f t="shared" si="734"/>
        <v>91.358000000000004</v>
      </c>
      <c r="M787" s="99">
        <f t="shared" si="734"/>
        <v>109.59700000000001</v>
      </c>
      <c r="N787" s="99">
        <f t="shared" si="734"/>
        <v>96.57</v>
      </c>
      <c r="O787" s="99">
        <f t="shared" si="734"/>
        <v>109.86699999999999</v>
      </c>
      <c r="P787" s="467">
        <f t="shared" si="734"/>
        <v>109.86699999999999</v>
      </c>
      <c r="Q787" s="99">
        <f t="shared" si="734"/>
        <v>118.669</v>
      </c>
      <c r="R787" s="99">
        <f t="shared" si="734"/>
        <v>171.33100000000002</v>
      </c>
      <c r="S787" s="99">
        <f t="shared" si="734"/>
        <v>164.762</v>
      </c>
      <c r="T787" s="99">
        <f t="shared" si="734"/>
        <v>162.00200000000001</v>
      </c>
      <c r="U787" s="467">
        <f t="shared" si="734"/>
        <v>162.00200000000001</v>
      </c>
      <c r="V787" s="99">
        <f t="shared" si="734"/>
        <v>191.97300000000001</v>
      </c>
      <c r="W787" s="99">
        <f t="shared" si="734"/>
        <v>255.71299999999999</v>
      </c>
      <c r="X787" s="99">
        <f t="shared" si="734"/>
        <v>243.16500000000002</v>
      </c>
      <c r="Y787" s="99">
        <f t="shared" si="734"/>
        <v>251.976</v>
      </c>
      <c r="Z787" s="467">
        <f t="shared" si="734"/>
        <v>251.976</v>
      </c>
      <c r="AA787" s="99">
        <f t="shared" si="734"/>
        <v>269.46799999999996</v>
      </c>
      <c r="AB787" s="99">
        <f t="shared" si="734"/>
        <v>352.09800000000001</v>
      </c>
      <c r="AC787" s="99">
        <f t="shared" si="734"/>
        <v>347.96899999999999</v>
      </c>
      <c r="AD787" s="99">
        <f t="shared" si="734"/>
        <v>368.09100000000001</v>
      </c>
      <c r="AE787" s="467">
        <f t="shared" si="734"/>
        <v>368.09100000000001</v>
      </c>
      <c r="AF787" s="99">
        <f t="shared" si="734"/>
        <v>373.86500000000001</v>
      </c>
      <c r="AG787" s="99">
        <f t="shared" si="734"/>
        <v>426.363</v>
      </c>
      <c r="AH787" s="99">
        <f t="shared" si="734"/>
        <v>329.55499999999995</v>
      </c>
      <c r="AI787" s="99">
        <f t="shared" ref="AI787:BN787" si="735">SUM(AI785:AI786)</f>
        <v>264.46499999999997</v>
      </c>
      <c r="AJ787" s="467">
        <f t="shared" si="735"/>
        <v>264.46499999999997</v>
      </c>
      <c r="AK787" s="99">
        <f t="shared" si="735"/>
        <v>289.30400000000003</v>
      </c>
      <c r="AL787" s="99">
        <f t="shared" si="735"/>
        <v>317.416</v>
      </c>
      <c r="AM787" s="99">
        <f t="shared" si="735"/>
        <v>322.69600000000003</v>
      </c>
      <c r="AN787" s="99">
        <f t="shared" si="735"/>
        <v>296.17500000000001</v>
      </c>
      <c r="AO787" s="467">
        <f t="shared" si="735"/>
        <v>296.17500000000001</v>
      </c>
      <c r="AP787" s="99">
        <f t="shared" si="735"/>
        <v>346.46</v>
      </c>
      <c r="AQ787" s="99">
        <f t="shared" si="735"/>
        <v>355.91800000000001</v>
      </c>
      <c r="AR787" s="99">
        <f t="shared" si="735"/>
        <v>370.37099999999998</v>
      </c>
      <c r="AS787" s="99">
        <f t="shared" si="735"/>
        <v>324.74099999999999</v>
      </c>
      <c r="AT787" s="467">
        <f t="shared" si="735"/>
        <v>324.74099999999999</v>
      </c>
      <c r="AU787" s="99">
        <f t="shared" si="735"/>
        <v>370.23</v>
      </c>
      <c r="AV787" s="99">
        <f t="shared" si="735"/>
        <v>423.21199999999999</v>
      </c>
      <c r="AW787" s="99">
        <f t="shared" si="735"/>
        <v>424.63800000000003</v>
      </c>
      <c r="AX787" s="99">
        <f t="shared" si="735"/>
        <v>464.98899999999998</v>
      </c>
      <c r="AY787" s="467">
        <f t="shared" si="735"/>
        <v>464.98899999999998</v>
      </c>
      <c r="AZ787" s="99">
        <f t="shared" si="735"/>
        <v>433.20799999999997</v>
      </c>
      <c r="BA787" s="99">
        <f t="shared" si="735"/>
        <v>522.18399999999997</v>
      </c>
      <c r="BB787" s="99">
        <f t="shared" si="735"/>
        <v>513.23699999999997</v>
      </c>
      <c r="BC787" s="99">
        <f t="shared" si="735"/>
        <v>514.51199999999994</v>
      </c>
      <c r="BD787" s="467">
        <f t="shared" si="735"/>
        <v>514.51199999999994</v>
      </c>
      <c r="BE787" s="99">
        <f t="shared" si="735"/>
        <v>499.73900000000003</v>
      </c>
      <c r="BF787" s="99">
        <f t="shared" si="735"/>
        <v>556.71799999999996</v>
      </c>
      <c r="BG787" s="99">
        <f t="shared" si="735"/>
        <v>529.05700000000002</v>
      </c>
      <c r="BH787" s="99">
        <f t="shared" si="735"/>
        <v>523.06100000000004</v>
      </c>
      <c r="BI787" s="467">
        <f t="shared" si="735"/>
        <v>523.06100000000004</v>
      </c>
      <c r="BJ787" s="99">
        <f t="shared" si="735"/>
        <v>553.49300000000005</v>
      </c>
      <c r="BK787" s="99">
        <f t="shared" si="735"/>
        <v>617.23800000000006</v>
      </c>
      <c r="BL787" s="99">
        <f t="shared" si="735"/>
        <v>576.178</v>
      </c>
      <c r="BM787" s="99">
        <f t="shared" si="735"/>
        <v>522.149</v>
      </c>
      <c r="BN787" s="467">
        <f t="shared" si="735"/>
        <v>522.149</v>
      </c>
      <c r="BO787" s="99">
        <f t="shared" ref="BO787:BS787" si="736">SUM(BO785:BO786)</f>
        <v>563.28800000000001</v>
      </c>
      <c r="BP787" s="99">
        <f t="shared" si="736"/>
        <v>618.51400000000001</v>
      </c>
      <c r="BQ787" s="99">
        <f t="shared" si="736"/>
        <v>590.01599999999996</v>
      </c>
      <c r="BR787" s="99">
        <f t="shared" si="736"/>
        <v>541.553</v>
      </c>
      <c r="BS787" s="468">
        <f t="shared" si="736"/>
        <v>541.553</v>
      </c>
      <c r="BT787" s="63">
        <f>(BT$401+BR$401+BQ$401+BP$401)*BT724</f>
        <v>592.28746711414328</v>
      </c>
      <c r="BU787" s="63">
        <f>(BU$401+BT$401+BR$401+BQ$401)*BU724</f>
        <v>648.33742105907299</v>
      </c>
      <c r="BV787" s="63">
        <f>(BV$401+BU$401+BT$401+BR$401)*BV724</f>
        <v>614.21199040520196</v>
      </c>
      <c r="BW787" s="63">
        <f>(BW$401+BV$401+BU$401+BT$401)*BW724</f>
        <v>553.60535630466882</v>
      </c>
      <c r="BX787" s="413">
        <f t="shared" ref="BX787:BX793" si="737">BW787</f>
        <v>553.60535630466882</v>
      </c>
      <c r="BY787" s="63">
        <f>(BY$401+BW$401+BV$401+BU$401)*BY724</f>
        <v>605.49319178670282</v>
      </c>
      <c r="BZ787" s="63">
        <f>(BZ$401+BY$401+BW$401+BV$401)*BZ724</f>
        <v>660.79493107513133</v>
      </c>
      <c r="CA787" s="63">
        <f>(CA$401+BZ$401+BY$401+BW$401)*CA724</f>
        <v>621.03976047462584</v>
      </c>
      <c r="CB787" s="63">
        <f>(CB$401+CA$401+BZ$401+BY$401)*CB724</f>
        <v>558.9509263548548</v>
      </c>
      <c r="CC787" s="413">
        <f t="shared" ref="CC787:CC793" si="738">CB787</f>
        <v>558.9509263548548</v>
      </c>
      <c r="CD787" s="413">
        <f>CD401*CD724</f>
        <v>565.31553763260683</v>
      </c>
      <c r="CE787" s="413">
        <f>CE401*CE724</f>
        <v>571.78336909966731</v>
      </c>
      <c r="CF787" s="413">
        <f>CF401*CF724</f>
        <v>578.35636479964091</v>
      </c>
      <c r="CG787" s="99"/>
    </row>
    <row r="788" spans="1:85" ht="14.45" customHeight="1" x14ac:dyDescent="0.25">
      <c r="A788" s="125" t="s">
        <v>711</v>
      </c>
      <c r="B788" s="180"/>
      <c r="C788" s="413"/>
      <c r="D788" s="413"/>
      <c r="E788" s="413"/>
      <c r="F788" s="413"/>
      <c r="G788" s="63"/>
      <c r="H788" s="63"/>
      <c r="I788" s="63"/>
      <c r="J788" s="63"/>
      <c r="K788" s="413"/>
      <c r="L788" s="63"/>
      <c r="M788" s="63"/>
      <c r="N788" s="63"/>
      <c r="O788" s="63"/>
      <c r="P788" s="413"/>
      <c r="Q788" s="63"/>
      <c r="R788" s="63"/>
      <c r="S788" s="63"/>
      <c r="T788" s="63"/>
      <c r="U788" s="413"/>
      <c r="V788" s="63"/>
      <c r="W788" s="63"/>
      <c r="X788" s="63"/>
      <c r="Y788" s="63"/>
      <c r="Z788" s="413"/>
      <c r="AA788" s="63"/>
      <c r="AB788" s="63"/>
      <c r="AC788" s="63"/>
      <c r="AD788" s="63"/>
      <c r="AE788" s="413"/>
      <c r="AF788" s="63"/>
      <c r="AG788" s="63"/>
      <c r="AH788" s="63"/>
      <c r="AI788" s="63"/>
      <c r="AJ788" s="413"/>
      <c r="AK788" s="63"/>
      <c r="AL788" s="63"/>
      <c r="AM788" s="63"/>
      <c r="AN788" s="63"/>
      <c r="AO788" s="413"/>
      <c r="AP788" s="63"/>
      <c r="AQ788" s="63"/>
      <c r="AR788" s="63"/>
      <c r="AS788" s="63"/>
      <c r="AT788" s="413"/>
      <c r="AU788" s="63"/>
      <c r="AV788" s="63"/>
      <c r="AW788" s="63"/>
      <c r="AX788" s="63"/>
      <c r="AY788" s="413"/>
      <c r="AZ788" s="63"/>
      <c r="BA788" s="63"/>
      <c r="BB788" s="63"/>
      <c r="BC788" s="63"/>
      <c r="BD788" s="413"/>
      <c r="BE788" s="63"/>
      <c r="BF788" s="63"/>
      <c r="BG788" s="63"/>
      <c r="BH788" s="63"/>
      <c r="BI788" s="413"/>
      <c r="BJ788" s="63"/>
      <c r="BK788" s="98">
        <v>553.72299999999996</v>
      </c>
      <c r="BL788" s="63"/>
      <c r="BM788" s="63"/>
      <c r="BN788" s="413"/>
      <c r="BO788" s="63"/>
      <c r="BP788" s="63"/>
      <c r="BQ788" s="63"/>
      <c r="BR788" s="63"/>
      <c r="BS788" s="425"/>
      <c r="BT788" s="63">
        <f t="shared" ref="BT788:BW793" si="739">BS788</f>
        <v>0</v>
      </c>
      <c r="BU788" s="63">
        <f t="shared" si="739"/>
        <v>0</v>
      </c>
      <c r="BV788" s="63">
        <f t="shared" si="739"/>
        <v>0</v>
      </c>
      <c r="BW788" s="63">
        <f t="shared" si="739"/>
        <v>0</v>
      </c>
      <c r="BX788" s="413">
        <f t="shared" si="737"/>
        <v>0</v>
      </c>
      <c r="BY788" s="63">
        <f t="shared" ref="BY788:CB793" si="740">BX788</f>
        <v>0</v>
      </c>
      <c r="BZ788" s="63">
        <f t="shared" si="740"/>
        <v>0</v>
      </c>
      <c r="CA788" s="63">
        <f t="shared" si="740"/>
        <v>0</v>
      </c>
      <c r="CB788" s="63">
        <f t="shared" si="740"/>
        <v>0</v>
      </c>
      <c r="CC788" s="413">
        <f t="shared" si="738"/>
        <v>0</v>
      </c>
      <c r="CD788" s="413">
        <f t="shared" ref="CD788:CF793" si="741">CC788</f>
        <v>0</v>
      </c>
      <c r="CE788" s="413">
        <f t="shared" si="741"/>
        <v>0</v>
      </c>
      <c r="CF788" s="413">
        <f t="shared" si="741"/>
        <v>0</v>
      </c>
      <c r="CG788" s="99"/>
    </row>
    <row r="789" spans="1:85" ht="14.45" customHeight="1" x14ac:dyDescent="0.25">
      <c r="A789" s="125" t="s">
        <v>712</v>
      </c>
      <c r="B789" s="180"/>
      <c r="C789" s="410">
        <v>61.978000000000002</v>
      </c>
      <c r="D789" s="410">
        <v>69.471000000000004</v>
      </c>
      <c r="E789" s="410">
        <v>68.177000000000007</v>
      </c>
      <c r="F789" s="410">
        <v>75.113</v>
      </c>
      <c r="G789" s="98">
        <v>60.268000000000001</v>
      </c>
      <c r="H789" s="98">
        <v>72.162000000000006</v>
      </c>
      <c r="I789" s="98">
        <v>73.858000000000004</v>
      </c>
      <c r="J789" s="99">
        <f>K789</f>
        <v>77.622</v>
      </c>
      <c r="K789" s="410">
        <v>77.622</v>
      </c>
      <c r="L789" s="98">
        <v>78.105999999999995</v>
      </c>
      <c r="M789" s="98">
        <v>73.087999999999994</v>
      </c>
      <c r="N789" s="98">
        <v>73.855999999999995</v>
      </c>
      <c r="O789" s="99">
        <f>P789</f>
        <v>68.775000000000006</v>
      </c>
      <c r="P789" s="410">
        <v>68.775000000000006</v>
      </c>
      <c r="Q789" s="98">
        <v>80.445999999999998</v>
      </c>
      <c r="R789" s="98">
        <v>97.268000000000001</v>
      </c>
      <c r="S789" s="98">
        <v>93.097999999999999</v>
      </c>
      <c r="T789" s="99">
        <f>U789</f>
        <v>104.16800000000001</v>
      </c>
      <c r="U789" s="410">
        <v>104.16800000000001</v>
      </c>
      <c r="V789" s="98">
        <v>111.218</v>
      </c>
      <c r="W789" s="98">
        <v>129.65199999999999</v>
      </c>
      <c r="X789" s="98">
        <v>132.429</v>
      </c>
      <c r="Y789" s="99">
        <f>Z789</f>
        <v>133.88499999999999</v>
      </c>
      <c r="Z789" s="410">
        <v>133.88499999999999</v>
      </c>
      <c r="AA789" s="98">
        <v>150.749</v>
      </c>
      <c r="AB789" s="98">
        <v>183.68299999999999</v>
      </c>
      <c r="AC789" s="98">
        <v>148.28200000000001</v>
      </c>
      <c r="AD789" s="99">
        <f>AE789</f>
        <v>185.53</v>
      </c>
      <c r="AE789" s="410">
        <v>185.53</v>
      </c>
      <c r="AF789" s="98">
        <v>149.60599999999999</v>
      </c>
      <c r="AG789" s="98">
        <v>201.005</v>
      </c>
      <c r="AH789" s="98">
        <v>153.60900000000001</v>
      </c>
      <c r="AI789" s="99">
        <f>AJ789</f>
        <v>250.24600000000001</v>
      </c>
      <c r="AJ789" s="410">
        <v>250.24600000000001</v>
      </c>
      <c r="AK789" s="98">
        <v>197.755</v>
      </c>
      <c r="AL789" s="98">
        <v>197.101</v>
      </c>
      <c r="AM789" s="98">
        <v>191.29599999999999</v>
      </c>
      <c r="AN789" s="99">
        <f>+AO789</f>
        <v>208.834</v>
      </c>
      <c r="AO789" s="410">
        <v>208.834</v>
      </c>
      <c r="AP789" s="98">
        <v>182.91800000000001</v>
      </c>
      <c r="AQ789" s="98">
        <v>190.018</v>
      </c>
      <c r="AR789" s="98">
        <v>207.52199999999999</v>
      </c>
      <c r="AS789" s="99">
        <f>+AT789</f>
        <v>205.14099999999999</v>
      </c>
      <c r="AT789" s="410">
        <v>205.14099999999999</v>
      </c>
      <c r="AU789" s="98">
        <v>219.584</v>
      </c>
      <c r="AV789" s="98">
        <v>223.011</v>
      </c>
      <c r="AW789" s="98">
        <v>214.101</v>
      </c>
      <c r="AX789" s="99">
        <f>+AY789</f>
        <v>226.76900000000001</v>
      </c>
      <c r="AY789" s="410">
        <v>226.76900000000001</v>
      </c>
      <c r="AZ789" s="98">
        <v>230.56800000000001</v>
      </c>
      <c r="BA789" s="98">
        <v>229.398</v>
      </c>
      <c r="BB789" s="98">
        <v>207.25</v>
      </c>
      <c r="BC789" s="99">
        <f>+BD789</f>
        <v>198.3</v>
      </c>
      <c r="BD789" s="410">
        <v>198.3</v>
      </c>
      <c r="BE789" s="98">
        <v>201.58</v>
      </c>
      <c r="BF789" s="98">
        <v>226.13499999999999</v>
      </c>
      <c r="BG789" s="98">
        <v>218.70099999999999</v>
      </c>
      <c r="BH789" s="99">
        <f>+BI789</f>
        <v>235.47399999999999</v>
      </c>
      <c r="BI789" s="467">
        <f>237.994-BI791</f>
        <v>235.47399999999999</v>
      </c>
      <c r="BJ789" s="99">
        <f>254.465-BJ791</f>
        <v>248.62299999999999</v>
      </c>
      <c r="BK789" s="99">
        <f>254.649-BK791</f>
        <v>246.68199999999999</v>
      </c>
      <c r="BL789" s="99">
        <f>276.743-BL791</f>
        <v>249.32499999999999</v>
      </c>
      <c r="BM789" s="99">
        <f>+BN789</f>
        <v>239.07600000000002</v>
      </c>
      <c r="BN789" s="467">
        <f>246.687-BN791</f>
        <v>239.07600000000002</v>
      </c>
      <c r="BO789" s="99">
        <f>266.906-BO791</f>
        <v>239.84900000000002</v>
      </c>
      <c r="BP789" s="99">
        <f>261.635-BP791</f>
        <v>253.90099999999998</v>
      </c>
      <c r="BQ789" s="99">
        <f>292.873-BQ791</f>
        <v>265.81399999999996</v>
      </c>
      <c r="BR789" s="99">
        <f>+BS789</f>
        <v>296.67900000000003</v>
      </c>
      <c r="BS789" s="468">
        <f>307.237-BS791</f>
        <v>296.67900000000003</v>
      </c>
      <c r="BT789" s="63">
        <f t="shared" si="739"/>
        <v>296.67900000000003</v>
      </c>
      <c r="BU789" s="63">
        <f t="shared" si="739"/>
        <v>296.67900000000003</v>
      </c>
      <c r="BV789" s="63">
        <f t="shared" si="739"/>
        <v>296.67900000000003</v>
      </c>
      <c r="BW789" s="63">
        <f t="shared" si="739"/>
        <v>296.67900000000003</v>
      </c>
      <c r="BX789" s="413">
        <f t="shared" si="737"/>
        <v>296.67900000000003</v>
      </c>
      <c r="BY789" s="63">
        <f t="shared" si="740"/>
        <v>296.67900000000003</v>
      </c>
      <c r="BZ789" s="63">
        <f t="shared" si="740"/>
        <v>296.67900000000003</v>
      </c>
      <c r="CA789" s="63">
        <f t="shared" si="740"/>
        <v>296.67900000000003</v>
      </c>
      <c r="CB789" s="63">
        <f t="shared" si="740"/>
        <v>296.67900000000003</v>
      </c>
      <c r="CC789" s="413">
        <f t="shared" si="738"/>
        <v>296.67900000000003</v>
      </c>
      <c r="CD789" s="413">
        <f t="shared" si="741"/>
        <v>296.67900000000003</v>
      </c>
      <c r="CE789" s="413">
        <f t="shared" si="741"/>
        <v>296.67900000000003</v>
      </c>
      <c r="CF789" s="413">
        <f t="shared" si="741"/>
        <v>296.67900000000003</v>
      </c>
      <c r="CG789" s="99"/>
    </row>
    <row r="790" spans="1:85" ht="14.45" customHeight="1" x14ac:dyDescent="0.25">
      <c r="A790" s="125" t="s">
        <v>713</v>
      </c>
      <c r="B790" s="180"/>
      <c r="C790" s="410">
        <v>25.963000000000001</v>
      </c>
      <c r="D790" s="410">
        <v>30.943999999999999</v>
      </c>
      <c r="E790" s="410">
        <v>29.218</v>
      </c>
      <c r="F790" s="410">
        <v>32.427999999999997</v>
      </c>
      <c r="G790" s="98">
        <v>11.462</v>
      </c>
      <c r="H790" s="98">
        <v>18.643999999999998</v>
      </c>
      <c r="I790" s="98">
        <v>26.733000000000001</v>
      </c>
      <c r="J790" s="99">
        <f>K790</f>
        <v>31.753</v>
      </c>
      <c r="K790" s="410">
        <v>31.753</v>
      </c>
      <c r="L790" s="98">
        <v>17.422000000000001</v>
      </c>
      <c r="M790" s="98">
        <v>24.544</v>
      </c>
      <c r="N790" s="98">
        <v>31.952999999999999</v>
      </c>
      <c r="O790" s="99">
        <f>P790</f>
        <v>38.677</v>
      </c>
      <c r="P790" s="410">
        <v>38.677</v>
      </c>
      <c r="Q790" s="98">
        <v>24.65</v>
      </c>
      <c r="R790" s="98">
        <v>32.723999999999997</v>
      </c>
      <c r="S790" s="98">
        <v>40.561999999999998</v>
      </c>
      <c r="T790" s="99">
        <f>U790</f>
        <v>49.838999999999999</v>
      </c>
      <c r="U790" s="410">
        <v>49.838999999999999</v>
      </c>
      <c r="V790" s="98">
        <v>23.774000000000001</v>
      </c>
      <c r="W790" s="98">
        <v>36.622</v>
      </c>
      <c r="X790" s="98">
        <v>43.125</v>
      </c>
      <c r="Y790" s="99">
        <f>Z790</f>
        <v>60.88</v>
      </c>
      <c r="Z790" s="410">
        <v>60.88</v>
      </c>
      <c r="AA790" s="98">
        <v>29.251000000000001</v>
      </c>
      <c r="AB790" s="98">
        <v>53.518000000000001</v>
      </c>
      <c r="AC790" s="98">
        <v>53.622</v>
      </c>
      <c r="AD790" s="99">
        <f>AE790</f>
        <v>72.483999999999995</v>
      </c>
      <c r="AE790" s="410">
        <v>72.483999999999995</v>
      </c>
      <c r="AF790" s="98">
        <v>33.670999999999999</v>
      </c>
      <c r="AG790" s="98">
        <v>52.220999999999997</v>
      </c>
      <c r="AH790" s="98">
        <v>57.651000000000003</v>
      </c>
      <c r="AI790" s="99">
        <f>AJ790</f>
        <v>72.316000000000003</v>
      </c>
      <c r="AJ790" s="410">
        <v>72.316000000000003</v>
      </c>
      <c r="AK790" s="98">
        <v>40.374000000000002</v>
      </c>
      <c r="AL790" s="98">
        <v>59.329000000000001</v>
      </c>
      <c r="AM790" s="98">
        <v>67.638999999999996</v>
      </c>
      <c r="AN790" s="99">
        <f>+AO790</f>
        <v>87.813000000000002</v>
      </c>
      <c r="AO790" s="410">
        <v>87.813000000000002</v>
      </c>
      <c r="AP790" s="98">
        <v>48.466000000000001</v>
      </c>
      <c r="AQ790" s="98">
        <v>62.167999999999999</v>
      </c>
      <c r="AR790" s="98">
        <v>74.778000000000006</v>
      </c>
      <c r="AS790" s="99">
        <f>+AT790</f>
        <v>87.608000000000004</v>
      </c>
      <c r="AT790" s="410">
        <v>87.608000000000004</v>
      </c>
      <c r="AU790" s="98">
        <v>62.536000000000001</v>
      </c>
      <c r="AV790" s="98">
        <v>67.834999999999994</v>
      </c>
      <c r="AW790" s="98">
        <v>96.617000000000004</v>
      </c>
      <c r="AX790" s="99">
        <f>+AY790</f>
        <v>110.89400000000001</v>
      </c>
      <c r="AY790" s="410">
        <v>110.89400000000001</v>
      </c>
      <c r="AZ790" s="98">
        <v>73.33</v>
      </c>
      <c r="BA790" s="98">
        <v>69.878</v>
      </c>
      <c r="BB790" s="98">
        <v>121.592</v>
      </c>
      <c r="BC790" s="99">
        <f>+BD790</f>
        <v>126.92100000000001</v>
      </c>
      <c r="BD790" s="410">
        <v>126.92100000000001</v>
      </c>
      <c r="BE790" s="98">
        <v>75.745999999999995</v>
      </c>
      <c r="BF790" s="98">
        <v>77.778999999999996</v>
      </c>
      <c r="BG790" s="98">
        <v>125.71899999999999</v>
      </c>
      <c r="BH790" s="99">
        <f>+BI790</f>
        <v>146.93199999999999</v>
      </c>
      <c r="BI790" s="410">
        <v>146.93199999999999</v>
      </c>
      <c r="BJ790" s="98">
        <v>82.296999999999997</v>
      </c>
      <c r="BK790" s="98">
        <v>87.495999999999995</v>
      </c>
      <c r="BL790" s="98">
        <v>141.07400000000001</v>
      </c>
      <c r="BM790" s="99">
        <f>+BN790</f>
        <v>168.69200000000001</v>
      </c>
      <c r="BN790" s="410">
        <v>168.69200000000001</v>
      </c>
      <c r="BO790" s="98">
        <v>84.356999999999999</v>
      </c>
      <c r="BP790" s="98">
        <v>82.981999999999999</v>
      </c>
      <c r="BQ790" s="98">
        <v>135.72300000000001</v>
      </c>
      <c r="BR790" s="99">
        <f>+BS790</f>
        <v>154.899</v>
      </c>
      <c r="BS790" s="419">
        <v>154.899</v>
      </c>
      <c r="BT790" s="63">
        <f t="shared" si="739"/>
        <v>154.899</v>
      </c>
      <c r="BU790" s="63">
        <f t="shared" si="739"/>
        <v>154.899</v>
      </c>
      <c r="BV790" s="63">
        <f t="shared" si="739"/>
        <v>154.899</v>
      </c>
      <c r="BW790" s="63">
        <f t="shared" si="739"/>
        <v>154.899</v>
      </c>
      <c r="BX790" s="413">
        <f t="shared" si="737"/>
        <v>154.899</v>
      </c>
      <c r="BY790" s="63">
        <f t="shared" si="740"/>
        <v>154.899</v>
      </c>
      <c r="BZ790" s="63">
        <f t="shared" si="740"/>
        <v>154.899</v>
      </c>
      <c r="CA790" s="63">
        <f t="shared" si="740"/>
        <v>154.899</v>
      </c>
      <c r="CB790" s="63">
        <f t="shared" si="740"/>
        <v>154.899</v>
      </c>
      <c r="CC790" s="413">
        <f t="shared" si="738"/>
        <v>154.899</v>
      </c>
      <c r="CD790" s="413">
        <f t="shared" si="741"/>
        <v>154.899</v>
      </c>
      <c r="CE790" s="413">
        <f t="shared" si="741"/>
        <v>154.899</v>
      </c>
      <c r="CF790" s="413">
        <f t="shared" si="741"/>
        <v>154.899</v>
      </c>
      <c r="CG790" s="99"/>
    </row>
    <row r="791" spans="1:85" ht="14.45" customHeight="1" x14ac:dyDescent="0.25">
      <c r="A791" s="125" t="s">
        <v>714</v>
      </c>
      <c r="B791" s="180"/>
      <c r="C791" s="410">
        <v>5.5209999999999999</v>
      </c>
      <c r="D791" s="410">
        <v>5.5229999999999997</v>
      </c>
      <c r="E791" s="410">
        <v>5.4480000000000004</v>
      </c>
      <c r="F791" s="410">
        <v>4.0599999999999996</v>
      </c>
      <c r="G791" s="98">
        <v>9.2989999999999995</v>
      </c>
      <c r="H791" s="98">
        <v>3.9980000000000002</v>
      </c>
      <c r="I791" s="98">
        <v>9.3800000000000008</v>
      </c>
      <c r="J791" s="99">
        <f>K791</f>
        <v>4.0540000000000003</v>
      </c>
      <c r="K791" s="410">
        <v>4.0540000000000003</v>
      </c>
      <c r="L791" s="98">
        <v>9.3889999999999993</v>
      </c>
      <c r="M791" s="98">
        <v>3.9420000000000002</v>
      </c>
      <c r="N791" s="98">
        <v>9.1069999999999993</v>
      </c>
      <c r="O791" s="99">
        <f>P791</f>
        <v>3.6549999999999998</v>
      </c>
      <c r="P791" s="410">
        <v>3.6549999999999998</v>
      </c>
      <c r="Q791" s="98">
        <v>8.7680000000000007</v>
      </c>
      <c r="R791" s="98">
        <v>2.2690000000000001</v>
      </c>
      <c r="S791" s="98">
        <v>6.1769999999999996</v>
      </c>
      <c r="T791" s="99">
        <f>U791</f>
        <v>3.4809999999999999</v>
      </c>
      <c r="U791" s="410">
        <v>3.4809999999999999</v>
      </c>
      <c r="V791" s="98">
        <v>10.84</v>
      </c>
      <c r="W791" s="98">
        <v>3.5230000000000001</v>
      </c>
      <c r="X791" s="98">
        <v>8.7449999999999992</v>
      </c>
      <c r="Y791" s="99">
        <f>Z791</f>
        <v>3.6389999999999998</v>
      </c>
      <c r="Z791" s="410">
        <v>3.6389999999999998</v>
      </c>
      <c r="AA791" s="98">
        <v>9.1440000000000001</v>
      </c>
      <c r="AB791" s="98">
        <v>4.9139999999999997</v>
      </c>
      <c r="AC791" s="98">
        <v>9.2789999999999999</v>
      </c>
      <c r="AD791" s="99">
        <f>AE791</f>
        <v>5.1260000000000003</v>
      </c>
      <c r="AE791" s="410">
        <v>5.1260000000000003</v>
      </c>
      <c r="AF791" s="98">
        <v>9.5489999999999995</v>
      </c>
      <c r="AG791" s="98">
        <v>5.0709999999999997</v>
      </c>
      <c r="AH791" s="98">
        <v>9.3629999999999995</v>
      </c>
      <c r="AI791" s="99">
        <f>AJ791</f>
        <v>6.093</v>
      </c>
      <c r="AJ791" s="410">
        <v>6.093</v>
      </c>
      <c r="AK791" s="98">
        <v>9.32</v>
      </c>
      <c r="AL791" s="98">
        <v>4.3159999999999998</v>
      </c>
      <c r="AM791" s="98">
        <v>7.4039999999999999</v>
      </c>
      <c r="AN791" s="99">
        <f>+AO791</f>
        <v>4.9459999999999997</v>
      </c>
      <c r="AO791" s="410">
        <v>4.9459999999999997</v>
      </c>
      <c r="AP791" s="98">
        <v>7.21</v>
      </c>
      <c r="AQ791" s="98">
        <v>4.4539999999999997</v>
      </c>
      <c r="AR791" s="98">
        <v>6.6930000000000014</v>
      </c>
      <c r="AS791" s="99">
        <f>+AT791</f>
        <v>3.944</v>
      </c>
      <c r="AT791" s="410">
        <v>3.944</v>
      </c>
      <c r="AU791" s="98">
        <v>6.26</v>
      </c>
      <c r="AV791" s="98">
        <v>3.9790000000000001</v>
      </c>
      <c r="AW791" s="98">
        <v>6.2809999999999997</v>
      </c>
      <c r="AX791" s="99">
        <f>+AY791</f>
        <v>4.0960000000000001</v>
      </c>
      <c r="AY791" s="410">
        <v>4.0960000000000001</v>
      </c>
      <c r="AZ791" s="98">
        <v>6.2380000000000004</v>
      </c>
      <c r="BA791" s="98">
        <v>3.988</v>
      </c>
      <c r="BB791" s="98">
        <v>5.8920000000000003</v>
      </c>
      <c r="BC791" s="99">
        <f>+BD791</f>
        <v>2.677</v>
      </c>
      <c r="BD791" s="410">
        <v>2.677</v>
      </c>
      <c r="BE791" s="98">
        <v>5.8419999999999996</v>
      </c>
      <c r="BF791" s="98">
        <v>2.5169999999999999</v>
      </c>
      <c r="BG791" s="98">
        <v>5.8419999999999996</v>
      </c>
      <c r="BH791" s="99">
        <f>+BI791</f>
        <v>2.52</v>
      </c>
      <c r="BI791" s="410">
        <v>2.52</v>
      </c>
      <c r="BJ791" s="98">
        <v>5.8419999999999996</v>
      </c>
      <c r="BK791" s="98">
        <v>7.9669999999999996</v>
      </c>
      <c r="BL791" s="98">
        <v>27.417999999999999</v>
      </c>
      <c r="BM791" s="99">
        <f>+BN791</f>
        <v>7.6109999999999998</v>
      </c>
      <c r="BN791" s="410">
        <v>7.6109999999999998</v>
      </c>
      <c r="BO791" s="98">
        <v>27.056999999999999</v>
      </c>
      <c r="BP791" s="98">
        <v>7.734</v>
      </c>
      <c r="BQ791" s="98">
        <v>27.059000000000001</v>
      </c>
      <c r="BR791" s="99">
        <f>+BS791</f>
        <v>10.558</v>
      </c>
      <c r="BS791" s="419">
        <v>10.558</v>
      </c>
      <c r="BT791" s="63">
        <f t="shared" si="739"/>
        <v>10.558</v>
      </c>
      <c r="BU791" s="63">
        <f t="shared" si="739"/>
        <v>10.558</v>
      </c>
      <c r="BV791" s="63">
        <f t="shared" si="739"/>
        <v>10.558</v>
      </c>
      <c r="BW791" s="63">
        <f t="shared" si="739"/>
        <v>10.558</v>
      </c>
      <c r="BX791" s="413">
        <f t="shared" si="737"/>
        <v>10.558</v>
      </c>
      <c r="BY791" s="63">
        <f t="shared" si="740"/>
        <v>10.558</v>
      </c>
      <c r="BZ791" s="63">
        <f t="shared" si="740"/>
        <v>10.558</v>
      </c>
      <c r="CA791" s="63">
        <f t="shared" si="740"/>
        <v>10.558</v>
      </c>
      <c r="CB791" s="63">
        <f t="shared" si="740"/>
        <v>10.558</v>
      </c>
      <c r="CC791" s="413">
        <f t="shared" si="738"/>
        <v>10.558</v>
      </c>
      <c r="CD791" s="413">
        <f t="shared" si="741"/>
        <v>10.558</v>
      </c>
      <c r="CE791" s="413">
        <f t="shared" si="741"/>
        <v>10.558</v>
      </c>
      <c r="CF791" s="413">
        <f t="shared" si="741"/>
        <v>10.558</v>
      </c>
      <c r="CG791" s="99"/>
    </row>
    <row r="792" spans="1:85" ht="14.45" customHeight="1" x14ac:dyDescent="0.25">
      <c r="A792" s="125" t="s">
        <v>715</v>
      </c>
      <c r="B792" s="180"/>
      <c r="C792" s="413"/>
      <c r="D792" s="413"/>
      <c r="E792" s="413"/>
      <c r="F792" s="413"/>
      <c r="G792" s="63"/>
      <c r="H792" s="63"/>
      <c r="I792" s="63"/>
      <c r="J792" s="63"/>
      <c r="K792" s="413"/>
      <c r="L792" s="63"/>
      <c r="M792" s="63"/>
      <c r="N792" s="63"/>
      <c r="O792" s="63"/>
      <c r="P792" s="413"/>
      <c r="Q792" s="63"/>
      <c r="R792" s="63"/>
      <c r="S792" s="63"/>
      <c r="T792" s="63"/>
      <c r="U792" s="413"/>
      <c r="V792" s="63"/>
      <c r="W792" s="63"/>
      <c r="X792" s="63"/>
      <c r="Y792" s="63"/>
      <c r="Z792" s="413"/>
      <c r="AA792" s="63"/>
      <c r="AB792" s="63"/>
      <c r="AC792" s="63"/>
      <c r="AD792" s="63"/>
      <c r="AE792" s="413"/>
      <c r="AF792" s="63"/>
      <c r="AG792" s="63"/>
      <c r="AH792" s="63"/>
      <c r="AI792" s="63"/>
      <c r="AJ792" s="413"/>
      <c r="AK792" s="63"/>
      <c r="AL792" s="63"/>
      <c r="AM792" s="63"/>
      <c r="AN792" s="63"/>
      <c r="AO792" s="413"/>
      <c r="AP792" s="63"/>
      <c r="AQ792" s="63"/>
      <c r="AR792" s="63"/>
      <c r="AS792" s="63"/>
      <c r="AT792" s="413"/>
      <c r="AU792" s="63"/>
      <c r="AV792" s="63"/>
      <c r="AW792" s="63"/>
      <c r="AX792" s="63"/>
      <c r="AY792" s="413"/>
      <c r="AZ792" s="63"/>
      <c r="BA792" s="63"/>
      <c r="BB792" s="63"/>
      <c r="BC792" s="99">
        <f>+BD792</f>
        <v>32.808</v>
      </c>
      <c r="BD792" s="410">
        <v>32.808</v>
      </c>
      <c r="BE792" s="63"/>
      <c r="BF792" s="63"/>
      <c r="BG792" s="63"/>
      <c r="BH792" s="99">
        <f>+BI792</f>
        <v>154.666</v>
      </c>
      <c r="BI792" s="410">
        <v>154.666</v>
      </c>
      <c r="BJ792" s="63"/>
      <c r="BK792" s="63"/>
      <c r="BL792" s="98">
        <v>21.902000000000001</v>
      </c>
      <c r="BM792" s="99">
        <f>+BN792</f>
        <v>0</v>
      </c>
      <c r="BN792" s="410">
        <v>0</v>
      </c>
      <c r="BO792" s="63"/>
      <c r="BP792" s="63"/>
      <c r="BQ792" s="63"/>
      <c r="BR792" s="99">
        <f>+BS792</f>
        <v>0</v>
      </c>
      <c r="BS792" s="425"/>
      <c r="BT792" s="63">
        <f t="shared" si="739"/>
        <v>0</v>
      </c>
      <c r="BU792" s="63">
        <f t="shared" si="739"/>
        <v>0</v>
      </c>
      <c r="BV792" s="63">
        <f t="shared" si="739"/>
        <v>0</v>
      </c>
      <c r="BW792" s="63">
        <f t="shared" si="739"/>
        <v>0</v>
      </c>
      <c r="BX792" s="413">
        <f t="shared" si="737"/>
        <v>0</v>
      </c>
      <c r="BY792" s="63">
        <f t="shared" si="740"/>
        <v>0</v>
      </c>
      <c r="BZ792" s="63">
        <f t="shared" si="740"/>
        <v>0</v>
      </c>
      <c r="CA792" s="63">
        <f t="shared" si="740"/>
        <v>0</v>
      </c>
      <c r="CB792" s="63">
        <f t="shared" si="740"/>
        <v>0</v>
      </c>
      <c r="CC792" s="413">
        <f t="shared" si="738"/>
        <v>0</v>
      </c>
      <c r="CD792" s="413">
        <f t="shared" si="741"/>
        <v>0</v>
      </c>
      <c r="CE792" s="413">
        <f t="shared" si="741"/>
        <v>0</v>
      </c>
      <c r="CF792" s="413">
        <f t="shared" si="741"/>
        <v>0</v>
      </c>
      <c r="CG792" s="99"/>
    </row>
    <row r="793" spans="1:85" ht="14.45" customHeight="1" x14ac:dyDescent="0.25">
      <c r="A793" s="130" t="s">
        <v>716</v>
      </c>
      <c r="B793" s="190"/>
      <c r="C793" s="415"/>
      <c r="D793" s="415"/>
      <c r="E793" s="415"/>
      <c r="F793" s="415"/>
      <c r="G793" s="158"/>
      <c r="H793" s="158"/>
      <c r="I793" s="158"/>
      <c r="J793" s="158"/>
      <c r="K793" s="415"/>
      <c r="L793" s="158"/>
      <c r="M793" s="158"/>
      <c r="N793" s="158"/>
      <c r="O793" s="158"/>
      <c r="P793" s="415"/>
      <c r="Q793" s="158"/>
      <c r="R793" s="158"/>
      <c r="S793" s="158"/>
      <c r="T793" s="158"/>
      <c r="U793" s="415"/>
      <c r="V793" s="158"/>
      <c r="W793" s="158"/>
      <c r="X793" s="158"/>
      <c r="Y793" s="158"/>
      <c r="Z793" s="415"/>
      <c r="AA793" s="158"/>
      <c r="AB793" s="158"/>
      <c r="AC793" s="102">
        <v>19.966999999999999</v>
      </c>
      <c r="AD793" s="158"/>
      <c r="AE793" s="415"/>
      <c r="AF793" s="158"/>
      <c r="AG793" s="158"/>
      <c r="AH793" s="158"/>
      <c r="AI793" s="158"/>
      <c r="AJ793" s="415"/>
      <c r="AK793" s="158"/>
      <c r="AL793" s="158"/>
      <c r="AM793" s="158"/>
      <c r="AN793" s="158"/>
      <c r="AO793" s="415"/>
      <c r="AP793" s="158"/>
      <c r="AQ793" s="158"/>
      <c r="AR793" s="158"/>
      <c r="AS793" s="158"/>
      <c r="AT793" s="415"/>
      <c r="AU793" s="158"/>
      <c r="AV793" s="158"/>
      <c r="AW793" s="158"/>
      <c r="AX793" s="158"/>
      <c r="AY793" s="415"/>
      <c r="AZ793" s="158"/>
      <c r="BA793" s="158"/>
      <c r="BB793" s="158"/>
      <c r="BC793" s="158"/>
      <c r="BD793" s="415"/>
      <c r="BE793" s="158"/>
      <c r="BF793" s="158"/>
      <c r="BG793" s="158"/>
      <c r="BH793" s="158"/>
      <c r="BI793" s="415"/>
      <c r="BJ793" s="158"/>
      <c r="BK793" s="158"/>
      <c r="BL793" s="158"/>
      <c r="BM793" s="158"/>
      <c r="BN793" s="415"/>
      <c r="BO793" s="158"/>
      <c r="BP793" s="158"/>
      <c r="BQ793" s="158"/>
      <c r="BR793" s="158"/>
      <c r="BS793" s="470"/>
      <c r="BT793" s="158">
        <f t="shared" si="739"/>
        <v>0</v>
      </c>
      <c r="BU793" s="158">
        <f t="shared" si="739"/>
        <v>0</v>
      </c>
      <c r="BV793" s="158">
        <f t="shared" si="739"/>
        <v>0</v>
      </c>
      <c r="BW793" s="158">
        <f t="shared" si="739"/>
        <v>0</v>
      </c>
      <c r="BX793" s="415">
        <f t="shared" si="737"/>
        <v>0</v>
      </c>
      <c r="BY793" s="158">
        <f t="shared" si="740"/>
        <v>0</v>
      </c>
      <c r="BZ793" s="158">
        <f t="shared" si="740"/>
        <v>0</v>
      </c>
      <c r="CA793" s="158">
        <f t="shared" si="740"/>
        <v>0</v>
      </c>
      <c r="CB793" s="158">
        <f t="shared" si="740"/>
        <v>0</v>
      </c>
      <c r="CC793" s="415">
        <f t="shared" si="738"/>
        <v>0</v>
      </c>
      <c r="CD793" s="415">
        <f t="shared" si="741"/>
        <v>0</v>
      </c>
      <c r="CE793" s="415">
        <f t="shared" si="741"/>
        <v>0</v>
      </c>
      <c r="CF793" s="415">
        <f t="shared" si="741"/>
        <v>0</v>
      </c>
      <c r="CG793" s="99"/>
    </row>
    <row r="794" spans="1:85" ht="14.45" customHeight="1" x14ac:dyDescent="0.25">
      <c r="A794" s="110" t="s">
        <v>717</v>
      </c>
      <c r="B794" s="212"/>
      <c r="C794" s="416">
        <f t="shared" ref="C794:AH794" si="742">SUM(C782:C784)+SUM(C787:C793)</f>
        <v>161.98199999999997</v>
      </c>
      <c r="D794" s="416">
        <f t="shared" si="742"/>
        <v>176.74</v>
      </c>
      <c r="E794" s="416">
        <f t="shared" si="742"/>
        <v>303.77000000000004</v>
      </c>
      <c r="F794" s="416">
        <f t="shared" si="742"/>
        <v>216.31199999999998</v>
      </c>
      <c r="G794" s="106">
        <f t="shared" si="742"/>
        <v>196.45099999999999</v>
      </c>
      <c r="H794" s="106">
        <f t="shared" si="742"/>
        <v>219.53200000000001</v>
      </c>
      <c r="I794" s="106">
        <f t="shared" si="742"/>
        <v>225.345</v>
      </c>
      <c r="J794" s="106">
        <f t="shared" si="742"/>
        <v>208.81599999999997</v>
      </c>
      <c r="K794" s="416">
        <f t="shared" si="742"/>
        <v>208.81599999999997</v>
      </c>
      <c r="L794" s="106">
        <f t="shared" si="742"/>
        <v>222.33700000000002</v>
      </c>
      <c r="M794" s="106">
        <f t="shared" si="742"/>
        <v>237.36100000000002</v>
      </c>
      <c r="N794" s="106">
        <f t="shared" si="742"/>
        <v>217.81099999999998</v>
      </c>
      <c r="O794" s="106">
        <f t="shared" si="742"/>
        <v>227.42</v>
      </c>
      <c r="P794" s="416">
        <f t="shared" si="742"/>
        <v>227.42</v>
      </c>
      <c r="Q794" s="106">
        <f t="shared" si="742"/>
        <v>239.21200000000002</v>
      </c>
      <c r="R794" s="106">
        <f t="shared" si="742"/>
        <v>310.45100000000002</v>
      </c>
      <c r="S794" s="106">
        <f t="shared" si="742"/>
        <v>476.30100000000004</v>
      </c>
      <c r="T794" s="106">
        <f t="shared" si="742"/>
        <v>326.553</v>
      </c>
      <c r="U794" s="416">
        <f t="shared" si="742"/>
        <v>326.553</v>
      </c>
      <c r="V794" s="106">
        <f t="shared" si="742"/>
        <v>344.97</v>
      </c>
      <c r="W794" s="106">
        <f t="shared" si="742"/>
        <v>432.78000000000003</v>
      </c>
      <c r="X794" s="106">
        <f t="shared" si="742"/>
        <v>434.84200000000004</v>
      </c>
      <c r="Y794" s="106">
        <f t="shared" si="742"/>
        <v>457.90699999999998</v>
      </c>
      <c r="Z794" s="416">
        <f t="shared" si="742"/>
        <v>457.90699999999998</v>
      </c>
      <c r="AA794" s="106">
        <f t="shared" si="742"/>
        <v>466.31099999999998</v>
      </c>
      <c r="AB794" s="106">
        <f t="shared" si="742"/>
        <v>602.08799999999997</v>
      </c>
      <c r="AC794" s="106">
        <f t="shared" si="742"/>
        <v>587.08199999999988</v>
      </c>
      <c r="AD794" s="106">
        <f t="shared" si="742"/>
        <v>639.452</v>
      </c>
      <c r="AE794" s="416">
        <f t="shared" si="742"/>
        <v>639.452</v>
      </c>
      <c r="AF794" s="106">
        <f t="shared" si="742"/>
        <v>574.95600000000002</v>
      </c>
      <c r="AG794" s="106">
        <f t="shared" si="742"/>
        <v>692.923</v>
      </c>
      <c r="AH794" s="106">
        <f t="shared" si="742"/>
        <v>558.61599999999987</v>
      </c>
      <c r="AI794" s="106">
        <f t="shared" ref="AI794:BN794" si="743">SUM(AI782:AI784)+SUM(AI787:AI793)</f>
        <v>601.73699999999997</v>
      </c>
      <c r="AJ794" s="416">
        <f t="shared" si="743"/>
        <v>601.73699999999997</v>
      </c>
      <c r="AK794" s="106">
        <f t="shared" si="743"/>
        <v>559.14100000000008</v>
      </c>
      <c r="AL794" s="106">
        <f t="shared" si="743"/>
        <v>601.952</v>
      </c>
      <c r="AM794" s="106">
        <f t="shared" si="743"/>
        <v>613.173</v>
      </c>
      <c r="AN794" s="106">
        <f t="shared" si="743"/>
        <v>622.19500000000005</v>
      </c>
      <c r="AO794" s="416">
        <f t="shared" si="743"/>
        <v>622.19500000000005</v>
      </c>
      <c r="AP794" s="106">
        <f t="shared" si="743"/>
        <v>607.99</v>
      </c>
      <c r="AQ794" s="106">
        <f t="shared" si="743"/>
        <v>634.23</v>
      </c>
      <c r="AR794" s="106">
        <f t="shared" si="743"/>
        <v>683.99</v>
      </c>
      <c r="AS794" s="106">
        <f t="shared" si="743"/>
        <v>647.05999999999995</v>
      </c>
      <c r="AT794" s="416">
        <f t="shared" si="743"/>
        <v>647.05999999999995</v>
      </c>
      <c r="AU794" s="106">
        <f t="shared" si="743"/>
        <v>683.90700000000015</v>
      </c>
      <c r="AV794" s="106">
        <f t="shared" si="743"/>
        <v>743.952</v>
      </c>
      <c r="AW794" s="106">
        <f t="shared" si="743"/>
        <v>768.29599999999994</v>
      </c>
      <c r="AX794" s="106">
        <f t="shared" si="743"/>
        <v>834.85599999999999</v>
      </c>
      <c r="AY794" s="416">
        <f t="shared" si="743"/>
        <v>834.85599999999999</v>
      </c>
      <c r="AZ794" s="106">
        <f t="shared" si="743"/>
        <v>894.07100000000003</v>
      </c>
      <c r="BA794" s="106">
        <f t="shared" si="743"/>
        <v>977.43300000000011</v>
      </c>
      <c r="BB794" s="106">
        <f t="shared" si="743"/>
        <v>876.69500000000005</v>
      </c>
      <c r="BC794" s="106">
        <f t="shared" si="743"/>
        <v>905.15599999999995</v>
      </c>
      <c r="BD794" s="416">
        <f t="shared" si="743"/>
        <v>905.15599999999995</v>
      </c>
      <c r="BE794" s="106">
        <f t="shared" si="743"/>
        <v>812.57500000000005</v>
      </c>
      <c r="BF794" s="106">
        <f t="shared" si="743"/>
        <v>891.98199999999997</v>
      </c>
      <c r="BG794" s="106">
        <f t="shared" si="743"/>
        <v>907.83300000000008</v>
      </c>
      <c r="BH794" s="106">
        <f t="shared" si="743"/>
        <v>1091.3340000000001</v>
      </c>
      <c r="BI794" s="416">
        <f t="shared" si="743"/>
        <v>1091.3340000000001</v>
      </c>
      <c r="BJ794" s="106">
        <f t="shared" si="743"/>
        <v>917.87599999999998</v>
      </c>
      <c r="BK794" s="106">
        <f t="shared" si="743"/>
        <v>1539.6130000000003</v>
      </c>
      <c r="BL794" s="106">
        <f t="shared" si="743"/>
        <v>1040.855</v>
      </c>
      <c r="BM794" s="106">
        <f t="shared" si="743"/>
        <v>1313.1690000000001</v>
      </c>
      <c r="BN794" s="416">
        <f t="shared" si="743"/>
        <v>1313.1690000000001</v>
      </c>
      <c r="BO794" s="106">
        <f t="shared" ref="BO794:CF794" si="744">SUM(BO782:BO784)+SUM(BO787:BO793)</f>
        <v>1290.191</v>
      </c>
      <c r="BP794" s="106">
        <f t="shared" si="744"/>
        <v>1339.192</v>
      </c>
      <c r="BQ794" s="106">
        <f t="shared" si="744"/>
        <v>1393.6489999999999</v>
      </c>
      <c r="BR794" s="106">
        <f t="shared" si="744"/>
        <v>1128.6569999999999</v>
      </c>
      <c r="BS794" s="417">
        <f t="shared" si="744"/>
        <v>1128.6569999999999</v>
      </c>
      <c r="BT794" s="159">
        <f t="shared" si="744"/>
        <v>1179.3914671141436</v>
      </c>
      <c r="BU794" s="159">
        <f t="shared" si="744"/>
        <v>1235.4414210590733</v>
      </c>
      <c r="BV794" s="159">
        <f t="shared" si="744"/>
        <v>1201.315990405202</v>
      </c>
      <c r="BW794" s="159">
        <f t="shared" si="744"/>
        <v>1140.7093563046687</v>
      </c>
      <c r="BX794" s="418">
        <f t="shared" si="744"/>
        <v>1140.7093563046687</v>
      </c>
      <c r="BY794" s="159">
        <f t="shared" si="744"/>
        <v>1192.597191786703</v>
      </c>
      <c r="BZ794" s="159">
        <f t="shared" si="744"/>
        <v>1247.8989310751315</v>
      </c>
      <c r="CA794" s="159">
        <f t="shared" si="744"/>
        <v>1208.1437604746259</v>
      </c>
      <c r="CB794" s="159">
        <f t="shared" si="744"/>
        <v>1146.0549263548548</v>
      </c>
      <c r="CC794" s="418">
        <f t="shared" si="744"/>
        <v>1146.0549263548548</v>
      </c>
      <c r="CD794" s="418">
        <f t="shared" si="744"/>
        <v>1152.419537632607</v>
      </c>
      <c r="CE794" s="418">
        <f t="shared" si="744"/>
        <v>1158.8873690996675</v>
      </c>
      <c r="CF794" s="418">
        <f t="shared" si="744"/>
        <v>1165.4603647996412</v>
      </c>
      <c r="CG794" s="109"/>
    </row>
    <row r="795" spans="1:85" ht="14.45" customHeight="1" x14ac:dyDescent="0.25">
      <c r="A795" s="111"/>
      <c r="B795" s="211"/>
      <c r="C795" s="423"/>
      <c r="D795" s="423"/>
      <c r="E795" s="423"/>
      <c r="F795" s="423"/>
      <c r="G795" s="112"/>
      <c r="H795" s="112"/>
      <c r="I795" s="112"/>
      <c r="J795" s="112"/>
      <c r="K795" s="423"/>
      <c r="L795" s="112"/>
      <c r="M795" s="112"/>
      <c r="N795" s="112"/>
      <c r="O795" s="112"/>
      <c r="P795" s="423"/>
      <c r="Q795" s="112"/>
      <c r="R795" s="112"/>
      <c r="S795" s="112"/>
      <c r="T795" s="112"/>
      <c r="U795" s="423"/>
      <c r="V795" s="112"/>
      <c r="W795" s="112"/>
      <c r="X795" s="112"/>
      <c r="Y795" s="112"/>
      <c r="Z795" s="423"/>
      <c r="AA795" s="112"/>
      <c r="AB795" s="112"/>
      <c r="AC795" s="112"/>
      <c r="AD795" s="112"/>
      <c r="AE795" s="423"/>
      <c r="AF795" s="112"/>
      <c r="AG795" s="112"/>
      <c r="AH795" s="112"/>
      <c r="AI795" s="112"/>
      <c r="AJ795" s="423"/>
      <c r="AK795" s="112"/>
      <c r="AL795" s="112"/>
      <c r="AM795" s="112"/>
      <c r="AN795" s="112"/>
      <c r="AO795" s="423"/>
      <c r="AP795" s="112"/>
      <c r="AQ795" s="112"/>
      <c r="AR795" s="112"/>
      <c r="AS795" s="112"/>
      <c r="AT795" s="423"/>
      <c r="AU795" s="112"/>
      <c r="AV795" s="112"/>
      <c r="AW795" s="112"/>
      <c r="AX795" s="112"/>
      <c r="AY795" s="423"/>
      <c r="AZ795" s="112"/>
      <c r="BA795" s="112"/>
      <c r="BB795" s="112"/>
      <c r="BC795" s="112"/>
      <c r="BD795" s="423"/>
      <c r="BE795" s="112"/>
      <c r="BF795" s="112"/>
      <c r="BG795" s="112"/>
      <c r="BH795" s="112"/>
      <c r="BI795" s="423"/>
      <c r="BJ795" s="112"/>
      <c r="BK795" s="112"/>
      <c r="BL795" s="112"/>
      <c r="BM795" s="112"/>
      <c r="BN795" s="423"/>
      <c r="BO795" s="112"/>
      <c r="BP795" s="112"/>
      <c r="BQ795" s="112"/>
      <c r="BR795" s="112"/>
      <c r="BS795" s="424"/>
      <c r="BT795" s="112"/>
      <c r="BU795" s="112"/>
      <c r="BV795" s="112"/>
      <c r="BW795" s="112"/>
      <c r="BX795" s="423"/>
      <c r="BY795" s="112"/>
      <c r="BZ795" s="112"/>
      <c r="CA795" s="112"/>
      <c r="CB795" s="112"/>
      <c r="CC795" s="423"/>
      <c r="CD795" s="423"/>
      <c r="CE795" s="423"/>
      <c r="CF795" s="423"/>
      <c r="CG795" s="109"/>
    </row>
    <row r="796" spans="1:85" ht="14.45" customHeight="1" x14ac:dyDescent="0.25">
      <c r="A796" s="219" t="s">
        <v>718</v>
      </c>
      <c r="B796" s="211"/>
      <c r="C796" s="423"/>
      <c r="D796" s="423"/>
      <c r="E796" s="423"/>
      <c r="F796" s="423"/>
      <c r="G796" s="112"/>
      <c r="H796" s="112"/>
      <c r="I796" s="112"/>
      <c r="J796" s="112"/>
      <c r="K796" s="423"/>
      <c r="L796" s="112"/>
      <c r="M796" s="112"/>
      <c r="N796" s="112"/>
      <c r="O796" s="112"/>
      <c r="P796" s="423"/>
      <c r="Q796" s="112"/>
      <c r="R796" s="112"/>
      <c r="S796" s="112"/>
      <c r="T796" s="112"/>
      <c r="U796" s="423"/>
      <c r="V796" s="112"/>
      <c r="W796" s="112"/>
      <c r="X796" s="112"/>
      <c r="Y796" s="112"/>
      <c r="Z796" s="423"/>
      <c r="AA796" s="112"/>
      <c r="AB796" s="112"/>
      <c r="AC796" s="112"/>
      <c r="AD796" s="112"/>
      <c r="AE796" s="423"/>
      <c r="AF796" s="112"/>
      <c r="AG796" s="112"/>
      <c r="AH796" s="112"/>
      <c r="AI796" s="112"/>
      <c r="AJ796" s="423"/>
      <c r="AK796" s="112"/>
      <c r="AL796" s="112"/>
      <c r="AM796" s="112"/>
      <c r="AN796" s="112"/>
      <c r="AO796" s="423"/>
      <c r="AP796" s="112"/>
      <c r="AQ796" s="112"/>
      <c r="AR796" s="112"/>
      <c r="AS796" s="112"/>
      <c r="AT796" s="423"/>
      <c r="AU796" s="112"/>
      <c r="AV796" s="112"/>
      <c r="AW796" s="112"/>
      <c r="AX796" s="112"/>
      <c r="AY796" s="423"/>
      <c r="AZ796" s="112"/>
      <c r="BA796" s="112"/>
      <c r="BB796" s="112"/>
      <c r="BC796" s="112"/>
      <c r="BD796" s="423"/>
      <c r="BE796" s="112"/>
      <c r="BF796" s="112"/>
      <c r="BG796" s="112"/>
      <c r="BH796" s="112"/>
      <c r="BI796" s="423"/>
      <c r="BJ796" s="112"/>
      <c r="BK796" s="112"/>
      <c r="BL796" s="112"/>
      <c r="BM796" s="112"/>
      <c r="BN796" s="423"/>
      <c r="BO796" s="112"/>
      <c r="BP796" s="112"/>
      <c r="BQ796" s="112"/>
      <c r="BR796" s="112"/>
      <c r="BS796" s="424"/>
      <c r="BT796" s="112"/>
      <c r="BU796" s="112"/>
      <c r="BV796" s="112"/>
      <c r="BW796" s="112"/>
      <c r="BX796" s="423"/>
      <c r="BY796" s="112"/>
      <c r="BZ796" s="112"/>
      <c r="CA796" s="112"/>
      <c r="CB796" s="112"/>
      <c r="CC796" s="423"/>
      <c r="CD796" s="423"/>
      <c r="CE796" s="423"/>
      <c r="CF796" s="423"/>
      <c r="CG796" s="109"/>
    </row>
    <row r="797" spans="1:85" ht="14.45" customHeight="1" x14ac:dyDescent="0.25">
      <c r="A797" s="125" t="s">
        <v>587</v>
      </c>
      <c r="B797" s="180"/>
      <c r="C797" s="410">
        <v>158.548</v>
      </c>
      <c r="D797" s="410">
        <v>143.96199999999999</v>
      </c>
      <c r="E797" s="410">
        <v>144.09100000000001</v>
      </c>
      <c r="F797" s="410">
        <v>140.965</v>
      </c>
      <c r="G797" s="98">
        <v>134.904</v>
      </c>
      <c r="H797" s="98">
        <v>140.08500000000001</v>
      </c>
      <c r="I797" s="98">
        <v>142.79499999999999</v>
      </c>
      <c r="J797" s="99">
        <f>K797</f>
        <v>153.40799999999999</v>
      </c>
      <c r="K797" s="410">
        <v>153.40799999999999</v>
      </c>
      <c r="L797" s="98">
        <v>146.18100000000001</v>
      </c>
      <c r="M797" s="98">
        <v>146.77699999999999</v>
      </c>
      <c r="N797" s="98">
        <v>150.54300000000001</v>
      </c>
      <c r="O797" s="99">
        <f>P797</f>
        <v>140</v>
      </c>
      <c r="P797" s="410">
        <v>140</v>
      </c>
      <c r="Q797" s="98">
        <v>131.89500000000001</v>
      </c>
      <c r="R797" s="98">
        <v>137.40199999999999</v>
      </c>
      <c r="S797" s="98">
        <v>138.28800000000001</v>
      </c>
      <c r="T797" s="99">
        <f>U797</f>
        <v>146.94399999999999</v>
      </c>
      <c r="U797" s="410">
        <v>146.94399999999999</v>
      </c>
      <c r="V797" s="98">
        <v>135.095</v>
      </c>
      <c r="W797" s="98">
        <v>136.84100000000001</v>
      </c>
      <c r="X797" s="98">
        <v>150.91300000000001</v>
      </c>
      <c r="Y797" s="99">
        <f>Z797</f>
        <v>174.85400000000001</v>
      </c>
      <c r="Z797" s="410">
        <v>174.85400000000001</v>
      </c>
      <c r="AA797" s="98">
        <v>156.46</v>
      </c>
      <c r="AB797" s="98">
        <v>146.649</v>
      </c>
      <c r="AC797" s="98">
        <v>153.76499999999999</v>
      </c>
      <c r="AD797" s="99">
        <f>AE797</f>
        <v>112.364</v>
      </c>
      <c r="AE797" s="410">
        <v>112.364</v>
      </c>
      <c r="AF797" s="98">
        <v>97.471000000000004</v>
      </c>
      <c r="AG797" s="98">
        <v>96.790999999999997</v>
      </c>
      <c r="AH797" s="98">
        <v>123.248</v>
      </c>
      <c r="AI797" s="99">
        <f>AJ797</f>
        <v>127.17400000000001</v>
      </c>
      <c r="AJ797" s="410">
        <v>127.17400000000001</v>
      </c>
      <c r="AK797" s="98">
        <v>123.92</v>
      </c>
      <c r="AL797" s="98">
        <v>131.49799999999999</v>
      </c>
      <c r="AM797" s="98">
        <v>132.428</v>
      </c>
      <c r="AN797" s="99">
        <f>AO797</f>
        <v>125.13</v>
      </c>
      <c r="AO797" s="410">
        <v>125.13</v>
      </c>
      <c r="AP797" s="98">
        <v>131.024</v>
      </c>
      <c r="AQ797" s="98">
        <v>147.101</v>
      </c>
      <c r="AR797" s="98">
        <v>131.21799999999999</v>
      </c>
      <c r="AS797" s="99">
        <f t="shared" ref="AS797:AS802" si="745">AT797</f>
        <v>139.423</v>
      </c>
      <c r="AT797" s="410">
        <v>139.423</v>
      </c>
      <c r="AU797" s="98">
        <v>159.845</v>
      </c>
      <c r="AV797" s="98">
        <v>142.596</v>
      </c>
      <c r="AW797" s="98">
        <v>151.55799999999999</v>
      </c>
      <c r="AX797" s="99">
        <f t="shared" ref="AX797:AX802" si="746">AY797</f>
        <v>136.43199999999999</v>
      </c>
      <c r="AY797" s="410">
        <v>136.43199999999999</v>
      </c>
      <c r="AZ797" s="98">
        <v>169.827</v>
      </c>
      <c r="BA797" s="98">
        <v>148.15100000000001</v>
      </c>
      <c r="BB797" s="98">
        <v>147.976</v>
      </c>
      <c r="BC797" s="99">
        <f t="shared" ref="BC797:BC802" si="747">BD797</f>
        <v>150.22200000000001</v>
      </c>
      <c r="BD797" s="410">
        <v>150.22200000000001</v>
      </c>
      <c r="BE797" s="98">
        <v>191.20400000000001</v>
      </c>
      <c r="BF797" s="98">
        <v>151.63</v>
      </c>
      <c r="BG797" s="98">
        <v>143.90700000000001</v>
      </c>
      <c r="BH797" s="99">
        <f t="shared" ref="BH797:BH802" si="748">BI797</f>
        <v>128.435</v>
      </c>
      <c r="BI797" s="410">
        <v>128.435</v>
      </c>
      <c r="BJ797" s="98">
        <v>185.001</v>
      </c>
      <c r="BK797" s="98">
        <v>130.65799999999999</v>
      </c>
      <c r="BL797" s="98">
        <v>110.51</v>
      </c>
      <c r="BM797" s="99">
        <f t="shared" ref="BM797:BM802" si="749">BN797</f>
        <v>132.941</v>
      </c>
      <c r="BN797" s="410">
        <v>132.941</v>
      </c>
      <c r="BO797" s="98">
        <v>168.215</v>
      </c>
      <c r="BP797" s="98">
        <v>116.941</v>
      </c>
      <c r="BQ797" s="98">
        <v>133.465</v>
      </c>
      <c r="BR797" s="99">
        <f t="shared" ref="BR797:BR802" si="750">BS797</f>
        <v>143.738</v>
      </c>
      <c r="BS797" s="419">
        <v>143.738</v>
      </c>
      <c r="BT797" s="63">
        <f>BS797+BT640</f>
        <v>152.13961666836985</v>
      </c>
      <c r="BU797" s="63">
        <f>BT797+BU640</f>
        <v>163.51250058936986</v>
      </c>
      <c r="BV797" s="63">
        <f>BU797+BV640</f>
        <v>175.30806906036986</v>
      </c>
      <c r="BW797" s="63">
        <f>BV797+BW640</f>
        <v>186.90549348636986</v>
      </c>
      <c r="BX797" s="413">
        <f>BW797</f>
        <v>186.90549348636986</v>
      </c>
      <c r="BY797" s="63">
        <f>BX797+BY640</f>
        <v>196.56461070059487</v>
      </c>
      <c r="BZ797" s="63">
        <f>BY797+BZ640</f>
        <v>208.04795761041987</v>
      </c>
      <c r="CA797" s="63">
        <f>BZ797+CA640</f>
        <v>219.96050953793488</v>
      </c>
      <c r="CB797" s="63">
        <f>CA797+CB640</f>
        <v>231.66707402966489</v>
      </c>
      <c r="CC797" s="413">
        <f>CB797</f>
        <v>231.66707402966489</v>
      </c>
      <c r="CD797" s="413">
        <f>CC797+CD640</f>
        <v>276.93834164369025</v>
      </c>
      <c r="CE797" s="413">
        <f>CD797+CE640</f>
        <v>322.72756234715996</v>
      </c>
      <c r="CF797" s="413">
        <f>CE797+CF640</f>
        <v>369.04315784054876</v>
      </c>
      <c r="CG797" s="99"/>
    </row>
    <row r="798" spans="1:85" ht="14.45" customHeight="1" x14ac:dyDescent="0.25">
      <c r="A798" s="125" t="s">
        <v>719</v>
      </c>
      <c r="B798" s="180"/>
      <c r="C798" s="410">
        <v>89.305999999999997</v>
      </c>
      <c r="D798" s="410">
        <v>114.163</v>
      </c>
      <c r="E798" s="410">
        <v>138.15600000000001</v>
      </c>
      <c r="F798" s="410">
        <v>140.71899999999999</v>
      </c>
      <c r="G798" s="98">
        <v>139.92599999999999</v>
      </c>
      <c r="H798" s="98">
        <v>139.155</v>
      </c>
      <c r="I798" s="98">
        <v>138.28800000000001</v>
      </c>
      <c r="J798" s="99">
        <f>K798</f>
        <v>90.599000000000004</v>
      </c>
      <c r="K798" s="410">
        <v>90.599000000000004</v>
      </c>
      <c r="L798" s="98">
        <v>89.825000000000003</v>
      </c>
      <c r="M798" s="98">
        <v>89.16</v>
      </c>
      <c r="N798" s="98">
        <v>80.992999999999995</v>
      </c>
      <c r="O798" s="99">
        <f>P798</f>
        <v>134.1</v>
      </c>
      <c r="P798" s="410">
        <v>134.1</v>
      </c>
      <c r="Q798" s="98">
        <v>133.809</v>
      </c>
      <c r="R798" s="98">
        <v>133.548</v>
      </c>
      <c r="S798" s="98">
        <v>122.77800000000001</v>
      </c>
      <c r="T798" s="99">
        <f>U798</f>
        <v>115.197</v>
      </c>
      <c r="U798" s="410">
        <v>115.197</v>
      </c>
      <c r="V798" s="98">
        <v>115</v>
      </c>
      <c r="W798" s="98">
        <v>117.919</v>
      </c>
      <c r="X798" s="98">
        <v>106.874</v>
      </c>
      <c r="Y798" s="99">
        <f>Z798</f>
        <v>126.679</v>
      </c>
      <c r="Z798" s="410">
        <v>126.679</v>
      </c>
      <c r="AA798" s="98">
        <v>126.473</v>
      </c>
      <c r="AB798" s="98">
        <v>126.31399999999999</v>
      </c>
      <c r="AC798" s="98">
        <v>99.834999999999994</v>
      </c>
      <c r="AD798" s="99">
        <f>AE798</f>
        <v>118.392</v>
      </c>
      <c r="AE798" s="410">
        <v>118.392</v>
      </c>
      <c r="AF798" s="98">
        <v>118.489</v>
      </c>
      <c r="AG798" s="98">
        <v>118.658</v>
      </c>
      <c r="AH798" s="98">
        <v>98.738</v>
      </c>
      <c r="AI798" s="99">
        <f>AJ798</f>
        <v>85.682000000000002</v>
      </c>
      <c r="AJ798" s="410">
        <v>85.682000000000002</v>
      </c>
      <c r="AK798" s="98">
        <v>85.370999999999995</v>
      </c>
      <c r="AL798" s="98">
        <v>87.3</v>
      </c>
      <c r="AM798" s="98">
        <v>84.361000000000004</v>
      </c>
      <c r="AN798" s="99">
        <f>AO798</f>
        <v>114.831</v>
      </c>
      <c r="AO798" s="410">
        <v>114.831</v>
      </c>
      <c r="AP798" s="98">
        <v>116.63500000000001</v>
      </c>
      <c r="AQ798" s="98">
        <v>117.839</v>
      </c>
      <c r="AR798" s="98">
        <v>103.431</v>
      </c>
      <c r="AS798" s="99">
        <f t="shared" si="745"/>
        <v>113.325</v>
      </c>
      <c r="AT798" s="410">
        <v>113.325</v>
      </c>
      <c r="AU798" s="98">
        <v>115.306</v>
      </c>
      <c r="AV798" s="98">
        <v>116.44799999999999</v>
      </c>
      <c r="AW798" s="98">
        <v>110.58199999999999</v>
      </c>
      <c r="AX798" s="99">
        <f t="shared" si="746"/>
        <v>93.391000000000005</v>
      </c>
      <c r="AY798" s="410">
        <v>93.391000000000005</v>
      </c>
      <c r="AZ798" s="98">
        <v>96.397999999999996</v>
      </c>
      <c r="BA798" s="98">
        <v>99.491</v>
      </c>
      <c r="BB798" s="98">
        <v>76.375</v>
      </c>
      <c r="BC798" s="99">
        <f t="shared" si="747"/>
        <v>60.323</v>
      </c>
      <c r="BD798" s="410">
        <v>60.323</v>
      </c>
      <c r="BE798" s="98">
        <v>62.853999999999999</v>
      </c>
      <c r="BF798" s="98">
        <v>55.783999999999999</v>
      </c>
      <c r="BG798" s="98">
        <v>53.293999999999997</v>
      </c>
      <c r="BH798" s="99">
        <f t="shared" si="748"/>
        <v>60.613999999999997</v>
      </c>
      <c r="BI798" s="410">
        <v>60.613999999999997</v>
      </c>
      <c r="BJ798" s="98">
        <v>60.779000000000003</v>
      </c>
      <c r="BK798" s="98">
        <v>61.892000000000003</v>
      </c>
      <c r="BL798" s="98">
        <v>61.615000000000002</v>
      </c>
      <c r="BM798" s="99">
        <f t="shared" si="749"/>
        <v>58.502000000000002</v>
      </c>
      <c r="BN798" s="410">
        <v>58.502000000000002</v>
      </c>
      <c r="BO798" s="98">
        <v>58.914000000000001</v>
      </c>
      <c r="BP798" s="98">
        <v>59.098999999999997</v>
      </c>
      <c r="BQ798" s="98">
        <v>59.338000000000001</v>
      </c>
      <c r="BR798" s="99">
        <f t="shared" si="750"/>
        <v>69.298000000000002</v>
      </c>
      <c r="BS798" s="419">
        <v>69.298000000000002</v>
      </c>
      <c r="BT798" s="63">
        <f t="shared" ref="BT798:BW800" si="751">BS798</f>
        <v>69.298000000000002</v>
      </c>
      <c r="BU798" s="63">
        <f t="shared" si="751"/>
        <v>69.298000000000002</v>
      </c>
      <c r="BV798" s="63">
        <f t="shared" si="751"/>
        <v>69.298000000000002</v>
      </c>
      <c r="BW798" s="63">
        <f t="shared" si="751"/>
        <v>69.298000000000002</v>
      </c>
      <c r="BX798" s="413">
        <f>BW798</f>
        <v>69.298000000000002</v>
      </c>
      <c r="BY798" s="63">
        <f t="shared" ref="BY798:CB800" si="752">BX798</f>
        <v>69.298000000000002</v>
      </c>
      <c r="BZ798" s="63">
        <f t="shared" si="752"/>
        <v>69.298000000000002</v>
      </c>
      <c r="CA798" s="63">
        <f t="shared" si="752"/>
        <v>69.298000000000002</v>
      </c>
      <c r="CB798" s="63">
        <f t="shared" si="752"/>
        <v>69.298000000000002</v>
      </c>
      <c r="CC798" s="413">
        <f>CB798</f>
        <v>69.298000000000002</v>
      </c>
      <c r="CD798" s="413">
        <f t="shared" ref="CD798:CF800" si="753">CC798</f>
        <v>69.298000000000002</v>
      </c>
      <c r="CE798" s="413">
        <f t="shared" si="753"/>
        <v>69.298000000000002</v>
      </c>
      <c r="CF798" s="413">
        <f t="shared" si="753"/>
        <v>69.298000000000002</v>
      </c>
      <c r="CG798" s="99"/>
    </row>
    <row r="799" spans="1:85" ht="14.45" customHeight="1" x14ac:dyDescent="0.25">
      <c r="A799" s="125" t="s">
        <v>720</v>
      </c>
      <c r="B799" s="180"/>
      <c r="C799" s="410">
        <v>106.968</v>
      </c>
      <c r="D799" s="410">
        <v>109.88200000000001</v>
      </c>
      <c r="E799" s="410">
        <v>114.30200000000001</v>
      </c>
      <c r="F799" s="410">
        <v>118.303</v>
      </c>
      <c r="G799" s="98">
        <v>120.771</v>
      </c>
      <c r="H799" s="98">
        <v>123.773</v>
      </c>
      <c r="I799" s="98">
        <v>123.208</v>
      </c>
      <c r="J799" s="99">
        <f>K799</f>
        <v>125.791</v>
      </c>
      <c r="K799" s="410">
        <v>125.791</v>
      </c>
      <c r="L799" s="98">
        <v>127.97499999999999</v>
      </c>
      <c r="M799" s="98">
        <v>139.92599999999999</v>
      </c>
      <c r="N799" s="98">
        <v>141.625</v>
      </c>
      <c r="O799" s="99">
        <f>P799</f>
        <v>177.25</v>
      </c>
      <c r="P799" s="410">
        <v>177.25</v>
      </c>
      <c r="Q799" s="98">
        <v>229.88900000000001</v>
      </c>
      <c r="R799" s="98">
        <v>225.202</v>
      </c>
      <c r="S799" s="98">
        <v>225.928</v>
      </c>
      <c r="T799" s="99">
        <f>U799</f>
        <v>267.08999999999997</v>
      </c>
      <c r="U799" s="410">
        <v>267.08999999999997</v>
      </c>
      <c r="V799" s="98">
        <v>306.75400000000002</v>
      </c>
      <c r="W799" s="98">
        <v>352.95699999999999</v>
      </c>
      <c r="X799" s="98">
        <v>344.26499999999999</v>
      </c>
      <c r="Y799" s="99">
        <f>Z799</f>
        <v>378.572</v>
      </c>
      <c r="Z799" s="410">
        <v>378.572</v>
      </c>
      <c r="AA799" s="98">
        <v>513.68299999999999</v>
      </c>
      <c r="AB799" s="98">
        <v>532.57000000000005</v>
      </c>
      <c r="AC799" s="98">
        <v>524.28700000000003</v>
      </c>
      <c r="AD799" s="99">
        <f>AE799</f>
        <v>620.57899999999995</v>
      </c>
      <c r="AE799" s="410">
        <v>620.57899999999995</v>
      </c>
      <c r="AF799" s="98">
        <v>607.68499999999995</v>
      </c>
      <c r="AG799" s="98">
        <v>609.06899999999996</v>
      </c>
      <c r="AH799" s="98">
        <v>600.30999999999995</v>
      </c>
      <c r="AI799" s="99">
        <f>AJ799</f>
        <v>609.13499999999999</v>
      </c>
      <c r="AJ799" s="410">
        <v>609.13499999999999</v>
      </c>
      <c r="AK799" s="98">
        <v>620.29300000000001</v>
      </c>
      <c r="AL799" s="98">
        <v>641.55600000000004</v>
      </c>
      <c r="AM799" s="98">
        <v>658.61</v>
      </c>
      <c r="AN799" s="99">
        <f>AO799</f>
        <v>668.56600000000003</v>
      </c>
      <c r="AO799" s="410">
        <v>668.56600000000003</v>
      </c>
      <c r="AP799" s="98">
        <v>655.048</v>
      </c>
      <c r="AQ799" s="98">
        <v>674.66899999999998</v>
      </c>
      <c r="AR799" s="98">
        <v>679.36099999999999</v>
      </c>
      <c r="AS799" s="99">
        <f t="shared" si="745"/>
        <v>679.28</v>
      </c>
      <c r="AT799" s="410">
        <v>679.28</v>
      </c>
      <c r="AU799" s="98">
        <v>666.88499999999999</v>
      </c>
      <c r="AV799" s="98">
        <v>705.00800000000004</v>
      </c>
      <c r="AW799" s="98">
        <v>726.29200000000003</v>
      </c>
      <c r="AX799" s="99">
        <f t="shared" si="746"/>
        <v>758.61</v>
      </c>
      <c r="AY799" s="410">
        <v>758.61</v>
      </c>
      <c r="AZ799" s="98">
        <v>734.33699999999999</v>
      </c>
      <c r="BA799" s="98">
        <v>730.53200000000004</v>
      </c>
      <c r="BB799" s="98">
        <v>750.81399999999996</v>
      </c>
      <c r="BC799" s="99">
        <f t="shared" si="747"/>
        <v>753.35699999999997</v>
      </c>
      <c r="BD799" s="410">
        <v>753.35699999999997</v>
      </c>
      <c r="BE799" s="98">
        <v>779.99199999999996</v>
      </c>
      <c r="BF799" s="98">
        <v>801.64200000000005</v>
      </c>
      <c r="BG799" s="98">
        <v>803.54899999999998</v>
      </c>
      <c r="BH799" s="99">
        <f t="shared" si="748"/>
        <v>866.49900000000002</v>
      </c>
      <c r="BI799" s="410">
        <v>866.49900000000002</v>
      </c>
      <c r="BJ799" s="98">
        <v>831.596</v>
      </c>
      <c r="BK799" s="98">
        <v>847.65099999999995</v>
      </c>
      <c r="BL799" s="98">
        <v>900.07600000000002</v>
      </c>
      <c r="BM799" s="99">
        <f t="shared" si="749"/>
        <v>859.55899999999997</v>
      </c>
      <c r="BN799" s="410">
        <v>859.55899999999997</v>
      </c>
      <c r="BO799" s="98">
        <v>860.59500000000003</v>
      </c>
      <c r="BP799" s="98">
        <v>869.55200000000002</v>
      </c>
      <c r="BQ799" s="98">
        <v>904.75099999999998</v>
      </c>
      <c r="BR799" s="99">
        <f t="shared" si="750"/>
        <v>918.755</v>
      </c>
      <c r="BS799" s="419">
        <v>918.755</v>
      </c>
      <c r="BT799" s="63">
        <f t="shared" si="751"/>
        <v>918.755</v>
      </c>
      <c r="BU799" s="63">
        <f t="shared" si="751"/>
        <v>918.755</v>
      </c>
      <c r="BV799" s="63">
        <f t="shared" si="751"/>
        <v>918.755</v>
      </c>
      <c r="BW799" s="63">
        <f t="shared" si="751"/>
        <v>918.755</v>
      </c>
      <c r="BX799" s="413">
        <f>BW799</f>
        <v>918.755</v>
      </c>
      <c r="BY799" s="63">
        <f t="shared" si="752"/>
        <v>918.755</v>
      </c>
      <c r="BZ799" s="63">
        <f t="shared" si="752"/>
        <v>918.755</v>
      </c>
      <c r="CA799" s="63">
        <f t="shared" si="752"/>
        <v>918.755</v>
      </c>
      <c r="CB799" s="63">
        <f t="shared" si="752"/>
        <v>918.755</v>
      </c>
      <c r="CC799" s="413">
        <f>CB799</f>
        <v>918.755</v>
      </c>
      <c r="CD799" s="413">
        <f t="shared" si="753"/>
        <v>918.755</v>
      </c>
      <c r="CE799" s="413">
        <f t="shared" si="753"/>
        <v>918.755</v>
      </c>
      <c r="CF799" s="413">
        <f t="shared" si="753"/>
        <v>918.755</v>
      </c>
      <c r="CG799" s="99"/>
    </row>
    <row r="800" spans="1:85" ht="14.45" customHeight="1" x14ac:dyDescent="0.25">
      <c r="A800" s="125" t="s">
        <v>721</v>
      </c>
      <c r="B800" s="180"/>
      <c r="C800" s="413"/>
      <c r="D800" s="413"/>
      <c r="E800" s="413"/>
      <c r="F800" s="413"/>
      <c r="G800" s="63"/>
      <c r="H800" s="63"/>
      <c r="I800" s="63"/>
      <c r="J800" s="63"/>
      <c r="K800" s="413"/>
      <c r="L800" s="63"/>
      <c r="M800" s="63"/>
      <c r="N800" s="63"/>
      <c r="O800" s="63"/>
      <c r="P800" s="413"/>
      <c r="Q800" s="63"/>
      <c r="R800" s="63"/>
      <c r="S800" s="63"/>
      <c r="T800" s="63"/>
      <c r="U800" s="413"/>
      <c r="V800" s="63"/>
      <c r="W800" s="63"/>
      <c r="X800" s="63"/>
      <c r="Y800" s="63"/>
      <c r="Z800" s="413"/>
      <c r="AA800" s="63"/>
      <c r="AB800" s="63"/>
      <c r="AC800" s="63"/>
      <c r="AD800" s="63"/>
      <c r="AE800" s="413"/>
      <c r="AF800" s="63"/>
      <c r="AG800" s="63"/>
      <c r="AH800" s="63"/>
      <c r="AI800" s="63"/>
      <c r="AJ800" s="413"/>
      <c r="AK800" s="98">
        <v>71.344999999999999</v>
      </c>
      <c r="AL800" s="98">
        <v>87.804000000000002</v>
      </c>
      <c r="AM800" s="98">
        <v>101.884</v>
      </c>
      <c r="AN800" s="99">
        <f>+AO800</f>
        <v>97.765000000000001</v>
      </c>
      <c r="AO800" s="410">
        <v>97.765000000000001</v>
      </c>
      <c r="AP800" s="98">
        <v>124.69799999999999</v>
      </c>
      <c r="AQ800" s="98">
        <v>122.053</v>
      </c>
      <c r="AR800" s="98">
        <v>121.288</v>
      </c>
      <c r="AS800" s="99">
        <f t="shared" si="745"/>
        <v>119.923</v>
      </c>
      <c r="AT800" s="410">
        <v>119.923</v>
      </c>
      <c r="AU800" s="98">
        <v>115.48699999999999</v>
      </c>
      <c r="AV800" s="98">
        <v>116.039</v>
      </c>
      <c r="AW800" s="98">
        <v>123.627</v>
      </c>
      <c r="AX800" s="99">
        <f t="shared" si="746"/>
        <v>122.04600000000001</v>
      </c>
      <c r="AY800" s="410">
        <v>122.04600000000001</v>
      </c>
      <c r="AZ800" s="98">
        <v>119.81399999999999</v>
      </c>
      <c r="BA800" s="98">
        <v>117.056</v>
      </c>
      <c r="BB800" s="98">
        <v>119.617</v>
      </c>
      <c r="BC800" s="99">
        <f t="shared" si="747"/>
        <v>118.76300000000001</v>
      </c>
      <c r="BD800" s="410">
        <v>118.76300000000001</v>
      </c>
      <c r="BE800" s="98">
        <v>113.04</v>
      </c>
      <c r="BF800" s="98">
        <v>108.5</v>
      </c>
      <c r="BG800" s="98">
        <v>103.578</v>
      </c>
      <c r="BH800" s="99">
        <f t="shared" si="748"/>
        <v>102.271</v>
      </c>
      <c r="BI800" s="410">
        <v>102.271</v>
      </c>
      <c r="BJ800" s="98">
        <v>96.978999999999999</v>
      </c>
      <c r="BK800" s="98">
        <v>92.248000000000005</v>
      </c>
      <c r="BL800" s="98">
        <v>85.863</v>
      </c>
      <c r="BM800" s="99">
        <f t="shared" si="749"/>
        <v>92.361999999999995</v>
      </c>
      <c r="BN800" s="410">
        <v>92.361999999999995</v>
      </c>
      <c r="BO800" s="98">
        <v>87.52</v>
      </c>
      <c r="BP800" s="98">
        <v>87.212999999999994</v>
      </c>
      <c r="BQ800" s="98">
        <v>101.614</v>
      </c>
      <c r="BR800" s="99">
        <f t="shared" si="750"/>
        <v>95.075999999999993</v>
      </c>
      <c r="BS800" s="419">
        <v>95.075999999999993</v>
      </c>
      <c r="BT800" s="63">
        <f t="shared" si="751"/>
        <v>95.075999999999993</v>
      </c>
      <c r="BU800" s="63">
        <f t="shared" si="751"/>
        <v>95.075999999999993</v>
      </c>
      <c r="BV800" s="63">
        <f t="shared" si="751"/>
        <v>95.075999999999993</v>
      </c>
      <c r="BW800" s="63">
        <f t="shared" si="751"/>
        <v>95.075999999999993</v>
      </c>
      <c r="BX800" s="413">
        <f>BW800</f>
        <v>95.075999999999993</v>
      </c>
      <c r="BY800" s="63">
        <f t="shared" si="752"/>
        <v>95.075999999999993</v>
      </c>
      <c r="BZ800" s="63">
        <f t="shared" si="752"/>
        <v>95.075999999999993</v>
      </c>
      <c r="CA800" s="63">
        <f t="shared" si="752"/>
        <v>95.075999999999993</v>
      </c>
      <c r="CB800" s="63">
        <f t="shared" si="752"/>
        <v>95.075999999999993</v>
      </c>
      <c r="CC800" s="413">
        <f>CB800</f>
        <v>95.075999999999993</v>
      </c>
      <c r="CD800" s="413">
        <f t="shared" si="753"/>
        <v>95.075999999999993</v>
      </c>
      <c r="CE800" s="413">
        <f t="shared" si="753"/>
        <v>95.075999999999993</v>
      </c>
      <c r="CF800" s="413">
        <f t="shared" si="753"/>
        <v>95.075999999999993</v>
      </c>
      <c r="CG800" s="99"/>
    </row>
    <row r="801" spans="1:85" ht="14.45" customHeight="1" x14ac:dyDescent="0.25">
      <c r="A801" s="125" t="s">
        <v>722</v>
      </c>
      <c r="B801" s="180"/>
      <c r="C801" s="410">
        <v>59.261000000000003</v>
      </c>
      <c r="D801" s="410">
        <v>55.395000000000003</v>
      </c>
      <c r="E801" s="410">
        <v>69.48</v>
      </c>
      <c r="F801" s="410">
        <v>64.350999999999999</v>
      </c>
      <c r="G801" s="98">
        <v>62.954000000000001</v>
      </c>
      <c r="H801" s="98">
        <v>61.850999999999999</v>
      </c>
      <c r="I801" s="98">
        <v>60.378</v>
      </c>
      <c r="J801" s="99">
        <f>K801</f>
        <v>59.05</v>
      </c>
      <c r="K801" s="410">
        <v>59.05</v>
      </c>
      <c r="L801" s="98">
        <v>57.476999999999997</v>
      </c>
      <c r="M801" s="98">
        <v>55.872999999999998</v>
      </c>
      <c r="N801" s="98">
        <v>54.243000000000002</v>
      </c>
      <c r="O801" s="99">
        <f>P801</f>
        <v>52.603999999999999</v>
      </c>
      <c r="P801" s="410">
        <v>52.603999999999999</v>
      </c>
      <c r="Q801" s="98">
        <v>50.905000000000001</v>
      </c>
      <c r="R801" s="98">
        <v>52.293999999999997</v>
      </c>
      <c r="S801" s="98">
        <v>50.505000000000003</v>
      </c>
      <c r="T801" s="99">
        <f>U801</f>
        <v>48.720999999999997</v>
      </c>
      <c r="U801" s="410">
        <v>48.720999999999997</v>
      </c>
      <c r="V801" s="98">
        <v>46.893000000000001</v>
      </c>
      <c r="W801" s="98">
        <v>45.026000000000003</v>
      </c>
      <c r="X801" s="98">
        <v>43.127000000000002</v>
      </c>
      <c r="Y801" s="99">
        <f>Z801</f>
        <v>41.194000000000003</v>
      </c>
      <c r="Z801" s="410">
        <v>41.194000000000003</v>
      </c>
      <c r="AA801" s="98">
        <v>39.194000000000003</v>
      </c>
      <c r="AB801" s="98">
        <v>37.151000000000003</v>
      </c>
      <c r="AC801" s="98">
        <v>35.164000000000001</v>
      </c>
      <c r="AD801" s="99">
        <f>AE801</f>
        <v>35.247999999999998</v>
      </c>
      <c r="AE801" s="410">
        <v>35.247999999999998</v>
      </c>
      <c r="AF801" s="98">
        <v>33.151000000000003</v>
      </c>
      <c r="AG801" s="98">
        <v>31.012</v>
      </c>
      <c r="AH801" s="98">
        <v>28.84</v>
      </c>
      <c r="AI801" s="99">
        <f>AJ801</f>
        <v>26.631</v>
      </c>
      <c r="AJ801" s="410">
        <v>26.631</v>
      </c>
      <c r="AK801" s="98">
        <v>24.515000000000001</v>
      </c>
      <c r="AL801" s="98">
        <v>22.181999999999999</v>
      </c>
      <c r="AM801" s="98">
        <v>19.812000000000001</v>
      </c>
      <c r="AN801" s="99">
        <f>AO801</f>
        <v>17.402999999999999</v>
      </c>
      <c r="AO801" s="410">
        <v>17.402999999999999</v>
      </c>
      <c r="AP801" s="98">
        <v>13.436</v>
      </c>
      <c r="AQ801" s="98">
        <v>12.949</v>
      </c>
      <c r="AR801" s="98">
        <v>71.183000000000007</v>
      </c>
      <c r="AS801" s="99">
        <f t="shared" si="745"/>
        <v>69.983999999999995</v>
      </c>
      <c r="AT801" s="410">
        <v>69.983999999999995</v>
      </c>
      <c r="AU801" s="98">
        <v>68.756</v>
      </c>
      <c r="AV801" s="98">
        <v>67.516999999999996</v>
      </c>
      <c r="AW801" s="98">
        <v>66.268000000000001</v>
      </c>
      <c r="AX801" s="99">
        <f t="shared" si="746"/>
        <v>65.006</v>
      </c>
      <c r="AY801" s="410">
        <v>65.006</v>
      </c>
      <c r="AZ801" s="98">
        <v>9.2639999999999993</v>
      </c>
      <c r="BA801" s="98">
        <v>8.6920000000000002</v>
      </c>
      <c r="BB801" s="98">
        <v>8.11</v>
      </c>
      <c r="BC801" s="99">
        <f t="shared" si="747"/>
        <v>7.5190000000000001</v>
      </c>
      <c r="BD801" s="410">
        <v>7.5190000000000001</v>
      </c>
      <c r="BE801" s="98">
        <v>6.9169999999999998</v>
      </c>
      <c r="BF801" s="98">
        <v>6.2990000000000004</v>
      </c>
      <c r="BG801" s="98">
        <v>5.67</v>
      </c>
      <c r="BH801" s="99">
        <f t="shared" si="748"/>
        <v>5.032</v>
      </c>
      <c r="BI801" s="410">
        <v>5.032</v>
      </c>
      <c r="BJ801" s="98">
        <v>4.3819999999999997</v>
      </c>
      <c r="BK801" s="98">
        <v>3.714</v>
      </c>
      <c r="BL801" s="98">
        <v>3.036</v>
      </c>
      <c r="BM801" s="99">
        <f t="shared" si="749"/>
        <v>2.3460000000000001</v>
      </c>
      <c r="BN801" s="410">
        <v>2.3460000000000001</v>
      </c>
      <c r="BO801" s="98">
        <v>1.7210000000000001</v>
      </c>
      <c r="BP801" s="98">
        <v>1.4690000000000001</v>
      </c>
      <c r="BQ801" s="98">
        <v>1.33</v>
      </c>
      <c r="BR801" s="99">
        <f t="shared" si="750"/>
        <v>1.1879999999999999</v>
      </c>
      <c r="BS801" s="419">
        <v>1.1879999999999999</v>
      </c>
      <c r="BT801" s="63"/>
      <c r="BU801" s="63"/>
      <c r="BV801" s="63"/>
      <c r="BW801" s="63"/>
      <c r="BX801" s="413"/>
      <c r="BY801" s="63"/>
      <c r="BZ801" s="63"/>
      <c r="CA801" s="63"/>
      <c r="CB801" s="63"/>
      <c r="CC801" s="413"/>
      <c r="CD801" s="413"/>
      <c r="CE801" s="413"/>
      <c r="CF801" s="413"/>
      <c r="CG801" s="99"/>
    </row>
    <row r="802" spans="1:85" ht="14.45" customHeight="1" x14ac:dyDescent="0.25">
      <c r="A802" s="130" t="s">
        <v>723</v>
      </c>
      <c r="B802" s="190"/>
      <c r="C802" s="414">
        <v>537.91700000000003</v>
      </c>
      <c r="D802" s="414">
        <v>523.06299999999999</v>
      </c>
      <c r="E802" s="414">
        <v>403.21899999999999</v>
      </c>
      <c r="F802" s="414">
        <v>403.38600000000002</v>
      </c>
      <c r="G802" s="102">
        <v>438.43</v>
      </c>
      <c r="H802" s="102">
        <v>428.47500000000002</v>
      </c>
      <c r="I802" s="102">
        <v>393.52</v>
      </c>
      <c r="J802" s="103">
        <f>K802</f>
        <v>378.56599999999997</v>
      </c>
      <c r="K802" s="414">
        <v>378.56599999999997</v>
      </c>
      <c r="L802" s="102">
        <v>413.613</v>
      </c>
      <c r="M802" s="102">
        <v>433.661</v>
      </c>
      <c r="N802" s="102">
        <v>443.709</v>
      </c>
      <c r="O802" s="103">
        <f>P802</f>
        <v>444.75900000000001</v>
      </c>
      <c r="P802" s="414">
        <v>444.75900000000001</v>
      </c>
      <c r="Q802" s="102">
        <v>524.69600000000003</v>
      </c>
      <c r="R802" s="102">
        <v>563.86</v>
      </c>
      <c r="S802" s="102">
        <v>384.15499999999997</v>
      </c>
      <c r="T802" s="103">
        <f>U802</f>
        <v>619.62800000000004</v>
      </c>
      <c r="U802" s="414">
        <v>619.62800000000004</v>
      </c>
      <c r="V802" s="102">
        <v>760.03599999999994</v>
      </c>
      <c r="W802" s="102">
        <v>829.81799999999998</v>
      </c>
      <c r="X802" s="102">
        <v>820.06299999999999</v>
      </c>
      <c r="Y802" s="103">
        <f>Z802</f>
        <v>907.25400000000002</v>
      </c>
      <c r="Z802" s="414">
        <v>907.25400000000002</v>
      </c>
      <c r="AA802" s="102">
        <v>1002.309</v>
      </c>
      <c r="AB802" s="102">
        <v>1080.578</v>
      </c>
      <c r="AC802" s="102">
        <v>1127.847</v>
      </c>
      <c r="AD802" s="103">
        <f>AE802</f>
        <v>1088.018</v>
      </c>
      <c r="AE802" s="414">
        <v>1088.018</v>
      </c>
      <c r="AF802" s="102">
        <v>1211.1089999999999</v>
      </c>
      <c r="AG802" s="102">
        <v>1131.3130000000001</v>
      </c>
      <c r="AH802" s="102">
        <v>1194.1089999999999</v>
      </c>
      <c r="AI802" s="103">
        <f>AJ802</f>
        <v>1104.403</v>
      </c>
      <c r="AJ802" s="414">
        <v>1104.403</v>
      </c>
      <c r="AK802" s="102">
        <v>1138.5</v>
      </c>
      <c r="AL802" s="102">
        <v>1092.152</v>
      </c>
      <c r="AM802" s="102">
        <v>1027.3430000000001</v>
      </c>
      <c r="AN802" s="103">
        <f>AO802</f>
        <v>1029.92</v>
      </c>
      <c r="AO802" s="414">
        <v>1029.92</v>
      </c>
      <c r="AP802" s="102">
        <v>1082.5889999999999</v>
      </c>
      <c r="AQ802" s="102">
        <v>970.17399999999998</v>
      </c>
      <c r="AR802" s="102">
        <v>962.86700000000008</v>
      </c>
      <c r="AS802" s="103">
        <f t="shared" si="745"/>
        <v>940.46500000000003</v>
      </c>
      <c r="AT802" s="414">
        <v>940.46500000000003</v>
      </c>
      <c r="AU802" s="102">
        <v>909.30399999999997</v>
      </c>
      <c r="AV802" s="102">
        <v>778.23599999999999</v>
      </c>
      <c r="AW802" s="102">
        <v>793.17700000000002</v>
      </c>
      <c r="AX802" s="103">
        <f t="shared" si="746"/>
        <v>723.44299999999998</v>
      </c>
      <c r="AY802" s="414">
        <v>723.44299999999998</v>
      </c>
      <c r="AZ802" s="102">
        <v>598.57399999999996</v>
      </c>
      <c r="BA802" s="102">
        <v>598.63300000000004</v>
      </c>
      <c r="BB802" s="102">
        <v>598.77800000000002</v>
      </c>
      <c r="BC802" s="103">
        <f t="shared" si="747"/>
        <v>598.81700000000001</v>
      </c>
      <c r="BD802" s="414">
        <v>598.81700000000001</v>
      </c>
      <c r="BE802" s="102">
        <v>598.86</v>
      </c>
      <c r="BF802" s="102">
        <v>598.99199999999996</v>
      </c>
      <c r="BG802" s="102">
        <v>599.12300000000005</v>
      </c>
      <c r="BH802" s="103">
        <f t="shared" si="748"/>
        <v>599.15899999999999</v>
      </c>
      <c r="BI802" s="414">
        <v>599.15899999999999</v>
      </c>
      <c r="BJ802" s="102">
        <v>599.29300000000001</v>
      </c>
      <c r="BK802" s="102">
        <v>1785.1020000000001</v>
      </c>
      <c r="BL802" s="102">
        <v>1785.7819999999999</v>
      </c>
      <c r="BM802" s="103">
        <f t="shared" si="749"/>
        <v>1436.6489999999999</v>
      </c>
      <c r="BN802" s="414">
        <v>1436.6489999999999</v>
      </c>
      <c r="BO802" s="102">
        <v>1437.1679999999999</v>
      </c>
      <c r="BP802" s="102">
        <v>1437.806</v>
      </c>
      <c r="BQ802" s="102">
        <v>1438.4390000000001</v>
      </c>
      <c r="BR802" s="103">
        <f t="shared" si="750"/>
        <v>2686.009</v>
      </c>
      <c r="BS802" s="420">
        <v>2686.009</v>
      </c>
      <c r="BT802" s="158">
        <f>BT507</f>
        <v>2537.1970000000001</v>
      </c>
      <c r="BU802" s="158">
        <f>BU507</f>
        <v>2537.1970000000001</v>
      </c>
      <c r="BV802" s="158">
        <f>BV507</f>
        <v>2537.1970000000001</v>
      </c>
      <c r="BW802" s="158">
        <f>BW507</f>
        <v>2537.1970000000001</v>
      </c>
      <c r="BX802" s="415">
        <f>BW802</f>
        <v>2537.1970000000001</v>
      </c>
      <c r="BY802" s="158">
        <f>BY507</f>
        <v>2537.1970000000001</v>
      </c>
      <c r="BZ802" s="158">
        <f>BZ507</f>
        <v>2537.1970000000001</v>
      </c>
      <c r="CA802" s="158">
        <f>CA507</f>
        <v>2537.1970000000001</v>
      </c>
      <c r="CB802" s="158">
        <f>CB507</f>
        <v>2537.1970000000001</v>
      </c>
      <c r="CC802" s="415">
        <f>CB802</f>
        <v>2537.1970000000001</v>
      </c>
      <c r="CD802" s="415">
        <f>CD507</f>
        <v>2537.1970000000001</v>
      </c>
      <c r="CE802" s="415">
        <f>CE507</f>
        <v>2537.1970000000001</v>
      </c>
      <c r="CF802" s="415">
        <f>CF507</f>
        <v>2537.1970000000001</v>
      </c>
      <c r="CG802" s="99"/>
    </row>
    <row r="803" spans="1:85" ht="14.45" customHeight="1" x14ac:dyDescent="0.25">
      <c r="A803" s="110" t="s">
        <v>724</v>
      </c>
      <c r="B803" s="212"/>
      <c r="C803" s="416">
        <f t="shared" ref="C803:AH803" si="754">SUM(C797:C802)</f>
        <v>952</v>
      </c>
      <c r="D803" s="416">
        <f t="shared" si="754"/>
        <v>946.46499999999992</v>
      </c>
      <c r="E803" s="416">
        <f t="shared" si="754"/>
        <v>869.24800000000005</v>
      </c>
      <c r="F803" s="416">
        <f t="shared" si="754"/>
        <v>867.72399999999993</v>
      </c>
      <c r="G803" s="106">
        <f t="shared" si="754"/>
        <v>896.98500000000001</v>
      </c>
      <c r="H803" s="106">
        <f t="shared" si="754"/>
        <v>893.33900000000006</v>
      </c>
      <c r="I803" s="106">
        <f t="shared" si="754"/>
        <v>858.18899999999985</v>
      </c>
      <c r="J803" s="106">
        <f t="shared" si="754"/>
        <v>807.41399999999999</v>
      </c>
      <c r="K803" s="416">
        <f t="shared" si="754"/>
        <v>807.41399999999999</v>
      </c>
      <c r="L803" s="106">
        <f t="shared" si="754"/>
        <v>835.07099999999991</v>
      </c>
      <c r="M803" s="106">
        <f t="shared" si="754"/>
        <v>865.39699999999993</v>
      </c>
      <c r="N803" s="106">
        <f t="shared" si="754"/>
        <v>871.11300000000006</v>
      </c>
      <c r="O803" s="106">
        <f t="shared" si="754"/>
        <v>948.71299999999997</v>
      </c>
      <c r="P803" s="416">
        <f t="shared" si="754"/>
        <v>948.71299999999997</v>
      </c>
      <c r="Q803" s="106">
        <f t="shared" si="754"/>
        <v>1071.194</v>
      </c>
      <c r="R803" s="106">
        <f t="shared" si="754"/>
        <v>1112.306</v>
      </c>
      <c r="S803" s="106">
        <f t="shared" si="754"/>
        <v>921.654</v>
      </c>
      <c r="T803" s="106">
        <f t="shared" si="754"/>
        <v>1197.58</v>
      </c>
      <c r="U803" s="416">
        <f t="shared" si="754"/>
        <v>1197.58</v>
      </c>
      <c r="V803" s="106">
        <f t="shared" si="754"/>
        <v>1363.778</v>
      </c>
      <c r="W803" s="106">
        <f t="shared" si="754"/>
        <v>1482.5609999999999</v>
      </c>
      <c r="X803" s="106">
        <f t="shared" si="754"/>
        <v>1465.242</v>
      </c>
      <c r="Y803" s="106">
        <f t="shared" si="754"/>
        <v>1628.5529999999999</v>
      </c>
      <c r="Z803" s="416">
        <f t="shared" si="754"/>
        <v>1628.5529999999999</v>
      </c>
      <c r="AA803" s="106">
        <f t="shared" si="754"/>
        <v>1838.1189999999999</v>
      </c>
      <c r="AB803" s="106">
        <f t="shared" si="754"/>
        <v>1923.2619999999999</v>
      </c>
      <c r="AC803" s="106">
        <f t="shared" si="754"/>
        <v>1940.8979999999999</v>
      </c>
      <c r="AD803" s="106">
        <f t="shared" si="754"/>
        <v>1974.6010000000001</v>
      </c>
      <c r="AE803" s="416">
        <f t="shared" si="754"/>
        <v>1974.6010000000001</v>
      </c>
      <c r="AF803" s="106">
        <f t="shared" si="754"/>
        <v>2067.9049999999997</v>
      </c>
      <c r="AG803" s="106">
        <f t="shared" si="754"/>
        <v>1986.8430000000001</v>
      </c>
      <c r="AH803" s="106">
        <f t="shared" si="754"/>
        <v>2045.2449999999999</v>
      </c>
      <c r="AI803" s="106">
        <f t="shared" ref="AI803:BN803" si="755">SUM(AI797:AI802)</f>
        <v>1953.0250000000001</v>
      </c>
      <c r="AJ803" s="416">
        <f t="shared" si="755"/>
        <v>1953.0250000000001</v>
      </c>
      <c r="AK803" s="106">
        <f t="shared" si="755"/>
        <v>2063.944</v>
      </c>
      <c r="AL803" s="106">
        <f t="shared" si="755"/>
        <v>2062.4920000000002</v>
      </c>
      <c r="AM803" s="106">
        <f t="shared" si="755"/>
        <v>2024.4380000000001</v>
      </c>
      <c r="AN803" s="106">
        <f t="shared" si="755"/>
        <v>2053.6150000000002</v>
      </c>
      <c r="AO803" s="416">
        <f t="shared" si="755"/>
        <v>2053.6150000000002</v>
      </c>
      <c r="AP803" s="106">
        <f t="shared" si="755"/>
        <v>2123.4299999999998</v>
      </c>
      <c r="AQ803" s="106">
        <f t="shared" si="755"/>
        <v>2044.7849999999999</v>
      </c>
      <c r="AR803" s="106">
        <f t="shared" si="755"/>
        <v>2069.348</v>
      </c>
      <c r="AS803" s="106">
        <f t="shared" si="755"/>
        <v>2062.4</v>
      </c>
      <c r="AT803" s="416">
        <f t="shared" si="755"/>
        <v>2062.4</v>
      </c>
      <c r="AU803" s="106">
        <f t="shared" si="755"/>
        <v>2035.5830000000001</v>
      </c>
      <c r="AV803" s="106">
        <f t="shared" si="755"/>
        <v>1925.8440000000001</v>
      </c>
      <c r="AW803" s="106">
        <f t="shared" si="755"/>
        <v>1971.5039999999999</v>
      </c>
      <c r="AX803" s="106">
        <f t="shared" si="755"/>
        <v>1898.9280000000001</v>
      </c>
      <c r="AY803" s="416">
        <f t="shared" si="755"/>
        <v>1898.9280000000001</v>
      </c>
      <c r="AZ803" s="106">
        <f t="shared" si="755"/>
        <v>1728.2139999999999</v>
      </c>
      <c r="BA803" s="106">
        <f t="shared" si="755"/>
        <v>1702.5550000000001</v>
      </c>
      <c r="BB803" s="106">
        <f t="shared" si="755"/>
        <v>1701.6699999999998</v>
      </c>
      <c r="BC803" s="106">
        <f t="shared" si="755"/>
        <v>1689.001</v>
      </c>
      <c r="BD803" s="416">
        <f t="shared" si="755"/>
        <v>1689.001</v>
      </c>
      <c r="BE803" s="106">
        <f t="shared" si="755"/>
        <v>1752.8669999999997</v>
      </c>
      <c r="BF803" s="106">
        <f t="shared" si="755"/>
        <v>1722.847</v>
      </c>
      <c r="BG803" s="106">
        <f t="shared" si="755"/>
        <v>1709.1210000000001</v>
      </c>
      <c r="BH803" s="106">
        <f t="shared" si="755"/>
        <v>1762.0099999999998</v>
      </c>
      <c r="BI803" s="416">
        <f t="shared" si="755"/>
        <v>1762.0099999999998</v>
      </c>
      <c r="BJ803" s="106">
        <f t="shared" si="755"/>
        <v>1778.0300000000002</v>
      </c>
      <c r="BK803" s="106">
        <f t="shared" si="755"/>
        <v>2921.2650000000003</v>
      </c>
      <c r="BL803" s="106">
        <f t="shared" si="755"/>
        <v>2946.8820000000001</v>
      </c>
      <c r="BM803" s="106">
        <f t="shared" si="755"/>
        <v>2582.3589999999999</v>
      </c>
      <c r="BN803" s="416">
        <f t="shared" si="755"/>
        <v>2582.3589999999999</v>
      </c>
      <c r="BO803" s="106">
        <f t="shared" ref="BO803:CF803" si="756">SUM(BO797:BO802)</f>
        <v>2614.1329999999998</v>
      </c>
      <c r="BP803" s="106">
        <f t="shared" si="756"/>
        <v>2572.08</v>
      </c>
      <c r="BQ803" s="106">
        <f t="shared" si="756"/>
        <v>2638.9369999999999</v>
      </c>
      <c r="BR803" s="106">
        <f t="shared" si="756"/>
        <v>3914.0640000000003</v>
      </c>
      <c r="BS803" s="417">
        <f t="shared" si="756"/>
        <v>3914.0640000000003</v>
      </c>
      <c r="BT803" s="159">
        <f t="shared" si="756"/>
        <v>3772.4656166683699</v>
      </c>
      <c r="BU803" s="159">
        <f t="shared" si="756"/>
        <v>3783.8385005893697</v>
      </c>
      <c r="BV803" s="159">
        <f t="shared" si="756"/>
        <v>3795.6340690603702</v>
      </c>
      <c r="BW803" s="159">
        <f t="shared" si="756"/>
        <v>3807.2314934863698</v>
      </c>
      <c r="BX803" s="418">
        <f t="shared" si="756"/>
        <v>3807.2314934863698</v>
      </c>
      <c r="BY803" s="159">
        <f t="shared" si="756"/>
        <v>3816.8906107005951</v>
      </c>
      <c r="BZ803" s="159">
        <f t="shared" si="756"/>
        <v>3828.3739576104199</v>
      </c>
      <c r="CA803" s="159">
        <f t="shared" si="756"/>
        <v>3840.2865095379348</v>
      </c>
      <c r="CB803" s="159">
        <f t="shared" si="756"/>
        <v>3851.993074029665</v>
      </c>
      <c r="CC803" s="418">
        <f t="shared" si="756"/>
        <v>3851.993074029665</v>
      </c>
      <c r="CD803" s="418">
        <f t="shared" si="756"/>
        <v>3897.2643416436904</v>
      </c>
      <c r="CE803" s="418">
        <f t="shared" si="756"/>
        <v>3943.0535623471601</v>
      </c>
      <c r="CF803" s="418">
        <f t="shared" si="756"/>
        <v>3989.3691578405487</v>
      </c>
      <c r="CG803" s="109"/>
    </row>
    <row r="804" spans="1:85" ht="14.45" customHeight="1" x14ac:dyDescent="0.25">
      <c r="A804" s="135" t="s">
        <v>725</v>
      </c>
      <c r="B804" s="211"/>
      <c r="C804" s="421">
        <f t="shared" ref="C804:AH804" si="757">C794+C803</f>
        <v>1113.982</v>
      </c>
      <c r="D804" s="421">
        <f t="shared" si="757"/>
        <v>1123.2049999999999</v>
      </c>
      <c r="E804" s="421">
        <f t="shared" si="757"/>
        <v>1173.018</v>
      </c>
      <c r="F804" s="421">
        <f t="shared" si="757"/>
        <v>1084.0359999999998</v>
      </c>
      <c r="G804" s="109">
        <f t="shared" si="757"/>
        <v>1093.4359999999999</v>
      </c>
      <c r="H804" s="109">
        <f t="shared" si="757"/>
        <v>1112.8710000000001</v>
      </c>
      <c r="I804" s="109">
        <f t="shared" si="757"/>
        <v>1083.5339999999999</v>
      </c>
      <c r="J804" s="109">
        <f t="shared" si="757"/>
        <v>1016.23</v>
      </c>
      <c r="K804" s="421">
        <f t="shared" si="757"/>
        <v>1016.23</v>
      </c>
      <c r="L804" s="109">
        <f t="shared" si="757"/>
        <v>1057.4079999999999</v>
      </c>
      <c r="M804" s="109">
        <f t="shared" si="757"/>
        <v>1102.758</v>
      </c>
      <c r="N804" s="109">
        <f t="shared" si="757"/>
        <v>1088.924</v>
      </c>
      <c r="O804" s="109">
        <f t="shared" si="757"/>
        <v>1176.133</v>
      </c>
      <c r="P804" s="421">
        <f t="shared" si="757"/>
        <v>1176.133</v>
      </c>
      <c r="Q804" s="109">
        <f t="shared" si="757"/>
        <v>1310.4059999999999</v>
      </c>
      <c r="R804" s="109">
        <f t="shared" si="757"/>
        <v>1422.7570000000001</v>
      </c>
      <c r="S804" s="109">
        <f t="shared" si="757"/>
        <v>1397.9549999999999</v>
      </c>
      <c r="T804" s="109">
        <f t="shared" si="757"/>
        <v>1524.1329999999998</v>
      </c>
      <c r="U804" s="421">
        <f t="shared" si="757"/>
        <v>1524.1329999999998</v>
      </c>
      <c r="V804" s="109">
        <f t="shared" si="757"/>
        <v>1708.748</v>
      </c>
      <c r="W804" s="109">
        <f t="shared" si="757"/>
        <v>1915.3409999999999</v>
      </c>
      <c r="X804" s="109">
        <f t="shared" si="757"/>
        <v>1900.0840000000001</v>
      </c>
      <c r="Y804" s="109">
        <f t="shared" si="757"/>
        <v>2086.46</v>
      </c>
      <c r="Z804" s="421">
        <f t="shared" si="757"/>
        <v>2086.46</v>
      </c>
      <c r="AA804" s="109">
        <f t="shared" si="757"/>
        <v>2304.4299999999998</v>
      </c>
      <c r="AB804" s="109">
        <f t="shared" si="757"/>
        <v>2525.35</v>
      </c>
      <c r="AC804" s="109">
        <f t="shared" si="757"/>
        <v>2527.9799999999996</v>
      </c>
      <c r="AD804" s="109">
        <f t="shared" si="757"/>
        <v>2614.0529999999999</v>
      </c>
      <c r="AE804" s="421">
        <f t="shared" si="757"/>
        <v>2614.0529999999999</v>
      </c>
      <c r="AF804" s="109">
        <f t="shared" si="757"/>
        <v>2642.8609999999999</v>
      </c>
      <c r="AG804" s="109">
        <f t="shared" si="757"/>
        <v>2679.7660000000001</v>
      </c>
      <c r="AH804" s="109">
        <f t="shared" si="757"/>
        <v>2603.8609999999999</v>
      </c>
      <c r="AI804" s="109">
        <f t="shared" ref="AI804:BN804" si="758">AI794+AI803</f>
        <v>2554.7620000000002</v>
      </c>
      <c r="AJ804" s="421">
        <f t="shared" si="758"/>
        <v>2554.7620000000002</v>
      </c>
      <c r="AK804" s="109">
        <f t="shared" si="758"/>
        <v>2623.085</v>
      </c>
      <c r="AL804" s="109">
        <f t="shared" si="758"/>
        <v>2664.4440000000004</v>
      </c>
      <c r="AM804" s="109">
        <f t="shared" si="758"/>
        <v>2637.6109999999999</v>
      </c>
      <c r="AN804" s="109">
        <f t="shared" si="758"/>
        <v>2675.8100000000004</v>
      </c>
      <c r="AO804" s="421">
        <f t="shared" si="758"/>
        <v>2675.8100000000004</v>
      </c>
      <c r="AP804" s="109">
        <f t="shared" si="758"/>
        <v>2731.42</v>
      </c>
      <c r="AQ804" s="109">
        <f t="shared" si="758"/>
        <v>2679.0149999999999</v>
      </c>
      <c r="AR804" s="109">
        <f t="shared" si="758"/>
        <v>2753.3379999999997</v>
      </c>
      <c r="AS804" s="109">
        <f t="shared" si="758"/>
        <v>2709.46</v>
      </c>
      <c r="AT804" s="421">
        <f t="shared" si="758"/>
        <v>2709.46</v>
      </c>
      <c r="AU804" s="109">
        <f t="shared" si="758"/>
        <v>2719.4900000000002</v>
      </c>
      <c r="AV804" s="109">
        <f t="shared" si="758"/>
        <v>2669.7960000000003</v>
      </c>
      <c r="AW804" s="109">
        <f t="shared" si="758"/>
        <v>2739.7999999999997</v>
      </c>
      <c r="AX804" s="109">
        <f t="shared" si="758"/>
        <v>2733.7840000000001</v>
      </c>
      <c r="AY804" s="421">
        <f t="shared" si="758"/>
        <v>2733.7840000000001</v>
      </c>
      <c r="AZ804" s="109">
        <f t="shared" si="758"/>
        <v>2622.2849999999999</v>
      </c>
      <c r="BA804" s="109">
        <f t="shared" si="758"/>
        <v>2679.9880000000003</v>
      </c>
      <c r="BB804" s="109">
        <f t="shared" si="758"/>
        <v>2578.3649999999998</v>
      </c>
      <c r="BC804" s="109">
        <f t="shared" si="758"/>
        <v>2594.1570000000002</v>
      </c>
      <c r="BD804" s="421">
        <f t="shared" si="758"/>
        <v>2594.1570000000002</v>
      </c>
      <c r="BE804" s="109">
        <f t="shared" si="758"/>
        <v>2565.442</v>
      </c>
      <c r="BF804" s="109">
        <f t="shared" si="758"/>
        <v>2614.8289999999997</v>
      </c>
      <c r="BG804" s="109">
        <f t="shared" si="758"/>
        <v>2616.9540000000002</v>
      </c>
      <c r="BH804" s="109">
        <f t="shared" si="758"/>
        <v>2853.3440000000001</v>
      </c>
      <c r="BI804" s="421">
        <f t="shared" si="758"/>
        <v>2853.3440000000001</v>
      </c>
      <c r="BJ804" s="109">
        <f t="shared" si="758"/>
        <v>2695.9059999999999</v>
      </c>
      <c r="BK804" s="109">
        <f t="shared" si="758"/>
        <v>4460.8780000000006</v>
      </c>
      <c r="BL804" s="109">
        <f t="shared" si="758"/>
        <v>3987.7370000000001</v>
      </c>
      <c r="BM804" s="109">
        <f t="shared" si="758"/>
        <v>3895.5280000000002</v>
      </c>
      <c r="BN804" s="421">
        <f t="shared" si="758"/>
        <v>3895.5280000000002</v>
      </c>
      <c r="BO804" s="109">
        <f t="shared" ref="BO804:CF804" si="759">BO794+BO803</f>
        <v>3904.3239999999996</v>
      </c>
      <c r="BP804" s="109">
        <f t="shared" si="759"/>
        <v>3911.2719999999999</v>
      </c>
      <c r="BQ804" s="109">
        <f t="shared" si="759"/>
        <v>4032.5859999999998</v>
      </c>
      <c r="BR804" s="109">
        <f t="shared" si="759"/>
        <v>5042.7210000000005</v>
      </c>
      <c r="BS804" s="422">
        <f t="shared" si="759"/>
        <v>5042.7210000000005</v>
      </c>
      <c r="BT804" s="112">
        <f t="shared" si="759"/>
        <v>4951.8570837825137</v>
      </c>
      <c r="BU804" s="112">
        <f t="shared" si="759"/>
        <v>5019.2799216484427</v>
      </c>
      <c r="BV804" s="112">
        <f t="shared" si="759"/>
        <v>4996.9500594655719</v>
      </c>
      <c r="BW804" s="112">
        <f t="shared" si="759"/>
        <v>4947.940849791039</v>
      </c>
      <c r="BX804" s="423">
        <f t="shared" si="759"/>
        <v>4947.940849791039</v>
      </c>
      <c r="BY804" s="112">
        <f t="shared" si="759"/>
        <v>5009.4878024872978</v>
      </c>
      <c r="BZ804" s="112">
        <f t="shared" si="759"/>
        <v>5076.2728886855512</v>
      </c>
      <c r="CA804" s="112">
        <f t="shared" si="759"/>
        <v>5048.4302700125609</v>
      </c>
      <c r="CB804" s="112">
        <f t="shared" si="759"/>
        <v>4998.0480003845196</v>
      </c>
      <c r="CC804" s="423">
        <f t="shared" si="759"/>
        <v>4998.0480003845196</v>
      </c>
      <c r="CD804" s="423">
        <f t="shared" si="759"/>
        <v>5049.6838792762974</v>
      </c>
      <c r="CE804" s="423">
        <f t="shared" si="759"/>
        <v>5101.9409314468276</v>
      </c>
      <c r="CF804" s="423">
        <f t="shared" si="759"/>
        <v>5154.8295226401897</v>
      </c>
      <c r="CG804" s="109"/>
    </row>
    <row r="805" spans="1:85" ht="14.45" customHeight="1" x14ac:dyDescent="0.25">
      <c r="A805" s="111"/>
      <c r="B805" s="211"/>
      <c r="C805" s="423"/>
      <c r="D805" s="423"/>
      <c r="E805" s="423"/>
      <c r="F805" s="423"/>
      <c r="G805" s="112"/>
      <c r="H805" s="112"/>
      <c r="I805" s="112"/>
      <c r="J805" s="112"/>
      <c r="K805" s="423"/>
      <c r="L805" s="112"/>
      <c r="M805" s="112"/>
      <c r="N805" s="112"/>
      <c r="O805" s="112"/>
      <c r="P805" s="423"/>
      <c r="Q805" s="112"/>
      <c r="R805" s="112"/>
      <c r="S805" s="112"/>
      <c r="T805" s="112"/>
      <c r="U805" s="423"/>
      <c r="V805" s="112"/>
      <c r="W805" s="112"/>
      <c r="X805" s="112"/>
      <c r="Y805" s="112"/>
      <c r="Z805" s="423"/>
      <c r="AA805" s="112"/>
      <c r="AB805" s="112"/>
      <c r="AC805" s="112"/>
      <c r="AD805" s="112"/>
      <c r="AE805" s="423"/>
      <c r="AF805" s="112"/>
      <c r="AG805" s="112"/>
      <c r="AH805" s="112"/>
      <c r="AI805" s="112"/>
      <c r="AJ805" s="423"/>
      <c r="AK805" s="112"/>
      <c r="AL805" s="112"/>
      <c r="AM805" s="112"/>
      <c r="AN805" s="112"/>
      <c r="AO805" s="423"/>
      <c r="AP805" s="112"/>
      <c r="AQ805" s="112"/>
      <c r="AR805" s="112"/>
      <c r="AS805" s="112"/>
      <c r="AT805" s="423"/>
      <c r="AU805" s="112"/>
      <c r="AV805" s="112"/>
      <c r="AW805" s="112"/>
      <c r="AX805" s="112"/>
      <c r="AY805" s="423"/>
      <c r="AZ805" s="112"/>
      <c r="BA805" s="112"/>
      <c r="BB805" s="112"/>
      <c r="BC805" s="112"/>
      <c r="BD805" s="423"/>
      <c r="BE805" s="112"/>
      <c r="BF805" s="112"/>
      <c r="BG805" s="112"/>
      <c r="BH805" s="112"/>
      <c r="BI805" s="423"/>
      <c r="BJ805" s="112"/>
      <c r="BK805" s="112"/>
      <c r="BL805" s="112"/>
      <c r="BM805" s="112"/>
      <c r="BN805" s="423"/>
      <c r="BO805" s="112"/>
      <c r="BP805" s="112"/>
      <c r="BQ805" s="112"/>
      <c r="BR805" s="112"/>
      <c r="BS805" s="424"/>
      <c r="BT805" s="112"/>
      <c r="BU805" s="112"/>
      <c r="BV805" s="112"/>
      <c r="BW805" s="112"/>
      <c r="BX805" s="423"/>
      <c r="BY805" s="112"/>
      <c r="BZ805" s="112"/>
      <c r="CA805" s="112"/>
      <c r="CB805" s="112"/>
      <c r="CC805" s="423"/>
      <c r="CD805" s="423"/>
      <c r="CE805" s="423"/>
      <c r="CF805" s="423"/>
      <c r="CG805" s="109"/>
    </row>
    <row r="806" spans="1:85" ht="14.45" customHeight="1" x14ac:dyDescent="0.25">
      <c r="A806" s="219" t="s">
        <v>726</v>
      </c>
      <c r="B806" s="211"/>
      <c r="C806" s="423"/>
      <c r="D806" s="423"/>
      <c r="E806" s="423"/>
      <c r="F806" s="423"/>
      <c r="G806" s="112"/>
      <c r="H806" s="112"/>
      <c r="I806" s="112"/>
      <c r="J806" s="112"/>
      <c r="K806" s="423"/>
      <c r="L806" s="112"/>
      <c r="M806" s="112"/>
      <c r="N806" s="112"/>
      <c r="O806" s="112"/>
      <c r="P806" s="423"/>
      <c r="Q806" s="112"/>
      <c r="R806" s="112"/>
      <c r="S806" s="112"/>
      <c r="T806" s="112"/>
      <c r="U806" s="423"/>
      <c r="V806" s="112"/>
      <c r="W806" s="112"/>
      <c r="X806" s="112"/>
      <c r="Y806" s="112"/>
      <c r="Z806" s="423"/>
      <c r="AA806" s="112"/>
      <c r="AB806" s="112"/>
      <c r="AC806" s="112"/>
      <c r="AD806" s="112"/>
      <c r="AE806" s="423"/>
      <c r="AF806" s="112"/>
      <c r="AG806" s="112"/>
      <c r="AH806" s="112"/>
      <c r="AI806" s="112"/>
      <c r="AJ806" s="423"/>
      <c r="AK806" s="112"/>
      <c r="AL806" s="112"/>
      <c r="AM806" s="112"/>
      <c r="AN806" s="112"/>
      <c r="AO806" s="423"/>
      <c r="AP806" s="112"/>
      <c r="AQ806" s="112"/>
      <c r="AR806" s="112"/>
      <c r="AS806" s="112"/>
      <c r="AT806" s="423"/>
      <c r="AU806" s="112"/>
      <c r="AV806" s="112"/>
      <c r="AW806" s="112"/>
      <c r="AX806" s="112"/>
      <c r="AY806" s="423"/>
      <c r="AZ806" s="112"/>
      <c r="BA806" s="112"/>
      <c r="BB806" s="112"/>
      <c r="BC806" s="112"/>
      <c r="BD806" s="423"/>
      <c r="BE806" s="112"/>
      <c r="BF806" s="112"/>
      <c r="BG806" s="112"/>
      <c r="BH806" s="112"/>
      <c r="BI806" s="423"/>
      <c r="BJ806" s="112"/>
      <c r="BK806" s="112"/>
      <c r="BL806" s="112"/>
      <c r="BM806" s="112"/>
      <c r="BN806" s="423"/>
      <c r="BO806" s="112"/>
      <c r="BP806" s="112"/>
      <c r="BQ806" s="112"/>
      <c r="BR806" s="112"/>
      <c r="BS806" s="424"/>
      <c r="BT806" s="112"/>
      <c r="BU806" s="112"/>
      <c r="BV806" s="112"/>
      <c r="BW806" s="112"/>
      <c r="BX806" s="423"/>
      <c r="BY806" s="112"/>
      <c r="BZ806" s="112"/>
      <c r="CA806" s="112"/>
      <c r="CB806" s="112"/>
      <c r="CC806" s="423"/>
      <c r="CD806" s="423"/>
      <c r="CE806" s="423"/>
      <c r="CF806" s="423"/>
      <c r="CG806" s="109"/>
    </row>
    <row r="807" spans="1:85" ht="14.45" customHeight="1" x14ac:dyDescent="0.25">
      <c r="A807" s="125" t="s">
        <v>727</v>
      </c>
      <c r="B807" s="180"/>
      <c r="C807" s="413"/>
      <c r="D807" s="413"/>
      <c r="E807" s="413"/>
      <c r="F807" s="413"/>
      <c r="G807" s="63"/>
      <c r="H807" s="63"/>
      <c r="I807" s="63"/>
      <c r="J807" s="63"/>
      <c r="K807" s="413"/>
      <c r="L807" s="63"/>
      <c r="M807" s="63"/>
      <c r="N807" s="63"/>
      <c r="O807" s="63"/>
      <c r="P807" s="413"/>
      <c r="Q807" s="63"/>
      <c r="R807" s="63"/>
      <c r="S807" s="63"/>
      <c r="T807" s="63"/>
      <c r="U807" s="413"/>
      <c r="V807" s="63"/>
      <c r="W807" s="63"/>
      <c r="X807" s="63"/>
      <c r="Y807" s="63"/>
      <c r="Z807" s="413"/>
      <c r="AA807" s="63"/>
      <c r="AB807" s="63"/>
      <c r="AC807" s="63"/>
      <c r="AD807" s="63"/>
      <c r="AE807" s="413"/>
      <c r="AF807" s="63"/>
      <c r="AG807" s="63"/>
      <c r="AH807" s="63"/>
      <c r="AI807" s="63"/>
      <c r="AJ807" s="413"/>
      <c r="AK807" s="63"/>
      <c r="AL807" s="63"/>
      <c r="AM807" s="63"/>
      <c r="AN807" s="63"/>
      <c r="AO807" s="413"/>
      <c r="AP807" s="63"/>
      <c r="AQ807" s="63"/>
      <c r="AR807" s="63"/>
      <c r="AS807" s="63"/>
      <c r="AT807" s="413"/>
      <c r="AU807" s="63"/>
      <c r="AV807" s="63"/>
      <c r="AW807" s="63"/>
      <c r="AX807" s="63"/>
      <c r="AY807" s="413"/>
      <c r="AZ807" s="63"/>
      <c r="BA807" s="63"/>
      <c r="BB807" s="63"/>
      <c r="BC807" s="63"/>
      <c r="BD807" s="413"/>
      <c r="BE807" s="63"/>
      <c r="BF807" s="63"/>
      <c r="BG807" s="63"/>
      <c r="BH807" s="63"/>
      <c r="BI807" s="413"/>
      <c r="BJ807" s="63"/>
      <c r="BK807" s="63"/>
      <c r="BL807" s="63"/>
      <c r="BM807" s="63"/>
      <c r="BN807" s="413"/>
      <c r="BO807" s="63"/>
      <c r="BP807" s="63"/>
      <c r="BQ807" s="63"/>
      <c r="BR807" s="63"/>
      <c r="BS807" s="425"/>
      <c r="BT807" s="63"/>
      <c r="BU807" s="63"/>
      <c r="BV807" s="63"/>
      <c r="BW807" s="63"/>
      <c r="BX807" s="413"/>
      <c r="BY807" s="63"/>
      <c r="BZ807" s="63"/>
      <c r="CA807" s="63"/>
      <c r="CB807" s="63"/>
      <c r="CC807" s="413"/>
      <c r="CD807" s="413"/>
      <c r="CE807" s="413"/>
      <c r="CF807" s="413"/>
      <c r="CG807" s="99"/>
    </row>
    <row r="808" spans="1:85" ht="14.45" customHeight="1" x14ac:dyDescent="0.25">
      <c r="A808" s="125" t="s">
        <v>728</v>
      </c>
      <c r="B808" s="180"/>
      <c r="C808" s="410">
        <v>10.204000000000001</v>
      </c>
      <c r="D808" s="410">
        <v>10.204000000000001</v>
      </c>
      <c r="E808" s="410">
        <v>10.204000000000001</v>
      </c>
      <c r="F808" s="410">
        <v>10.204000000000001</v>
      </c>
      <c r="G808" s="98">
        <v>10.204000000000001</v>
      </c>
      <c r="H808" s="98">
        <v>10.204000000000001</v>
      </c>
      <c r="I808" s="98">
        <v>10.204000000000001</v>
      </c>
      <c r="J808" s="99">
        <f t="shared" ref="J808:J814" si="760">K808</f>
        <v>10.204000000000001</v>
      </c>
      <c r="K808" s="410">
        <v>10.204000000000001</v>
      </c>
      <c r="L808" s="98">
        <v>10.204000000000001</v>
      </c>
      <c r="M808" s="98">
        <v>10.204000000000001</v>
      </c>
      <c r="N808" s="98">
        <v>10.204000000000001</v>
      </c>
      <c r="O808" s="99">
        <f t="shared" ref="O808:O814" si="761">P808</f>
        <v>10.204000000000001</v>
      </c>
      <c r="P808" s="410">
        <v>10.204000000000001</v>
      </c>
      <c r="Q808" s="98">
        <v>10.204000000000001</v>
      </c>
      <c r="R808" s="98">
        <v>10.204000000000001</v>
      </c>
      <c r="S808" s="98">
        <v>10.204000000000001</v>
      </c>
      <c r="T808" s="99">
        <f t="shared" ref="T808:T814" si="762">U808</f>
        <v>10.204000000000001</v>
      </c>
      <c r="U808" s="410">
        <v>10.204000000000001</v>
      </c>
      <c r="V808" s="98">
        <v>10.204000000000001</v>
      </c>
      <c r="W808" s="98">
        <v>10.204000000000001</v>
      </c>
      <c r="X808" s="98">
        <v>10.204000000000001</v>
      </c>
      <c r="Y808" s="99">
        <f t="shared" ref="Y808:Y814" si="763">Z808</f>
        <v>10.204000000000001</v>
      </c>
      <c r="Z808" s="410">
        <v>10.204000000000001</v>
      </c>
      <c r="AA808" s="98">
        <v>10.204000000000001</v>
      </c>
      <c r="AB808" s="98">
        <v>10.204000000000001</v>
      </c>
      <c r="AC808" s="98">
        <v>10.204000000000001</v>
      </c>
      <c r="AD808" s="99">
        <f t="shared" ref="AD808:AD814" si="764">AE808</f>
        <v>10.204000000000001</v>
      </c>
      <c r="AE808" s="410">
        <v>10.204000000000001</v>
      </c>
      <c r="AF808" s="98">
        <v>10.204000000000001</v>
      </c>
      <c r="AG808" s="98">
        <v>10.204000000000001</v>
      </c>
      <c r="AH808" s="98">
        <v>10.204000000000001</v>
      </c>
      <c r="AI808" s="99">
        <f t="shared" ref="AI808:AI814" si="765">AJ808</f>
        <v>10.204000000000001</v>
      </c>
      <c r="AJ808" s="410">
        <v>10.204000000000001</v>
      </c>
      <c r="AK808" s="98">
        <v>10.204000000000001</v>
      </c>
      <c r="AL808" s="98">
        <v>10.204000000000001</v>
      </c>
      <c r="AM808" s="98">
        <v>10.204000000000001</v>
      </c>
      <c r="AN808" s="99">
        <f t="shared" ref="AN808:AN814" si="766">+AO808</f>
        <v>10.204000000000001</v>
      </c>
      <c r="AO808" s="410">
        <v>10.204000000000001</v>
      </c>
      <c r="AP808" s="98">
        <v>10.204000000000001</v>
      </c>
      <c r="AQ808" s="98">
        <v>10.204000000000001</v>
      </c>
      <c r="AR808" s="98">
        <v>10.204000000000001</v>
      </c>
      <c r="AS808" s="99">
        <f t="shared" ref="AS808:AS814" si="767">+AT808</f>
        <v>10.204000000000001</v>
      </c>
      <c r="AT808" s="410">
        <v>10.204000000000001</v>
      </c>
      <c r="AU808" s="98">
        <v>10.204000000000001</v>
      </c>
      <c r="AV808" s="98">
        <v>10.204000000000001</v>
      </c>
      <c r="AW808" s="98">
        <v>10.204000000000001</v>
      </c>
      <c r="AX808" s="99">
        <f t="shared" ref="AX808:AX814" si="768">+AY808</f>
        <v>10.204000000000001</v>
      </c>
      <c r="AY808" s="410">
        <v>10.204000000000001</v>
      </c>
      <c r="AZ808" s="98">
        <v>11.430999999999999</v>
      </c>
      <c r="BA808" s="98">
        <v>11.430999999999999</v>
      </c>
      <c r="BB808" s="98">
        <v>11.430999999999999</v>
      </c>
      <c r="BC808" s="99">
        <f t="shared" ref="BC808:BC814" si="769">+BD808</f>
        <v>11.430999999999999</v>
      </c>
      <c r="BD808" s="410">
        <v>11.430999999999999</v>
      </c>
      <c r="BE808" s="98">
        <v>11.430999999999999</v>
      </c>
      <c r="BF808" s="98">
        <v>11.430999999999999</v>
      </c>
      <c r="BG808" s="98">
        <v>11.430999999999999</v>
      </c>
      <c r="BH808" s="99">
        <f t="shared" ref="BH808:BH814" si="770">+BI808</f>
        <v>11.430999999999999</v>
      </c>
      <c r="BI808" s="410">
        <v>11.430999999999999</v>
      </c>
      <c r="BJ808" s="98">
        <v>11.430999999999999</v>
      </c>
      <c r="BK808" s="98">
        <v>11.430999999999999</v>
      </c>
      <c r="BL808" s="98">
        <v>10.833</v>
      </c>
      <c r="BM808" s="99">
        <f t="shared" ref="BM808:BM814" si="771">+BN808</f>
        <v>10.833</v>
      </c>
      <c r="BN808" s="410">
        <v>10.833</v>
      </c>
      <c r="BO808" s="98">
        <v>10.833</v>
      </c>
      <c r="BP808" s="98">
        <v>108.327</v>
      </c>
      <c r="BQ808" s="98">
        <v>75.878</v>
      </c>
      <c r="BR808" s="99">
        <f t="shared" ref="BR808:BR814" si="772">+BS808</f>
        <v>56.517000000000003</v>
      </c>
      <c r="BS808" s="419">
        <v>56.517000000000003</v>
      </c>
      <c r="BT808" s="63">
        <f t="shared" ref="BT808:BW809" si="773">BS808</f>
        <v>56.517000000000003</v>
      </c>
      <c r="BU808" s="63">
        <f t="shared" si="773"/>
        <v>56.517000000000003</v>
      </c>
      <c r="BV808" s="63">
        <f t="shared" si="773"/>
        <v>56.517000000000003</v>
      </c>
      <c r="BW808" s="63">
        <f t="shared" si="773"/>
        <v>56.517000000000003</v>
      </c>
      <c r="BX808" s="413">
        <f t="shared" ref="BX808:BX813" si="774">+BW808</f>
        <v>56.517000000000003</v>
      </c>
      <c r="BY808" s="63">
        <f t="shared" ref="BY808:CB809" si="775">BX808</f>
        <v>56.517000000000003</v>
      </c>
      <c r="BZ808" s="63">
        <f t="shared" si="775"/>
        <v>56.517000000000003</v>
      </c>
      <c r="CA808" s="63">
        <f t="shared" si="775"/>
        <v>56.517000000000003</v>
      </c>
      <c r="CB808" s="63">
        <f t="shared" si="775"/>
        <v>56.517000000000003</v>
      </c>
      <c r="CC808" s="413">
        <f t="shared" ref="CC808:CC813" si="776">+CB808</f>
        <v>56.517000000000003</v>
      </c>
      <c r="CD808" s="413">
        <f t="shared" ref="CD808:CF809" si="777">CC808</f>
        <v>56.517000000000003</v>
      </c>
      <c r="CE808" s="413">
        <f t="shared" si="777"/>
        <v>56.517000000000003</v>
      </c>
      <c r="CF808" s="413">
        <f t="shared" si="777"/>
        <v>56.517000000000003</v>
      </c>
      <c r="CG808" s="99"/>
    </row>
    <row r="809" spans="1:85" ht="14.45" customHeight="1" x14ac:dyDescent="0.25">
      <c r="A809" s="125" t="s">
        <v>729</v>
      </c>
      <c r="B809" s="180"/>
      <c r="C809" s="410">
        <v>2.649</v>
      </c>
      <c r="D809" s="410">
        <v>2.6709999999999998</v>
      </c>
      <c r="E809" s="410">
        <v>2.6930000000000001</v>
      </c>
      <c r="F809" s="410">
        <v>2.7149999999999999</v>
      </c>
      <c r="G809" s="98">
        <v>2.7349999999999999</v>
      </c>
      <c r="H809" s="98">
        <v>2.7349999999999999</v>
      </c>
      <c r="I809" s="98">
        <v>2.7349999999999999</v>
      </c>
      <c r="J809" s="99">
        <f t="shared" si="760"/>
        <v>2.7349999999999999</v>
      </c>
      <c r="K809" s="410">
        <v>2.7349999999999999</v>
      </c>
      <c r="L809" s="98">
        <v>2.7559999999999998</v>
      </c>
      <c r="M809" s="98">
        <v>2.7559999999999998</v>
      </c>
      <c r="N809" s="98">
        <v>2.7559999999999998</v>
      </c>
      <c r="O809" s="99">
        <f t="shared" si="761"/>
        <v>2.7559999999999998</v>
      </c>
      <c r="P809" s="410">
        <v>2.7559999999999998</v>
      </c>
      <c r="Q809" s="98">
        <v>2.7770000000000001</v>
      </c>
      <c r="R809" s="98">
        <v>2.7770000000000001</v>
      </c>
      <c r="S809" s="98">
        <v>2.7770000000000001</v>
      </c>
      <c r="T809" s="99">
        <f t="shared" si="762"/>
        <v>2.7770000000000001</v>
      </c>
      <c r="U809" s="410">
        <v>2.7770000000000001</v>
      </c>
      <c r="V809" s="98">
        <v>2.798</v>
      </c>
      <c r="W809" s="98">
        <v>2.798</v>
      </c>
      <c r="X809" s="98">
        <v>2.798</v>
      </c>
      <c r="Y809" s="99">
        <f t="shared" si="763"/>
        <v>2.798</v>
      </c>
      <c r="Z809" s="410">
        <v>2.798</v>
      </c>
      <c r="AA809" s="98">
        <v>2.819</v>
      </c>
      <c r="AB809" s="98">
        <v>2.819</v>
      </c>
      <c r="AC809" s="98">
        <v>2.819</v>
      </c>
      <c r="AD809" s="99">
        <f t="shared" si="764"/>
        <v>2.819</v>
      </c>
      <c r="AE809" s="410">
        <v>2.819</v>
      </c>
      <c r="AF809" s="98">
        <v>2.839</v>
      </c>
      <c r="AG809" s="98">
        <v>2.839</v>
      </c>
      <c r="AH809" s="98">
        <v>2.839</v>
      </c>
      <c r="AI809" s="99">
        <f t="shared" si="765"/>
        <v>2.839</v>
      </c>
      <c r="AJ809" s="410">
        <v>2.839</v>
      </c>
      <c r="AK809" s="98">
        <v>2.86</v>
      </c>
      <c r="AL809" s="98">
        <v>2.86</v>
      </c>
      <c r="AM809" s="98">
        <v>2.86</v>
      </c>
      <c r="AN809" s="99">
        <f t="shared" si="766"/>
        <v>2.86</v>
      </c>
      <c r="AO809" s="410">
        <v>2.86</v>
      </c>
      <c r="AP809" s="98">
        <v>2.86</v>
      </c>
      <c r="AQ809" s="98">
        <v>2.86</v>
      </c>
      <c r="AR809" s="98">
        <v>2.86</v>
      </c>
      <c r="AS809" s="99">
        <f t="shared" si="767"/>
        <v>2.86</v>
      </c>
      <c r="AT809" s="410">
        <v>2.86</v>
      </c>
      <c r="AU809" s="98">
        <v>2.86</v>
      </c>
      <c r="AV809" s="98">
        <v>2.86</v>
      </c>
      <c r="AW809" s="98">
        <v>2.86</v>
      </c>
      <c r="AX809" s="99">
        <f t="shared" si="768"/>
        <v>2.86</v>
      </c>
      <c r="AY809" s="410">
        <v>2.86</v>
      </c>
      <c r="AZ809" s="98">
        <v>1.633</v>
      </c>
      <c r="BA809" s="98">
        <v>1.633</v>
      </c>
      <c r="BB809" s="98">
        <v>1.633</v>
      </c>
      <c r="BC809" s="99">
        <f t="shared" si="769"/>
        <v>1.633</v>
      </c>
      <c r="BD809" s="410">
        <v>1.633</v>
      </c>
      <c r="BE809" s="98">
        <v>1.633</v>
      </c>
      <c r="BF809" s="98">
        <v>1.633</v>
      </c>
      <c r="BG809" s="98">
        <v>1.633</v>
      </c>
      <c r="BH809" s="99">
        <f t="shared" si="770"/>
        <v>1.633</v>
      </c>
      <c r="BI809" s="410">
        <v>1.633</v>
      </c>
      <c r="BJ809" s="98">
        <v>1.633</v>
      </c>
      <c r="BK809" s="98">
        <v>1.633</v>
      </c>
      <c r="BL809" s="98">
        <v>1.633</v>
      </c>
      <c r="BM809" s="99">
        <f t="shared" si="771"/>
        <v>1.633</v>
      </c>
      <c r="BN809" s="410">
        <v>1.633</v>
      </c>
      <c r="BO809" s="98">
        <v>1.633</v>
      </c>
      <c r="BP809" s="98">
        <v>16.327999999999999</v>
      </c>
      <c r="BQ809" s="98">
        <v>10.047000000000001</v>
      </c>
      <c r="BR809" s="99">
        <f t="shared" si="772"/>
        <v>10.047000000000001</v>
      </c>
      <c r="BS809" s="419">
        <v>10.047000000000001</v>
      </c>
      <c r="BT809" s="63">
        <f t="shared" si="773"/>
        <v>10.047000000000001</v>
      </c>
      <c r="BU809" s="63">
        <f t="shared" si="773"/>
        <v>10.047000000000001</v>
      </c>
      <c r="BV809" s="63">
        <f t="shared" si="773"/>
        <v>10.047000000000001</v>
      </c>
      <c r="BW809" s="63">
        <f t="shared" si="773"/>
        <v>10.047000000000001</v>
      </c>
      <c r="BX809" s="413">
        <f t="shared" si="774"/>
        <v>10.047000000000001</v>
      </c>
      <c r="BY809" s="63">
        <f t="shared" si="775"/>
        <v>10.047000000000001</v>
      </c>
      <c r="BZ809" s="63">
        <f t="shared" si="775"/>
        <v>10.047000000000001</v>
      </c>
      <c r="CA809" s="63">
        <f t="shared" si="775"/>
        <v>10.047000000000001</v>
      </c>
      <c r="CB809" s="63">
        <f t="shared" si="775"/>
        <v>10.047000000000001</v>
      </c>
      <c r="CC809" s="413">
        <f t="shared" si="776"/>
        <v>10.047000000000001</v>
      </c>
      <c r="CD809" s="413">
        <f t="shared" si="777"/>
        <v>10.047000000000001</v>
      </c>
      <c r="CE809" s="413">
        <f t="shared" si="777"/>
        <v>10.047000000000001</v>
      </c>
      <c r="CF809" s="413">
        <f t="shared" si="777"/>
        <v>10.047000000000001</v>
      </c>
      <c r="CG809" s="99"/>
    </row>
    <row r="810" spans="1:85" ht="14.45" customHeight="1" x14ac:dyDescent="0.25">
      <c r="A810" s="125" t="s">
        <v>730</v>
      </c>
      <c r="B810" s="180"/>
      <c r="C810" s="410">
        <v>103.464</v>
      </c>
      <c r="D810" s="410">
        <v>104.83499999999999</v>
      </c>
      <c r="E810" s="410">
        <v>106.20099999999999</v>
      </c>
      <c r="F810" s="410">
        <v>107.681</v>
      </c>
      <c r="G810" s="98">
        <v>108.959</v>
      </c>
      <c r="H810" s="98">
        <v>108.959</v>
      </c>
      <c r="I810" s="98">
        <v>108.959</v>
      </c>
      <c r="J810" s="99">
        <f t="shared" si="760"/>
        <v>108.94199999999999</v>
      </c>
      <c r="K810" s="410">
        <v>108.94199999999999</v>
      </c>
      <c r="L810" s="98">
        <v>110.684</v>
      </c>
      <c r="M810" s="98">
        <v>110.86</v>
      </c>
      <c r="N810" s="98">
        <v>110.86</v>
      </c>
      <c r="O810" s="99">
        <f t="shared" si="761"/>
        <v>110.86</v>
      </c>
      <c r="P810" s="410">
        <v>110.86</v>
      </c>
      <c r="Q810" s="98">
        <v>113.06399999999999</v>
      </c>
      <c r="R810" s="98">
        <v>113.06399999999999</v>
      </c>
      <c r="S810" s="98">
        <v>113.06399999999999</v>
      </c>
      <c r="T810" s="99">
        <f t="shared" si="762"/>
        <v>113.06399999999999</v>
      </c>
      <c r="U810" s="410">
        <v>113.06399999999999</v>
      </c>
      <c r="V810" s="98">
        <v>116.76900000000001</v>
      </c>
      <c r="W810" s="98">
        <v>116.76900000000001</v>
      </c>
      <c r="X810" s="98">
        <v>116.76900000000001</v>
      </c>
      <c r="Y810" s="99">
        <f t="shared" si="763"/>
        <v>116.76900000000001</v>
      </c>
      <c r="Z810" s="410">
        <v>116.76900000000001</v>
      </c>
      <c r="AA810" s="98">
        <v>120.417</v>
      </c>
      <c r="AB810" s="98">
        <v>120.417</v>
      </c>
      <c r="AC810" s="98">
        <v>120.417</v>
      </c>
      <c r="AD810" s="99">
        <f t="shared" si="764"/>
        <v>120.417</v>
      </c>
      <c r="AE810" s="410">
        <v>120.417</v>
      </c>
      <c r="AF810" s="98">
        <v>124.22799999999999</v>
      </c>
      <c r="AG810" s="98">
        <v>124.22799999999999</v>
      </c>
      <c r="AH810" s="98">
        <v>124.22799999999999</v>
      </c>
      <c r="AI810" s="99">
        <f t="shared" si="765"/>
        <v>124.22799999999999</v>
      </c>
      <c r="AJ810" s="410">
        <v>124.22799999999999</v>
      </c>
      <c r="AK810" s="98">
        <v>128.983</v>
      </c>
      <c r="AL810" s="98">
        <v>128.983</v>
      </c>
      <c r="AM810" s="98">
        <v>128.983</v>
      </c>
      <c r="AN810" s="99">
        <f t="shared" si="766"/>
        <v>128.983</v>
      </c>
      <c r="AO810" s="410">
        <v>128.983</v>
      </c>
      <c r="AP810" s="98">
        <v>128.983</v>
      </c>
      <c r="AQ810" s="98">
        <v>128.983</v>
      </c>
      <c r="AR810" s="98">
        <v>128.983</v>
      </c>
      <c r="AS810" s="99">
        <f t="shared" si="767"/>
        <v>135.953</v>
      </c>
      <c r="AT810" s="410">
        <v>135.953</v>
      </c>
      <c r="AU810" s="98">
        <v>135.953</v>
      </c>
      <c r="AV810" s="98">
        <v>135.953</v>
      </c>
      <c r="AW810" s="98">
        <v>135.953</v>
      </c>
      <c r="AX810" s="99">
        <f t="shared" si="768"/>
        <v>135.953</v>
      </c>
      <c r="AY810" s="410">
        <v>135.953</v>
      </c>
      <c r="AZ810" s="98">
        <v>135.953</v>
      </c>
      <c r="BA810" s="98">
        <v>135.953</v>
      </c>
      <c r="BB810" s="98">
        <v>135.953</v>
      </c>
      <c r="BC810" s="99">
        <f t="shared" si="769"/>
        <v>135.953</v>
      </c>
      <c r="BD810" s="410">
        <v>135.953</v>
      </c>
      <c r="BE810" s="98">
        <v>135.953</v>
      </c>
      <c r="BF810" s="98">
        <v>135.953</v>
      </c>
      <c r="BG810" s="98">
        <v>135.953</v>
      </c>
      <c r="BH810" s="99">
        <f t="shared" si="770"/>
        <v>135.953</v>
      </c>
      <c r="BI810" s="410">
        <v>135.953</v>
      </c>
      <c r="BJ810" s="98">
        <v>135.953</v>
      </c>
      <c r="BK810" s="98">
        <v>135.953</v>
      </c>
      <c r="BL810" s="98">
        <v>135.953</v>
      </c>
      <c r="BM810" s="99">
        <f t="shared" si="771"/>
        <v>135.953</v>
      </c>
      <c r="BN810" s="410">
        <v>135.953</v>
      </c>
      <c r="BO810" s="98">
        <v>135.953</v>
      </c>
      <c r="BP810" s="98">
        <v>23.763999999999999</v>
      </c>
      <c r="BQ810" s="98">
        <v>23.763999999999999</v>
      </c>
      <c r="BR810" s="99">
        <f t="shared" si="772"/>
        <v>23.763999999999999</v>
      </c>
      <c r="BS810" s="419">
        <v>23.763999999999999</v>
      </c>
      <c r="BT810" s="63" t="e">
        <f>BS810+BT649+INDEX(MO_CFS_Buyback,0,COLUMN())</f>
        <v>#NAME?</v>
      </c>
      <c r="BU810" s="63" t="e">
        <f>BT810+BU649+INDEX(MO_CFS_Buyback,0,COLUMN())</f>
        <v>#NAME?</v>
      </c>
      <c r="BV810" s="63" t="e">
        <f>BU810+BV649+INDEX(MO_CFS_Buyback,0,COLUMN())</f>
        <v>#NAME?</v>
      </c>
      <c r="BW810" s="63" t="e">
        <f>BV810+BW649+INDEX(MO_CFS_Buyback,0,COLUMN())</f>
        <v>#NAME?</v>
      </c>
      <c r="BX810" s="413" t="e">
        <f t="shared" si="774"/>
        <v>#NAME?</v>
      </c>
      <c r="BY810" s="63" t="e">
        <f>BX810+BY649+INDEX(MO_CFS_Buyback,0,COLUMN())</f>
        <v>#NAME?</v>
      </c>
      <c r="BZ810" s="63" t="e">
        <f>BY810+BZ649+INDEX(MO_CFS_Buyback,0,COLUMN())</f>
        <v>#NAME?</v>
      </c>
      <c r="CA810" s="63" t="e">
        <f>BZ810+CA649+INDEX(MO_CFS_Buyback,0,COLUMN())</f>
        <v>#NAME?</v>
      </c>
      <c r="CB810" s="63" t="e">
        <f>CA810+CB649+INDEX(MO_CFS_Buyback,0,COLUMN())</f>
        <v>#NAME?</v>
      </c>
      <c r="CC810" s="413" t="e">
        <f t="shared" si="776"/>
        <v>#NAME?</v>
      </c>
      <c r="CD810" s="413" t="e">
        <f>CC810+CD649+INDEX(MO_CFS_Buyback,0,COLUMN())</f>
        <v>#NAME?</v>
      </c>
      <c r="CE810" s="413" t="e">
        <f>CD810+CE649+INDEX(MO_CFS_Buyback,0,COLUMN())</f>
        <v>#NAME?</v>
      </c>
      <c r="CF810" s="413" t="e">
        <f>CE810+CF649+INDEX(MO_CFS_Buyback,0,COLUMN())</f>
        <v>#NAME?</v>
      </c>
      <c r="CG810" s="99"/>
    </row>
    <row r="811" spans="1:85" ht="14.45" customHeight="1" x14ac:dyDescent="0.25">
      <c r="A811" s="125" t="s">
        <v>731</v>
      </c>
      <c r="B811" s="180"/>
      <c r="C811" s="410">
        <v>107.995</v>
      </c>
      <c r="D811" s="410">
        <v>134.87200000000001</v>
      </c>
      <c r="E811" s="410">
        <v>152.446</v>
      </c>
      <c r="F811" s="410">
        <v>170.43899999999999</v>
      </c>
      <c r="G811" s="98">
        <v>172.994</v>
      </c>
      <c r="H811" s="98">
        <v>181.91</v>
      </c>
      <c r="I811" s="98">
        <v>195.76599999999999</v>
      </c>
      <c r="J811" s="99">
        <f t="shared" si="760"/>
        <v>188.869</v>
      </c>
      <c r="K811" s="410">
        <v>188.869</v>
      </c>
      <c r="L811" s="98">
        <v>189.006</v>
      </c>
      <c r="M811" s="98">
        <v>200.47</v>
      </c>
      <c r="N811" s="98">
        <v>210.285</v>
      </c>
      <c r="O811" s="99">
        <f t="shared" si="761"/>
        <v>210.95699999999999</v>
      </c>
      <c r="P811" s="410">
        <v>210.95699999999999</v>
      </c>
      <c r="Q811" s="98">
        <v>210.864</v>
      </c>
      <c r="R811" s="98">
        <v>235.47399999999999</v>
      </c>
      <c r="S811" s="98">
        <v>258.70400000000001</v>
      </c>
      <c r="T811" s="99">
        <f t="shared" si="762"/>
        <v>260.67200000000003</v>
      </c>
      <c r="U811" s="410">
        <v>260.67200000000003</v>
      </c>
      <c r="V811" s="98">
        <v>248.30799999999999</v>
      </c>
      <c r="W811" s="98">
        <v>261.63099999999997</v>
      </c>
      <c r="X811" s="98">
        <v>282.44499999999999</v>
      </c>
      <c r="Y811" s="99">
        <f t="shared" si="763"/>
        <v>301.51100000000002</v>
      </c>
      <c r="Z811" s="410">
        <v>301.51100000000002</v>
      </c>
      <c r="AA811" s="98">
        <v>294.13200000000001</v>
      </c>
      <c r="AB811" s="98">
        <v>298.14600000000002</v>
      </c>
      <c r="AC811" s="98">
        <v>313.12900000000002</v>
      </c>
      <c r="AD811" s="99">
        <f t="shared" si="764"/>
        <v>388.71800000000002</v>
      </c>
      <c r="AE811" s="410">
        <v>388.71800000000002</v>
      </c>
      <c r="AF811" s="98">
        <v>372.2</v>
      </c>
      <c r="AG811" s="98">
        <v>365.92899999999997</v>
      </c>
      <c r="AH811" s="98">
        <v>388.75</v>
      </c>
      <c r="AI811" s="99">
        <f t="shared" si="765"/>
        <v>359.435</v>
      </c>
      <c r="AJ811" s="410">
        <v>359.435</v>
      </c>
      <c r="AK811" s="98">
        <v>369.98500000000001</v>
      </c>
      <c r="AL811" s="98">
        <v>383.012</v>
      </c>
      <c r="AM811" s="98">
        <v>393.67399999999998</v>
      </c>
      <c r="AN811" s="99">
        <f t="shared" si="766"/>
        <v>381.161</v>
      </c>
      <c r="AO811" s="410">
        <v>381.161</v>
      </c>
      <c r="AP811" s="98">
        <v>393.47899999999998</v>
      </c>
      <c r="AQ811" s="98">
        <v>430.70600000000002</v>
      </c>
      <c r="AR811" s="98">
        <v>480.24599999999998</v>
      </c>
      <c r="AS811" s="99">
        <f t="shared" si="767"/>
        <v>544.28</v>
      </c>
      <c r="AT811" s="410">
        <v>544.28</v>
      </c>
      <c r="AU811" s="98">
        <v>595.29999999999995</v>
      </c>
      <c r="AV811" s="98">
        <v>641.13599999999997</v>
      </c>
      <c r="AW811" s="98">
        <v>707.72299999999996</v>
      </c>
      <c r="AX811" s="99">
        <f t="shared" si="768"/>
        <v>724.48599999999999</v>
      </c>
      <c r="AY811" s="410">
        <v>724.48599999999999</v>
      </c>
      <c r="AZ811" s="98">
        <v>815.53200000000004</v>
      </c>
      <c r="BA811" s="98">
        <v>912.75099999999998</v>
      </c>
      <c r="BB811" s="98">
        <v>1029.1690000000001</v>
      </c>
      <c r="BC811" s="99">
        <f t="shared" si="769"/>
        <v>1112.462</v>
      </c>
      <c r="BD811" s="410">
        <v>1112.462</v>
      </c>
      <c r="BE811" s="98">
        <v>1230.5889999999999</v>
      </c>
      <c r="BF811" s="98">
        <v>1348.221</v>
      </c>
      <c r="BG811" s="98">
        <v>1435.627</v>
      </c>
      <c r="BH811" s="99">
        <f t="shared" si="770"/>
        <v>1352.1110000000001</v>
      </c>
      <c r="BI811" s="410">
        <v>1352.1110000000001</v>
      </c>
      <c r="BJ811" s="98">
        <v>1517.8520000000001</v>
      </c>
      <c r="BK811" s="98">
        <v>1685.9770000000001</v>
      </c>
      <c r="BL811" s="98">
        <v>1216.2349999999999</v>
      </c>
      <c r="BM811" s="99">
        <f t="shared" si="771"/>
        <v>1395.183</v>
      </c>
      <c r="BN811" s="410">
        <v>1395.183</v>
      </c>
      <c r="BO811" s="98">
        <v>1477</v>
      </c>
      <c r="BP811" s="98">
        <v>1642.5920000000001</v>
      </c>
      <c r="BQ811" s="98">
        <v>1524.336</v>
      </c>
      <c r="BR811" s="99">
        <f t="shared" si="772"/>
        <v>-824.04600000000005</v>
      </c>
      <c r="BS811" s="419">
        <v>-824.04600000000005</v>
      </c>
      <c r="BT811" s="63" t="e">
        <f>BS811+BT635+BT699-BT428</f>
        <v>#NAME?</v>
      </c>
      <c r="BU811" s="63" t="e">
        <f>BT811+BU635+BU699-BU428</f>
        <v>#NAME?</v>
      </c>
      <c r="BV811" s="63" t="e">
        <f>BU811+BV635+BV699-BV428</f>
        <v>#NAME?</v>
      </c>
      <c r="BW811" s="63" t="e">
        <f>BV811+BW635+BW699-BW428</f>
        <v>#NAME?</v>
      </c>
      <c r="BX811" s="413" t="e">
        <f t="shared" si="774"/>
        <v>#NAME?</v>
      </c>
      <c r="BY811" s="63" t="e">
        <f>BX811+BY635+BY699-BY428</f>
        <v>#NAME?</v>
      </c>
      <c r="BZ811" s="63" t="e">
        <f>BY811+BZ635+BZ699-BZ428</f>
        <v>#NAME?</v>
      </c>
      <c r="CA811" s="63" t="e">
        <f>BZ811+CA635+CA699-CA428</f>
        <v>#NAME?</v>
      </c>
      <c r="CB811" s="63" t="e">
        <f>CA811+CB635+CB699-CB428</f>
        <v>#NAME?</v>
      </c>
      <c r="CC811" s="413" t="e">
        <f t="shared" si="776"/>
        <v>#NAME?</v>
      </c>
      <c r="CD811" s="413" t="e">
        <f>CC811+CD635+CD699-CD428</f>
        <v>#NAME?</v>
      </c>
      <c r="CE811" s="413" t="e">
        <f>CD811+CE635+CE699-CE428</f>
        <v>#NAME?</v>
      </c>
      <c r="CF811" s="413" t="e">
        <f>CE811+CF635+CF699-CF428</f>
        <v>#NAME?</v>
      </c>
      <c r="CG811" s="99"/>
    </row>
    <row r="812" spans="1:85" ht="14.45" customHeight="1" x14ac:dyDescent="0.25">
      <c r="A812" s="125" t="s">
        <v>732</v>
      </c>
      <c r="B812" s="180"/>
      <c r="C812" s="410">
        <v>-46.767000000000003</v>
      </c>
      <c r="D812" s="410">
        <v>-63.433</v>
      </c>
      <c r="E812" s="410">
        <v>-80.819999999999993</v>
      </c>
      <c r="F812" s="410">
        <v>-94.525999999999996</v>
      </c>
      <c r="G812" s="98">
        <v>-93.817999999999998</v>
      </c>
      <c r="H812" s="98">
        <v>-93.11</v>
      </c>
      <c r="I812" s="98">
        <v>-92.396000000000001</v>
      </c>
      <c r="J812" s="99">
        <f t="shared" si="760"/>
        <v>-58.176000000000002</v>
      </c>
      <c r="K812" s="410">
        <v>-58.176000000000002</v>
      </c>
      <c r="L812" s="98">
        <v>-57.798000000000002</v>
      </c>
      <c r="M812" s="98">
        <v>-57.420999999999999</v>
      </c>
      <c r="N812" s="98">
        <v>-57.03</v>
      </c>
      <c r="O812" s="99">
        <f t="shared" si="761"/>
        <v>-89.914000000000001</v>
      </c>
      <c r="P812" s="410">
        <v>-89.914000000000001</v>
      </c>
      <c r="Q812" s="98">
        <v>-89.5</v>
      </c>
      <c r="R812" s="98">
        <v>-89.081000000000003</v>
      </c>
      <c r="S812" s="98">
        <v>-88.659000000000006</v>
      </c>
      <c r="T812" s="99">
        <f t="shared" si="762"/>
        <v>-82.406999999999996</v>
      </c>
      <c r="U812" s="410">
        <v>-82.406999999999996</v>
      </c>
      <c r="V812" s="98">
        <v>-82.093999999999994</v>
      </c>
      <c r="W812" s="98">
        <v>-81.795000000000002</v>
      </c>
      <c r="X812" s="98">
        <v>-81.488</v>
      </c>
      <c r="Y812" s="99">
        <f t="shared" si="763"/>
        <v>-92.897000000000006</v>
      </c>
      <c r="Z812" s="410">
        <v>-92.897000000000006</v>
      </c>
      <c r="AA812" s="98">
        <v>-92.454999999999998</v>
      </c>
      <c r="AB812" s="98">
        <v>-92.001000000000005</v>
      </c>
      <c r="AC812" s="98">
        <v>-91.554000000000002</v>
      </c>
      <c r="AD812" s="99">
        <f t="shared" si="764"/>
        <v>-94.201999999999998</v>
      </c>
      <c r="AE812" s="410">
        <v>-94.201999999999998</v>
      </c>
      <c r="AF812" s="98">
        <v>-93.462999999999994</v>
      </c>
      <c r="AG812" s="98">
        <v>-92.736999999999995</v>
      </c>
      <c r="AH812" s="98">
        <v>-92.003</v>
      </c>
      <c r="AI812" s="99">
        <f t="shared" si="765"/>
        <v>-77.265000000000001</v>
      </c>
      <c r="AJ812" s="410">
        <v>-77.265000000000001</v>
      </c>
      <c r="AK812" s="98">
        <v>-96.406999999999996</v>
      </c>
      <c r="AL812" s="98">
        <v>-95.813999999999993</v>
      </c>
      <c r="AM812" s="98">
        <v>-95.617999999999995</v>
      </c>
      <c r="AN812" s="99">
        <f t="shared" si="766"/>
        <v>-115.002</v>
      </c>
      <c r="AO812" s="410">
        <v>-115.002</v>
      </c>
      <c r="AP812" s="98">
        <v>-115.05200000000001</v>
      </c>
      <c r="AQ812" s="98">
        <v>-114.081</v>
      </c>
      <c r="AR812" s="98">
        <v>-112.801</v>
      </c>
      <c r="AS812" s="99">
        <f t="shared" si="767"/>
        <v>-119.053</v>
      </c>
      <c r="AT812" s="410">
        <v>-119.053</v>
      </c>
      <c r="AU812" s="98">
        <v>-117.721</v>
      </c>
      <c r="AV812" s="98">
        <v>-116.39700000000001</v>
      </c>
      <c r="AW812" s="98">
        <v>-115.346</v>
      </c>
      <c r="AX812" s="99">
        <f t="shared" si="768"/>
        <v>-100.46299999999999</v>
      </c>
      <c r="AY812" s="410">
        <v>-100.46299999999999</v>
      </c>
      <c r="AZ812" s="98">
        <v>-99.647999999999996</v>
      </c>
      <c r="BA812" s="98">
        <v>-98.834000000000003</v>
      </c>
      <c r="BB812" s="98">
        <v>-98.019000000000005</v>
      </c>
      <c r="BC812" s="99">
        <f t="shared" si="769"/>
        <v>-84.837000000000003</v>
      </c>
      <c r="BD812" s="410">
        <v>-84.837000000000003</v>
      </c>
      <c r="BE812" s="98">
        <v>-84.099000000000004</v>
      </c>
      <c r="BF812" s="98">
        <v>-56.276000000000003</v>
      </c>
      <c r="BG812" s="98">
        <v>0.93799999999999994</v>
      </c>
      <c r="BH812" s="99">
        <f t="shared" si="770"/>
        <v>-4.2759999999999998</v>
      </c>
      <c r="BI812" s="410">
        <v>-4.2759999999999998</v>
      </c>
      <c r="BJ812" s="98">
        <v>-4.4290000000000003</v>
      </c>
      <c r="BK812" s="98">
        <v>-4.4029999999999996</v>
      </c>
      <c r="BL812" s="98">
        <v>-3.952</v>
      </c>
      <c r="BM812" s="99">
        <f t="shared" si="771"/>
        <v>1.885</v>
      </c>
      <c r="BN812" s="410">
        <v>1.885</v>
      </c>
      <c r="BO812" s="98">
        <v>1.871</v>
      </c>
      <c r="BP812" s="98">
        <v>1.839</v>
      </c>
      <c r="BQ812" s="98">
        <v>1.899</v>
      </c>
      <c r="BR812" s="99">
        <f t="shared" si="772"/>
        <v>-6.0049999999999999</v>
      </c>
      <c r="BS812" s="419">
        <v>-6.0049999999999999</v>
      </c>
      <c r="BT812" s="63">
        <f t="shared" ref="BT812:BW814" si="778">BS812</f>
        <v>-6.0049999999999999</v>
      </c>
      <c r="BU812" s="63">
        <f t="shared" si="778"/>
        <v>-6.0049999999999999</v>
      </c>
      <c r="BV812" s="63">
        <f t="shared" si="778"/>
        <v>-6.0049999999999999</v>
      </c>
      <c r="BW812" s="63">
        <f t="shared" si="778"/>
        <v>-6.0049999999999999</v>
      </c>
      <c r="BX812" s="413">
        <f t="shared" si="774"/>
        <v>-6.0049999999999999</v>
      </c>
      <c r="BY812" s="63">
        <f t="shared" ref="BY812:CB814" si="779">BX812</f>
        <v>-6.0049999999999999</v>
      </c>
      <c r="BZ812" s="63">
        <f t="shared" si="779"/>
        <v>-6.0049999999999999</v>
      </c>
      <c r="CA812" s="63">
        <f t="shared" si="779"/>
        <v>-6.0049999999999999</v>
      </c>
      <c r="CB812" s="63">
        <f t="shared" si="779"/>
        <v>-6.0049999999999999</v>
      </c>
      <c r="CC812" s="413">
        <f t="shared" si="776"/>
        <v>-6.0049999999999999</v>
      </c>
      <c r="CD812" s="413">
        <f t="shared" ref="CD812:CF814" si="780">CC812</f>
        <v>-6.0049999999999999</v>
      </c>
      <c r="CE812" s="413">
        <f t="shared" si="780"/>
        <v>-6.0049999999999999</v>
      </c>
      <c r="CF812" s="413">
        <f t="shared" si="780"/>
        <v>-6.0049999999999999</v>
      </c>
      <c r="CG812" s="99"/>
    </row>
    <row r="813" spans="1:85" ht="14.45" customHeight="1" x14ac:dyDescent="0.25">
      <c r="A813" s="125" t="s">
        <v>733</v>
      </c>
      <c r="B813" s="180"/>
      <c r="C813" s="410">
        <v>-60.844999999999999</v>
      </c>
      <c r="D813" s="410">
        <v>-60.844999999999999</v>
      </c>
      <c r="E813" s="410">
        <v>-60.844999999999999</v>
      </c>
      <c r="F813" s="410">
        <v>-60.844999999999999</v>
      </c>
      <c r="G813" s="98">
        <v>-60.844999999999999</v>
      </c>
      <c r="H813" s="98">
        <v>-60.844999999999999</v>
      </c>
      <c r="I813" s="98">
        <v>-60.844999999999999</v>
      </c>
      <c r="J813" s="99">
        <f t="shared" si="760"/>
        <v>-60.844999999999999</v>
      </c>
      <c r="K813" s="410">
        <v>-60.844999999999999</v>
      </c>
      <c r="L813" s="98">
        <v>-60.844999999999999</v>
      </c>
      <c r="M813" s="98">
        <v>-60.844999999999999</v>
      </c>
      <c r="N813" s="98">
        <v>-60.844999999999999</v>
      </c>
      <c r="O813" s="99">
        <f t="shared" si="761"/>
        <v>-60.844999999999999</v>
      </c>
      <c r="P813" s="410">
        <v>-60.844999999999999</v>
      </c>
      <c r="Q813" s="98">
        <v>-60.844999999999999</v>
      </c>
      <c r="R813" s="98">
        <v>-60.844999999999999</v>
      </c>
      <c r="S813" s="98">
        <v>-60.844999999999999</v>
      </c>
      <c r="T813" s="99">
        <f t="shared" si="762"/>
        <v>-60.844999999999999</v>
      </c>
      <c r="U813" s="410">
        <v>-60.844999999999999</v>
      </c>
      <c r="V813" s="98">
        <v>-60.844999999999999</v>
      </c>
      <c r="W813" s="98">
        <v>-60.844999999999999</v>
      </c>
      <c r="X813" s="98">
        <v>-60.844999999999999</v>
      </c>
      <c r="Y813" s="99">
        <f t="shared" si="763"/>
        <v>-60.844999999999999</v>
      </c>
      <c r="Z813" s="410">
        <v>-60.844999999999999</v>
      </c>
      <c r="AA813" s="98">
        <v>-60.844999999999999</v>
      </c>
      <c r="AB813" s="98">
        <v>-60.844999999999999</v>
      </c>
      <c r="AC813" s="98">
        <v>-60.844999999999999</v>
      </c>
      <c r="AD813" s="99">
        <f t="shared" si="764"/>
        <v>-60.844999999999999</v>
      </c>
      <c r="AE813" s="410">
        <v>-60.844999999999999</v>
      </c>
      <c r="AF813" s="98">
        <v>-60.844999999999999</v>
      </c>
      <c r="AG813" s="98">
        <v>-60.844999999999999</v>
      </c>
      <c r="AH813" s="98">
        <v>-60.844999999999999</v>
      </c>
      <c r="AI813" s="99">
        <f t="shared" si="765"/>
        <v>-60.844999999999999</v>
      </c>
      <c r="AJ813" s="410">
        <v>-60.844999999999999</v>
      </c>
      <c r="AK813" s="98">
        <v>-60.844999999999999</v>
      </c>
      <c r="AL813" s="98">
        <v>-60.844999999999999</v>
      </c>
      <c r="AM813" s="98">
        <v>-60.844999999999999</v>
      </c>
      <c r="AN813" s="99">
        <f t="shared" si="766"/>
        <v>-60.844999999999999</v>
      </c>
      <c r="AO813" s="410">
        <v>-60.844999999999999</v>
      </c>
      <c r="AP813" s="98">
        <v>-60.844999999999999</v>
      </c>
      <c r="AQ813" s="98">
        <v>-60.844999999999999</v>
      </c>
      <c r="AR813" s="98">
        <v>-60.844999999999999</v>
      </c>
      <c r="AS813" s="99">
        <f t="shared" si="767"/>
        <v>-60.844999999999999</v>
      </c>
      <c r="AT813" s="410">
        <v>-60.844999999999999</v>
      </c>
      <c r="AU813" s="98">
        <v>-60.844999999999999</v>
      </c>
      <c r="AV813" s="98">
        <v>-60.844999999999999</v>
      </c>
      <c r="AW813" s="98">
        <v>-60.844999999999999</v>
      </c>
      <c r="AX813" s="99">
        <f t="shared" si="768"/>
        <v>-60.844999999999999</v>
      </c>
      <c r="AY813" s="410">
        <v>-60.844999999999999</v>
      </c>
      <c r="AZ813" s="98">
        <v>-60.844999999999999</v>
      </c>
      <c r="BA813" s="98">
        <v>-60.844999999999999</v>
      </c>
      <c r="BB813" s="98">
        <v>-60.844999999999999</v>
      </c>
      <c r="BC813" s="99">
        <f t="shared" si="769"/>
        <v>-60.844999999999999</v>
      </c>
      <c r="BD813" s="410">
        <v>-60.844999999999999</v>
      </c>
      <c r="BE813" s="98">
        <v>-60.844999999999999</v>
      </c>
      <c r="BF813" s="98">
        <v>-60.844999999999999</v>
      </c>
      <c r="BG813" s="98">
        <v>-60.844999999999999</v>
      </c>
      <c r="BH813" s="99">
        <f t="shared" si="770"/>
        <v>-60.844999999999999</v>
      </c>
      <c r="BI813" s="410">
        <v>-60.844999999999999</v>
      </c>
      <c r="BJ813" s="98">
        <v>-60.844999999999999</v>
      </c>
      <c r="BK813" s="98">
        <v>-634.98800000000006</v>
      </c>
      <c r="BL813" s="98">
        <v>-75.305999999999997</v>
      </c>
      <c r="BM813" s="99">
        <f t="shared" si="771"/>
        <v>-127.467</v>
      </c>
      <c r="BN813" s="410">
        <v>-127.467</v>
      </c>
      <c r="BO813" s="98">
        <v>-127.467</v>
      </c>
      <c r="BP813" s="98">
        <v>-162.22200000000001</v>
      </c>
      <c r="BQ813" s="63"/>
      <c r="BR813" s="99">
        <f t="shared" si="772"/>
        <v>0</v>
      </c>
      <c r="BS813" s="425"/>
      <c r="BT813" s="63">
        <f t="shared" si="778"/>
        <v>0</v>
      </c>
      <c r="BU813" s="63">
        <f t="shared" si="778"/>
        <v>0</v>
      </c>
      <c r="BV813" s="63">
        <f t="shared" si="778"/>
        <v>0</v>
      </c>
      <c r="BW813" s="63">
        <f t="shared" si="778"/>
        <v>0</v>
      </c>
      <c r="BX813" s="413">
        <f t="shared" si="774"/>
        <v>0</v>
      </c>
      <c r="BY813" s="63">
        <f t="shared" si="779"/>
        <v>0</v>
      </c>
      <c r="BZ813" s="63">
        <f t="shared" si="779"/>
        <v>0</v>
      </c>
      <c r="CA813" s="63">
        <f t="shared" si="779"/>
        <v>0</v>
      </c>
      <c r="CB813" s="63">
        <f t="shared" si="779"/>
        <v>0</v>
      </c>
      <c r="CC813" s="413">
        <f t="shared" si="776"/>
        <v>0</v>
      </c>
      <c r="CD813" s="413">
        <f t="shared" si="780"/>
        <v>0</v>
      </c>
      <c r="CE813" s="413">
        <f t="shared" si="780"/>
        <v>0</v>
      </c>
      <c r="CF813" s="413">
        <f t="shared" si="780"/>
        <v>0</v>
      </c>
      <c r="CG813" s="99"/>
    </row>
    <row r="814" spans="1:85" ht="14.45" customHeight="1" x14ac:dyDescent="0.25">
      <c r="A814" s="125" t="s">
        <v>734</v>
      </c>
      <c r="B814" s="180"/>
      <c r="C814" s="410">
        <v>-0.40899999999999997</v>
      </c>
      <c r="D814" s="410">
        <v>-0.40899999999999997</v>
      </c>
      <c r="E814" s="410">
        <v>-0.40899999999999997</v>
      </c>
      <c r="F814" s="410">
        <v>-0.40899999999999997</v>
      </c>
      <c r="G814" s="98">
        <v>-0.40899999999999997</v>
      </c>
      <c r="H814" s="98">
        <v>-0.40899999999999997</v>
      </c>
      <c r="I814" s="98">
        <v>-0.40899999999999997</v>
      </c>
      <c r="J814" s="99">
        <f t="shared" si="760"/>
        <v>-0.40899999999999997</v>
      </c>
      <c r="K814" s="410">
        <v>-0.40899999999999997</v>
      </c>
      <c r="L814" s="98">
        <v>-0.40899999999999997</v>
      </c>
      <c r="M814" s="98">
        <v>-0.40899999999999997</v>
      </c>
      <c r="N814" s="98">
        <v>-0.40899999999999997</v>
      </c>
      <c r="O814" s="99">
        <f t="shared" si="761"/>
        <v>-0.40899999999999997</v>
      </c>
      <c r="P814" s="410">
        <v>-0.40899999999999997</v>
      </c>
      <c r="Q814" s="98">
        <v>-0.40899999999999997</v>
      </c>
      <c r="R814" s="98">
        <v>-0.40899999999999997</v>
      </c>
      <c r="S814" s="98">
        <v>-0.40899999999999997</v>
      </c>
      <c r="T814" s="99">
        <f t="shared" si="762"/>
        <v>-0.40899999999999997</v>
      </c>
      <c r="U814" s="410">
        <v>-0.40899999999999997</v>
      </c>
      <c r="V814" s="98">
        <v>-0.40899999999999997</v>
      </c>
      <c r="W814" s="98">
        <v>-0.40899999999999997</v>
      </c>
      <c r="X814" s="98">
        <v>-0.40899999999999997</v>
      </c>
      <c r="Y814" s="99">
        <f t="shared" si="763"/>
        <v>-0.40899999999999997</v>
      </c>
      <c r="Z814" s="410">
        <v>-0.40899999999999997</v>
      </c>
      <c r="AA814" s="98">
        <v>-0.40899999999999997</v>
      </c>
      <c r="AB814" s="98">
        <v>-0.40899999999999997</v>
      </c>
      <c r="AC814" s="98">
        <v>-0.40899999999999997</v>
      </c>
      <c r="AD814" s="99">
        <f t="shared" si="764"/>
        <v>-0.40899999999999997</v>
      </c>
      <c r="AE814" s="410">
        <v>-0.40899999999999997</v>
      </c>
      <c r="AF814" s="98">
        <v>-0.40899999999999997</v>
      </c>
      <c r="AG814" s="98">
        <v>-0.40899999999999997</v>
      </c>
      <c r="AH814" s="98">
        <v>-0.40899999999999997</v>
      </c>
      <c r="AI814" s="99">
        <f t="shared" si="765"/>
        <v>-0.40899999999999997</v>
      </c>
      <c r="AJ814" s="410">
        <v>-0.40899999999999997</v>
      </c>
      <c r="AK814" s="98">
        <v>-0.40899999999999997</v>
      </c>
      <c r="AL814" s="98">
        <v>-0.40899999999999997</v>
      </c>
      <c r="AM814" s="98">
        <v>-0.40899999999999997</v>
      </c>
      <c r="AN814" s="99">
        <f t="shared" si="766"/>
        <v>-0.40899999999999997</v>
      </c>
      <c r="AO814" s="410">
        <v>-0.40899999999999997</v>
      </c>
      <c r="AP814" s="98">
        <v>-0.40899999999999997</v>
      </c>
      <c r="AQ814" s="98">
        <v>-0.40899999999999997</v>
      </c>
      <c r="AR814" s="98">
        <v>-0.40899999999999997</v>
      </c>
      <c r="AS814" s="99">
        <f t="shared" si="767"/>
        <v>-0.40899999999999997</v>
      </c>
      <c r="AT814" s="410">
        <v>-0.40899999999999997</v>
      </c>
      <c r="AU814" s="98">
        <v>-0.40899999999999997</v>
      </c>
      <c r="AV814" s="98">
        <v>-0.40899999999999997</v>
      </c>
      <c r="AW814" s="98">
        <v>-0.40899999999999997</v>
      </c>
      <c r="AX814" s="99">
        <f t="shared" si="768"/>
        <v>-0.40899999999999997</v>
      </c>
      <c r="AY814" s="410">
        <v>-0.40899999999999997</v>
      </c>
      <c r="AZ814" s="98">
        <v>-0.40899999999999997</v>
      </c>
      <c r="BA814" s="98">
        <v>-0.40899999999999997</v>
      </c>
      <c r="BB814" s="98">
        <v>-0.40899999999999997</v>
      </c>
      <c r="BC814" s="99">
        <f t="shared" si="769"/>
        <v>-0.40899999999999997</v>
      </c>
      <c r="BD814" s="410">
        <v>-0.40899999999999997</v>
      </c>
      <c r="BE814" s="98">
        <v>-0.40899999999999997</v>
      </c>
      <c r="BF814" s="98">
        <v>-0.40899999999999997</v>
      </c>
      <c r="BG814" s="98">
        <v>-0.40899999999999997</v>
      </c>
      <c r="BH814" s="99">
        <f t="shared" si="770"/>
        <v>-0.40899999999999997</v>
      </c>
      <c r="BI814" s="410">
        <v>-0.40899999999999997</v>
      </c>
      <c r="BJ814" s="98">
        <v>-0.40899999999999997</v>
      </c>
      <c r="BK814" s="98">
        <v>-0.40899999999999997</v>
      </c>
      <c r="BL814" s="98">
        <v>-0.40899999999999997</v>
      </c>
      <c r="BM814" s="99">
        <f t="shared" si="771"/>
        <v>-0.40899999999999997</v>
      </c>
      <c r="BN814" s="410">
        <v>-0.40899999999999997</v>
      </c>
      <c r="BO814" s="98">
        <v>-0.40899999999999997</v>
      </c>
      <c r="BP814" s="98">
        <v>-0.40899999999999997</v>
      </c>
      <c r="BQ814" s="63"/>
      <c r="BR814" s="99">
        <f t="shared" si="772"/>
        <v>0</v>
      </c>
      <c r="BS814" s="425"/>
      <c r="BT814" s="63">
        <f t="shared" si="778"/>
        <v>0</v>
      </c>
      <c r="BU814" s="63">
        <f t="shared" si="778"/>
        <v>0</v>
      </c>
      <c r="BV814" s="63">
        <f t="shared" si="778"/>
        <v>0</v>
      </c>
      <c r="BW814" s="63">
        <f t="shared" si="778"/>
        <v>0</v>
      </c>
      <c r="BX814" s="413">
        <f>BW814</f>
        <v>0</v>
      </c>
      <c r="BY814" s="63">
        <f t="shared" si="779"/>
        <v>0</v>
      </c>
      <c r="BZ814" s="63">
        <f t="shared" si="779"/>
        <v>0</v>
      </c>
      <c r="CA814" s="63">
        <f t="shared" si="779"/>
        <v>0</v>
      </c>
      <c r="CB814" s="63">
        <f t="shared" si="779"/>
        <v>0</v>
      </c>
      <c r="CC814" s="413">
        <f>CB814</f>
        <v>0</v>
      </c>
      <c r="CD814" s="413">
        <f t="shared" si="780"/>
        <v>0</v>
      </c>
      <c r="CE814" s="413">
        <f t="shared" si="780"/>
        <v>0</v>
      </c>
      <c r="CF814" s="413">
        <f t="shared" si="780"/>
        <v>0</v>
      </c>
      <c r="CG814" s="99"/>
    </row>
    <row r="815" spans="1:85" ht="14.45" customHeight="1" x14ac:dyDescent="0.25">
      <c r="A815" s="110" t="s">
        <v>735</v>
      </c>
      <c r="B815" s="212"/>
      <c r="C815" s="416">
        <f t="shared" ref="C815:AH815" si="781">SUM(C807:C814)</f>
        <v>116.29100000000001</v>
      </c>
      <c r="D815" s="416">
        <f t="shared" si="781"/>
        <v>127.895</v>
      </c>
      <c r="E815" s="416">
        <f t="shared" si="781"/>
        <v>129.47</v>
      </c>
      <c r="F815" s="416">
        <f t="shared" si="781"/>
        <v>135.25899999999999</v>
      </c>
      <c r="G815" s="106">
        <f t="shared" si="781"/>
        <v>139.82000000000002</v>
      </c>
      <c r="H815" s="106">
        <f t="shared" si="781"/>
        <v>149.44399999999999</v>
      </c>
      <c r="I815" s="106">
        <f t="shared" si="781"/>
        <v>164.01399999999998</v>
      </c>
      <c r="J815" s="106">
        <f t="shared" si="781"/>
        <v>191.32000000000002</v>
      </c>
      <c r="K815" s="416">
        <f t="shared" si="781"/>
        <v>191.32000000000002</v>
      </c>
      <c r="L815" s="106">
        <f t="shared" si="781"/>
        <v>193.59799999999998</v>
      </c>
      <c r="M815" s="106">
        <f t="shared" si="781"/>
        <v>205.61499999999998</v>
      </c>
      <c r="N815" s="106">
        <f t="shared" si="781"/>
        <v>215.82100000000005</v>
      </c>
      <c r="O815" s="106">
        <f t="shared" si="781"/>
        <v>183.60900000000001</v>
      </c>
      <c r="P815" s="416">
        <f t="shared" si="781"/>
        <v>183.60900000000001</v>
      </c>
      <c r="Q815" s="106">
        <f t="shared" si="781"/>
        <v>186.155</v>
      </c>
      <c r="R815" s="106">
        <f t="shared" si="781"/>
        <v>211.184</v>
      </c>
      <c r="S815" s="106">
        <f t="shared" si="781"/>
        <v>234.83600000000004</v>
      </c>
      <c r="T815" s="106">
        <f t="shared" si="781"/>
        <v>243.05600000000001</v>
      </c>
      <c r="U815" s="416">
        <f t="shared" si="781"/>
        <v>243.05600000000001</v>
      </c>
      <c r="V815" s="106">
        <f t="shared" si="781"/>
        <v>234.73100000000002</v>
      </c>
      <c r="W815" s="106">
        <f t="shared" si="781"/>
        <v>248.35299999999998</v>
      </c>
      <c r="X815" s="106">
        <f t="shared" si="781"/>
        <v>269.47400000000005</v>
      </c>
      <c r="Y815" s="106">
        <f t="shared" si="781"/>
        <v>277.13100000000009</v>
      </c>
      <c r="Z815" s="416">
        <f t="shared" si="781"/>
        <v>277.13100000000009</v>
      </c>
      <c r="AA815" s="106">
        <f t="shared" si="781"/>
        <v>273.86300000000006</v>
      </c>
      <c r="AB815" s="106">
        <f t="shared" si="781"/>
        <v>278.33100000000002</v>
      </c>
      <c r="AC815" s="106">
        <f t="shared" si="781"/>
        <v>293.76099999999997</v>
      </c>
      <c r="AD815" s="106">
        <f t="shared" si="781"/>
        <v>366.702</v>
      </c>
      <c r="AE815" s="416">
        <f t="shared" si="781"/>
        <v>366.702</v>
      </c>
      <c r="AF815" s="106">
        <f t="shared" si="781"/>
        <v>354.75400000000002</v>
      </c>
      <c r="AG815" s="106">
        <f t="shared" si="781"/>
        <v>349.20899999999995</v>
      </c>
      <c r="AH815" s="106">
        <f t="shared" si="781"/>
        <v>372.76400000000001</v>
      </c>
      <c r="AI815" s="106">
        <f t="shared" ref="AI815:BN815" si="782">SUM(AI807:AI814)</f>
        <v>358.18700000000001</v>
      </c>
      <c r="AJ815" s="416">
        <f t="shared" si="782"/>
        <v>358.18700000000001</v>
      </c>
      <c r="AK815" s="106">
        <f t="shared" si="782"/>
        <v>354.37100000000009</v>
      </c>
      <c r="AL815" s="106">
        <f t="shared" si="782"/>
        <v>367.99099999999999</v>
      </c>
      <c r="AM815" s="106">
        <f t="shared" si="782"/>
        <v>378.84900000000005</v>
      </c>
      <c r="AN815" s="106">
        <f t="shared" si="782"/>
        <v>346.952</v>
      </c>
      <c r="AO815" s="416">
        <f t="shared" si="782"/>
        <v>346.952</v>
      </c>
      <c r="AP815" s="106">
        <f t="shared" si="782"/>
        <v>359.21999999999991</v>
      </c>
      <c r="AQ815" s="106">
        <f t="shared" si="782"/>
        <v>397.41800000000001</v>
      </c>
      <c r="AR815" s="106">
        <f t="shared" si="782"/>
        <v>448.23800000000006</v>
      </c>
      <c r="AS815" s="106">
        <f t="shared" si="782"/>
        <v>512.99</v>
      </c>
      <c r="AT815" s="416">
        <f t="shared" si="782"/>
        <v>512.99</v>
      </c>
      <c r="AU815" s="106">
        <f t="shared" si="782"/>
        <v>565.34199999999998</v>
      </c>
      <c r="AV815" s="106">
        <f t="shared" si="782"/>
        <v>612.50199999999995</v>
      </c>
      <c r="AW815" s="106">
        <f t="shared" si="782"/>
        <v>680.14</v>
      </c>
      <c r="AX815" s="106">
        <f t="shared" si="782"/>
        <v>711.78599999999994</v>
      </c>
      <c r="AY815" s="416">
        <f t="shared" si="782"/>
        <v>711.78599999999994</v>
      </c>
      <c r="AZ815" s="106">
        <f t="shared" si="782"/>
        <v>803.64699999999993</v>
      </c>
      <c r="BA815" s="106">
        <f t="shared" si="782"/>
        <v>901.68</v>
      </c>
      <c r="BB815" s="106">
        <f t="shared" si="782"/>
        <v>1018.9130000000001</v>
      </c>
      <c r="BC815" s="106">
        <f t="shared" si="782"/>
        <v>1115.3879999999999</v>
      </c>
      <c r="BD815" s="416">
        <f t="shared" si="782"/>
        <v>1115.3879999999999</v>
      </c>
      <c r="BE815" s="106">
        <f t="shared" si="782"/>
        <v>1234.2529999999999</v>
      </c>
      <c r="BF815" s="106">
        <f t="shared" si="782"/>
        <v>1379.7079999999999</v>
      </c>
      <c r="BG815" s="106">
        <f t="shared" si="782"/>
        <v>1524.328</v>
      </c>
      <c r="BH815" s="106">
        <f t="shared" si="782"/>
        <v>1435.598</v>
      </c>
      <c r="BI815" s="416">
        <f t="shared" si="782"/>
        <v>1435.598</v>
      </c>
      <c r="BJ815" s="106">
        <f t="shared" si="782"/>
        <v>1601.1859999999999</v>
      </c>
      <c r="BK815" s="106">
        <f t="shared" si="782"/>
        <v>1195.194</v>
      </c>
      <c r="BL815" s="106">
        <f t="shared" si="782"/>
        <v>1284.9869999999999</v>
      </c>
      <c r="BM815" s="106">
        <f t="shared" si="782"/>
        <v>1417.6109999999999</v>
      </c>
      <c r="BN815" s="416">
        <f t="shared" si="782"/>
        <v>1417.6109999999999</v>
      </c>
      <c r="BO815" s="106">
        <f t="shared" ref="BO815:CF815" si="783">SUM(BO807:BO814)</f>
        <v>1499.414</v>
      </c>
      <c r="BP815" s="106">
        <f t="shared" si="783"/>
        <v>1630.2190000000001</v>
      </c>
      <c r="BQ815" s="106">
        <f t="shared" si="783"/>
        <v>1635.924</v>
      </c>
      <c r="BR815" s="106">
        <f t="shared" si="783"/>
        <v>-739.72300000000007</v>
      </c>
      <c r="BS815" s="417">
        <f t="shared" si="783"/>
        <v>-739.72300000000007</v>
      </c>
      <c r="BT815" s="159" t="e">
        <f t="shared" si="783"/>
        <v>#NAME?</v>
      </c>
      <c r="BU815" s="159" t="e">
        <f t="shared" si="783"/>
        <v>#NAME?</v>
      </c>
      <c r="BV815" s="159" t="e">
        <f t="shared" si="783"/>
        <v>#NAME?</v>
      </c>
      <c r="BW815" s="159" t="e">
        <f t="shared" si="783"/>
        <v>#NAME?</v>
      </c>
      <c r="BX815" s="418" t="e">
        <f t="shared" si="783"/>
        <v>#NAME?</v>
      </c>
      <c r="BY815" s="159" t="e">
        <f t="shared" si="783"/>
        <v>#NAME?</v>
      </c>
      <c r="BZ815" s="159" t="e">
        <f t="shared" si="783"/>
        <v>#NAME?</v>
      </c>
      <c r="CA815" s="159" t="e">
        <f t="shared" si="783"/>
        <v>#NAME?</v>
      </c>
      <c r="CB815" s="159" t="e">
        <f t="shared" si="783"/>
        <v>#NAME?</v>
      </c>
      <c r="CC815" s="418" t="e">
        <f t="shared" si="783"/>
        <v>#NAME?</v>
      </c>
      <c r="CD815" s="418" t="e">
        <f t="shared" si="783"/>
        <v>#NAME?</v>
      </c>
      <c r="CE815" s="418" t="e">
        <f t="shared" si="783"/>
        <v>#NAME?</v>
      </c>
      <c r="CF815" s="418" t="e">
        <f t="shared" si="783"/>
        <v>#NAME?</v>
      </c>
      <c r="CG815" s="109"/>
    </row>
    <row r="816" spans="1:85" ht="14.45" customHeight="1" x14ac:dyDescent="0.25">
      <c r="A816" s="125" t="s">
        <v>27</v>
      </c>
      <c r="B816" s="180"/>
      <c r="C816" s="410">
        <v>52.804000000000002</v>
      </c>
      <c r="D816" s="410">
        <v>56.521999999999998</v>
      </c>
      <c r="E816" s="410">
        <v>59.936999999999998</v>
      </c>
      <c r="F816" s="410">
        <v>64.179000000000002</v>
      </c>
      <c r="G816" s="98">
        <v>64.986000000000004</v>
      </c>
      <c r="H816" s="98">
        <v>65.893000000000001</v>
      </c>
      <c r="I816" s="98">
        <v>67.807000000000002</v>
      </c>
      <c r="J816" s="99">
        <f>K816</f>
        <v>68.605999999999995</v>
      </c>
      <c r="K816" s="410">
        <v>68.605999999999995</v>
      </c>
      <c r="L816" s="98">
        <v>69.257999999999996</v>
      </c>
      <c r="M816" s="98">
        <v>70.807000000000002</v>
      </c>
      <c r="N816" s="98">
        <v>72.38</v>
      </c>
      <c r="O816" s="99">
        <f>P816</f>
        <v>73.334000000000003</v>
      </c>
      <c r="P816" s="410">
        <v>73.334000000000003</v>
      </c>
      <c r="Q816" s="98">
        <v>74.063000000000002</v>
      </c>
      <c r="R816" s="98">
        <v>76.05</v>
      </c>
      <c r="S816" s="98">
        <v>78.055999999999997</v>
      </c>
      <c r="T816" s="99">
        <f>U816</f>
        <v>79.376000000000005</v>
      </c>
      <c r="U816" s="410">
        <v>79.376000000000005</v>
      </c>
      <c r="V816" s="98">
        <v>80.384</v>
      </c>
      <c r="W816" s="98">
        <v>82.055999999999997</v>
      </c>
      <c r="X816" s="98">
        <v>84.466999999999999</v>
      </c>
      <c r="Y816" s="99">
        <f>Z816</f>
        <v>85.893000000000001</v>
      </c>
      <c r="Z816" s="410">
        <v>85.893000000000001</v>
      </c>
      <c r="AA816" s="98">
        <v>86.527000000000001</v>
      </c>
      <c r="AB816" s="98">
        <v>87.76</v>
      </c>
      <c r="AC816" s="98">
        <v>89.355000000000004</v>
      </c>
      <c r="AD816" s="99">
        <f>AE816</f>
        <v>92.204999999999998</v>
      </c>
      <c r="AE816" s="410">
        <v>92.204999999999998</v>
      </c>
      <c r="AF816" s="98">
        <v>92.828000000000003</v>
      </c>
      <c r="AG816" s="98">
        <v>94.013000000000005</v>
      </c>
      <c r="AH816" s="98">
        <v>95.799000000000007</v>
      </c>
      <c r="AI816" s="99">
        <f>AJ816</f>
        <v>96.978999999999999</v>
      </c>
      <c r="AJ816" s="410">
        <v>96.978999999999999</v>
      </c>
      <c r="AK816" s="98">
        <v>98.231999999999999</v>
      </c>
      <c r="AL816" s="98">
        <v>99.718000000000004</v>
      </c>
      <c r="AM816" s="98">
        <v>102.258</v>
      </c>
      <c r="AN816" s="99">
        <f>AO816</f>
        <v>104.164</v>
      </c>
      <c r="AO816" s="410">
        <v>104.164</v>
      </c>
      <c r="AP816" s="98">
        <v>105.10299999999999</v>
      </c>
      <c r="AQ816" s="98">
        <v>108.14700000000001</v>
      </c>
      <c r="AR816" s="98">
        <v>111.31699999999999</v>
      </c>
      <c r="AS816" s="99">
        <f>AT816</f>
        <v>0</v>
      </c>
      <c r="AT816" s="413"/>
      <c r="AU816" s="63"/>
      <c r="AV816" s="63"/>
      <c r="AW816" s="63"/>
      <c r="AX816" s="99">
        <f>AY816</f>
        <v>0</v>
      </c>
      <c r="AY816" s="413"/>
      <c r="AZ816" s="63"/>
      <c r="BA816" s="63"/>
      <c r="BB816" s="63"/>
      <c r="BC816" s="99">
        <f>BD816</f>
        <v>0</v>
      </c>
      <c r="BD816" s="413"/>
      <c r="BE816" s="63"/>
      <c r="BF816" s="63"/>
      <c r="BG816" s="63"/>
      <c r="BH816" s="99">
        <f>BI816</f>
        <v>0</v>
      </c>
      <c r="BI816" s="413"/>
      <c r="BJ816" s="63"/>
      <c r="BK816" s="63"/>
      <c r="BL816" s="63"/>
      <c r="BM816" s="99">
        <f>BN816</f>
        <v>0</v>
      </c>
      <c r="BN816" s="413"/>
      <c r="BO816" s="63"/>
      <c r="BP816" s="63"/>
      <c r="BQ816" s="63"/>
      <c r="BR816" s="99">
        <f>BS816</f>
        <v>0</v>
      </c>
      <c r="BS816" s="425"/>
      <c r="BT816" s="63">
        <f>BS816+BT428</f>
        <v>0</v>
      </c>
      <c r="BU816" s="63">
        <f>BT816+BU428</f>
        <v>0</v>
      </c>
      <c r="BV816" s="63">
        <f>BU816+BV428</f>
        <v>0</v>
      </c>
      <c r="BW816" s="63">
        <f>BV816+BW428</f>
        <v>0</v>
      </c>
      <c r="BX816" s="413">
        <f>BW816</f>
        <v>0</v>
      </c>
      <c r="BY816" s="63">
        <f>BX816+BY428</f>
        <v>0</v>
      </c>
      <c r="BZ816" s="63">
        <f>BY816+BZ428</f>
        <v>0</v>
      </c>
      <c r="CA816" s="63">
        <f>BZ816+CA428</f>
        <v>0</v>
      </c>
      <c r="CB816" s="63">
        <f>CA816+CB428</f>
        <v>0</v>
      </c>
      <c r="CC816" s="413">
        <f>CB816</f>
        <v>0</v>
      </c>
      <c r="CD816" s="413">
        <f>CC816+CD428</f>
        <v>0</v>
      </c>
      <c r="CE816" s="413">
        <f>CD816+CE428</f>
        <v>0</v>
      </c>
      <c r="CF816" s="413">
        <f>CE816+CF428</f>
        <v>0</v>
      </c>
      <c r="CG816" s="99"/>
    </row>
    <row r="817" spans="1:85" ht="14.45" customHeight="1" x14ac:dyDescent="0.25">
      <c r="A817" s="135" t="s">
        <v>736</v>
      </c>
      <c r="B817" s="211"/>
      <c r="C817" s="421">
        <f t="shared" ref="C817:AH817" si="784">C815+C804+C816</f>
        <v>1283.077</v>
      </c>
      <c r="D817" s="421">
        <f t="shared" si="784"/>
        <v>1307.6219999999998</v>
      </c>
      <c r="E817" s="421">
        <f t="shared" si="784"/>
        <v>1362.425</v>
      </c>
      <c r="F817" s="421">
        <f t="shared" si="784"/>
        <v>1283.4739999999999</v>
      </c>
      <c r="G817" s="109">
        <f t="shared" si="784"/>
        <v>1298.242</v>
      </c>
      <c r="H817" s="109">
        <f t="shared" si="784"/>
        <v>1328.2080000000001</v>
      </c>
      <c r="I817" s="109">
        <f t="shared" si="784"/>
        <v>1315.3549999999998</v>
      </c>
      <c r="J817" s="109">
        <f t="shared" si="784"/>
        <v>1276.1559999999999</v>
      </c>
      <c r="K817" s="421">
        <f t="shared" si="784"/>
        <v>1276.1559999999999</v>
      </c>
      <c r="L817" s="109">
        <f t="shared" si="784"/>
        <v>1320.2639999999999</v>
      </c>
      <c r="M817" s="109">
        <f t="shared" si="784"/>
        <v>1379.18</v>
      </c>
      <c r="N817" s="109">
        <f t="shared" si="784"/>
        <v>1377.125</v>
      </c>
      <c r="O817" s="109">
        <f t="shared" si="784"/>
        <v>1433.076</v>
      </c>
      <c r="P817" s="421">
        <f t="shared" si="784"/>
        <v>1433.076</v>
      </c>
      <c r="Q817" s="109">
        <f t="shared" si="784"/>
        <v>1570.624</v>
      </c>
      <c r="R817" s="109">
        <f t="shared" si="784"/>
        <v>1709.991</v>
      </c>
      <c r="S817" s="109">
        <f t="shared" si="784"/>
        <v>1710.847</v>
      </c>
      <c r="T817" s="109">
        <f t="shared" si="784"/>
        <v>1846.5649999999998</v>
      </c>
      <c r="U817" s="421">
        <f t="shared" si="784"/>
        <v>1846.5649999999998</v>
      </c>
      <c r="V817" s="109">
        <f t="shared" si="784"/>
        <v>2023.8630000000001</v>
      </c>
      <c r="W817" s="109">
        <f t="shared" si="784"/>
        <v>2245.75</v>
      </c>
      <c r="X817" s="109">
        <f t="shared" si="784"/>
        <v>2254.0250000000001</v>
      </c>
      <c r="Y817" s="109">
        <f t="shared" si="784"/>
        <v>2449.4840000000004</v>
      </c>
      <c r="Z817" s="421">
        <f t="shared" si="784"/>
        <v>2449.4840000000004</v>
      </c>
      <c r="AA817" s="109">
        <f t="shared" si="784"/>
        <v>2664.8199999999997</v>
      </c>
      <c r="AB817" s="109">
        <f t="shared" si="784"/>
        <v>2891.4410000000003</v>
      </c>
      <c r="AC817" s="109">
        <f t="shared" si="784"/>
        <v>2911.0959999999995</v>
      </c>
      <c r="AD817" s="109">
        <f t="shared" si="784"/>
        <v>3072.96</v>
      </c>
      <c r="AE817" s="421">
        <f t="shared" si="784"/>
        <v>3072.96</v>
      </c>
      <c r="AF817" s="109">
        <f t="shared" si="784"/>
        <v>3090.4429999999998</v>
      </c>
      <c r="AG817" s="109">
        <f t="shared" si="784"/>
        <v>3122.9879999999998</v>
      </c>
      <c r="AH817" s="109">
        <f t="shared" si="784"/>
        <v>3072.424</v>
      </c>
      <c r="AI817" s="109">
        <f t="shared" ref="AI817:BN817" si="785">AI815+AI804+AI816</f>
        <v>3009.9279999999999</v>
      </c>
      <c r="AJ817" s="421">
        <f t="shared" si="785"/>
        <v>3009.9279999999999</v>
      </c>
      <c r="AK817" s="109">
        <f t="shared" si="785"/>
        <v>3075.6880000000001</v>
      </c>
      <c r="AL817" s="109">
        <f t="shared" si="785"/>
        <v>3132.1530000000002</v>
      </c>
      <c r="AM817" s="109">
        <f t="shared" si="785"/>
        <v>3118.7179999999998</v>
      </c>
      <c r="AN817" s="109">
        <f t="shared" si="785"/>
        <v>3126.9260000000008</v>
      </c>
      <c r="AO817" s="421">
        <f t="shared" si="785"/>
        <v>3126.9260000000008</v>
      </c>
      <c r="AP817" s="109">
        <f t="shared" si="785"/>
        <v>3195.7429999999999</v>
      </c>
      <c r="AQ817" s="109">
        <f t="shared" si="785"/>
        <v>3184.58</v>
      </c>
      <c r="AR817" s="109">
        <f t="shared" si="785"/>
        <v>3312.893</v>
      </c>
      <c r="AS817" s="109">
        <f t="shared" si="785"/>
        <v>3222.45</v>
      </c>
      <c r="AT817" s="421">
        <f t="shared" si="785"/>
        <v>3222.45</v>
      </c>
      <c r="AU817" s="109">
        <f t="shared" si="785"/>
        <v>3284.8320000000003</v>
      </c>
      <c r="AV817" s="109">
        <f t="shared" si="785"/>
        <v>3282.2980000000002</v>
      </c>
      <c r="AW817" s="109">
        <f t="shared" si="785"/>
        <v>3419.9399999999996</v>
      </c>
      <c r="AX817" s="109">
        <f t="shared" si="785"/>
        <v>3445.57</v>
      </c>
      <c r="AY817" s="421">
        <f t="shared" si="785"/>
        <v>3445.57</v>
      </c>
      <c r="AZ817" s="109">
        <f t="shared" si="785"/>
        <v>3425.9319999999998</v>
      </c>
      <c r="BA817" s="109">
        <f t="shared" si="785"/>
        <v>3581.6680000000001</v>
      </c>
      <c r="BB817" s="109">
        <f t="shared" si="785"/>
        <v>3597.2779999999998</v>
      </c>
      <c r="BC817" s="109">
        <f t="shared" si="785"/>
        <v>3709.5450000000001</v>
      </c>
      <c r="BD817" s="421">
        <f t="shared" si="785"/>
        <v>3709.5450000000001</v>
      </c>
      <c r="BE817" s="109">
        <f t="shared" si="785"/>
        <v>3799.6949999999997</v>
      </c>
      <c r="BF817" s="109">
        <f t="shared" si="785"/>
        <v>3994.5369999999994</v>
      </c>
      <c r="BG817" s="109">
        <f t="shared" si="785"/>
        <v>4141.2820000000002</v>
      </c>
      <c r="BH817" s="109">
        <f t="shared" si="785"/>
        <v>4288.942</v>
      </c>
      <c r="BI817" s="421">
        <f t="shared" si="785"/>
        <v>4288.942</v>
      </c>
      <c r="BJ817" s="109">
        <f t="shared" si="785"/>
        <v>4297.0919999999996</v>
      </c>
      <c r="BK817" s="109">
        <f t="shared" si="785"/>
        <v>5656.0720000000001</v>
      </c>
      <c r="BL817" s="109">
        <f t="shared" si="785"/>
        <v>5272.7240000000002</v>
      </c>
      <c r="BM817" s="109">
        <f t="shared" si="785"/>
        <v>5313.1390000000001</v>
      </c>
      <c r="BN817" s="421">
        <f t="shared" si="785"/>
        <v>5313.1390000000001</v>
      </c>
      <c r="BO817" s="109">
        <f t="shared" ref="BO817:CF817" si="786">BO815+BO804+BO816</f>
        <v>5403.7379999999994</v>
      </c>
      <c r="BP817" s="109">
        <f t="shared" si="786"/>
        <v>5541.491</v>
      </c>
      <c r="BQ817" s="109">
        <f t="shared" si="786"/>
        <v>5668.51</v>
      </c>
      <c r="BR817" s="109">
        <f t="shared" si="786"/>
        <v>4302.9980000000005</v>
      </c>
      <c r="BS817" s="422">
        <f t="shared" si="786"/>
        <v>4302.9980000000005</v>
      </c>
      <c r="BT817" s="112" t="e">
        <f t="shared" si="786"/>
        <v>#NAME?</v>
      </c>
      <c r="BU817" s="112" t="e">
        <f t="shared" si="786"/>
        <v>#NAME?</v>
      </c>
      <c r="BV817" s="112" t="e">
        <f t="shared" si="786"/>
        <v>#NAME?</v>
      </c>
      <c r="BW817" s="112" t="e">
        <f t="shared" si="786"/>
        <v>#NAME?</v>
      </c>
      <c r="BX817" s="423" t="e">
        <f t="shared" si="786"/>
        <v>#NAME?</v>
      </c>
      <c r="BY817" s="112" t="e">
        <f t="shared" si="786"/>
        <v>#NAME?</v>
      </c>
      <c r="BZ817" s="112" t="e">
        <f t="shared" si="786"/>
        <v>#NAME?</v>
      </c>
      <c r="CA817" s="112" t="e">
        <f t="shared" si="786"/>
        <v>#NAME?</v>
      </c>
      <c r="CB817" s="112" t="e">
        <f t="shared" si="786"/>
        <v>#NAME?</v>
      </c>
      <c r="CC817" s="423" t="e">
        <f t="shared" si="786"/>
        <v>#NAME?</v>
      </c>
      <c r="CD817" s="423" t="e">
        <f t="shared" si="786"/>
        <v>#NAME?</v>
      </c>
      <c r="CE817" s="423" t="e">
        <f t="shared" si="786"/>
        <v>#NAME?</v>
      </c>
      <c r="CF817" s="423" t="e">
        <f t="shared" si="786"/>
        <v>#NAME?</v>
      </c>
      <c r="CG817" s="109"/>
    </row>
    <row r="818" spans="1:85" ht="14.45" customHeight="1" x14ac:dyDescent="0.2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376"/>
      <c r="BT818" s="63"/>
      <c r="BU818" s="63"/>
      <c r="BV818" s="63"/>
      <c r="BW818" s="63"/>
      <c r="BX818" s="63"/>
      <c r="BY818" s="63"/>
      <c r="BZ818" s="63"/>
      <c r="CA818" s="63"/>
      <c r="CB818" s="63"/>
      <c r="CC818" s="63"/>
      <c r="CD818" s="63"/>
      <c r="CE818" s="63"/>
      <c r="CF818" s="63"/>
      <c r="CG818" s="99"/>
    </row>
    <row r="819" spans="1:85" ht="14.45" customHeight="1" x14ac:dyDescent="0.25">
      <c r="A819" s="217" t="s">
        <v>737</v>
      </c>
      <c r="B819" s="217"/>
      <c r="C819" s="218">
        <f t="shared" ref="C819:AH819" si="787">ROUND(C779-C817,6)</f>
        <v>0</v>
      </c>
      <c r="D819" s="218">
        <f t="shared" si="787"/>
        <v>0</v>
      </c>
      <c r="E819" s="218">
        <f t="shared" si="787"/>
        <v>0</v>
      </c>
      <c r="F819" s="218">
        <f t="shared" si="787"/>
        <v>0</v>
      </c>
      <c r="G819" s="218">
        <f t="shared" si="787"/>
        <v>0</v>
      </c>
      <c r="H819" s="218">
        <f t="shared" si="787"/>
        <v>0</v>
      </c>
      <c r="I819" s="218">
        <f t="shared" si="787"/>
        <v>0</v>
      </c>
      <c r="J819" s="218">
        <f t="shared" si="787"/>
        <v>0</v>
      </c>
      <c r="K819" s="218">
        <f t="shared" si="787"/>
        <v>0</v>
      </c>
      <c r="L819" s="218">
        <f t="shared" si="787"/>
        <v>0</v>
      </c>
      <c r="M819" s="218">
        <f t="shared" si="787"/>
        <v>0</v>
      </c>
      <c r="N819" s="218">
        <f t="shared" si="787"/>
        <v>0</v>
      </c>
      <c r="O819" s="218">
        <f t="shared" si="787"/>
        <v>0</v>
      </c>
      <c r="P819" s="218">
        <f t="shared" si="787"/>
        <v>0</v>
      </c>
      <c r="Q819" s="218">
        <f t="shared" si="787"/>
        <v>0</v>
      </c>
      <c r="R819" s="218">
        <f t="shared" si="787"/>
        <v>0</v>
      </c>
      <c r="S819" s="218">
        <f t="shared" si="787"/>
        <v>0</v>
      </c>
      <c r="T819" s="218">
        <f t="shared" si="787"/>
        <v>0</v>
      </c>
      <c r="U819" s="218">
        <f t="shared" si="787"/>
        <v>0</v>
      </c>
      <c r="V819" s="218">
        <f t="shared" si="787"/>
        <v>0</v>
      </c>
      <c r="W819" s="218">
        <f t="shared" si="787"/>
        <v>0</v>
      </c>
      <c r="X819" s="218">
        <f t="shared" si="787"/>
        <v>0</v>
      </c>
      <c r="Y819" s="218">
        <f t="shared" si="787"/>
        <v>0</v>
      </c>
      <c r="Z819" s="218">
        <f t="shared" si="787"/>
        <v>0</v>
      </c>
      <c r="AA819" s="218">
        <f t="shared" si="787"/>
        <v>0</v>
      </c>
      <c r="AB819" s="218">
        <f t="shared" si="787"/>
        <v>0</v>
      </c>
      <c r="AC819" s="218">
        <f t="shared" si="787"/>
        <v>0</v>
      </c>
      <c r="AD819" s="218">
        <f t="shared" si="787"/>
        <v>0</v>
      </c>
      <c r="AE819" s="218">
        <f t="shared" si="787"/>
        <v>0</v>
      </c>
      <c r="AF819" s="218">
        <f t="shared" si="787"/>
        <v>0</v>
      </c>
      <c r="AG819" s="218">
        <f t="shared" si="787"/>
        <v>0</v>
      </c>
      <c r="AH819" s="218">
        <f t="shared" si="787"/>
        <v>0</v>
      </c>
      <c r="AI819" s="218">
        <f t="shared" ref="AI819:BN819" si="788">ROUND(AI779-AI817,6)</f>
        <v>0</v>
      </c>
      <c r="AJ819" s="218">
        <f t="shared" si="788"/>
        <v>0</v>
      </c>
      <c r="AK819" s="218">
        <f t="shared" si="788"/>
        <v>0</v>
      </c>
      <c r="AL819" s="218">
        <f t="shared" si="788"/>
        <v>0</v>
      </c>
      <c r="AM819" s="218">
        <f t="shared" si="788"/>
        <v>0</v>
      </c>
      <c r="AN819" s="218">
        <f t="shared" si="788"/>
        <v>0</v>
      </c>
      <c r="AO819" s="218">
        <f t="shared" si="788"/>
        <v>0</v>
      </c>
      <c r="AP819" s="218">
        <f t="shared" si="788"/>
        <v>0</v>
      </c>
      <c r="AQ819" s="218">
        <f t="shared" si="788"/>
        <v>0</v>
      </c>
      <c r="AR819" s="218">
        <f t="shared" si="788"/>
        <v>0</v>
      </c>
      <c r="AS819" s="218">
        <f t="shared" si="788"/>
        <v>0</v>
      </c>
      <c r="AT819" s="218">
        <f t="shared" si="788"/>
        <v>0</v>
      </c>
      <c r="AU819" s="218">
        <f t="shared" si="788"/>
        <v>0</v>
      </c>
      <c r="AV819" s="218">
        <f t="shared" si="788"/>
        <v>0</v>
      </c>
      <c r="AW819" s="218">
        <f t="shared" si="788"/>
        <v>0</v>
      </c>
      <c r="AX819" s="218">
        <f t="shared" si="788"/>
        <v>0</v>
      </c>
      <c r="AY819" s="218">
        <f t="shared" si="788"/>
        <v>0</v>
      </c>
      <c r="AZ819" s="218">
        <f t="shared" si="788"/>
        <v>0</v>
      </c>
      <c r="BA819" s="218">
        <f t="shared" si="788"/>
        <v>0</v>
      </c>
      <c r="BB819" s="218">
        <f t="shared" si="788"/>
        <v>0</v>
      </c>
      <c r="BC819" s="218">
        <f t="shared" si="788"/>
        <v>0</v>
      </c>
      <c r="BD819" s="218">
        <f t="shared" si="788"/>
        <v>0</v>
      </c>
      <c r="BE819" s="218">
        <f t="shared" si="788"/>
        <v>0</v>
      </c>
      <c r="BF819" s="218">
        <f t="shared" si="788"/>
        <v>0</v>
      </c>
      <c r="BG819" s="218">
        <f t="shared" si="788"/>
        <v>0</v>
      </c>
      <c r="BH819" s="218">
        <f t="shared" si="788"/>
        <v>0</v>
      </c>
      <c r="BI819" s="218">
        <f t="shared" si="788"/>
        <v>0</v>
      </c>
      <c r="BJ819" s="218">
        <f t="shared" si="788"/>
        <v>0</v>
      </c>
      <c r="BK819" s="218">
        <f t="shared" si="788"/>
        <v>0</v>
      </c>
      <c r="BL819" s="218">
        <f t="shared" si="788"/>
        <v>0</v>
      </c>
      <c r="BM819" s="218">
        <f t="shared" si="788"/>
        <v>0</v>
      </c>
      <c r="BN819" s="218">
        <f t="shared" si="788"/>
        <v>0</v>
      </c>
      <c r="BO819" s="218">
        <f t="shared" ref="BO819:CF819" si="789">ROUND(BO779-BO817,6)</f>
        <v>0</v>
      </c>
      <c r="BP819" s="218">
        <f t="shared" si="789"/>
        <v>0</v>
      </c>
      <c r="BQ819" s="218">
        <f t="shared" si="789"/>
        <v>0</v>
      </c>
      <c r="BR819" s="218">
        <f t="shared" si="789"/>
        <v>0</v>
      </c>
      <c r="BS819" s="515">
        <f t="shared" si="789"/>
        <v>0</v>
      </c>
      <c r="BT819" s="218" t="e">
        <f t="shared" si="789"/>
        <v>#NAME?</v>
      </c>
      <c r="BU819" s="218" t="e">
        <f t="shared" si="789"/>
        <v>#NAME?</v>
      </c>
      <c r="BV819" s="218" t="e">
        <f t="shared" si="789"/>
        <v>#NAME?</v>
      </c>
      <c r="BW819" s="218" t="e">
        <f t="shared" si="789"/>
        <v>#NAME?</v>
      </c>
      <c r="BX819" s="218" t="e">
        <f t="shared" si="789"/>
        <v>#NAME?</v>
      </c>
      <c r="BY819" s="218" t="e">
        <f t="shared" si="789"/>
        <v>#NAME?</v>
      </c>
      <c r="BZ819" s="218" t="e">
        <f t="shared" si="789"/>
        <v>#NAME?</v>
      </c>
      <c r="CA819" s="218" t="e">
        <f t="shared" si="789"/>
        <v>#NAME?</v>
      </c>
      <c r="CB819" s="218" t="e">
        <f t="shared" si="789"/>
        <v>#NAME?</v>
      </c>
      <c r="CC819" s="218" t="e">
        <f t="shared" si="789"/>
        <v>#NAME?</v>
      </c>
      <c r="CD819" s="218" t="e">
        <f t="shared" si="789"/>
        <v>#NAME?</v>
      </c>
      <c r="CE819" s="218" t="e">
        <f t="shared" si="789"/>
        <v>#NAME?</v>
      </c>
      <c r="CF819" s="218" t="e">
        <f t="shared" si="789"/>
        <v>#NAME?</v>
      </c>
      <c r="CG819" s="99"/>
    </row>
    <row r="820" spans="1:85" ht="15" customHeight="1" x14ac:dyDescent="0.2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376"/>
      <c r="BT820" s="63"/>
      <c r="BU820" s="63"/>
      <c r="BV820" s="63"/>
      <c r="BW820" s="63"/>
      <c r="BX820" s="63"/>
      <c r="BY820" s="63"/>
      <c r="BZ820" s="63"/>
      <c r="CA820" s="63"/>
      <c r="CB820" s="63"/>
      <c r="CC820" s="63"/>
      <c r="CD820" s="63"/>
      <c r="CE820" s="63"/>
      <c r="CF820" s="63"/>
      <c r="CG820" s="99"/>
    </row>
    <row r="821" spans="1:85" ht="14.45" customHeight="1" x14ac:dyDescent="0.25">
      <c r="A821" s="313" t="s">
        <v>738</v>
      </c>
      <c r="B821" s="313"/>
      <c r="C821" s="313"/>
      <c r="D821" s="313"/>
      <c r="E821" s="313"/>
      <c r="F821" s="313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3"/>
      <c r="S821" s="313"/>
      <c r="T821" s="313"/>
      <c r="U821" s="313"/>
      <c r="V821" s="313"/>
      <c r="W821" s="313"/>
      <c r="X821" s="313"/>
      <c r="Y821" s="313"/>
      <c r="Z821" s="313"/>
      <c r="AA821" s="313"/>
      <c r="AB821" s="313"/>
      <c r="AC821" s="313"/>
      <c r="AD821" s="313"/>
      <c r="AE821" s="313"/>
      <c r="AF821" s="313"/>
      <c r="AG821" s="313"/>
      <c r="AH821" s="313"/>
      <c r="AI821" s="313"/>
      <c r="AJ821" s="313"/>
      <c r="AK821" s="313"/>
      <c r="AL821" s="313"/>
      <c r="AM821" s="313"/>
      <c r="AN821" s="313"/>
      <c r="AO821" s="313"/>
      <c r="AP821" s="313"/>
      <c r="AQ821" s="313"/>
      <c r="AR821" s="313"/>
      <c r="AS821" s="313"/>
      <c r="AT821" s="313"/>
      <c r="AU821" s="313"/>
      <c r="AV821" s="313"/>
      <c r="AW821" s="313"/>
      <c r="AX821" s="313"/>
      <c r="AY821" s="313"/>
      <c r="AZ821" s="313"/>
      <c r="BA821" s="313"/>
      <c r="BB821" s="313"/>
      <c r="BC821" s="313"/>
      <c r="BD821" s="313"/>
      <c r="BE821" s="313"/>
      <c r="BF821" s="313"/>
      <c r="BG821" s="313"/>
      <c r="BH821" s="313"/>
      <c r="BI821" s="313"/>
      <c r="BJ821" s="313"/>
      <c r="BK821" s="313"/>
      <c r="BL821" s="313"/>
      <c r="BM821" s="313"/>
      <c r="BN821" s="313"/>
      <c r="BO821" s="313"/>
      <c r="BP821" s="313"/>
      <c r="BQ821" s="313"/>
      <c r="BR821" s="313"/>
      <c r="BS821" s="621"/>
      <c r="BT821" s="313"/>
      <c r="BU821" s="313"/>
      <c r="BV821" s="313"/>
      <c r="BW821" s="313"/>
      <c r="BX821" s="313"/>
      <c r="BY821" s="313"/>
      <c r="BZ821" s="313"/>
      <c r="CA821" s="313"/>
      <c r="CB821" s="313"/>
      <c r="CC821" s="313"/>
      <c r="CD821" s="313"/>
      <c r="CE821" s="313"/>
      <c r="CF821" s="313"/>
      <c r="CG821" s="109"/>
    </row>
    <row r="822" spans="1:85" ht="14.45" customHeight="1" x14ac:dyDescent="0.25">
      <c r="A822" s="99" t="s">
        <v>739</v>
      </c>
      <c r="B822" s="127"/>
      <c r="C822" s="218">
        <f>IF(ISBLANK(INDEX(MO_IS_FirstRow,0,COLUMN())),0,ROUND(C635-C426,6))</f>
        <v>0</v>
      </c>
      <c r="D822" s="218">
        <f>IF(ISBLANK(INDEX(MO_IS_FirstRow,0,COLUMN())),0,ROUND(D635-D426,6))</f>
        <v>0</v>
      </c>
      <c r="E822" s="218">
        <f>IF(ISBLANK(INDEX(MO_IS_FirstRow,0,COLUMN())),0,ROUND(E635-E426,6))</f>
        <v>0</v>
      </c>
      <c r="F822" s="218">
        <f>IF(ISBLANK(INDEX(MO_IS_FirstRow,0,COLUMN())),0,ROUND(F635-F426,6))</f>
        <v>0</v>
      </c>
      <c r="G822" s="218">
        <f>IF(ISBLANK(INDEX(MO_IS_FirstRow,0,COLUMN())),0,ROUND(G635-G426,6))</f>
        <v>0</v>
      </c>
      <c r="H822" s="218">
        <f>IF(ISBLANK(INDEX(MO_IS_FirstRow,0,COLUMN())),0,ROUND(H635-H426,6))</f>
        <v>0</v>
      </c>
      <c r="I822" s="218">
        <f>IF(ISBLANK(INDEX(MO_IS_FirstRow,0,COLUMN())),0,ROUND(I635-I426,6))</f>
        <v>0</v>
      </c>
      <c r="J822" s="218">
        <f>IF(ISBLANK(INDEX(MO_IS_FirstRow,0,COLUMN())),0,ROUND(J635-J426,6))</f>
        <v>0</v>
      </c>
      <c r="K822" s="218">
        <f>IF(ISBLANK(INDEX(MO_IS_FirstRow,0,COLUMN())),0,ROUND(K635-K426,6))</f>
        <v>0</v>
      </c>
      <c r="L822" s="218">
        <f>IF(ISBLANK(INDEX(MO_IS_FirstRow,0,COLUMN())),0,ROUND(L635-L426,6))</f>
        <v>0</v>
      </c>
      <c r="M822" s="218">
        <f>IF(ISBLANK(INDEX(MO_IS_FirstRow,0,COLUMN())),0,ROUND(M635-M426,6))</f>
        <v>0</v>
      </c>
      <c r="N822" s="218">
        <f>IF(ISBLANK(INDEX(MO_IS_FirstRow,0,COLUMN())),0,ROUND(N635-N426,6))</f>
        <v>0</v>
      </c>
      <c r="O822" s="218">
        <f>IF(ISBLANK(INDEX(MO_IS_FirstRow,0,COLUMN())),0,ROUND(O635-O426,6))</f>
        <v>0</v>
      </c>
      <c r="P822" s="218">
        <f>IF(ISBLANK(INDEX(MO_IS_FirstRow,0,COLUMN())),0,ROUND(P635-P426,6))</f>
        <v>0</v>
      </c>
      <c r="Q822" s="218">
        <f>IF(ISBLANK(INDEX(MO_IS_FirstRow,0,COLUMN())),0,ROUND(Q635-Q426,6))</f>
        <v>0</v>
      </c>
      <c r="R822" s="218">
        <f>IF(ISBLANK(INDEX(MO_IS_FirstRow,0,COLUMN())),0,ROUND(R635-R426,6))</f>
        <v>0</v>
      </c>
      <c r="S822" s="218">
        <f>IF(ISBLANK(INDEX(MO_IS_FirstRow,0,COLUMN())),0,ROUND(S635-S426,6))</f>
        <v>0</v>
      </c>
      <c r="T822" s="218">
        <f>IF(ISBLANK(INDEX(MO_IS_FirstRow,0,COLUMN())),0,ROUND(T635-T426,6))</f>
        <v>0</v>
      </c>
      <c r="U822" s="218">
        <f>IF(ISBLANK(INDEX(MO_IS_FirstRow,0,COLUMN())),0,ROUND(U635-U426,6))</f>
        <v>0</v>
      </c>
      <c r="V822" s="218">
        <f>IF(ISBLANK(INDEX(MO_IS_FirstRow,0,COLUMN())),0,ROUND(V635-V426,6))</f>
        <v>0</v>
      </c>
      <c r="W822" s="218">
        <f>IF(ISBLANK(INDEX(MO_IS_FirstRow,0,COLUMN())),0,ROUND(W635-W426,6))</f>
        <v>0</v>
      </c>
      <c r="X822" s="218">
        <f>IF(ISBLANK(INDEX(MO_IS_FirstRow,0,COLUMN())),0,ROUND(X635-X426,6))</f>
        <v>0</v>
      </c>
      <c r="Y822" s="218">
        <f>IF(ISBLANK(INDEX(MO_IS_FirstRow,0,COLUMN())),0,ROUND(Y635-Y426,6))</f>
        <v>0</v>
      </c>
      <c r="Z822" s="218">
        <f>IF(ISBLANK(INDEX(MO_IS_FirstRow,0,COLUMN())),0,ROUND(Z635-Z426,6))</f>
        <v>0</v>
      </c>
      <c r="AA822" s="218">
        <f>IF(ISBLANK(INDEX(MO_IS_FirstRow,0,COLUMN())),0,ROUND(AA635-AA426,6))</f>
        <v>0</v>
      </c>
      <c r="AB822" s="218">
        <f>IF(ISBLANK(INDEX(MO_IS_FirstRow,0,COLUMN())),0,ROUND(AB635-AB426,6))</f>
        <v>0</v>
      </c>
      <c r="AC822" s="218">
        <f>IF(ISBLANK(INDEX(MO_IS_FirstRow,0,COLUMN())),0,ROUND(AC635-AC426,6))</f>
        <v>0</v>
      </c>
      <c r="AD822" s="218">
        <f>IF(ISBLANK(INDEX(MO_IS_FirstRow,0,COLUMN())),0,ROUND(AD635-AD426,6))</f>
        <v>0</v>
      </c>
      <c r="AE822" s="218">
        <f>IF(ISBLANK(INDEX(MO_IS_FirstRow,0,COLUMN())),0,ROUND(AE635-AE426,6))</f>
        <v>0</v>
      </c>
      <c r="AF822" s="218">
        <f>IF(ISBLANK(INDEX(MO_IS_FirstRow,0,COLUMN())),0,ROUND(AF635-AF426,6))</f>
        <v>0</v>
      </c>
      <c r="AG822" s="218">
        <f>IF(ISBLANK(INDEX(MO_IS_FirstRow,0,COLUMN())),0,ROUND(AG635-AG426,6))</f>
        <v>0</v>
      </c>
      <c r="AH822" s="218">
        <f>IF(ISBLANK(INDEX(MO_IS_FirstRow,0,COLUMN())),0,ROUND(AH635-AH426,6))</f>
        <v>0</v>
      </c>
      <c r="AI822" s="218">
        <f>IF(ISBLANK(INDEX(MO_IS_FirstRow,0,COLUMN())),0,ROUND(AI635-AI426,6))</f>
        <v>0</v>
      </c>
      <c r="AJ822" s="218">
        <f>IF(ISBLANK(INDEX(MO_IS_FirstRow,0,COLUMN())),0,ROUND(AJ635-AJ426,6))</f>
        <v>0</v>
      </c>
      <c r="AK822" s="218">
        <f>IF(ISBLANK(INDEX(MO_IS_FirstRow,0,COLUMN())),0,ROUND(AK635-AK426,6))</f>
        <v>0</v>
      </c>
      <c r="AL822" s="218">
        <f>IF(ISBLANK(INDEX(MO_IS_FirstRow,0,COLUMN())),0,ROUND(AL635-AL426,6))</f>
        <v>0</v>
      </c>
      <c r="AM822" s="218">
        <f>IF(ISBLANK(INDEX(MO_IS_FirstRow,0,COLUMN())),0,ROUND(AM635-AM426,6))</f>
        <v>0</v>
      </c>
      <c r="AN822" s="218">
        <f>IF(ISBLANK(INDEX(MO_IS_FirstRow,0,COLUMN())),0,ROUND(AN635-AN426,6))</f>
        <v>0</v>
      </c>
      <c r="AO822" s="218">
        <f>IF(ISBLANK(INDEX(MO_IS_FirstRow,0,COLUMN())),0,ROUND(AO635-AO426,6))</f>
        <v>0</v>
      </c>
      <c r="AP822" s="218">
        <f>IF(ISBLANK(INDEX(MO_IS_FirstRow,0,COLUMN())),0,ROUND(AP635-AP426,6))</f>
        <v>0</v>
      </c>
      <c r="AQ822" s="218">
        <f>IF(ISBLANK(INDEX(MO_IS_FirstRow,0,COLUMN())),0,ROUND(AQ635-AQ426,6))</f>
        <v>0</v>
      </c>
      <c r="AR822" s="218">
        <f>IF(ISBLANK(INDEX(MO_IS_FirstRow,0,COLUMN())),0,ROUND(AR635-AR426,6))</f>
        <v>0</v>
      </c>
      <c r="AS822" s="218">
        <f>IF(ISBLANK(INDEX(MO_IS_FirstRow,0,COLUMN())),0,ROUND(AS635-AS426,6))</f>
        <v>0</v>
      </c>
      <c r="AT822" s="218">
        <f>IF(ISBLANK(INDEX(MO_IS_FirstRow,0,COLUMN())),0,ROUND(AT635-AT426,6))</f>
        <v>0</v>
      </c>
      <c r="AU822" s="218">
        <f>IF(ISBLANK(INDEX(MO_IS_FirstRow,0,COLUMN())),0,ROUND(AU635-AU426,6))</f>
        <v>0</v>
      </c>
      <c r="AV822" s="218">
        <f>IF(ISBLANK(INDEX(MO_IS_FirstRow,0,COLUMN())),0,ROUND(AV635-AV426,6))</f>
        <v>0</v>
      </c>
      <c r="AW822" s="218">
        <f>IF(ISBLANK(INDEX(MO_IS_FirstRow,0,COLUMN())),0,ROUND(AW635-AW426,6))</f>
        <v>0</v>
      </c>
      <c r="AX822" s="218">
        <f>IF(ISBLANK(INDEX(MO_IS_FirstRow,0,COLUMN())),0,ROUND(AX635-AX426,6))</f>
        <v>0</v>
      </c>
      <c r="AY822" s="218">
        <f>IF(ISBLANK(INDEX(MO_IS_FirstRow,0,COLUMN())),0,ROUND(AY635-AY426,6))</f>
        <v>0</v>
      </c>
      <c r="AZ822" s="218">
        <f>IF(ISBLANK(INDEX(MO_IS_FirstRow,0,COLUMN())),0,ROUND(AZ635-AZ426,6))</f>
        <v>0</v>
      </c>
      <c r="BA822" s="218">
        <f>IF(ISBLANK(INDEX(MO_IS_FirstRow,0,COLUMN())),0,ROUND(BA635-BA426,6))</f>
        <v>0</v>
      </c>
      <c r="BB822" s="218">
        <f>IF(ISBLANK(INDEX(MO_IS_FirstRow,0,COLUMN())),0,ROUND(BB635-BB426,6))</f>
        <v>0</v>
      </c>
      <c r="BC822" s="218">
        <f>IF(ISBLANK(INDEX(MO_IS_FirstRow,0,COLUMN())),0,ROUND(BC635-BC426,6))</f>
        <v>0</v>
      </c>
      <c r="BD822" s="218">
        <f>IF(ISBLANK(INDEX(MO_IS_FirstRow,0,COLUMN())),0,ROUND(BD635-BD426,6))</f>
        <v>0</v>
      </c>
      <c r="BE822" s="218">
        <f>IF(ISBLANK(INDEX(MO_IS_FirstRow,0,COLUMN())),0,ROUND(BE635-BE426,6))</f>
        <v>0</v>
      </c>
      <c r="BF822" s="218">
        <f>IF(ISBLANK(INDEX(MO_IS_FirstRow,0,COLUMN())),0,ROUND(BF635-BF426,6))</f>
        <v>0</v>
      </c>
      <c r="BG822" s="218">
        <f>IF(ISBLANK(INDEX(MO_IS_FirstRow,0,COLUMN())),0,ROUND(BG635-BG426,6))</f>
        <v>0</v>
      </c>
      <c r="BH822" s="218">
        <f>IF(ISBLANK(INDEX(MO_IS_FirstRow,0,COLUMN())),0,ROUND(BH635-BH426,6))</f>
        <v>0</v>
      </c>
      <c r="BI822" s="218">
        <f>IF(ISBLANK(INDEX(MO_IS_FirstRow,0,COLUMN())),0,ROUND(BI635-BI426,6))</f>
        <v>0</v>
      </c>
      <c r="BJ822" s="218">
        <f>IF(ISBLANK(INDEX(MO_IS_FirstRow,0,COLUMN())),0,ROUND(BJ635-BJ426,6))</f>
        <v>0</v>
      </c>
      <c r="BK822" s="218">
        <f>IF(ISBLANK(INDEX(MO_IS_FirstRow,0,COLUMN())),0,ROUND(BK635-BK426,6))</f>
        <v>0</v>
      </c>
      <c r="BL822" s="218">
        <f>IF(ISBLANK(INDEX(MO_IS_FirstRow,0,COLUMN())),0,ROUND(BL635-BL426,6))</f>
        <v>0</v>
      </c>
      <c r="BM822" s="218">
        <f>IF(ISBLANK(INDEX(MO_IS_FirstRow,0,COLUMN())),0,ROUND(BM635-BM426,6))</f>
        <v>0</v>
      </c>
      <c r="BN822" s="218">
        <f>IF(ISBLANK(INDEX(MO_IS_FirstRow,0,COLUMN())),0,ROUND(BN635-BN426,6))</f>
        <v>0</v>
      </c>
      <c r="BO822" s="218">
        <f>IF(ISBLANK(INDEX(MO_IS_FirstRow,0,COLUMN())),0,ROUND(BO635-BO426,6))</f>
        <v>0</v>
      </c>
      <c r="BP822" s="218">
        <f>IF(ISBLANK(INDEX(MO_IS_FirstRow,0,COLUMN())),0,ROUND(BP635-BP426,6))</f>
        <v>0</v>
      </c>
      <c r="BQ822" s="218">
        <f>IF(ISBLANK(INDEX(MO_IS_FirstRow,0,COLUMN())),0,ROUND(BQ635-BQ426,6))</f>
        <v>0</v>
      </c>
      <c r="BR822" s="218">
        <f>IF(ISBLANK(INDEX(MO_IS_FirstRow,0,COLUMN())),0,ROUND(BR635-BR426,6))</f>
        <v>0</v>
      </c>
      <c r="BS822" s="515">
        <f>IF(ISBLANK(INDEX(MO_IS_FirstRow,0,COLUMN())),0,ROUND(BS635-BS426,6))</f>
        <v>0</v>
      </c>
      <c r="BT822" s="218">
        <f>IF(ISBLANK(INDEX(MO_IS_FirstRow,0,COLUMN())),0,ROUND(BT635-BT426,6))</f>
        <v>0</v>
      </c>
      <c r="BU822" s="218">
        <f>IF(ISBLANK(INDEX(MO_IS_FirstRow,0,COLUMN())),0,ROUND(BU635-BU426,6))</f>
        <v>0</v>
      </c>
      <c r="BV822" s="218">
        <f>IF(ISBLANK(INDEX(MO_IS_FirstRow,0,COLUMN())),0,ROUND(BV635-BV426,6))</f>
        <v>0</v>
      </c>
      <c r="BW822" s="218">
        <f>IF(ISBLANK(INDEX(MO_IS_FirstRow,0,COLUMN())),0,ROUND(BW635-BW426,6))</f>
        <v>0</v>
      </c>
      <c r="BX822" s="218">
        <f>IF(ISBLANK(INDEX(MO_IS_FirstRow,0,COLUMN())),0,ROUND(BX635-BX426,6))</f>
        <v>0</v>
      </c>
      <c r="BY822" s="218">
        <f>IF(ISBLANK(INDEX(MO_IS_FirstRow,0,COLUMN())),0,ROUND(BY635-BY426,6))</f>
        <v>0</v>
      </c>
      <c r="BZ822" s="218">
        <f>IF(ISBLANK(INDEX(MO_IS_FirstRow,0,COLUMN())),0,ROUND(BZ635-BZ426,6))</f>
        <v>0</v>
      </c>
      <c r="CA822" s="218">
        <f>IF(ISBLANK(INDEX(MO_IS_FirstRow,0,COLUMN())),0,ROUND(CA635-CA426,6))</f>
        <v>0</v>
      </c>
      <c r="CB822" s="218">
        <f>IF(ISBLANK(INDEX(MO_IS_FirstRow,0,COLUMN())),0,ROUND(CB635-CB426,6))</f>
        <v>0</v>
      </c>
      <c r="CC822" s="218">
        <f>IF(ISBLANK(INDEX(MO_IS_FirstRow,0,COLUMN())),0,ROUND(CC635-CC426,6))</f>
        <v>0</v>
      </c>
      <c r="CD822" s="218">
        <f>IF(ISBLANK(INDEX(MO_IS_FirstRow,0,COLUMN())),0,ROUND(CD635-CD426,6))</f>
        <v>0</v>
      </c>
      <c r="CE822" s="218">
        <f>IF(ISBLANK(INDEX(MO_IS_FirstRow,0,COLUMN())),0,ROUND(CE635-CE426,6))</f>
        <v>0</v>
      </c>
      <c r="CF822" s="218">
        <f>IF(ISBLANK(INDEX(MO_IS_FirstRow,0,COLUMN())),0,ROUND(CF635-CF426,6))</f>
        <v>0</v>
      </c>
      <c r="CG822" s="99"/>
    </row>
    <row r="823" spans="1:85" ht="14.45" customHeight="1" x14ac:dyDescent="0.25">
      <c r="A823" s="99" t="s">
        <v>740</v>
      </c>
      <c r="B823" s="127"/>
      <c r="C823" s="218">
        <f>IF(ISBLANK(INDEX(MO_IS_FirstRow,0,COLUMN())),0,ROUND(C288-C426,6))</f>
        <v>0</v>
      </c>
      <c r="D823" s="218">
        <f>IF(ISBLANK(INDEX(MO_IS_FirstRow,0,COLUMN())),0,ROUND(D288-D426,6))</f>
        <v>0</v>
      </c>
      <c r="E823" s="218">
        <f>IF(ISBLANK(INDEX(MO_IS_FirstRow,0,COLUMN())),0,ROUND(E288-E426,6))</f>
        <v>0</v>
      </c>
      <c r="F823" s="218">
        <f>IF(ISBLANK(INDEX(MO_IS_FirstRow,0,COLUMN())),0,ROUND(F288-F426,6))</f>
        <v>0</v>
      </c>
      <c r="G823" s="218">
        <f>IF(ISBLANK(INDEX(MO_IS_FirstRow,0,COLUMN())),0,ROUND(G288-G426,6))</f>
        <v>0</v>
      </c>
      <c r="H823" s="218">
        <f>IF(ISBLANK(INDEX(MO_IS_FirstRow,0,COLUMN())),0,ROUND(H288-H426,6))</f>
        <v>0</v>
      </c>
      <c r="I823" s="218">
        <f>IF(ISBLANK(INDEX(MO_IS_FirstRow,0,COLUMN())),0,ROUND(I288-I426,6))</f>
        <v>0</v>
      </c>
      <c r="J823" s="218">
        <f>IF(ISBLANK(INDEX(MO_IS_FirstRow,0,COLUMN())),0,ROUND(J288-J426,6))</f>
        <v>0</v>
      </c>
      <c r="K823" s="218">
        <f>IF(ISBLANK(INDEX(MO_IS_FirstRow,0,COLUMN())),0,ROUND(K288-K426,6))</f>
        <v>0</v>
      </c>
      <c r="L823" s="218">
        <f>IF(ISBLANK(INDEX(MO_IS_FirstRow,0,COLUMN())),0,ROUND(L288-L426,6))</f>
        <v>0</v>
      </c>
      <c r="M823" s="218">
        <f>IF(ISBLANK(INDEX(MO_IS_FirstRow,0,COLUMN())),0,ROUND(M288-M426,6))</f>
        <v>0</v>
      </c>
      <c r="N823" s="218">
        <f>IF(ISBLANK(INDEX(MO_IS_FirstRow,0,COLUMN())),0,ROUND(N288-N426,6))</f>
        <v>0</v>
      </c>
      <c r="O823" s="218">
        <f>IF(ISBLANK(INDEX(MO_IS_FirstRow,0,COLUMN())),0,ROUND(O288-O426,6))</f>
        <v>0</v>
      </c>
      <c r="P823" s="218">
        <f>IF(ISBLANK(INDEX(MO_IS_FirstRow,0,COLUMN())),0,ROUND(P288-P426,6))</f>
        <v>0</v>
      </c>
      <c r="Q823" s="218">
        <f>IF(ISBLANK(INDEX(MO_IS_FirstRow,0,COLUMN())),0,ROUND(Q288-Q426,6))</f>
        <v>0</v>
      </c>
      <c r="R823" s="218">
        <f>IF(ISBLANK(INDEX(MO_IS_FirstRow,0,COLUMN())),0,ROUND(R288-R426,6))</f>
        <v>0</v>
      </c>
      <c r="S823" s="218">
        <f>IF(ISBLANK(INDEX(MO_IS_FirstRow,0,COLUMN())),0,ROUND(S288-S426,6))</f>
        <v>0</v>
      </c>
      <c r="T823" s="218">
        <f>IF(ISBLANK(INDEX(MO_IS_FirstRow,0,COLUMN())),0,ROUND(T288-T426,6))</f>
        <v>0</v>
      </c>
      <c r="U823" s="218">
        <f>IF(ISBLANK(INDEX(MO_IS_FirstRow,0,COLUMN())),0,ROUND(U288-U426,6))</f>
        <v>0</v>
      </c>
      <c r="V823" s="218">
        <f>IF(ISBLANK(INDEX(MO_IS_FirstRow,0,COLUMN())),0,ROUND(V288-V426,6))</f>
        <v>0</v>
      </c>
      <c r="W823" s="218">
        <f>IF(ISBLANK(INDEX(MO_IS_FirstRow,0,COLUMN())),0,ROUND(W288-W426,6))</f>
        <v>0</v>
      </c>
      <c r="X823" s="218">
        <f>IF(ISBLANK(INDEX(MO_IS_FirstRow,0,COLUMN())),0,ROUND(X288-X426,6))</f>
        <v>0</v>
      </c>
      <c r="Y823" s="218">
        <f>IF(ISBLANK(INDEX(MO_IS_FirstRow,0,COLUMN())),0,ROUND(Y288-Y426,6))</f>
        <v>0</v>
      </c>
      <c r="Z823" s="218">
        <f>IF(ISBLANK(INDEX(MO_IS_FirstRow,0,COLUMN())),0,ROUND(Z288-Z426,6))</f>
        <v>0</v>
      </c>
      <c r="AA823" s="218">
        <f>IF(ISBLANK(INDEX(MO_IS_FirstRow,0,COLUMN())),0,ROUND(AA288-AA426,6))</f>
        <v>0</v>
      </c>
      <c r="AB823" s="218">
        <f>IF(ISBLANK(INDEX(MO_IS_FirstRow,0,COLUMN())),0,ROUND(AB288-AB426,6))</f>
        <v>0</v>
      </c>
      <c r="AC823" s="218">
        <f>IF(ISBLANK(INDEX(MO_IS_FirstRow,0,COLUMN())),0,ROUND(AC288-AC426,6))</f>
        <v>0</v>
      </c>
      <c r="AD823" s="218">
        <f>IF(ISBLANK(INDEX(MO_IS_FirstRow,0,COLUMN())),0,ROUND(AD288-AD426,6))</f>
        <v>0</v>
      </c>
      <c r="AE823" s="218">
        <f>IF(ISBLANK(INDEX(MO_IS_FirstRow,0,COLUMN())),0,ROUND(AE288-AE426,6))</f>
        <v>0</v>
      </c>
      <c r="AF823" s="218">
        <f>IF(ISBLANK(INDEX(MO_IS_FirstRow,0,COLUMN())),0,ROUND(AF288-AF426,6))</f>
        <v>0</v>
      </c>
      <c r="AG823" s="218">
        <f>IF(ISBLANK(INDEX(MO_IS_FirstRow,0,COLUMN())),0,ROUND(AG288-AG426,6))</f>
        <v>0</v>
      </c>
      <c r="AH823" s="218">
        <f>IF(ISBLANK(INDEX(MO_IS_FirstRow,0,COLUMN())),0,ROUND(AH288-AH426,6))</f>
        <v>0</v>
      </c>
      <c r="AI823" s="218">
        <f>IF(ISBLANK(INDEX(MO_IS_FirstRow,0,COLUMN())),0,ROUND(AI288-AI426,6))</f>
        <v>0</v>
      </c>
      <c r="AJ823" s="218">
        <f>IF(ISBLANK(INDEX(MO_IS_FirstRow,0,COLUMN())),0,ROUND(AJ288-AJ426,6))</f>
        <v>0</v>
      </c>
      <c r="AK823" s="218">
        <f>IF(ISBLANK(INDEX(MO_IS_FirstRow,0,COLUMN())),0,ROUND(AK288-AK426,6))</f>
        <v>0</v>
      </c>
      <c r="AL823" s="218">
        <f>IF(ISBLANK(INDEX(MO_IS_FirstRow,0,COLUMN())),0,ROUND(AL288-AL426,6))</f>
        <v>0</v>
      </c>
      <c r="AM823" s="218">
        <f>IF(ISBLANK(INDEX(MO_IS_FirstRow,0,COLUMN())),0,ROUND(AM288-AM426,6))</f>
        <v>0</v>
      </c>
      <c r="AN823" s="218">
        <f>IF(ISBLANK(INDEX(MO_IS_FirstRow,0,COLUMN())),0,ROUND(AN288-AN426,6))</f>
        <v>0</v>
      </c>
      <c r="AO823" s="218">
        <f>IF(ISBLANK(INDEX(MO_IS_FirstRow,0,COLUMN())),0,ROUND(AO288-AO426,6))</f>
        <v>0</v>
      </c>
      <c r="AP823" s="218">
        <f>IF(ISBLANK(INDEX(MO_IS_FirstRow,0,COLUMN())),0,ROUND(AP288-AP426,6))</f>
        <v>0</v>
      </c>
      <c r="AQ823" s="218">
        <f>IF(ISBLANK(INDEX(MO_IS_FirstRow,0,COLUMN())),0,ROUND(AQ288-AQ426,6))</f>
        <v>0</v>
      </c>
      <c r="AR823" s="218">
        <f>IF(ISBLANK(INDEX(MO_IS_FirstRow,0,COLUMN())),0,ROUND(AR288-AR426,6))</f>
        <v>0</v>
      </c>
      <c r="AS823" s="218">
        <f>IF(ISBLANK(INDEX(MO_IS_FirstRow,0,COLUMN())),0,ROUND(AS288-AS426,6))</f>
        <v>0</v>
      </c>
      <c r="AT823" s="218">
        <f>IF(ISBLANK(INDEX(MO_IS_FirstRow,0,COLUMN())),0,ROUND(AT288-AT426,6))</f>
        <v>0</v>
      </c>
      <c r="AU823" s="218">
        <f>IF(ISBLANK(INDEX(MO_IS_FirstRow,0,COLUMN())),0,ROUND(AU288-AU426,6))</f>
        <v>0</v>
      </c>
      <c r="AV823" s="218">
        <f>IF(ISBLANK(INDEX(MO_IS_FirstRow,0,COLUMN())),0,ROUND(AV288-AV426,6))</f>
        <v>0</v>
      </c>
      <c r="AW823" s="218">
        <f>IF(ISBLANK(INDEX(MO_IS_FirstRow,0,COLUMN())),0,ROUND(AW288-AW426,6))</f>
        <v>0</v>
      </c>
      <c r="AX823" s="218">
        <f>IF(ISBLANK(INDEX(MO_IS_FirstRow,0,COLUMN())),0,ROUND(AX288-AX426,6))</f>
        <v>0</v>
      </c>
      <c r="AY823" s="218">
        <f>IF(ISBLANK(INDEX(MO_IS_FirstRow,0,COLUMN())),0,ROUND(AY288-AY426,6))</f>
        <v>0</v>
      </c>
      <c r="AZ823" s="218">
        <f>IF(ISBLANK(INDEX(MO_IS_FirstRow,0,COLUMN())),0,ROUND(AZ288-AZ426,6))</f>
        <v>0</v>
      </c>
      <c r="BA823" s="218">
        <f>IF(ISBLANK(INDEX(MO_IS_FirstRow,0,COLUMN())),0,ROUND(BA288-BA426,6))</f>
        <v>0</v>
      </c>
      <c r="BB823" s="218">
        <f>IF(ISBLANK(INDEX(MO_IS_FirstRow,0,COLUMN())),0,ROUND(BB288-BB426,6))</f>
        <v>0</v>
      </c>
      <c r="BC823" s="218">
        <f>IF(ISBLANK(INDEX(MO_IS_FirstRow,0,COLUMN())),0,ROUND(BC288-BC426,6))</f>
        <v>0</v>
      </c>
      <c r="BD823" s="218">
        <f>IF(ISBLANK(INDEX(MO_IS_FirstRow,0,COLUMN())),0,ROUND(BD288-BD426,6))</f>
        <v>0</v>
      </c>
      <c r="BE823" s="218">
        <f>IF(ISBLANK(INDEX(MO_IS_FirstRow,0,COLUMN())),0,ROUND(BE288-BE426,6))</f>
        <v>0</v>
      </c>
      <c r="BF823" s="218">
        <f>IF(ISBLANK(INDEX(MO_IS_FirstRow,0,COLUMN())),0,ROUND(BF288-BF426,6))</f>
        <v>0</v>
      </c>
      <c r="BG823" s="218">
        <f>IF(ISBLANK(INDEX(MO_IS_FirstRow,0,COLUMN())),0,ROUND(BG288-BG426,6))</f>
        <v>0</v>
      </c>
      <c r="BH823" s="218">
        <f>IF(ISBLANK(INDEX(MO_IS_FirstRow,0,COLUMN())),0,ROUND(BH288-BH426,6))</f>
        <v>0</v>
      </c>
      <c r="BI823" s="218">
        <f>IF(ISBLANK(INDEX(MO_IS_FirstRow,0,COLUMN())),0,ROUND(BI288-BI426,6))</f>
        <v>0</v>
      </c>
      <c r="BJ823" s="218">
        <f>IF(ISBLANK(INDEX(MO_IS_FirstRow,0,COLUMN())),0,ROUND(BJ288-BJ426,6))</f>
        <v>0</v>
      </c>
      <c r="BK823" s="218">
        <f>IF(ISBLANK(INDEX(MO_IS_FirstRow,0,COLUMN())),0,ROUND(BK288-BK426,6))</f>
        <v>0</v>
      </c>
      <c r="BL823" s="218">
        <f>IF(ISBLANK(INDEX(MO_IS_FirstRow,0,COLUMN())),0,ROUND(BL288-BL426,6))</f>
        <v>0</v>
      </c>
      <c r="BM823" s="218">
        <f>IF(ISBLANK(INDEX(MO_IS_FirstRow,0,COLUMN())),0,ROUND(BM288-BM426,6))</f>
        <v>0</v>
      </c>
      <c r="BN823" s="218">
        <f>IF(ISBLANK(INDEX(MO_IS_FirstRow,0,COLUMN())),0,ROUND(BN288-BN426,6))</f>
        <v>0</v>
      </c>
      <c r="BO823" s="218">
        <f>IF(ISBLANK(INDEX(MO_IS_FirstRow,0,COLUMN())),0,ROUND(BO288-BO426,6))</f>
        <v>0</v>
      </c>
      <c r="BP823" s="218">
        <f>IF(ISBLANK(INDEX(MO_IS_FirstRow,0,COLUMN())),0,ROUND(BP288-BP426,6))</f>
        <v>0</v>
      </c>
      <c r="BQ823" s="218">
        <f>IF(ISBLANK(INDEX(MO_IS_FirstRow,0,COLUMN())),0,ROUND(BQ288-BQ426,6))</f>
        <v>0</v>
      </c>
      <c r="BR823" s="218">
        <f>IF(ISBLANK(INDEX(MO_IS_FirstRow,0,COLUMN())),0,ROUND(BR288-BR426,6))</f>
        <v>0</v>
      </c>
      <c r="BS823" s="515">
        <f>IF(ISBLANK(INDEX(MO_IS_FirstRow,0,COLUMN())),0,ROUND(BS288-BS426,6))</f>
        <v>0</v>
      </c>
      <c r="BT823" s="218">
        <f>IF(ISBLANK(INDEX(MO_IS_FirstRow,0,COLUMN())),0,ROUND(BT288-BT426,6))</f>
        <v>-126.02424999999999</v>
      </c>
      <c r="BU823" s="218">
        <f>IF(ISBLANK(INDEX(MO_IS_FirstRow,0,COLUMN())),0,ROUND(BU288-BU426,6))</f>
        <v>-170.59325899999999</v>
      </c>
      <c r="BV823" s="218">
        <f>IF(ISBLANK(INDEX(MO_IS_FirstRow,0,COLUMN())),0,ROUND(BV288-BV426,6))</f>
        <v>-176.933527</v>
      </c>
      <c r="BW823" s="218">
        <f>IF(ISBLANK(INDEX(MO_IS_FirstRow,0,COLUMN())),0,ROUND(BW288-BW426,6))</f>
        <v>-173.961366</v>
      </c>
      <c r="BX823" s="218">
        <f>IF(ISBLANK(INDEX(MO_IS_FirstRow,0,COLUMN())),0,ROUND(BX288-BX426,6))</f>
        <v>-647.51240199999995</v>
      </c>
      <c r="BY823" s="218">
        <f>IF(ISBLANK(INDEX(MO_IS_FirstRow,0,COLUMN())),0,ROUND(BY288-BY426,6))</f>
        <v>-144.88675799999999</v>
      </c>
      <c r="BZ823" s="218">
        <f>IF(ISBLANK(INDEX(MO_IS_FirstRow,0,COLUMN())),0,ROUND(BZ288-BZ426,6))</f>
        <v>-172.250204</v>
      </c>
      <c r="CA823" s="218">
        <f>IF(ISBLANK(INDEX(MO_IS_FirstRow,0,COLUMN())),0,ROUND(CA288-CA426,6))</f>
        <v>-178.68827899999999</v>
      </c>
      <c r="CB823" s="218">
        <f>IF(ISBLANK(INDEX(MO_IS_FirstRow,0,COLUMN())),0,ROUND(CB288-CB426,6))</f>
        <v>-175.598467</v>
      </c>
      <c r="CC823" s="218">
        <f>IF(ISBLANK(INDEX(MO_IS_FirstRow,0,COLUMN())),0,ROUND(CC288-CC426,6))</f>
        <v>-671.42370800000003</v>
      </c>
      <c r="CD823" s="218">
        <f>IF(ISBLANK(INDEX(MO_IS_FirstRow,0,COLUMN())),0,ROUND(CD288-CD426,6))</f>
        <v>-679.06901400000004</v>
      </c>
      <c r="CE823" s="218">
        <f>IF(ISBLANK(INDEX(MO_IS_FirstRow,0,COLUMN())),0,ROUND(CE288-CE426,6))</f>
        <v>-686.83831099999998</v>
      </c>
      <c r="CF823" s="218">
        <f>IF(ISBLANK(INDEX(MO_IS_FirstRow,0,COLUMN())),0,ROUND(CF288-CF426,6))</f>
        <v>-694.73393199999998</v>
      </c>
      <c r="CG823" s="99"/>
    </row>
    <row r="824" spans="1:85" ht="14.45" customHeight="1" x14ac:dyDescent="0.25">
      <c r="A824" s="99" t="s">
        <v>741</v>
      </c>
      <c r="B824" s="127"/>
      <c r="C824" s="218">
        <f t="shared" ref="C824:AH824" si="790">IF(C505&lt;0,C505,0)</f>
        <v>0</v>
      </c>
      <c r="D824" s="218">
        <f t="shared" si="790"/>
        <v>0</v>
      </c>
      <c r="E824" s="218">
        <f t="shared" si="790"/>
        <v>0</v>
      </c>
      <c r="F824" s="218">
        <f t="shared" si="790"/>
        <v>0</v>
      </c>
      <c r="G824" s="218">
        <f t="shared" si="790"/>
        <v>0</v>
      </c>
      <c r="H824" s="218">
        <f t="shared" si="790"/>
        <v>0</v>
      </c>
      <c r="I824" s="218">
        <f t="shared" si="790"/>
        <v>0</v>
      </c>
      <c r="J824" s="218">
        <f t="shared" si="790"/>
        <v>0</v>
      </c>
      <c r="K824" s="218">
        <f t="shared" si="790"/>
        <v>0</v>
      </c>
      <c r="L824" s="218">
        <f t="shared" si="790"/>
        <v>0</v>
      </c>
      <c r="M824" s="218">
        <f t="shared" si="790"/>
        <v>0</v>
      </c>
      <c r="N824" s="218">
        <f t="shared" si="790"/>
        <v>0</v>
      </c>
      <c r="O824" s="218">
        <f t="shared" si="790"/>
        <v>0</v>
      </c>
      <c r="P824" s="218">
        <f t="shared" si="790"/>
        <v>0</v>
      </c>
      <c r="Q824" s="218">
        <f t="shared" si="790"/>
        <v>0</v>
      </c>
      <c r="R824" s="218">
        <f t="shared" si="790"/>
        <v>0</v>
      </c>
      <c r="S824" s="218">
        <f t="shared" si="790"/>
        <v>0</v>
      </c>
      <c r="T824" s="218">
        <f t="shared" si="790"/>
        <v>0</v>
      </c>
      <c r="U824" s="218">
        <f t="shared" si="790"/>
        <v>0</v>
      </c>
      <c r="V824" s="218">
        <f t="shared" si="790"/>
        <v>0</v>
      </c>
      <c r="W824" s="218">
        <f t="shared" si="790"/>
        <v>0</v>
      </c>
      <c r="X824" s="218">
        <f t="shared" si="790"/>
        <v>0</v>
      </c>
      <c r="Y824" s="218">
        <f t="shared" si="790"/>
        <v>0</v>
      </c>
      <c r="Z824" s="218">
        <f t="shared" si="790"/>
        <v>0</v>
      </c>
      <c r="AA824" s="218">
        <f t="shared" si="790"/>
        <v>0</v>
      </c>
      <c r="AB824" s="218">
        <f t="shared" si="790"/>
        <v>0</v>
      </c>
      <c r="AC824" s="218">
        <f t="shared" si="790"/>
        <v>0</v>
      </c>
      <c r="AD824" s="218">
        <f t="shared" si="790"/>
        <v>0</v>
      </c>
      <c r="AE824" s="218">
        <f t="shared" si="790"/>
        <v>0</v>
      </c>
      <c r="AF824" s="218">
        <f t="shared" si="790"/>
        <v>0</v>
      </c>
      <c r="AG824" s="218">
        <f t="shared" si="790"/>
        <v>0</v>
      </c>
      <c r="AH824" s="218">
        <f t="shared" si="790"/>
        <v>0</v>
      </c>
      <c r="AI824" s="218">
        <f t="shared" ref="AI824:BN824" si="791">IF(AI505&lt;0,AI505,0)</f>
        <v>0</v>
      </c>
      <c r="AJ824" s="218">
        <f t="shared" si="791"/>
        <v>0</v>
      </c>
      <c r="AK824" s="218">
        <f t="shared" si="791"/>
        <v>0</v>
      </c>
      <c r="AL824" s="218">
        <f t="shared" si="791"/>
        <v>0</v>
      </c>
      <c r="AM824" s="218">
        <f t="shared" si="791"/>
        <v>0</v>
      </c>
      <c r="AN824" s="218">
        <f t="shared" si="791"/>
        <v>0</v>
      </c>
      <c r="AO824" s="218">
        <f t="shared" si="791"/>
        <v>0</v>
      </c>
      <c r="AP824" s="218">
        <f t="shared" si="791"/>
        <v>0</v>
      </c>
      <c r="AQ824" s="218">
        <f t="shared" si="791"/>
        <v>0</v>
      </c>
      <c r="AR824" s="218">
        <f t="shared" si="791"/>
        <v>0</v>
      </c>
      <c r="AS824" s="218">
        <f t="shared" si="791"/>
        <v>0</v>
      </c>
      <c r="AT824" s="218">
        <f t="shared" si="791"/>
        <v>0</v>
      </c>
      <c r="AU824" s="218">
        <f t="shared" si="791"/>
        <v>0</v>
      </c>
      <c r="AV824" s="218">
        <f t="shared" si="791"/>
        <v>0</v>
      </c>
      <c r="AW824" s="218">
        <f t="shared" si="791"/>
        <v>0</v>
      </c>
      <c r="AX824" s="218">
        <f t="shared" si="791"/>
        <v>0</v>
      </c>
      <c r="AY824" s="218">
        <f t="shared" si="791"/>
        <v>0</v>
      </c>
      <c r="AZ824" s="218">
        <f t="shared" si="791"/>
        <v>0</v>
      </c>
      <c r="BA824" s="218">
        <f t="shared" si="791"/>
        <v>0</v>
      </c>
      <c r="BB824" s="218">
        <f t="shared" si="791"/>
        <v>0</v>
      </c>
      <c r="BC824" s="218">
        <f t="shared" si="791"/>
        <v>0</v>
      </c>
      <c r="BD824" s="218">
        <f t="shared" si="791"/>
        <v>0</v>
      </c>
      <c r="BE824" s="218">
        <f t="shared" si="791"/>
        <v>0</v>
      </c>
      <c r="BF824" s="218">
        <f t="shared" si="791"/>
        <v>0</v>
      </c>
      <c r="BG824" s="218">
        <f t="shared" si="791"/>
        <v>0</v>
      </c>
      <c r="BH824" s="218">
        <f t="shared" si="791"/>
        <v>0</v>
      </c>
      <c r="BI824" s="218">
        <f t="shared" si="791"/>
        <v>0</v>
      </c>
      <c r="BJ824" s="218">
        <f t="shared" si="791"/>
        <v>0</v>
      </c>
      <c r="BK824" s="218">
        <f t="shared" si="791"/>
        <v>0</v>
      </c>
      <c r="BL824" s="218">
        <f t="shared" si="791"/>
        <v>0</v>
      </c>
      <c r="BM824" s="218">
        <f t="shared" si="791"/>
        <v>0</v>
      </c>
      <c r="BN824" s="218">
        <f t="shared" si="791"/>
        <v>0</v>
      </c>
      <c r="BO824" s="218">
        <f t="shared" ref="BO824:CF824" si="792">IF(BO505&lt;0,BO505,0)</f>
        <v>0</v>
      </c>
      <c r="BP824" s="218">
        <f t="shared" si="792"/>
        <v>0</v>
      </c>
      <c r="BQ824" s="218">
        <f t="shared" si="792"/>
        <v>0</v>
      </c>
      <c r="BR824" s="218">
        <f t="shared" si="792"/>
        <v>0</v>
      </c>
      <c r="BS824" s="515">
        <f t="shared" si="792"/>
        <v>0</v>
      </c>
      <c r="BT824" s="218" t="e">
        <f t="shared" si="792"/>
        <v>#NAME?</v>
      </c>
      <c r="BU824" s="218" t="e">
        <f t="shared" si="792"/>
        <v>#NAME?</v>
      </c>
      <c r="BV824" s="218" t="e">
        <f t="shared" si="792"/>
        <v>#NAME?</v>
      </c>
      <c r="BW824" s="218" t="e">
        <f t="shared" si="792"/>
        <v>#NAME?</v>
      </c>
      <c r="BX824" s="218" t="e">
        <f t="shared" si="792"/>
        <v>#NAME?</v>
      </c>
      <c r="BY824" s="218" t="e">
        <f t="shared" si="792"/>
        <v>#NAME?</v>
      </c>
      <c r="BZ824" s="218" t="e">
        <f t="shared" si="792"/>
        <v>#NAME?</v>
      </c>
      <c r="CA824" s="218" t="e">
        <f t="shared" si="792"/>
        <v>#NAME?</v>
      </c>
      <c r="CB824" s="218" t="e">
        <f t="shared" si="792"/>
        <v>#NAME?</v>
      </c>
      <c r="CC824" s="218" t="e">
        <f t="shared" si="792"/>
        <v>#NAME?</v>
      </c>
      <c r="CD824" s="218" t="e">
        <f t="shared" si="792"/>
        <v>#NAME?</v>
      </c>
      <c r="CE824" s="218" t="e">
        <f t="shared" si="792"/>
        <v>#NAME?</v>
      </c>
      <c r="CF824" s="218" t="e">
        <f t="shared" si="792"/>
        <v>#NAME?</v>
      </c>
      <c r="CG824" s="99"/>
    </row>
    <row r="825" spans="1:85" ht="14.45" customHeight="1" x14ac:dyDescent="0.25">
      <c r="A825" s="99" t="s">
        <v>742</v>
      </c>
      <c r="B825" s="127"/>
      <c r="C825" s="218">
        <f t="shared" ref="C825:AH825" si="793">IF(C508&lt;0,C508,0)</f>
        <v>0</v>
      </c>
      <c r="D825" s="218">
        <f t="shared" si="793"/>
        <v>0</v>
      </c>
      <c r="E825" s="218">
        <f t="shared" si="793"/>
        <v>0</v>
      </c>
      <c r="F825" s="218">
        <f t="shared" si="793"/>
        <v>0</v>
      </c>
      <c r="G825" s="218">
        <f t="shared" si="793"/>
        <v>0</v>
      </c>
      <c r="H825" s="218">
        <f t="shared" si="793"/>
        <v>0</v>
      </c>
      <c r="I825" s="218">
        <f t="shared" si="793"/>
        <v>0</v>
      </c>
      <c r="J825" s="218">
        <f t="shared" si="793"/>
        <v>0</v>
      </c>
      <c r="K825" s="218">
        <f t="shared" si="793"/>
        <v>0</v>
      </c>
      <c r="L825" s="218">
        <f t="shared" si="793"/>
        <v>0</v>
      </c>
      <c r="M825" s="218">
        <f t="shared" si="793"/>
        <v>0</v>
      </c>
      <c r="N825" s="218">
        <f t="shared" si="793"/>
        <v>0</v>
      </c>
      <c r="O825" s="218">
        <f t="shared" si="793"/>
        <v>0</v>
      </c>
      <c r="P825" s="218">
        <f t="shared" si="793"/>
        <v>0</v>
      </c>
      <c r="Q825" s="218">
        <f t="shared" si="793"/>
        <v>0</v>
      </c>
      <c r="R825" s="218">
        <f t="shared" si="793"/>
        <v>0</v>
      </c>
      <c r="S825" s="218">
        <f t="shared" si="793"/>
        <v>0</v>
      </c>
      <c r="T825" s="218">
        <f t="shared" si="793"/>
        <v>0</v>
      </c>
      <c r="U825" s="218">
        <f t="shared" si="793"/>
        <v>0</v>
      </c>
      <c r="V825" s="218">
        <f t="shared" si="793"/>
        <v>0</v>
      </c>
      <c r="W825" s="218">
        <f t="shared" si="793"/>
        <v>0</v>
      </c>
      <c r="X825" s="218">
        <f t="shared" si="793"/>
        <v>0</v>
      </c>
      <c r="Y825" s="218">
        <f t="shared" si="793"/>
        <v>0</v>
      </c>
      <c r="Z825" s="218">
        <f t="shared" si="793"/>
        <v>0</v>
      </c>
      <c r="AA825" s="218">
        <f t="shared" si="793"/>
        <v>0</v>
      </c>
      <c r="AB825" s="218">
        <f t="shared" si="793"/>
        <v>0</v>
      </c>
      <c r="AC825" s="218">
        <f t="shared" si="793"/>
        <v>0</v>
      </c>
      <c r="AD825" s="218">
        <f t="shared" si="793"/>
        <v>0</v>
      </c>
      <c r="AE825" s="218">
        <f t="shared" si="793"/>
        <v>0</v>
      </c>
      <c r="AF825" s="218">
        <f t="shared" si="793"/>
        <v>0</v>
      </c>
      <c r="AG825" s="218">
        <f t="shared" si="793"/>
        <v>0</v>
      </c>
      <c r="AH825" s="218">
        <f t="shared" si="793"/>
        <v>0</v>
      </c>
      <c r="AI825" s="218">
        <f t="shared" ref="AI825:BN825" si="794">IF(AI508&lt;0,AI508,0)</f>
        <v>0</v>
      </c>
      <c r="AJ825" s="218">
        <f t="shared" si="794"/>
        <v>0</v>
      </c>
      <c r="AK825" s="218">
        <f t="shared" si="794"/>
        <v>0</v>
      </c>
      <c r="AL825" s="218">
        <f t="shared" si="794"/>
        <v>0</v>
      </c>
      <c r="AM825" s="218">
        <f t="shared" si="794"/>
        <v>0</v>
      </c>
      <c r="AN825" s="218">
        <f t="shared" si="794"/>
        <v>0</v>
      </c>
      <c r="AO825" s="218">
        <f t="shared" si="794"/>
        <v>0</v>
      </c>
      <c r="AP825" s="218">
        <f t="shared" si="794"/>
        <v>0</v>
      </c>
      <c r="AQ825" s="218">
        <f t="shared" si="794"/>
        <v>0</v>
      </c>
      <c r="AR825" s="218">
        <f t="shared" si="794"/>
        <v>0</v>
      </c>
      <c r="AS825" s="218">
        <f t="shared" si="794"/>
        <v>0</v>
      </c>
      <c r="AT825" s="218">
        <f t="shared" si="794"/>
        <v>0</v>
      </c>
      <c r="AU825" s="218">
        <f t="shared" si="794"/>
        <v>0</v>
      </c>
      <c r="AV825" s="218">
        <f t="shared" si="794"/>
        <v>0</v>
      </c>
      <c r="AW825" s="218">
        <f t="shared" si="794"/>
        <v>0</v>
      </c>
      <c r="AX825" s="218">
        <f t="shared" si="794"/>
        <v>0</v>
      </c>
      <c r="AY825" s="218">
        <f t="shared" si="794"/>
        <v>0</v>
      </c>
      <c r="AZ825" s="218">
        <f t="shared" si="794"/>
        <v>0</v>
      </c>
      <c r="BA825" s="218">
        <f t="shared" si="794"/>
        <v>0</v>
      </c>
      <c r="BB825" s="218">
        <f t="shared" si="794"/>
        <v>0</v>
      </c>
      <c r="BC825" s="218">
        <f t="shared" si="794"/>
        <v>0</v>
      </c>
      <c r="BD825" s="218">
        <f t="shared" si="794"/>
        <v>0</v>
      </c>
      <c r="BE825" s="218">
        <f t="shared" si="794"/>
        <v>0</v>
      </c>
      <c r="BF825" s="218">
        <f t="shared" si="794"/>
        <v>0</v>
      </c>
      <c r="BG825" s="218">
        <f t="shared" si="794"/>
        <v>0</v>
      </c>
      <c r="BH825" s="218">
        <f t="shared" si="794"/>
        <v>0</v>
      </c>
      <c r="BI825" s="218">
        <f t="shared" si="794"/>
        <v>0</v>
      </c>
      <c r="BJ825" s="218">
        <f t="shared" si="794"/>
        <v>0</v>
      </c>
      <c r="BK825" s="218">
        <f t="shared" si="794"/>
        <v>0</v>
      </c>
      <c r="BL825" s="218">
        <f t="shared" si="794"/>
        <v>0</v>
      </c>
      <c r="BM825" s="218">
        <f t="shared" si="794"/>
        <v>0</v>
      </c>
      <c r="BN825" s="218">
        <f t="shared" si="794"/>
        <v>0</v>
      </c>
      <c r="BO825" s="218">
        <f t="shared" ref="BO825:CF825" si="795">IF(BO508&lt;0,BO508,0)</f>
        <v>0</v>
      </c>
      <c r="BP825" s="218">
        <f t="shared" si="795"/>
        <v>0</v>
      </c>
      <c r="BQ825" s="218">
        <f t="shared" si="795"/>
        <v>0</v>
      </c>
      <c r="BR825" s="218">
        <f t="shared" si="795"/>
        <v>0</v>
      </c>
      <c r="BS825" s="515">
        <f t="shared" si="795"/>
        <v>0</v>
      </c>
      <c r="BT825" s="218">
        <f t="shared" si="795"/>
        <v>0</v>
      </c>
      <c r="BU825" s="218">
        <f t="shared" si="795"/>
        <v>0</v>
      </c>
      <c r="BV825" s="218">
        <f t="shared" si="795"/>
        <v>0</v>
      </c>
      <c r="BW825" s="218">
        <f t="shared" si="795"/>
        <v>0</v>
      </c>
      <c r="BX825" s="218">
        <f t="shared" si="795"/>
        <v>0</v>
      </c>
      <c r="BY825" s="218">
        <f t="shared" si="795"/>
        <v>0</v>
      </c>
      <c r="BZ825" s="218">
        <f t="shared" si="795"/>
        <v>0</v>
      </c>
      <c r="CA825" s="218">
        <f t="shared" si="795"/>
        <v>0</v>
      </c>
      <c r="CB825" s="218">
        <f t="shared" si="795"/>
        <v>0</v>
      </c>
      <c r="CC825" s="218">
        <f t="shared" si="795"/>
        <v>0</v>
      </c>
      <c r="CD825" s="218">
        <f t="shared" si="795"/>
        <v>0</v>
      </c>
      <c r="CE825" s="218">
        <f t="shared" si="795"/>
        <v>0</v>
      </c>
      <c r="CF825" s="218">
        <f t="shared" si="795"/>
        <v>0</v>
      </c>
      <c r="CG825" s="99"/>
    </row>
    <row r="826" spans="1:85" ht="14.45" customHeight="1" x14ac:dyDescent="0.25">
      <c r="A826" s="99" t="s">
        <v>743</v>
      </c>
      <c r="B826" s="127"/>
      <c r="C826" s="218">
        <f t="shared" ref="C826:AH826" si="796">IF(ISBLANK(C25),0,ROUND(C401-C25,6))</f>
        <v>0</v>
      </c>
      <c r="D826" s="218">
        <f t="shared" si="796"/>
        <v>0</v>
      </c>
      <c r="E826" s="218">
        <f t="shared" si="796"/>
        <v>0</v>
      </c>
      <c r="F826" s="218">
        <f t="shared" si="796"/>
        <v>0</v>
      </c>
      <c r="G826" s="218">
        <f t="shared" si="796"/>
        <v>0</v>
      </c>
      <c r="H826" s="218">
        <f t="shared" si="796"/>
        <v>0</v>
      </c>
      <c r="I826" s="218">
        <f t="shared" si="796"/>
        <v>0</v>
      </c>
      <c r="J826" s="218">
        <f t="shared" si="796"/>
        <v>0</v>
      </c>
      <c r="K826" s="218">
        <f t="shared" si="796"/>
        <v>0</v>
      </c>
      <c r="L826" s="218">
        <f t="shared" si="796"/>
        <v>0</v>
      </c>
      <c r="M826" s="218">
        <f t="shared" si="796"/>
        <v>0</v>
      </c>
      <c r="N826" s="218">
        <f t="shared" si="796"/>
        <v>0</v>
      </c>
      <c r="O826" s="218">
        <f t="shared" si="796"/>
        <v>0</v>
      </c>
      <c r="P826" s="218">
        <f t="shared" si="796"/>
        <v>0</v>
      </c>
      <c r="Q826" s="218">
        <f t="shared" si="796"/>
        <v>0</v>
      </c>
      <c r="R826" s="218">
        <f t="shared" si="796"/>
        <v>0</v>
      </c>
      <c r="S826" s="218">
        <f t="shared" si="796"/>
        <v>0</v>
      </c>
      <c r="T826" s="218">
        <f t="shared" si="796"/>
        <v>0</v>
      </c>
      <c r="U826" s="218">
        <f t="shared" si="796"/>
        <v>0</v>
      </c>
      <c r="V826" s="218">
        <f t="shared" si="796"/>
        <v>0</v>
      </c>
      <c r="W826" s="218">
        <f t="shared" si="796"/>
        <v>0</v>
      </c>
      <c r="X826" s="218">
        <f t="shared" si="796"/>
        <v>0</v>
      </c>
      <c r="Y826" s="218">
        <f t="shared" si="796"/>
        <v>0</v>
      </c>
      <c r="Z826" s="218">
        <f t="shared" si="796"/>
        <v>0</v>
      </c>
      <c r="AA826" s="218">
        <f t="shared" si="796"/>
        <v>0</v>
      </c>
      <c r="AB826" s="218">
        <f t="shared" si="796"/>
        <v>0</v>
      </c>
      <c r="AC826" s="218">
        <f t="shared" si="796"/>
        <v>0</v>
      </c>
      <c r="AD826" s="218">
        <f t="shared" si="796"/>
        <v>0</v>
      </c>
      <c r="AE826" s="218">
        <f t="shared" si="796"/>
        <v>0</v>
      </c>
      <c r="AF826" s="218">
        <f t="shared" si="796"/>
        <v>0</v>
      </c>
      <c r="AG826" s="218">
        <f t="shared" si="796"/>
        <v>0</v>
      </c>
      <c r="AH826" s="218">
        <f t="shared" si="796"/>
        <v>0</v>
      </c>
      <c r="AI826" s="218">
        <f t="shared" ref="AI826:BN826" si="797">IF(ISBLANK(AI25),0,ROUND(AI401-AI25,6))</f>
        <v>0</v>
      </c>
      <c r="AJ826" s="218">
        <f t="shared" si="797"/>
        <v>0</v>
      </c>
      <c r="AK826" s="218">
        <f t="shared" si="797"/>
        <v>0</v>
      </c>
      <c r="AL826" s="218">
        <f t="shared" si="797"/>
        <v>0</v>
      </c>
      <c r="AM826" s="218">
        <f t="shared" si="797"/>
        <v>0</v>
      </c>
      <c r="AN826" s="218">
        <f t="shared" si="797"/>
        <v>0</v>
      </c>
      <c r="AO826" s="218">
        <f t="shared" si="797"/>
        <v>0</v>
      </c>
      <c r="AP826" s="218">
        <f t="shared" si="797"/>
        <v>0</v>
      </c>
      <c r="AQ826" s="218">
        <f t="shared" si="797"/>
        <v>0</v>
      </c>
      <c r="AR826" s="218">
        <f t="shared" si="797"/>
        <v>0</v>
      </c>
      <c r="AS826" s="218">
        <f t="shared" si="797"/>
        <v>0</v>
      </c>
      <c r="AT826" s="218">
        <f t="shared" si="797"/>
        <v>0</v>
      </c>
      <c r="AU826" s="218">
        <f t="shared" si="797"/>
        <v>0</v>
      </c>
      <c r="AV826" s="218">
        <f t="shared" si="797"/>
        <v>0</v>
      </c>
      <c r="AW826" s="218">
        <f t="shared" si="797"/>
        <v>0</v>
      </c>
      <c r="AX826" s="218">
        <f t="shared" si="797"/>
        <v>0</v>
      </c>
      <c r="AY826" s="218">
        <f t="shared" si="797"/>
        <v>0</v>
      </c>
      <c r="AZ826" s="218">
        <f t="shared" si="797"/>
        <v>0</v>
      </c>
      <c r="BA826" s="218">
        <f t="shared" si="797"/>
        <v>0</v>
      </c>
      <c r="BB826" s="218">
        <f t="shared" si="797"/>
        <v>0</v>
      </c>
      <c r="BC826" s="218">
        <f t="shared" si="797"/>
        <v>0</v>
      </c>
      <c r="BD826" s="218">
        <f t="shared" si="797"/>
        <v>0</v>
      </c>
      <c r="BE826" s="218">
        <f t="shared" si="797"/>
        <v>0</v>
      </c>
      <c r="BF826" s="218">
        <f t="shared" si="797"/>
        <v>0</v>
      </c>
      <c r="BG826" s="218">
        <f t="shared" si="797"/>
        <v>0</v>
      </c>
      <c r="BH826" s="218">
        <f t="shared" si="797"/>
        <v>0</v>
      </c>
      <c r="BI826" s="218">
        <f t="shared" si="797"/>
        <v>0</v>
      </c>
      <c r="BJ826" s="218">
        <f t="shared" si="797"/>
        <v>0</v>
      </c>
      <c r="BK826" s="218">
        <f t="shared" si="797"/>
        <v>0</v>
      </c>
      <c r="BL826" s="218">
        <f t="shared" si="797"/>
        <v>0</v>
      </c>
      <c r="BM826" s="218">
        <f t="shared" si="797"/>
        <v>0</v>
      </c>
      <c r="BN826" s="218">
        <f t="shared" si="797"/>
        <v>0</v>
      </c>
      <c r="BO826" s="218">
        <f t="shared" ref="BO826:CF826" si="798">IF(ISBLANK(BO25),0,ROUND(BO401-BO25,6))</f>
        <v>0</v>
      </c>
      <c r="BP826" s="218">
        <f t="shared" si="798"/>
        <v>0</v>
      </c>
      <c r="BQ826" s="218">
        <f t="shared" si="798"/>
        <v>0</v>
      </c>
      <c r="BR826" s="218">
        <f t="shared" si="798"/>
        <v>0</v>
      </c>
      <c r="BS826" s="515">
        <f t="shared" si="798"/>
        <v>0</v>
      </c>
      <c r="BT826" s="218">
        <f t="shared" si="798"/>
        <v>0</v>
      </c>
      <c r="BU826" s="218">
        <f t="shared" si="798"/>
        <v>0</v>
      </c>
      <c r="BV826" s="218">
        <f t="shared" si="798"/>
        <v>0</v>
      </c>
      <c r="BW826" s="218">
        <f t="shared" si="798"/>
        <v>0</v>
      </c>
      <c r="BX826" s="218">
        <f t="shared" si="798"/>
        <v>0</v>
      </c>
      <c r="BY826" s="218">
        <f t="shared" si="798"/>
        <v>0</v>
      </c>
      <c r="BZ826" s="218">
        <f t="shared" si="798"/>
        <v>0</v>
      </c>
      <c r="CA826" s="218">
        <f t="shared" si="798"/>
        <v>0</v>
      </c>
      <c r="CB826" s="218">
        <f t="shared" si="798"/>
        <v>0</v>
      </c>
      <c r="CC826" s="218">
        <f t="shared" si="798"/>
        <v>0</v>
      </c>
      <c r="CD826" s="218">
        <f t="shared" si="798"/>
        <v>0</v>
      </c>
      <c r="CE826" s="218">
        <f t="shared" si="798"/>
        <v>0</v>
      </c>
      <c r="CF826" s="218">
        <f t="shared" si="798"/>
        <v>0</v>
      </c>
      <c r="CG826" s="99"/>
    </row>
    <row r="827" spans="1:85" ht="14.45" customHeight="1" x14ac:dyDescent="0.25">
      <c r="A827" s="99" t="s">
        <v>744</v>
      </c>
      <c r="B827" s="127"/>
      <c r="C827" s="218">
        <f>IF(ISBLANK(INDEX(MO_IS_FirstRow,0,COLUMN())),0,IF(OR(C711=B711,C711=D711),"CHECK",0))</f>
        <v>0</v>
      </c>
      <c r="D827" s="218">
        <f>IF(ISBLANK(INDEX(MO_IS_FirstRow,0,COLUMN())),0,IF(OR(D711=C711,D711=E711),"CHECK",0))</f>
        <v>0</v>
      </c>
      <c r="E827" s="218">
        <f>IF(ISBLANK(INDEX(MO_IS_FirstRow,0,COLUMN())),0,IF(OR(E711=D711,E711=F711),"CHECK",0))</f>
        <v>0</v>
      </c>
      <c r="F827" s="218">
        <f>IF(ISBLANK(INDEX(MO_IS_FirstRow,0,COLUMN())),0,IF(OR(F711=E711,F711=K711),"CHECK",0))</f>
        <v>0</v>
      </c>
      <c r="G827" s="218">
        <f>IF(ISBLANK(INDEX(MO_IS_FirstRow,0,COLUMN())),0,IF(OR(G711=B711,G711=H711,G711=E711),"CHECK",0))</f>
        <v>0</v>
      </c>
      <c r="H827" s="218">
        <f>IF(ISBLANK(INDEX(MO_IS_FirstRow,0,COLUMN())),0,IF(OR(H711=C711,H711=I711,H711=G711),"CHECK",0))</f>
        <v>0</v>
      </c>
      <c r="I827" s="218">
        <f>IF(ISBLANK(INDEX(MO_IS_FirstRow,0,COLUMN())),0,IF(OR(I711=D711,I711=J711,I711=H711),"CHECK",0))</f>
        <v>0</v>
      </c>
      <c r="J827" s="218">
        <f>IF(ISBLANK(INDEX(MO_IS_FirstRow,0,COLUMN())),0,IF(OR(J711=E711,J711=K711,J711=I711),"CHECK",0))</f>
        <v>0</v>
      </c>
      <c r="K827" s="218">
        <f>IF(ISBLANK(INDEX(MO_IS_FirstRow,0,COLUMN())),0,IF(K711=F711,"CHECK",0))</f>
        <v>0</v>
      </c>
      <c r="L827" s="218">
        <f>IF(ISBLANK(INDEX(MO_IS_FirstRow,0,COLUMN())),0,IF(OR(L711=G711,L711=M711,L711=J711),"CHECK",0))</f>
        <v>0</v>
      </c>
      <c r="M827" s="218">
        <f>IF(ISBLANK(INDEX(MO_IS_FirstRow,0,COLUMN())),0,IF(OR(M711=H711,M711=N711,M711=L711),"CHECK",0))</f>
        <v>0</v>
      </c>
      <c r="N827" s="218">
        <f>IF(ISBLANK(INDEX(MO_IS_FirstRow,0,COLUMN())),0,IF(OR(N711=I711,N711=O711,N711=M711),"CHECK",0))</f>
        <v>0</v>
      </c>
      <c r="O827" s="218">
        <f>IF(ISBLANK(INDEX(MO_IS_FirstRow,0,COLUMN())),0,IF(OR(O711=J711,O711=P711,O711=N711),"CHECK",0))</f>
        <v>0</v>
      </c>
      <c r="P827" s="218">
        <f>IF(ISBLANK(INDEX(MO_IS_FirstRow,0,COLUMN())),0,IF(P711=K711,"CHECK",0))</f>
        <v>0</v>
      </c>
      <c r="Q827" s="218">
        <f>IF(ISBLANK(INDEX(MO_IS_FirstRow,0,COLUMN())),0,IF(OR(Q711=L711,Q711=R711,Q711=O711),"CHECK",0))</f>
        <v>0</v>
      </c>
      <c r="R827" s="218">
        <f>IF(ISBLANK(INDEX(MO_IS_FirstRow,0,COLUMN())),0,IF(OR(R711=M711,R711=S711,R711=Q711),"CHECK",0))</f>
        <v>0</v>
      </c>
      <c r="S827" s="218">
        <f>IF(ISBLANK(INDEX(MO_IS_FirstRow,0,COLUMN())),0,IF(OR(S711=N711,S711=T711,S711=R711),"CHECK",0))</f>
        <v>0</v>
      </c>
      <c r="T827" s="218">
        <f>IF(ISBLANK(INDEX(MO_IS_FirstRow,0,COLUMN())),0,IF(OR(T711=O711,T711=U711,T711=S711),"CHECK",0))</f>
        <v>0</v>
      </c>
      <c r="U827" s="218">
        <f>IF(ISBLANK(INDEX(MO_IS_FirstRow,0,COLUMN())),0,IF(U711=P711,"CHECK",0))</f>
        <v>0</v>
      </c>
      <c r="V827" s="218">
        <f>IF(ISBLANK(INDEX(MO_IS_FirstRow,0,COLUMN())),0,IF(OR(V711=Q711,V711=W711,V711=T711),"CHECK",0))</f>
        <v>0</v>
      </c>
      <c r="W827" s="218">
        <f>IF(ISBLANK(INDEX(MO_IS_FirstRow,0,COLUMN())),0,IF(OR(W711=R711,W711=X711,W711=V711),"CHECK",0))</f>
        <v>0</v>
      </c>
      <c r="X827" s="218">
        <f>IF(ISBLANK(INDEX(MO_IS_FirstRow,0,COLUMN())),0,IF(OR(X711=S711,X711=Y711,X711=W711),"CHECK",0))</f>
        <v>0</v>
      </c>
      <c r="Y827" s="218">
        <f>IF(ISBLANK(INDEX(MO_IS_FirstRow,0,COLUMN())),0,IF(OR(Y711=T711,Y711=Z711,Y711=X711),"CHECK",0))</f>
        <v>0</v>
      </c>
      <c r="Z827" s="218">
        <f>IF(ISBLANK(INDEX(MO_IS_FirstRow,0,COLUMN())),0,IF(Z711=U711,"CHECK",0))</f>
        <v>0</v>
      </c>
      <c r="AA827" s="218">
        <f>IF(ISBLANK(INDEX(MO_IS_FirstRow,0,COLUMN())),0,IF(OR(AA711=V711,AA711=AB711,AA711=Y711),"CHECK",0))</f>
        <v>0</v>
      </c>
      <c r="AB827" s="218">
        <f>IF(ISBLANK(INDEX(MO_IS_FirstRow,0,COLUMN())),0,IF(OR(AB711=W711,AB711=AC711,AB711=AA711),"CHECK",0))</f>
        <v>0</v>
      </c>
      <c r="AC827" s="218">
        <f>IF(ISBLANK(INDEX(MO_IS_FirstRow,0,COLUMN())),0,IF(OR(AC711=X711,AC711=AD711,AC711=AB711),"CHECK",0))</f>
        <v>0</v>
      </c>
      <c r="AD827" s="218">
        <f>IF(ISBLANK(INDEX(MO_IS_FirstRow,0,COLUMN())),0,IF(OR(AD711=Y711,AD711=AE711,AD711=AC711),"CHECK",0))</f>
        <v>0</v>
      </c>
      <c r="AE827" s="218">
        <f>IF(ISBLANK(INDEX(MO_IS_FirstRow,0,COLUMN())),0,IF(AE711=Z711,"CHECK",0))</f>
        <v>0</v>
      </c>
      <c r="AF827" s="218">
        <f>IF(ISBLANK(INDEX(MO_IS_FirstRow,0,COLUMN())),0,IF(OR(AF711=AA711,AF711=AG711,AF711=AD711),"CHECK",0))</f>
        <v>0</v>
      </c>
      <c r="AG827" s="218">
        <f>IF(ISBLANK(INDEX(MO_IS_FirstRow,0,COLUMN())),0,IF(OR(AG711=AB711,AG711=AH711,AG711=AF711),"CHECK",0))</f>
        <v>0</v>
      </c>
      <c r="AH827" s="218">
        <f>IF(ISBLANK(INDEX(MO_IS_FirstRow,0,COLUMN())),0,IF(OR(AH711=AC711,AH711=AI711,AH711=AG711),"CHECK",0))</f>
        <v>0</v>
      </c>
      <c r="AI827" s="218">
        <f>IF(ISBLANK(INDEX(MO_IS_FirstRow,0,COLUMN())),0,IF(OR(AI711=AD711,AI711=AJ711,AI711=AH711),"CHECK",0))</f>
        <v>0</v>
      </c>
      <c r="AJ827" s="218">
        <f>IF(ISBLANK(INDEX(MO_IS_FirstRow,0,COLUMN())),0,IF(AJ711=AE711,"CHECK",0))</f>
        <v>0</v>
      </c>
      <c r="AK827" s="218">
        <f>IF(ISBLANK(INDEX(MO_IS_FirstRow,0,COLUMN())),0,IF(OR(AK711=AF711,AK711=AL711,AK711=AI711),"CHECK",0))</f>
        <v>0</v>
      </c>
      <c r="AL827" s="218">
        <f>IF(ISBLANK(INDEX(MO_IS_FirstRow,0,COLUMN())),0,IF(OR(AL711=AG711,AL711=AM711,AL711=AK711),"CHECK",0))</f>
        <v>0</v>
      </c>
      <c r="AM827" s="218">
        <f>IF(ISBLANK(INDEX(MO_IS_FirstRow,0,COLUMN())),0,IF(OR(AM711=AH711,AM711=AN711,AM711=AL711),"CHECK",0))</f>
        <v>0</v>
      </c>
      <c r="AN827" s="218">
        <f>IF(ISBLANK(INDEX(MO_IS_FirstRow,0,COLUMN())),0,IF(OR(AN711=AI711,AN711=AO711,AN711=AM711),"CHECK",0))</f>
        <v>0</v>
      </c>
      <c r="AO827" s="218">
        <f>IF(ISBLANK(INDEX(MO_IS_FirstRow,0,COLUMN())),0,IF(AO711=AJ711,"CHECK",0))</f>
        <v>0</v>
      </c>
      <c r="AP827" s="218">
        <f>IF(ISBLANK(INDEX(MO_IS_FirstRow,0,COLUMN())),0,IF(OR(AP711=AK711,AP711=AQ711,AP711=AN711),"CHECK",0))</f>
        <v>0</v>
      </c>
      <c r="AQ827" s="218">
        <f>IF(ISBLANK(INDEX(MO_IS_FirstRow,0,COLUMN())),0,IF(OR(AQ711=AL711,AQ711=AR711,AQ711=AP711),"CHECK",0))</f>
        <v>0</v>
      </c>
      <c r="AR827" s="218">
        <f>IF(ISBLANK(INDEX(MO_IS_FirstRow,0,COLUMN())),0,IF(OR(AR711=AM711,AR711=AS711,AR711=AQ711),"CHECK",0))</f>
        <v>0</v>
      </c>
      <c r="AS827" s="218">
        <f>IF(ISBLANK(INDEX(MO_IS_FirstRow,0,COLUMN())),0,IF(OR(AS711=AN711,AS711=AT711,AS711=AR711),"CHECK",0))</f>
        <v>0</v>
      </c>
      <c r="AT827" s="218">
        <f>IF(ISBLANK(INDEX(MO_IS_FirstRow,0,COLUMN())),0,IF(AT711=AO711,"CHECK",0))</f>
        <v>0</v>
      </c>
      <c r="AU827" s="218">
        <f>IF(ISBLANK(INDEX(MO_IS_FirstRow,0,COLUMN())),0,IF(OR(AU711=AP711,AU711=AV711,AU711=AS711),"CHECK",0))</f>
        <v>0</v>
      </c>
      <c r="AV827" s="218">
        <f>IF(ISBLANK(INDEX(MO_IS_FirstRow,0,COLUMN())),0,IF(OR(AV711=AQ711,AV711=AW711,AV711=AU711),"CHECK",0))</f>
        <v>0</v>
      </c>
      <c r="AW827" s="218">
        <f>IF(ISBLANK(INDEX(MO_IS_FirstRow,0,COLUMN())),0,IF(OR(AW711=AR711,AW711=AX711,AW711=AV711),"CHECK",0))</f>
        <v>0</v>
      </c>
      <c r="AX827" s="218">
        <f>IF(ISBLANK(INDEX(MO_IS_FirstRow,0,COLUMN())),0,IF(OR(AX711=AS711,AX711=AY711,AX711=AW711),"CHECK",0))</f>
        <v>0</v>
      </c>
      <c r="AY827" s="218">
        <f>IF(ISBLANK(INDEX(MO_IS_FirstRow,0,COLUMN())),0,IF(AY711=AT711,"CHECK",0))</f>
        <v>0</v>
      </c>
      <c r="AZ827" s="218">
        <f>IF(ISBLANK(INDEX(MO_IS_FirstRow,0,COLUMN())),0,IF(OR(AZ711=AU711,AZ711=BA711,AZ711=AX711),"CHECK",0))</f>
        <v>0</v>
      </c>
      <c r="BA827" s="218">
        <f>IF(ISBLANK(INDEX(MO_IS_FirstRow,0,COLUMN())),0,IF(OR(BA711=AV711,BA711=BB711,BA711=AZ711),"CHECK",0))</f>
        <v>0</v>
      </c>
      <c r="BB827" s="218">
        <f>IF(ISBLANK(INDEX(MO_IS_FirstRow,0,COLUMN())),0,IF(OR(BB711=AW711,BB711=BC711,BB711=BA711),"CHECK",0))</f>
        <v>0</v>
      </c>
      <c r="BC827" s="218">
        <f>IF(ISBLANK(INDEX(MO_IS_FirstRow,0,COLUMN())),0,IF(OR(BC711=AX711,BC711=BD711,BC711=BB711),"CHECK",0))</f>
        <v>0</v>
      </c>
      <c r="BD827" s="218">
        <f>IF(ISBLANK(INDEX(MO_IS_FirstRow,0,COLUMN())),0,IF(BD711=AY711,"CHECK",0))</f>
        <v>0</v>
      </c>
      <c r="BE827" s="218">
        <f>IF(ISBLANK(INDEX(MO_IS_FirstRow,0,COLUMN())),0,IF(OR(BE711=AZ711,BE711=BF711,BE711=BC711),"CHECK",0))</f>
        <v>0</v>
      </c>
      <c r="BF827" s="218">
        <f>IF(ISBLANK(INDEX(MO_IS_FirstRow,0,COLUMN())),0,IF(OR(BF711=BA711,BF711=BG711,BF711=BE711),"CHECK",0))</f>
        <v>0</v>
      </c>
      <c r="BG827" s="218">
        <f>IF(ISBLANK(INDEX(MO_IS_FirstRow,0,COLUMN())),0,IF(OR(BG711=BB711,BG711=BH711,BG711=BF711),"CHECK",0))</f>
        <v>0</v>
      </c>
      <c r="BH827" s="218">
        <f>IF(ISBLANK(INDEX(MO_IS_FirstRow,0,COLUMN())),0,IF(OR(BH711=BC711,BH711=BI711,BH711=BG711),"CHECK",0))</f>
        <v>0</v>
      </c>
      <c r="BI827" s="218">
        <f>IF(ISBLANK(INDEX(MO_IS_FirstRow,0,COLUMN())),0,IF(BI711=BD711,"CHECK",0))</f>
        <v>0</v>
      </c>
      <c r="BJ827" s="218">
        <f>IF(ISBLANK(INDEX(MO_IS_FirstRow,0,COLUMN())),0,IF(OR(BJ711=BE711,BJ711=BK711,BJ711=BH711),"CHECK",0))</f>
        <v>0</v>
      </c>
      <c r="BK827" s="218">
        <f>IF(ISBLANK(INDEX(MO_IS_FirstRow,0,COLUMN())),0,IF(OR(BK711=BF711,BK711=BL711,BK711=BJ711),"CHECK",0))</f>
        <v>0</v>
      </c>
      <c r="BL827" s="218">
        <f>IF(ISBLANK(INDEX(MO_IS_FirstRow,0,COLUMN())),0,IF(OR(BL711=BG711,BL711=BM711,BL711=BK711),"CHECK",0))</f>
        <v>0</v>
      </c>
      <c r="BM827" s="218">
        <f>IF(ISBLANK(INDEX(MO_IS_FirstRow,0,COLUMN())),0,IF(OR(BM711=BH711,BM711=BN711,BM711=BL711),"CHECK",0))</f>
        <v>0</v>
      </c>
      <c r="BN827" s="218">
        <f>IF(ISBLANK(INDEX(MO_IS_FirstRow,0,COLUMN())),0,IF(BN711=BI711,"CHECK",0))</f>
        <v>0</v>
      </c>
      <c r="BO827" s="218">
        <f>IF(ISBLANK(INDEX(MO_IS_FirstRow,0,COLUMN())),0,IF(OR(BO711=BJ711,BO711=BP711,BO711=BM711),"CHECK",0))</f>
        <v>0</v>
      </c>
      <c r="BP827" s="218">
        <f>IF(ISBLANK(INDEX(MO_IS_FirstRow,0,COLUMN())),0,IF(OR(BP711=BK711,BP711=BQ711,BP711=BO711),"CHECK",0))</f>
        <v>0</v>
      </c>
      <c r="BQ827" s="218">
        <f>IF(ISBLANK(INDEX(MO_IS_FirstRow,0,COLUMN())),0,IF(OR(BQ711=BL711,BQ711=BR711,BQ711=BP711),"CHECK",0))</f>
        <v>0</v>
      </c>
      <c r="BR827" s="218">
        <f>IF(ISBLANK(INDEX(MO_IS_FirstRow,0,COLUMN())),0,IF(OR(BR711=BM711,BR711=BS711,BR711=BQ711),"CHECK",0))</f>
        <v>0</v>
      </c>
      <c r="BS827" s="515">
        <f>IF(ISBLANK(INDEX(MO_IS_FirstRow,0,COLUMN())),0,IF(BS711=BN711,"CHECK",0))</f>
        <v>0</v>
      </c>
      <c r="BT827" s="218"/>
      <c r="BU827" s="218"/>
      <c r="BV827" s="218"/>
      <c r="BW827" s="218"/>
      <c r="BX827" s="218"/>
      <c r="BY827" s="218"/>
      <c r="BZ827" s="218"/>
      <c r="CA827" s="218"/>
      <c r="CB827" s="218"/>
      <c r="CC827" s="218"/>
      <c r="CD827" s="218"/>
      <c r="CE827" s="218"/>
      <c r="CF827" s="218"/>
      <c r="CG827" s="99"/>
    </row>
    <row r="828" spans="1:85" ht="14.45" customHeight="1" x14ac:dyDescent="0.25">
      <c r="A828" s="99" t="s">
        <v>745</v>
      </c>
      <c r="B828" s="127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>
        <f>IF(ISBLANK(INDEX(MO_IS_FirstRow,0,COLUMN())),0,IF(P15=K15,"CHECK",0))</f>
        <v>0</v>
      </c>
      <c r="Q828" s="218">
        <f>IF(ISBLANK(INDEX(MO_IS_FirstRow,0,COLUMN())),0,IF(Q15=L15,"CHECK",0))</f>
        <v>0</v>
      </c>
      <c r="R828" s="218"/>
      <c r="S828" s="218"/>
      <c r="T828" s="218"/>
      <c r="U828" s="218">
        <f>IF(ISBLANK(INDEX(MO_IS_FirstRow,0,COLUMN())),0,IF(U15=P15,"CHECK",0))</f>
        <v>0</v>
      </c>
      <c r="V828" s="218">
        <f>IF(ISBLANK(INDEX(MO_IS_FirstRow,0,COLUMN())),0,IF(V15=Q15,"CHECK",0))</f>
        <v>0</v>
      </c>
      <c r="W828" s="218">
        <f>IF(ISBLANK(INDEX(MO_IS_FirstRow,0,COLUMN())),0,IF(W15=R15,"CHECK",0))</f>
        <v>0</v>
      </c>
      <c r="X828" s="218">
        <f>IF(ISBLANK(INDEX(MO_IS_FirstRow,0,COLUMN())),0,IF(X15=S15,"CHECK",0))</f>
        <v>0</v>
      </c>
      <c r="Y828" s="218">
        <f>IF(ISBLANK(INDEX(MO_IS_FirstRow,0,COLUMN())),0,IF(Y15=T15,"CHECK",0))</f>
        <v>0</v>
      </c>
      <c r="Z828" s="218">
        <f>IF(ISBLANK(INDEX(MO_IS_FirstRow,0,COLUMN())),0,IF(Z15=U15,"CHECK",0))</f>
        <v>0</v>
      </c>
      <c r="AA828" s="218">
        <f>IF(ISBLANK(INDEX(MO_IS_FirstRow,0,COLUMN())),0,IF(AA15=V15,"CHECK",0))</f>
        <v>0</v>
      </c>
      <c r="AB828" s="218">
        <f>IF(ISBLANK(INDEX(MO_IS_FirstRow,0,COLUMN())),0,IF(AB15=W15,"CHECK",0))</f>
        <v>0</v>
      </c>
      <c r="AC828" s="218">
        <f>IF(ISBLANK(INDEX(MO_IS_FirstRow,0,COLUMN())),0,IF(AC15=X15,"CHECK",0))</f>
        <v>0</v>
      </c>
      <c r="AD828" s="218">
        <f>IF(ISBLANK(INDEX(MO_IS_FirstRow,0,COLUMN())),0,IF(AD15=Y15,"CHECK",0))</f>
        <v>0</v>
      </c>
      <c r="AE828" s="218">
        <f>IF(ISBLANK(INDEX(MO_IS_FirstRow,0,COLUMN())),0,IF(AE15=Z15,"CHECK",0))</f>
        <v>0</v>
      </c>
      <c r="AF828" s="218">
        <f>IF(ISBLANK(INDEX(MO_IS_FirstRow,0,COLUMN())),0,IF(AF15=AA15,"CHECK",0))</f>
        <v>0</v>
      </c>
      <c r="AG828" s="218">
        <f>IF(ISBLANK(INDEX(MO_IS_FirstRow,0,COLUMN())),0,IF(AG15=AB15,"CHECK",0))</f>
        <v>0</v>
      </c>
      <c r="AH828" s="218">
        <f>IF(ISBLANK(INDEX(MO_IS_FirstRow,0,COLUMN())),0,IF(AH15=AC15,"CHECK",0))</f>
        <v>0</v>
      </c>
      <c r="AI828" s="218">
        <f>IF(ISBLANK(INDEX(MO_IS_FirstRow,0,COLUMN())),0,IF(AI15=AD15,"CHECK",0))</f>
        <v>0</v>
      </c>
      <c r="AJ828" s="218">
        <f>IF(ISBLANK(INDEX(MO_IS_FirstRow,0,COLUMN())),0,IF(AJ15=AE15,"CHECK",0))</f>
        <v>0</v>
      </c>
      <c r="AK828" s="218" t="str">
        <f>IF(ISBLANK(INDEX(MO_IS_FirstRow,0,COLUMN())),0,IF(AK15=AF15,"CHECK",0))</f>
        <v>CHECK</v>
      </c>
      <c r="AL828" s="218" t="str">
        <f>IF(ISBLANK(INDEX(MO_IS_FirstRow,0,COLUMN())),0,IF(AL15=AG15,"CHECK",0))</f>
        <v>CHECK</v>
      </c>
      <c r="AM828" s="218" t="str">
        <f>IF(ISBLANK(INDEX(MO_IS_FirstRow,0,COLUMN())),0,IF(AM15=AH15,"CHECK",0))</f>
        <v>CHECK</v>
      </c>
      <c r="AN828" s="218" t="str">
        <f>IF(ISBLANK(INDEX(MO_IS_FirstRow,0,COLUMN())),0,IF(AN15=AI15,"CHECK",0))</f>
        <v>CHECK</v>
      </c>
      <c r="AO828" s="218" t="str">
        <f>IF(ISBLANK(INDEX(MO_IS_FirstRow,0,COLUMN())),0,IF(AO15=AJ15,"CHECK",0))</f>
        <v>CHECK</v>
      </c>
      <c r="AP828" s="218" t="str">
        <f>IF(ISBLANK(INDEX(MO_IS_FirstRow,0,COLUMN())),0,IF(AP15=AK15,"CHECK",0))</f>
        <v>CHECK</v>
      </c>
      <c r="AQ828" s="218" t="str">
        <f>IF(ISBLANK(INDEX(MO_IS_FirstRow,0,COLUMN())),0,IF(AQ15=AL15,"CHECK",0))</f>
        <v>CHECK</v>
      </c>
      <c r="AR828" s="218" t="str">
        <f>IF(ISBLANK(INDEX(MO_IS_FirstRow,0,COLUMN())),0,IF(AR15=AM15,"CHECK",0))</f>
        <v>CHECK</v>
      </c>
      <c r="AS828" s="218">
        <f>IF(ISBLANK(INDEX(MO_IS_FirstRow,0,COLUMN())),0,IF(AS15=AN15,"CHECK",0))</f>
        <v>0</v>
      </c>
      <c r="AT828" s="218" t="str">
        <f>IF(ISBLANK(INDEX(MO_IS_FirstRow,0,COLUMN())),0,IF(AT15=AO15,"CHECK",0))</f>
        <v>CHECK</v>
      </c>
      <c r="AU828" s="218" t="str">
        <f>IF(ISBLANK(INDEX(MO_IS_FirstRow,0,COLUMN())),0,IF(AU15=AP15,"CHECK",0))</f>
        <v>CHECK</v>
      </c>
      <c r="AV828" s="218" t="str">
        <f>IF(ISBLANK(INDEX(MO_IS_FirstRow,0,COLUMN())),0,IF(AV15=AQ15,"CHECK",0))</f>
        <v>CHECK</v>
      </c>
      <c r="AW828" s="218" t="str">
        <f>IF(ISBLANK(INDEX(MO_IS_FirstRow,0,COLUMN())),0,IF(AW15=AR15,"CHECK",0))</f>
        <v>CHECK</v>
      </c>
      <c r="AX828" s="218">
        <f>IF(ISBLANK(INDEX(MO_IS_FirstRow,0,COLUMN())),0,IF(AX15=AS15,"CHECK",0))</f>
        <v>0</v>
      </c>
      <c r="AY828" s="218" t="str">
        <f>IF(ISBLANK(INDEX(MO_IS_FirstRow,0,COLUMN())),0,IF(AY15=AT15,"CHECK",0))</f>
        <v>CHECK</v>
      </c>
      <c r="AZ828" s="218" t="str">
        <f>IF(ISBLANK(INDEX(MO_IS_FirstRow,0,COLUMN())),0,IF(AZ15=AU15,"CHECK",0))</f>
        <v>CHECK</v>
      </c>
      <c r="BA828" s="218" t="str">
        <f>IF(ISBLANK(INDEX(MO_IS_FirstRow,0,COLUMN())),0,IF(BA15=AV15,"CHECK",0))</f>
        <v>CHECK</v>
      </c>
      <c r="BB828" s="218" t="str">
        <f>IF(ISBLANK(INDEX(MO_IS_FirstRow,0,COLUMN())),0,IF(BB15=AW15,"CHECK",0))</f>
        <v>CHECK</v>
      </c>
      <c r="BC828" s="218">
        <f>IF(ISBLANK(INDEX(MO_IS_FirstRow,0,COLUMN())),0,IF(BC15=AX15,"CHECK",0))</f>
        <v>0</v>
      </c>
      <c r="BD828" s="218" t="str">
        <f>IF(ISBLANK(INDEX(MO_IS_FirstRow,0,COLUMN())),0,IF(BD15=AY15,"CHECK",0))</f>
        <v>CHECK</v>
      </c>
      <c r="BE828" s="218" t="str">
        <f>IF(ISBLANK(INDEX(MO_IS_FirstRow,0,COLUMN())),0,IF(BE15=AZ15,"CHECK",0))</f>
        <v>CHECK</v>
      </c>
      <c r="BF828" s="218" t="str">
        <f>IF(ISBLANK(INDEX(MO_IS_FirstRow,0,COLUMN())),0,IF(BF15=BA15,"CHECK",0))</f>
        <v>CHECK</v>
      </c>
      <c r="BG828" s="218" t="str">
        <f>IF(ISBLANK(INDEX(MO_IS_FirstRow,0,COLUMN())),0,IF(BG15=BB15,"CHECK",0))</f>
        <v>CHECK</v>
      </c>
      <c r="BH828" s="218" t="str">
        <f>IF(ISBLANK(INDEX(MO_IS_FirstRow,0,COLUMN())),0,IF(BH15=BC15,"CHECK",0))</f>
        <v>CHECK</v>
      </c>
      <c r="BI828" s="218" t="str">
        <f>IF(ISBLANK(INDEX(MO_IS_FirstRow,0,COLUMN())),0,IF(BI15=BD15,"CHECK",0))</f>
        <v>CHECK</v>
      </c>
      <c r="BJ828" s="218" t="str">
        <f>IF(ISBLANK(INDEX(MO_IS_FirstRow,0,COLUMN())),0,IF(BJ15=BE15,"CHECK",0))</f>
        <v>CHECK</v>
      </c>
      <c r="BK828" s="218" t="str">
        <f>IF(ISBLANK(INDEX(MO_IS_FirstRow,0,COLUMN())),0,IF(BK15=BF15,"CHECK",0))</f>
        <v>CHECK</v>
      </c>
      <c r="BL828" s="218" t="str">
        <f>IF(ISBLANK(INDEX(MO_IS_FirstRow,0,COLUMN())),0,IF(BL15=BG15,"CHECK",0))</f>
        <v>CHECK</v>
      </c>
      <c r="BM828" s="218" t="str">
        <f>IF(ISBLANK(INDEX(MO_IS_FirstRow,0,COLUMN())),0,IF(BM15=BH15,"CHECK",0))</f>
        <v>CHECK</v>
      </c>
      <c r="BN828" s="218" t="str">
        <f>IF(ISBLANK(INDEX(MO_IS_FirstRow,0,COLUMN())),0,IF(BN15=BI15,"CHECK",0))</f>
        <v>CHECK</v>
      </c>
      <c r="BO828" s="218" t="str">
        <f>IF(ISBLANK(INDEX(MO_IS_FirstRow,0,COLUMN())),0,IF(BO15=BJ15,"CHECK",0))</f>
        <v>CHECK</v>
      </c>
      <c r="BP828" s="218" t="str">
        <f>IF(ISBLANK(INDEX(MO_IS_FirstRow,0,COLUMN())),0,IF(BP15=BK15,"CHECK",0))</f>
        <v>CHECK</v>
      </c>
      <c r="BQ828" s="218" t="str">
        <f>IF(ISBLANK(INDEX(MO_IS_FirstRow,0,COLUMN())),0,IF(BQ15=BL15,"CHECK",0))</f>
        <v>CHECK</v>
      </c>
      <c r="BR828" s="218" t="str">
        <f>IF(ISBLANK(INDEX(MO_IS_FirstRow,0,COLUMN())),0,IF(BR15=BM15,"CHECK",0))</f>
        <v>CHECK</v>
      </c>
      <c r="BS828" s="515" t="str">
        <f>IF(ISBLANK(INDEX(MO_IS_FirstRow,0,COLUMN())),0,IF(BS15=BN15,"CHECK",0))</f>
        <v>CHECK</v>
      </c>
      <c r="BT828" s="218" t="str">
        <f>IF(ISBLANK(INDEX(MO_IS_FirstRow,0,COLUMN())),0,IF(BT15=BO15,"CHECK",0))</f>
        <v>CHECK</v>
      </c>
      <c r="BU828" s="218" t="str">
        <f>IF(ISBLANK(INDEX(MO_IS_FirstRow,0,COLUMN())),0,IF(BU15=BP15,"CHECK",0))</f>
        <v>CHECK</v>
      </c>
      <c r="BV828" s="218" t="str">
        <f>IF(ISBLANK(INDEX(MO_IS_FirstRow,0,COLUMN())),0,IF(BV15=BQ15,"CHECK",0))</f>
        <v>CHECK</v>
      </c>
      <c r="BW828" s="218" t="str">
        <f>IF(ISBLANK(INDEX(MO_IS_FirstRow,0,COLUMN())),0,IF(BW15=BR15,"CHECK",0))</f>
        <v>CHECK</v>
      </c>
      <c r="BX828" s="218" t="str">
        <f>IF(ISBLANK(INDEX(MO_IS_FirstRow,0,COLUMN())),0,IF(BX15=BS15,"CHECK",0))</f>
        <v>CHECK</v>
      </c>
      <c r="BY828" s="218" t="str">
        <f>IF(ISBLANK(INDEX(MO_IS_FirstRow,0,COLUMN())),0,IF(BY15=BT15,"CHECK",0))</f>
        <v>CHECK</v>
      </c>
      <c r="BZ828" s="218" t="str">
        <f>IF(ISBLANK(INDEX(MO_IS_FirstRow,0,COLUMN())),0,IF(BZ15=BU15,"CHECK",0))</f>
        <v>CHECK</v>
      </c>
      <c r="CA828" s="218" t="str">
        <f>IF(ISBLANK(INDEX(MO_IS_FirstRow,0,COLUMN())),0,IF(CA15=BV15,"CHECK",0))</f>
        <v>CHECK</v>
      </c>
      <c r="CB828" s="218" t="str">
        <f>IF(ISBLANK(INDEX(MO_IS_FirstRow,0,COLUMN())),0,IF(CB15=BW15,"CHECK",0))</f>
        <v>CHECK</v>
      </c>
      <c r="CC828" s="218" t="str">
        <f>IF(ISBLANK(INDEX(MO_IS_FirstRow,0,COLUMN())),0,IF(CC15=BX15,"CHECK",0))</f>
        <v>CHECK</v>
      </c>
      <c r="CD828" s="218" t="str">
        <f>IF(ISBLANK(INDEX(MO_IS_FirstRow,0,COLUMN())),0,IF(CD15=BJ15,"CHECK",0))</f>
        <v>CHECK</v>
      </c>
      <c r="CE828" s="218" t="str">
        <f>IF(ISBLANK(INDEX(MO_IS_FirstRow,0,COLUMN())),0,IF(CE15=BK15,"CHECK",0))</f>
        <v>CHECK</v>
      </c>
      <c r="CF828" s="218" t="str">
        <f>IF(ISBLANK(INDEX(MO_IS_FirstRow,0,COLUMN())),0,IF(CF15=BL15,"CHECK",0))</f>
        <v>CHECK</v>
      </c>
      <c r="CG828" s="99"/>
    </row>
    <row r="829" spans="1:85" ht="14.45" customHeight="1" x14ac:dyDescent="0.25">
      <c r="A829" s="99" t="s">
        <v>747</v>
      </c>
      <c r="B829" s="127"/>
      <c r="C829" s="218">
        <f>IF(ISBLANK(INDEX(MO_IS_FirstRow,0,COLUMN())),0,IF(OR(C426=B426,C426=D426),"CHECK",0))</f>
        <v>0</v>
      </c>
      <c r="D829" s="218">
        <f>IF(ISBLANK(INDEX(MO_IS_FirstRow,0,COLUMN())),0,IF(OR(D426=C426,D426=E426),"CHECK",0))</f>
        <v>0</v>
      </c>
      <c r="E829" s="218">
        <f>IF(ISBLANK(INDEX(MO_IS_FirstRow,0,COLUMN())),0,IF(OR(E426=D426,E426=F426),"CHECK",0))</f>
        <v>0</v>
      </c>
      <c r="F829" s="218">
        <f>IF(ISBLANK(INDEX(MO_IS_FirstRow,0,COLUMN())),0,IF(OR(F426=E426,F426=K426),"CHECK",0))</f>
        <v>0</v>
      </c>
      <c r="G829" s="218">
        <f>IF(ISBLANK(INDEX(MO_IS_FirstRow,0,COLUMN())),0,IF(OR(G426=B426,G426=H426,G426=E426),"CHECK",0))</f>
        <v>0</v>
      </c>
      <c r="H829" s="218">
        <f>IF(ISBLANK(INDEX(MO_IS_FirstRow,0,COLUMN())),0,IF(OR(H426=C426,H426=I426,H426=G426),"CHECK",0))</f>
        <v>0</v>
      </c>
      <c r="I829" s="218">
        <f>IF(ISBLANK(INDEX(MO_IS_FirstRow,0,COLUMN())),0,IF(OR(I426=D426,I426=J426,I426=H426),"CHECK",0))</f>
        <v>0</v>
      </c>
      <c r="J829" s="218">
        <f>IF(ISBLANK(INDEX(MO_IS_FirstRow,0,COLUMN())),0,IF(OR(J426=E426,J426=K426,J426=I426),"CHECK",0))</f>
        <v>0</v>
      </c>
      <c r="K829" s="218">
        <f>IF(ISBLANK(INDEX(MO_IS_FirstRow,0,COLUMN())),0,IF(K426=F426,"CHECK",0))</f>
        <v>0</v>
      </c>
      <c r="L829" s="218">
        <f>IF(ISBLANK(INDEX(MO_IS_FirstRow,0,COLUMN())),0,IF(OR(L426=G426,L426=M426,L426=J426),"CHECK",0))</f>
        <v>0</v>
      </c>
      <c r="M829" s="218">
        <f>IF(ISBLANK(INDEX(MO_IS_FirstRow,0,COLUMN())),0,IF(OR(M426=H426,M426=N426,M426=L426),"CHECK",0))</f>
        <v>0</v>
      </c>
      <c r="N829" s="218">
        <f>IF(ISBLANK(INDEX(MO_IS_FirstRow,0,COLUMN())),0,IF(OR(N426=I426,N426=O426,N426=M426),"CHECK",0))</f>
        <v>0</v>
      </c>
      <c r="O829" s="218">
        <f>IF(ISBLANK(INDEX(MO_IS_FirstRow,0,COLUMN())),0,IF(OR(O426=J426,O426=P426,O426=N426),"CHECK",0))</f>
        <v>0</v>
      </c>
      <c r="P829" s="218">
        <f>IF(ISBLANK(INDEX(MO_IS_FirstRow,0,COLUMN())),0,IF(P426=K426,"CHECK",0))</f>
        <v>0</v>
      </c>
      <c r="Q829" s="218">
        <f>IF(ISBLANK(INDEX(MO_IS_FirstRow,0,COLUMN())),0,IF(OR(Q426=L426,Q426=R426,Q426=O426),"CHECK",0))</f>
        <v>0</v>
      </c>
      <c r="R829" s="218">
        <f>IF(ISBLANK(INDEX(MO_IS_FirstRow,0,COLUMN())),0,IF(OR(R426=M426,R426=S426,R426=Q426),"CHECK",0))</f>
        <v>0</v>
      </c>
      <c r="S829" s="218">
        <f>IF(ISBLANK(INDEX(MO_IS_FirstRow,0,COLUMN())),0,IF(OR(S426=N426,S426=T426,S426=R426),"CHECK",0))</f>
        <v>0</v>
      </c>
      <c r="T829" s="218">
        <f>IF(ISBLANK(INDEX(MO_IS_FirstRow,0,COLUMN())),0,IF(OR(T426=O426,T426=U426,T426=S426),"CHECK",0))</f>
        <v>0</v>
      </c>
      <c r="U829" s="218">
        <f>IF(ISBLANK(INDEX(MO_IS_FirstRow,0,COLUMN())),0,IF(U426=P426,"CHECK",0))</f>
        <v>0</v>
      </c>
      <c r="V829" s="218">
        <f>IF(ISBLANK(INDEX(MO_IS_FirstRow,0,COLUMN())),0,IF(OR(V426=Q426,V426=W426,V426=T426),"CHECK",0))</f>
        <v>0</v>
      </c>
      <c r="W829" s="218">
        <f>IF(ISBLANK(INDEX(MO_IS_FirstRow,0,COLUMN())),0,IF(OR(W426=R426,W426=X426,W426=V426),"CHECK",0))</f>
        <v>0</v>
      </c>
      <c r="X829" s="218">
        <f>IF(ISBLANK(INDEX(MO_IS_FirstRow,0,COLUMN())),0,IF(OR(X426=S426,X426=Y426,X426=W426),"CHECK",0))</f>
        <v>0</v>
      </c>
      <c r="Y829" s="218">
        <f>IF(ISBLANK(INDEX(MO_IS_FirstRow,0,COLUMN())),0,IF(OR(Y426=T426,Y426=Z426,Y426=X426),"CHECK",0))</f>
        <v>0</v>
      </c>
      <c r="Z829" s="218">
        <f>IF(ISBLANK(INDEX(MO_IS_FirstRow,0,COLUMN())),0,IF(Z426=U426,"CHECK",0))</f>
        <v>0</v>
      </c>
      <c r="AA829" s="218">
        <f>IF(ISBLANK(INDEX(MO_IS_FirstRow,0,COLUMN())),0,IF(OR(AA426=V426,AA426=AB426,AA426=Y426),"CHECK",0))</f>
        <v>0</v>
      </c>
      <c r="AB829" s="218">
        <f>IF(ISBLANK(INDEX(MO_IS_FirstRow,0,COLUMN())),0,IF(OR(AB426=W426,AB426=AC426,AB426=AA426),"CHECK",0))</f>
        <v>0</v>
      </c>
      <c r="AC829" s="218">
        <f>IF(ISBLANK(INDEX(MO_IS_FirstRow,0,COLUMN())),0,IF(OR(AC426=X426,AC426=AD426,AC426=AB426),"CHECK",0))</f>
        <v>0</v>
      </c>
      <c r="AD829" s="218">
        <f>IF(ISBLANK(INDEX(MO_IS_FirstRow,0,COLUMN())),0,IF(OR(AD426=Y426,AD426=AE426,AD426=AC426),"CHECK",0))</f>
        <v>0</v>
      </c>
      <c r="AE829" s="218">
        <f>IF(ISBLANK(INDEX(MO_IS_FirstRow,0,COLUMN())),0,IF(AE426=Z426,"CHECK",0))</f>
        <v>0</v>
      </c>
      <c r="AF829" s="218">
        <f>IF(ISBLANK(INDEX(MO_IS_FirstRow,0,COLUMN())),0,IF(OR(AF426=AA426,AF426=AG426,AF426=AD426),"CHECK",0))</f>
        <v>0</v>
      </c>
      <c r="AG829" s="218">
        <f>IF(ISBLANK(INDEX(MO_IS_FirstRow,0,COLUMN())),0,IF(OR(AG426=AB426,AG426=AH426,AG426=AF426),"CHECK",0))</f>
        <v>0</v>
      </c>
      <c r="AH829" s="218">
        <f>IF(ISBLANK(INDEX(MO_IS_FirstRow,0,COLUMN())),0,IF(OR(AH426=AC426,AH426=AI426,AH426=AG426),"CHECK",0))</f>
        <v>0</v>
      </c>
      <c r="AI829" s="218">
        <f>IF(ISBLANK(INDEX(MO_IS_FirstRow,0,COLUMN())),0,IF(OR(AI426=AD426,AI426=AJ426,AI426=AH426),"CHECK",0))</f>
        <v>0</v>
      </c>
      <c r="AJ829" s="218">
        <f>IF(ISBLANK(INDEX(MO_IS_FirstRow,0,COLUMN())),0,IF(AJ426=AE426,"CHECK",0))</f>
        <v>0</v>
      </c>
      <c r="AK829" s="218">
        <f>IF(ISBLANK(INDEX(MO_IS_FirstRow,0,COLUMN())),0,IF(OR(AK426=AF426,AK426=AL426,AK426=AI426),"CHECK",0))</f>
        <v>0</v>
      </c>
      <c r="AL829" s="218">
        <f>IF(ISBLANK(INDEX(MO_IS_FirstRow,0,COLUMN())),0,IF(OR(AL426=AG426,AL426=AM426,AL426=AK426),"CHECK",0))</f>
        <v>0</v>
      </c>
      <c r="AM829" s="218">
        <f>IF(ISBLANK(INDEX(MO_IS_FirstRow,0,COLUMN())),0,IF(OR(AM426=AH426,AM426=AN426,AM426=AL426),"CHECK",0))</f>
        <v>0</v>
      </c>
      <c r="AN829" s="218">
        <f>IF(ISBLANK(INDEX(MO_IS_FirstRow,0,COLUMN())),0,IF(OR(AN426=AI426,AN426=AO426,AN426=AM426),"CHECK",0))</f>
        <v>0</v>
      </c>
      <c r="AO829" s="218">
        <f>IF(ISBLANK(INDEX(MO_IS_FirstRow,0,COLUMN())),0,IF(AO426=AJ426,"CHECK",0))</f>
        <v>0</v>
      </c>
      <c r="AP829" s="218">
        <f>IF(ISBLANK(INDEX(MO_IS_FirstRow,0,COLUMN())),0,IF(OR(AP426=AK426,AP426=AQ426,AP426=AN426),"CHECK",0))</f>
        <v>0</v>
      </c>
      <c r="AQ829" s="218">
        <f>IF(ISBLANK(INDEX(MO_IS_FirstRow,0,COLUMN())),0,IF(OR(AQ426=AL426,AQ426=AR426,AQ426=AP426),"CHECK",0))</f>
        <v>0</v>
      </c>
      <c r="AR829" s="218">
        <f>IF(ISBLANK(INDEX(MO_IS_FirstRow,0,COLUMN())),0,IF(OR(AR426=AM426,AR426=AS426,AR426=AQ426),"CHECK",0))</f>
        <v>0</v>
      </c>
      <c r="AS829" s="218">
        <f>IF(ISBLANK(INDEX(MO_IS_FirstRow,0,COLUMN())),0,IF(OR(AS426=AN426,AS426=AT426,AS426=AR426),"CHECK",0))</f>
        <v>0</v>
      </c>
      <c r="AT829" s="218">
        <f>IF(ISBLANK(INDEX(MO_IS_FirstRow,0,COLUMN())),0,IF(AT426=AO426,"CHECK",0))</f>
        <v>0</v>
      </c>
      <c r="AU829" s="218">
        <f>IF(ISBLANK(INDEX(MO_IS_FirstRow,0,COLUMN())),0,IF(OR(AU426=AP426,AU426=AV426,AU426=AS426),"CHECK",0))</f>
        <v>0</v>
      </c>
      <c r="AV829" s="218">
        <f>IF(ISBLANK(INDEX(MO_IS_FirstRow,0,COLUMN())),0,IF(OR(AV426=AQ426,AV426=AW426,AV426=AU426),"CHECK",0))</f>
        <v>0</v>
      </c>
      <c r="AW829" s="218">
        <f>IF(ISBLANK(INDEX(MO_IS_FirstRow,0,COLUMN())),0,IF(OR(AW426=AR426,AW426=AX426,AW426=AV426),"CHECK",0))</f>
        <v>0</v>
      </c>
      <c r="AX829" s="218">
        <f>IF(ISBLANK(INDEX(MO_IS_FirstRow,0,COLUMN())),0,IF(OR(AX426=AS426,AX426=AY426,AX426=AW426),"CHECK",0))</f>
        <v>0</v>
      </c>
      <c r="AY829" s="218">
        <f>IF(ISBLANK(INDEX(MO_IS_FirstRow,0,COLUMN())),0,IF(AY426=AT426,"CHECK",0))</f>
        <v>0</v>
      </c>
      <c r="AZ829" s="218">
        <f>IF(ISBLANK(INDEX(MO_IS_FirstRow,0,COLUMN())),0,IF(OR(AZ426=AU426,AZ426=BA426,AZ426=AX426),"CHECK",0))</f>
        <v>0</v>
      </c>
      <c r="BA829" s="218">
        <f>IF(ISBLANK(INDEX(MO_IS_FirstRow,0,COLUMN())),0,IF(OR(BA426=AV426,BA426=BB426,BA426=AZ426),"CHECK",0))</f>
        <v>0</v>
      </c>
      <c r="BB829" s="218">
        <f>IF(ISBLANK(INDEX(MO_IS_FirstRow,0,COLUMN())),0,IF(OR(BB426=AW426,BB426=BC426,BB426=BA426),"CHECK",0))</f>
        <v>0</v>
      </c>
      <c r="BC829" s="218">
        <f>IF(ISBLANK(INDEX(MO_IS_FirstRow,0,COLUMN())),0,IF(OR(BC426=AX426,BC426=BD426,BC426=BB426),"CHECK",0))</f>
        <v>0</v>
      </c>
      <c r="BD829" s="218">
        <f>IF(ISBLANK(INDEX(MO_IS_FirstRow,0,COLUMN())),0,IF(BD426=AY426,"CHECK",0))</f>
        <v>0</v>
      </c>
      <c r="BE829" s="218">
        <f>IF(ISBLANK(INDEX(MO_IS_FirstRow,0,COLUMN())),0,IF(OR(BE426=AZ426,BE426=BF426,BE426=BC426),"CHECK",0))</f>
        <v>0</v>
      </c>
      <c r="BF829" s="218">
        <f>IF(ISBLANK(INDEX(MO_IS_FirstRow,0,COLUMN())),0,IF(OR(BF426=BA426,BF426=BG426,BF426=BE426),"CHECK",0))</f>
        <v>0</v>
      </c>
      <c r="BG829" s="218">
        <f>IF(ISBLANK(INDEX(MO_IS_FirstRow,0,COLUMN())),0,IF(OR(BG426=BB426,BG426=BH426,BG426=BF426),"CHECK",0))</f>
        <v>0</v>
      </c>
      <c r="BH829" s="218">
        <f>IF(ISBLANK(INDEX(MO_IS_FirstRow,0,COLUMN())),0,IF(OR(BH426=BC426,BH426=BI426,BH426=BG426),"CHECK",0))</f>
        <v>0</v>
      </c>
      <c r="BI829" s="218">
        <f>IF(ISBLANK(INDEX(MO_IS_FirstRow,0,COLUMN())),0,IF(BI426=BD426,"CHECK",0))</f>
        <v>0</v>
      </c>
      <c r="BJ829" s="218">
        <f>IF(ISBLANK(INDEX(MO_IS_FirstRow,0,COLUMN())),0,IF(OR(BJ426=BE426,BJ426=BK426,BJ426=BH426),"CHECK",0))</f>
        <v>0</v>
      </c>
      <c r="BK829" s="218">
        <f>IF(ISBLANK(INDEX(MO_IS_FirstRow,0,COLUMN())),0,IF(OR(BK426=BF426,BK426=BL426,BK426=BJ426),"CHECK",0))</f>
        <v>0</v>
      </c>
      <c r="BL829" s="218">
        <f>IF(ISBLANK(INDEX(MO_IS_FirstRow,0,COLUMN())),0,IF(OR(BL426=BG426,BL426=BM426,BL426=BK426),"CHECK",0))</f>
        <v>0</v>
      </c>
      <c r="BM829" s="218">
        <f>IF(ISBLANK(INDEX(MO_IS_FirstRow,0,COLUMN())),0,IF(OR(BM426=BH426,BM426=BN426,BM426=BL426),"CHECK",0))</f>
        <v>0</v>
      </c>
      <c r="BN829" s="218">
        <f>IF(ISBLANK(INDEX(MO_IS_FirstRow,0,COLUMN())),0,IF(BN426=BI426,"CHECK",0))</f>
        <v>0</v>
      </c>
      <c r="BO829" s="218">
        <f>IF(ISBLANK(INDEX(MO_IS_FirstRow,0,COLUMN())),0,IF(OR(BO426=BJ426,BO426=BP426,BO426=BM426),"CHECK",0))</f>
        <v>0</v>
      </c>
      <c r="BP829" s="218">
        <f>IF(ISBLANK(INDEX(MO_IS_FirstRow,0,COLUMN())),0,IF(OR(BP426=BK426,BP426=BQ426,BP426=BO426),"CHECK",0))</f>
        <v>0</v>
      </c>
      <c r="BQ829" s="218">
        <f>IF(ISBLANK(INDEX(MO_IS_FirstRow,0,COLUMN())),0,IF(OR(BQ426=BL426,BQ426=BR426,BQ426=BP426),"CHECK",0))</f>
        <v>0</v>
      </c>
      <c r="BR829" s="218">
        <f>IF(ISBLANK(INDEX(MO_IS_FirstRow,0,COLUMN())),0,IF(OR(BR426=BM426,BR426=BS426,BR426=BQ426),"CHECK",0))</f>
        <v>0</v>
      </c>
      <c r="BS829" s="515">
        <f>IF(ISBLANK(INDEX(MO_IS_FirstRow,0,COLUMN())),0,IF(BS426=BN426,"CHECK",0))</f>
        <v>0</v>
      </c>
      <c r="BT829" s="218"/>
      <c r="BU829" s="218"/>
      <c r="BV829" s="218"/>
      <c r="BW829" s="218"/>
      <c r="BX829" s="218"/>
      <c r="BY829" s="218"/>
      <c r="BZ829" s="218"/>
      <c r="CA829" s="218"/>
      <c r="CB829" s="218"/>
      <c r="CC829" s="218"/>
      <c r="CD829" s="218"/>
      <c r="CE829" s="218"/>
      <c r="CF829" s="218"/>
      <c r="CG829" s="99"/>
    </row>
    <row r="830" spans="1:85" ht="14.45" customHeight="1" x14ac:dyDescent="0.25">
      <c r="A830" s="99" t="s">
        <v>748</v>
      </c>
      <c r="B830" s="127"/>
      <c r="C830" s="218">
        <f>IF(OR(C779=B779,C779=D779),"CHECK",0)</f>
        <v>0</v>
      </c>
      <c r="D830" s="218">
        <f>IF(OR(D779=C779,D779=E779),"CHECK",0)</f>
        <v>0</v>
      </c>
      <c r="E830" s="218">
        <f>IF(OR(E779=D779,E779=F779),"CHECK",0)</f>
        <v>0</v>
      </c>
      <c r="F830" s="218">
        <f>IF(OR(F779=E779,F779=K779),"CHECK",0)</f>
        <v>0</v>
      </c>
      <c r="G830" s="218">
        <f>IF(OR(G779=B779,G779=H779,G779=E779),"CHECK",0)</f>
        <v>0</v>
      </c>
      <c r="H830" s="218">
        <f>IF(OR(H779=C779,H779=I779,H779=G779),"CHECK",0)</f>
        <v>0</v>
      </c>
      <c r="I830" s="218">
        <f>IF(OR(I779=D779,I779=J779,I779=H779),"CHECK",0)</f>
        <v>0</v>
      </c>
      <c r="J830" s="218">
        <f>IF(OR(J779=E779,J779=I779),"CHECK",0)</f>
        <v>0</v>
      </c>
      <c r="K830" s="218">
        <f>IF(K779=F779,"CHECK",0)</f>
        <v>0</v>
      </c>
      <c r="L830" s="218">
        <f>IF(OR(L779=G779,L779=M779,L779=J779),"CHECK",0)</f>
        <v>0</v>
      </c>
      <c r="M830" s="218">
        <f>IF(OR(M779=H779,M779=N779,M779=L779),"CHECK",0)</f>
        <v>0</v>
      </c>
      <c r="N830" s="218">
        <f>IF(OR(N779=I779,N779=O779,N779=M779),"CHECK",0)</f>
        <v>0</v>
      </c>
      <c r="O830" s="218">
        <f>IF(OR(O779=J779,O779=N779),"CHECK",0)</f>
        <v>0</v>
      </c>
      <c r="P830" s="218">
        <f>IF(P779=K779,"CHECK",0)</f>
        <v>0</v>
      </c>
      <c r="Q830" s="218">
        <f>IF(OR(Q779=L779,Q779=R779,Q779=O779),"CHECK",0)</f>
        <v>0</v>
      </c>
      <c r="R830" s="218">
        <f>IF(OR(R779=M779,R779=S779,R779=Q779),"CHECK",0)</f>
        <v>0</v>
      </c>
      <c r="S830" s="218">
        <f>IF(OR(S779=N779,S779=T779,S779=R779),"CHECK",0)</f>
        <v>0</v>
      </c>
      <c r="T830" s="218">
        <f>IF(OR(T779=O779,T779=S779),"CHECK",0)</f>
        <v>0</v>
      </c>
      <c r="U830" s="218">
        <f>IF(U779=P779,"CHECK",0)</f>
        <v>0</v>
      </c>
      <c r="V830" s="218">
        <f>IF(OR(V779=Q779,V779=W779,V779=T779),"CHECK",0)</f>
        <v>0</v>
      </c>
      <c r="W830" s="218">
        <f>IF(OR(W779=R779,W779=X779,W779=V779),"CHECK",0)</f>
        <v>0</v>
      </c>
      <c r="X830" s="218">
        <f>IF(OR(X779=S779,X779=Y779,X779=W779),"CHECK",0)</f>
        <v>0</v>
      </c>
      <c r="Y830" s="218">
        <f>IF(OR(Y779=T779,Y779=X779),"CHECK",0)</f>
        <v>0</v>
      </c>
      <c r="Z830" s="218">
        <f>IF(Z779=U779,"CHECK",0)</f>
        <v>0</v>
      </c>
      <c r="AA830" s="218">
        <f>IF(OR(AA779=V779,AA779=AB779,AA779=Y779),"CHECK",0)</f>
        <v>0</v>
      </c>
      <c r="AB830" s="218">
        <f>IF(OR(AB779=W779,AB779=AC779,AB779=AA779),"CHECK",0)</f>
        <v>0</v>
      </c>
      <c r="AC830" s="218">
        <f>IF(OR(AC779=X779,AC779=AD779,AC779=AB779),"CHECK",0)</f>
        <v>0</v>
      </c>
      <c r="AD830" s="218">
        <f>IF(OR(AD779=Y779,AD779=AC779),"CHECK",0)</f>
        <v>0</v>
      </c>
      <c r="AE830" s="218">
        <f>IF(AE779=Z779,"CHECK",0)</f>
        <v>0</v>
      </c>
      <c r="AF830" s="218">
        <f>IF(OR(AF779=AA779,AF779=AG779,AF779=AD779),"CHECK",0)</f>
        <v>0</v>
      </c>
      <c r="AG830" s="218">
        <f>IF(OR(AG779=AB779,AG779=AH779,AG779=AF779),"CHECK",0)</f>
        <v>0</v>
      </c>
      <c r="AH830" s="218">
        <f>IF(OR(AH779=AC779,AH779=AI779,AH779=AG779),"CHECK",0)</f>
        <v>0</v>
      </c>
      <c r="AI830" s="218">
        <f>IF(OR(AI779=AD779,AI779=AH779),"CHECK",0)</f>
        <v>0</v>
      </c>
      <c r="AJ830" s="218">
        <f>IF(AJ779=AE779,"CHECK",0)</f>
        <v>0</v>
      </c>
      <c r="AK830" s="218">
        <f>IF(OR(AK779=AF779,AK779=AL779,AK779=AI779),"CHECK",0)</f>
        <v>0</v>
      </c>
      <c r="AL830" s="218">
        <f>IF(OR(AL779=AG779,AL779=AM779,AL779=AK779),"CHECK",0)</f>
        <v>0</v>
      </c>
      <c r="AM830" s="218">
        <f>IF(OR(AM779=AH779,AM779=AN779,AM779=AL779),"CHECK",0)</f>
        <v>0</v>
      </c>
      <c r="AN830" s="218">
        <f>IF(OR(AN779=AI779,AN779=AM779),"CHECK",0)</f>
        <v>0</v>
      </c>
      <c r="AO830" s="218">
        <f>IF(AO779=AJ779,"CHECK",0)</f>
        <v>0</v>
      </c>
      <c r="AP830" s="218">
        <f>IF(OR(AP779=AK779,AP779=AQ779,AP779=AN779),"CHECK",0)</f>
        <v>0</v>
      </c>
      <c r="AQ830" s="218">
        <f>IF(OR(AQ779=AL779,AQ779=AR779,AQ779=AP779),"CHECK",0)</f>
        <v>0</v>
      </c>
      <c r="AR830" s="218">
        <f>IF(OR(AR779=AM779,AR779=AS779,AR779=AQ779),"CHECK",0)</f>
        <v>0</v>
      </c>
      <c r="AS830" s="218">
        <f>IF(OR(AS779=AN779,AS779=AR779),"CHECK",0)</f>
        <v>0</v>
      </c>
      <c r="AT830" s="218">
        <f>IF(AT779=AO779,"CHECK",0)</f>
        <v>0</v>
      </c>
      <c r="AU830" s="218">
        <f>IF(OR(AU779=AP779,AU779=AV779,AU779=AS779),"CHECK",0)</f>
        <v>0</v>
      </c>
      <c r="AV830" s="218">
        <f>IF(OR(AV779=AQ779,AV779=AW779,AV779=AU779),"CHECK",0)</f>
        <v>0</v>
      </c>
      <c r="AW830" s="218">
        <f>IF(OR(AW779=AR779,AW779=AX779,AW779=AV779),"CHECK",0)</f>
        <v>0</v>
      </c>
      <c r="AX830" s="218">
        <f>IF(OR(AX779=AS779,AX779=AW779),"CHECK",0)</f>
        <v>0</v>
      </c>
      <c r="AY830" s="218">
        <f>IF(AY779=AT779,"CHECK",0)</f>
        <v>0</v>
      </c>
      <c r="AZ830" s="218">
        <f>IF(OR(AZ779=AU779,AZ779=BA779,AZ779=AX779),"CHECK",0)</f>
        <v>0</v>
      </c>
      <c r="BA830" s="218">
        <f>IF(OR(BA779=AV779,BA779=BB779,BA779=AZ779),"CHECK",0)</f>
        <v>0</v>
      </c>
      <c r="BB830" s="218">
        <f>IF(OR(BB779=AW779,BB779=BC779,BB779=BA779),"CHECK",0)</f>
        <v>0</v>
      </c>
      <c r="BC830" s="218">
        <f>IF(OR(BC779=AX779,BC779=BB779),"CHECK",0)</f>
        <v>0</v>
      </c>
      <c r="BD830" s="218">
        <f>IF(BD779=AY779,"CHECK",0)</f>
        <v>0</v>
      </c>
      <c r="BE830" s="218">
        <f>IF(OR(BE779=AZ779,BE779=BF779,BE779=BC779),"CHECK",0)</f>
        <v>0</v>
      </c>
      <c r="BF830" s="218">
        <f>IF(OR(BF779=BA779,BF779=BG779,BF779=BE779),"CHECK",0)</f>
        <v>0</v>
      </c>
      <c r="BG830" s="218">
        <f>IF(OR(BG779=BB779,BG779=BH779,BG779=BF779),"CHECK",0)</f>
        <v>0</v>
      </c>
      <c r="BH830" s="218">
        <f>IF(OR(BH779=BC779,BH779=BG779),"CHECK",0)</f>
        <v>0</v>
      </c>
      <c r="BI830" s="218">
        <f>IF(BI779=BD779,"CHECK",0)</f>
        <v>0</v>
      </c>
      <c r="BJ830" s="218">
        <f>IF(OR(BJ779=BE779,BJ779=BK779,BJ779=BH779),"CHECK",0)</f>
        <v>0</v>
      </c>
      <c r="BK830" s="218">
        <f>IF(OR(BK779=BF779,BK779=BL779,BK779=BJ779),"CHECK",0)</f>
        <v>0</v>
      </c>
      <c r="BL830" s="218">
        <f>IF(OR(BL779=BG779,BL779=BM779,BL779=BK779),"CHECK",0)</f>
        <v>0</v>
      </c>
      <c r="BM830" s="218">
        <f>IF(OR(BM779=BH779,BM779=BL779),"CHECK",0)</f>
        <v>0</v>
      </c>
      <c r="BN830" s="218">
        <f>IF(BN779=BI779,"CHECK",0)</f>
        <v>0</v>
      </c>
      <c r="BO830" s="218">
        <f>IF(OR(BO779=BJ779,BO779=BP779,BO779=BM779),"CHECK",0)</f>
        <v>0</v>
      </c>
      <c r="BP830" s="218">
        <f>IF(OR(BP779=BK779,BP779=BQ779,BP779=BO779),"CHECK",0)</f>
        <v>0</v>
      </c>
      <c r="BQ830" s="218">
        <f>IF(OR(BQ779=BL779,BQ779=BR779,BQ779=BP779),"CHECK",0)</f>
        <v>0</v>
      </c>
      <c r="BR830" s="218">
        <f>IF(OR(BR779=BM779,BR779=BQ779),"CHECK",0)</f>
        <v>0</v>
      </c>
      <c r="BS830" s="515">
        <f>IF(BS779=BN779,"CHECK",0)</f>
        <v>0</v>
      </c>
      <c r="BT830" s="218"/>
      <c r="BU830" s="218"/>
      <c r="BV830" s="218"/>
      <c r="BW830" s="218"/>
      <c r="BX830" s="218"/>
      <c r="BY830" s="218"/>
      <c r="BZ830" s="218"/>
      <c r="CA830" s="218"/>
      <c r="CB830" s="218"/>
      <c r="CC830" s="218"/>
      <c r="CD830" s="218"/>
      <c r="CE830" s="218"/>
      <c r="CF830" s="218"/>
      <c r="CG830" s="99"/>
    </row>
    <row r="831" spans="1:85" ht="14.45" customHeight="1" x14ac:dyDescent="0.25">
      <c r="A831" s="99" t="s">
        <v>749</v>
      </c>
      <c r="B831" s="127"/>
      <c r="C831" s="218">
        <f>IF(ISBLANK(INDEX(MO_IS_FirstRow,0,COLUMN())),0,ROUND(C714-C628,6))</f>
        <v>0</v>
      </c>
      <c r="D831" s="218">
        <f>IF(ISBLANK(INDEX(MO_IS_FirstRow,0,COLUMN())),0,ROUND(D714-D628,6))</f>
        <v>0</v>
      </c>
      <c r="E831" s="218">
        <f>IF(ISBLANK(INDEX(MO_IS_FirstRow,0,COLUMN())),0,ROUND(E714-E628,6))</f>
        <v>0</v>
      </c>
      <c r="F831" s="218">
        <f>IF(ISBLANK(INDEX(MO_IS_FirstRow,0,COLUMN())),0,ROUND(F714-F628,6))</f>
        <v>0</v>
      </c>
      <c r="G831" s="218">
        <f>IF(ISBLANK(INDEX(MO_IS_FirstRow,0,COLUMN())),0,ROUND(G714-G628,6))</f>
        <v>0</v>
      </c>
      <c r="H831" s="218">
        <f>IF(ISBLANK(INDEX(MO_IS_FirstRow,0,COLUMN())),0,ROUND(H714-H628,6))</f>
        <v>0</v>
      </c>
      <c r="I831" s="218">
        <f>IF(ISBLANK(INDEX(MO_IS_FirstRow,0,COLUMN())),0,ROUND(I714-I628,6))</f>
        <v>0</v>
      </c>
      <c r="J831" s="218">
        <f>IF(ISBLANK(INDEX(MO_IS_FirstRow,0,COLUMN())),0,ROUND(J714-J628,6))</f>
        <v>0</v>
      </c>
      <c r="K831" s="218">
        <f>IF(ISBLANK(INDEX(MO_IS_FirstRow,0,COLUMN())),0,ROUND(K714-K628,6))</f>
        <v>0</v>
      </c>
      <c r="L831" s="218">
        <f>IF(ISBLANK(INDEX(MO_IS_FirstRow,0,COLUMN())),0,ROUND(L714-L628,6))</f>
        <v>0</v>
      </c>
      <c r="M831" s="218">
        <f>IF(ISBLANK(INDEX(MO_IS_FirstRow,0,COLUMN())),0,ROUND(M714-M628,6))</f>
        <v>0</v>
      </c>
      <c r="N831" s="218">
        <f>IF(ISBLANK(INDEX(MO_IS_FirstRow,0,COLUMN())),0,ROUND(N714-N628,6))</f>
        <v>0</v>
      </c>
      <c r="O831" s="218">
        <f>IF(ISBLANK(INDEX(MO_IS_FirstRow,0,COLUMN())),0,ROUND(O714-O628,6))</f>
        <v>0</v>
      </c>
      <c r="P831" s="218">
        <f>IF(ISBLANK(INDEX(MO_IS_FirstRow,0,COLUMN())),0,ROUND(P714-P628,6))</f>
        <v>0</v>
      </c>
      <c r="Q831" s="218">
        <f>IF(ISBLANK(INDEX(MO_IS_FirstRow,0,COLUMN())),0,ROUND(Q714-Q628,6))</f>
        <v>0</v>
      </c>
      <c r="R831" s="218">
        <f>IF(ISBLANK(INDEX(MO_IS_FirstRow,0,COLUMN())),0,ROUND(R714-R628,6))</f>
        <v>0</v>
      </c>
      <c r="S831" s="218">
        <f>IF(ISBLANK(INDEX(MO_IS_FirstRow,0,COLUMN())),0,ROUND(S714-S628,6))</f>
        <v>0</v>
      </c>
      <c r="T831" s="218">
        <f>IF(ISBLANK(INDEX(MO_IS_FirstRow,0,COLUMN())),0,ROUND(T714-T628,6))</f>
        <v>0</v>
      </c>
      <c r="U831" s="218">
        <f>IF(ISBLANK(INDEX(MO_IS_FirstRow,0,COLUMN())),0,ROUND(U714-U628,6))</f>
        <v>0</v>
      </c>
      <c r="V831" s="218">
        <f>IF(ISBLANK(INDEX(MO_IS_FirstRow,0,COLUMN())),0,ROUND(V714-V628,6))</f>
        <v>0</v>
      </c>
      <c r="W831" s="218">
        <f>IF(ISBLANK(INDEX(MO_IS_FirstRow,0,COLUMN())),0,ROUND(W714-W628,6))</f>
        <v>0</v>
      </c>
      <c r="X831" s="218">
        <f>IF(ISBLANK(INDEX(MO_IS_FirstRow,0,COLUMN())),0,ROUND(X714-X628,6))</f>
        <v>0</v>
      </c>
      <c r="Y831" s="218">
        <f>IF(ISBLANK(INDEX(MO_IS_FirstRow,0,COLUMN())),0,ROUND(Y714-Y628,6))</f>
        <v>0</v>
      </c>
      <c r="Z831" s="218">
        <f>IF(ISBLANK(INDEX(MO_IS_FirstRow,0,COLUMN())),0,ROUND(Z714-Z628,6))</f>
        <v>0</v>
      </c>
      <c r="AA831" s="218">
        <f>IF(ISBLANK(INDEX(MO_IS_FirstRow,0,COLUMN())),0,ROUND(AA714-AA628,6))</f>
        <v>0</v>
      </c>
      <c r="AB831" s="218">
        <f>IF(ISBLANK(INDEX(MO_IS_FirstRow,0,COLUMN())),0,ROUND(AB714-AB628,6))</f>
        <v>0</v>
      </c>
      <c r="AC831" s="218">
        <f>IF(ISBLANK(INDEX(MO_IS_FirstRow,0,COLUMN())),0,ROUND(AC714-AC628,6))</f>
        <v>0</v>
      </c>
      <c r="AD831" s="218">
        <f>IF(ISBLANK(INDEX(MO_IS_FirstRow,0,COLUMN())),0,ROUND(AD714-AD628,6))</f>
        <v>0</v>
      </c>
      <c r="AE831" s="218">
        <f>IF(ISBLANK(INDEX(MO_IS_FirstRow,0,COLUMN())),0,ROUND(AE714-AE628,6))</f>
        <v>0</v>
      </c>
      <c r="AF831" s="218">
        <f>IF(ISBLANK(INDEX(MO_IS_FirstRow,0,COLUMN())),0,ROUND(AF714-AF628,6))</f>
        <v>0</v>
      </c>
      <c r="AG831" s="218">
        <f>IF(ISBLANK(INDEX(MO_IS_FirstRow,0,COLUMN())),0,ROUND(AG714-AG628,6))</f>
        <v>0</v>
      </c>
      <c r="AH831" s="218">
        <f>IF(ISBLANK(INDEX(MO_IS_FirstRow,0,COLUMN())),0,ROUND(AH714-AH628,6))</f>
        <v>0</v>
      </c>
      <c r="AI831" s="218">
        <f>IF(ISBLANK(INDEX(MO_IS_FirstRow,0,COLUMN())),0,ROUND(AI714-AI628,6))</f>
        <v>0</v>
      </c>
      <c r="AJ831" s="218">
        <f>IF(ISBLANK(INDEX(MO_IS_FirstRow,0,COLUMN())),0,ROUND(AJ714-AJ628,6))</f>
        <v>0</v>
      </c>
      <c r="AK831" s="218">
        <f>IF(ISBLANK(INDEX(MO_IS_FirstRow,0,COLUMN())),0,ROUND(AK714-AK628,6))</f>
        <v>0</v>
      </c>
      <c r="AL831" s="218">
        <f>IF(ISBLANK(INDEX(MO_IS_FirstRow,0,COLUMN())),0,ROUND(AL714-AL628,6))</f>
        <v>0</v>
      </c>
      <c r="AM831" s="218">
        <f>IF(ISBLANK(INDEX(MO_IS_FirstRow,0,COLUMN())),0,ROUND(AM714-AM628,6))</f>
        <v>0</v>
      </c>
      <c r="AN831" s="218">
        <f>IF(ISBLANK(INDEX(MO_IS_FirstRow,0,COLUMN())),0,ROUND(AN714-AN628,6))</f>
        <v>0</v>
      </c>
      <c r="AO831" s="218">
        <f>IF(ISBLANK(INDEX(MO_IS_FirstRow,0,COLUMN())),0,ROUND(AO714-AO628,6))</f>
        <v>0</v>
      </c>
      <c r="AP831" s="218">
        <f>IF(ISBLANK(INDEX(MO_IS_FirstRow,0,COLUMN())),0,ROUND(AP714-AP628,6))</f>
        <v>0</v>
      </c>
      <c r="AQ831" s="218">
        <f>IF(ISBLANK(INDEX(MO_IS_FirstRow,0,COLUMN())),0,ROUND(AQ714-AQ628,6))</f>
        <v>0</v>
      </c>
      <c r="AR831" s="218">
        <f>IF(ISBLANK(INDEX(MO_IS_FirstRow,0,COLUMN())),0,ROUND(AR714-AR628,6))</f>
        <v>0</v>
      </c>
      <c r="AS831" s="218">
        <f>IF(ISBLANK(INDEX(MO_IS_FirstRow,0,COLUMN())),0,ROUND(AS714-AS628,6))</f>
        <v>0</v>
      </c>
      <c r="AT831" s="218">
        <f>IF(ISBLANK(INDEX(MO_IS_FirstRow,0,COLUMN())),0,ROUND(AT714-AT628,6))</f>
        <v>0</v>
      </c>
      <c r="AU831" s="218">
        <f>IF(ISBLANK(INDEX(MO_IS_FirstRow,0,COLUMN())),0,ROUND(AU714-AU628,6))</f>
        <v>0</v>
      </c>
      <c r="AV831" s="218">
        <f>IF(ISBLANK(INDEX(MO_IS_FirstRow,0,COLUMN())),0,ROUND(AV714-AV628,6))</f>
        <v>0</v>
      </c>
      <c r="AW831" s="218">
        <f>IF(ISBLANK(INDEX(MO_IS_FirstRow,0,COLUMN())),0,ROUND(AW714-AW628,6))</f>
        <v>0</v>
      </c>
      <c r="AX831" s="218">
        <f>IF(ISBLANK(INDEX(MO_IS_FirstRow,0,COLUMN())),0,ROUND(AX714-AX628,6))</f>
        <v>0</v>
      </c>
      <c r="AY831" s="218">
        <f>IF(ISBLANK(INDEX(MO_IS_FirstRow,0,COLUMN())),0,ROUND(AY714-AY628,6))</f>
        <v>0</v>
      </c>
      <c r="AZ831" s="218">
        <f>IF(ISBLANK(INDEX(MO_IS_FirstRow,0,COLUMN())),0,ROUND(AZ714-AZ628,6))</f>
        <v>0</v>
      </c>
      <c r="BA831" s="218">
        <f>IF(ISBLANK(INDEX(MO_IS_FirstRow,0,COLUMN())),0,ROUND(BA714-BA628,6))</f>
        <v>0</v>
      </c>
      <c r="BB831" s="218">
        <f>IF(ISBLANK(INDEX(MO_IS_FirstRow,0,COLUMN())),0,ROUND(BB714-BB628,6))</f>
        <v>0</v>
      </c>
      <c r="BC831" s="218">
        <f>IF(ISBLANK(INDEX(MO_IS_FirstRow,0,COLUMN())),0,ROUND(BC714-BC628,6))</f>
        <v>0</v>
      </c>
      <c r="BD831" s="218">
        <f>IF(ISBLANK(INDEX(MO_IS_FirstRow,0,COLUMN())),0,ROUND(BD714-BD628,6))</f>
        <v>0</v>
      </c>
      <c r="BE831" s="218">
        <f>IF(ISBLANK(INDEX(MO_IS_FirstRow,0,COLUMN())),0,ROUND(BE714-BE628,6))</f>
        <v>0</v>
      </c>
      <c r="BF831" s="218">
        <f>IF(ISBLANK(INDEX(MO_IS_FirstRow,0,COLUMN())),0,ROUND(BF714-BF628,6))</f>
        <v>0</v>
      </c>
      <c r="BG831" s="218">
        <f>IF(ISBLANK(INDEX(MO_IS_FirstRow,0,COLUMN())),0,ROUND(BG714-BG628,6))</f>
        <v>0</v>
      </c>
      <c r="BH831" s="218">
        <f>IF(ISBLANK(INDEX(MO_IS_FirstRow,0,COLUMN())),0,ROUND(BH714-BH628,6))</f>
        <v>0</v>
      </c>
      <c r="BI831" s="218">
        <f>IF(ISBLANK(INDEX(MO_IS_FirstRow,0,COLUMN())),0,ROUND(BI714-BI628,6))</f>
        <v>0</v>
      </c>
      <c r="BJ831" s="218">
        <f>IF(ISBLANK(INDEX(MO_IS_FirstRow,0,COLUMN())),0,ROUND(BJ714-BJ628,6))</f>
        <v>0</v>
      </c>
      <c r="BK831" s="218">
        <f>IF(ISBLANK(INDEX(MO_IS_FirstRow,0,COLUMN())),0,ROUND(BK714-BK628,6))</f>
        <v>0</v>
      </c>
      <c r="BL831" s="218">
        <f>IF(ISBLANK(INDEX(MO_IS_FirstRow,0,COLUMN())),0,ROUND(BL714-BL628,6))</f>
        <v>0</v>
      </c>
      <c r="BM831" s="218">
        <f>IF(ISBLANK(INDEX(MO_IS_FirstRow,0,COLUMN())),0,ROUND(BM714-BM628,6))</f>
        <v>0</v>
      </c>
      <c r="BN831" s="218">
        <f>IF(ISBLANK(INDEX(MO_IS_FirstRow,0,COLUMN())),0,ROUND(BN714-BN628,6))</f>
        <v>0</v>
      </c>
      <c r="BO831" s="218">
        <f>IF(ISBLANK(INDEX(MO_IS_FirstRow,0,COLUMN())),0,ROUND(BO714-BO628,6))</f>
        <v>0</v>
      </c>
      <c r="BP831" s="218">
        <f>IF(ISBLANK(INDEX(MO_IS_FirstRow,0,COLUMN())),0,ROUND(BP714-BP628,6))</f>
        <v>0</v>
      </c>
      <c r="BQ831" s="218">
        <f>IF(ISBLANK(INDEX(MO_IS_FirstRow,0,COLUMN())),0,ROUND(BQ714-BQ628,6))</f>
        <v>0</v>
      </c>
      <c r="BR831" s="218">
        <f>IF(ISBLANK(INDEX(MO_IS_FirstRow,0,COLUMN())),0,ROUND(BR714-BR628,6))</f>
        <v>0</v>
      </c>
      <c r="BS831" s="515">
        <f>IF(ISBLANK(INDEX(MO_IS_FirstRow,0,COLUMN())),0,ROUND(BS714-BS628,6))</f>
        <v>0</v>
      </c>
      <c r="BT831" s="218" t="e">
        <f>IF(ISBLANK(INDEX(MO_IS_FirstRow,0,COLUMN())),0,ROUND(BT714-BT628,6))</f>
        <v>#NAME?</v>
      </c>
      <c r="BU831" s="218" t="e">
        <f>IF(ISBLANK(INDEX(MO_IS_FirstRow,0,COLUMN())),0,ROUND(BU714-BU628,6))</f>
        <v>#NAME?</v>
      </c>
      <c r="BV831" s="218" t="e">
        <f>IF(ISBLANK(INDEX(MO_IS_FirstRow,0,COLUMN())),0,ROUND(BV714-BV628,6))</f>
        <v>#NAME?</v>
      </c>
      <c r="BW831" s="218" t="e">
        <f>IF(ISBLANK(INDEX(MO_IS_FirstRow,0,COLUMN())),0,ROUND(BW714-BW628,6))</f>
        <v>#NAME?</v>
      </c>
      <c r="BX831" s="218" t="e">
        <f>IF(ISBLANK(INDEX(MO_IS_FirstRow,0,COLUMN())),0,ROUND(BX714-BX628,6))</f>
        <v>#NAME?</v>
      </c>
      <c r="BY831" s="218" t="e">
        <f>IF(ISBLANK(INDEX(MO_IS_FirstRow,0,COLUMN())),0,ROUND(BY714-BY628,6))</f>
        <v>#NAME?</v>
      </c>
      <c r="BZ831" s="218" t="e">
        <f>IF(ISBLANK(INDEX(MO_IS_FirstRow,0,COLUMN())),0,ROUND(BZ714-BZ628,6))</f>
        <v>#NAME?</v>
      </c>
      <c r="CA831" s="218" t="e">
        <f>IF(ISBLANK(INDEX(MO_IS_FirstRow,0,COLUMN())),0,ROUND(CA714-CA628,6))</f>
        <v>#NAME?</v>
      </c>
      <c r="CB831" s="218" t="e">
        <f>IF(ISBLANK(INDEX(MO_IS_FirstRow,0,COLUMN())),0,ROUND(CB714-CB628,6))</f>
        <v>#NAME?</v>
      </c>
      <c r="CC831" s="218" t="e">
        <f>IF(ISBLANK(INDEX(MO_IS_FirstRow,0,COLUMN())),0,ROUND(CC714-CC628,6))</f>
        <v>#NAME?</v>
      </c>
      <c r="CD831" s="218" t="e">
        <f>IF(ISBLANK(INDEX(MO_IS_FirstRow,0,COLUMN())),0,ROUND(CD714-CD628,6))</f>
        <v>#NAME?</v>
      </c>
      <c r="CE831" s="218" t="e">
        <f>IF(ISBLANK(INDEX(MO_IS_FirstRow,0,COLUMN())),0,ROUND(CE714-CE628,6))</f>
        <v>#NAME?</v>
      </c>
      <c r="CF831" s="218" t="e">
        <f>IF(ISBLANK(INDEX(MO_IS_FirstRow,0,COLUMN())),0,ROUND(CF714-CF628,6))</f>
        <v>#NAME?</v>
      </c>
      <c r="CG831" s="99"/>
    </row>
    <row r="832" spans="1:85" ht="14.45" customHeight="1" x14ac:dyDescent="0.25">
      <c r="A832" s="99" t="s">
        <v>750</v>
      </c>
      <c r="B832" s="127"/>
      <c r="C832" s="218" t="e">
        <f t="shared" ref="C832:AH832" si="799">ROUND(INDEX(MO_CFSum_Capex,0,COLUMN())-C667,6)</f>
        <v>#NAME?</v>
      </c>
      <c r="D832" s="218" t="e">
        <f t="shared" si="799"/>
        <v>#NAME?</v>
      </c>
      <c r="E832" s="218" t="e">
        <f t="shared" si="799"/>
        <v>#NAME?</v>
      </c>
      <c r="F832" s="218" t="e">
        <f t="shared" si="799"/>
        <v>#NAME?</v>
      </c>
      <c r="G832" s="218" t="e">
        <f t="shared" si="799"/>
        <v>#NAME?</v>
      </c>
      <c r="H832" s="218" t="e">
        <f t="shared" si="799"/>
        <v>#NAME?</v>
      </c>
      <c r="I832" s="218" t="e">
        <f t="shared" si="799"/>
        <v>#NAME?</v>
      </c>
      <c r="J832" s="218" t="e">
        <f t="shared" si="799"/>
        <v>#NAME?</v>
      </c>
      <c r="K832" s="218" t="e">
        <f t="shared" si="799"/>
        <v>#NAME?</v>
      </c>
      <c r="L832" s="218" t="e">
        <f t="shared" si="799"/>
        <v>#NAME?</v>
      </c>
      <c r="M832" s="218" t="e">
        <f t="shared" si="799"/>
        <v>#NAME?</v>
      </c>
      <c r="N832" s="218" t="e">
        <f t="shared" si="799"/>
        <v>#NAME?</v>
      </c>
      <c r="O832" s="218" t="e">
        <f t="shared" si="799"/>
        <v>#NAME?</v>
      </c>
      <c r="P832" s="218" t="e">
        <f t="shared" si="799"/>
        <v>#NAME?</v>
      </c>
      <c r="Q832" s="218" t="e">
        <f t="shared" si="799"/>
        <v>#NAME?</v>
      </c>
      <c r="R832" s="218" t="e">
        <f t="shared" si="799"/>
        <v>#NAME?</v>
      </c>
      <c r="S832" s="218" t="e">
        <f t="shared" si="799"/>
        <v>#NAME?</v>
      </c>
      <c r="T832" s="218" t="e">
        <f t="shared" si="799"/>
        <v>#NAME?</v>
      </c>
      <c r="U832" s="218" t="e">
        <f t="shared" si="799"/>
        <v>#NAME?</v>
      </c>
      <c r="V832" s="218" t="e">
        <f t="shared" si="799"/>
        <v>#NAME?</v>
      </c>
      <c r="W832" s="218" t="e">
        <f t="shared" si="799"/>
        <v>#NAME?</v>
      </c>
      <c r="X832" s="218" t="e">
        <f t="shared" si="799"/>
        <v>#NAME?</v>
      </c>
      <c r="Y832" s="218" t="e">
        <f t="shared" si="799"/>
        <v>#NAME?</v>
      </c>
      <c r="Z832" s="218" t="e">
        <f t="shared" si="799"/>
        <v>#NAME?</v>
      </c>
      <c r="AA832" s="218" t="e">
        <f t="shared" si="799"/>
        <v>#NAME?</v>
      </c>
      <c r="AB832" s="218" t="e">
        <f t="shared" si="799"/>
        <v>#NAME?</v>
      </c>
      <c r="AC832" s="218" t="e">
        <f t="shared" si="799"/>
        <v>#NAME?</v>
      </c>
      <c r="AD832" s="218" t="e">
        <f t="shared" si="799"/>
        <v>#NAME?</v>
      </c>
      <c r="AE832" s="218" t="e">
        <f t="shared" si="799"/>
        <v>#NAME?</v>
      </c>
      <c r="AF832" s="218" t="e">
        <f t="shared" si="799"/>
        <v>#NAME?</v>
      </c>
      <c r="AG832" s="218" t="e">
        <f t="shared" si="799"/>
        <v>#NAME?</v>
      </c>
      <c r="AH832" s="218" t="e">
        <f t="shared" si="799"/>
        <v>#NAME?</v>
      </c>
      <c r="AI832" s="218" t="e">
        <f t="shared" ref="AI832:BN832" si="800">ROUND(INDEX(MO_CFSum_Capex,0,COLUMN())-AI667,6)</f>
        <v>#NAME?</v>
      </c>
      <c r="AJ832" s="218" t="e">
        <f t="shared" si="800"/>
        <v>#NAME?</v>
      </c>
      <c r="AK832" s="218" t="e">
        <f t="shared" si="800"/>
        <v>#NAME?</v>
      </c>
      <c r="AL832" s="218" t="e">
        <f t="shared" si="800"/>
        <v>#NAME?</v>
      </c>
      <c r="AM832" s="218" t="e">
        <f t="shared" si="800"/>
        <v>#NAME?</v>
      </c>
      <c r="AN832" s="218" t="e">
        <f t="shared" si="800"/>
        <v>#NAME?</v>
      </c>
      <c r="AO832" s="218" t="e">
        <f t="shared" si="800"/>
        <v>#NAME?</v>
      </c>
      <c r="AP832" s="218" t="e">
        <f t="shared" si="800"/>
        <v>#NAME?</v>
      </c>
      <c r="AQ832" s="218" t="e">
        <f t="shared" si="800"/>
        <v>#NAME?</v>
      </c>
      <c r="AR832" s="218" t="e">
        <f t="shared" si="800"/>
        <v>#NAME?</v>
      </c>
      <c r="AS832" s="218" t="e">
        <f t="shared" si="800"/>
        <v>#NAME?</v>
      </c>
      <c r="AT832" s="218" t="e">
        <f t="shared" si="800"/>
        <v>#NAME?</v>
      </c>
      <c r="AU832" s="218" t="e">
        <f t="shared" si="800"/>
        <v>#NAME?</v>
      </c>
      <c r="AV832" s="218" t="e">
        <f t="shared" si="800"/>
        <v>#NAME?</v>
      </c>
      <c r="AW832" s="218" t="e">
        <f t="shared" si="800"/>
        <v>#NAME?</v>
      </c>
      <c r="AX832" s="218" t="e">
        <f t="shared" si="800"/>
        <v>#NAME?</v>
      </c>
      <c r="AY832" s="218" t="e">
        <f t="shared" si="800"/>
        <v>#NAME?</v>
      </c>
      <c r="AZ832" s="218" t="e">
        <f t="shared" si="800"/>
        <v>#NAME?</v>
      </c>
      <c r="BA832" s="218" t="e">
        <f t="shared" si="800"/>
        <v>#NAME?</v>
      </c>
      <c r="BB832" s="218" t="e">
        <f t="shared" si="800"/>
        <v>#NAME?</v>
      </c>
      <c r="BC832" s="218" t="e">
        <f t="shared" si="800"/>
        <v>#NAME?</v>
      </c>
      <c r="BD832" s="218" t="e">
        <f t="shared" si="800"/>
        <v>#NAME?</v>
      </c>
      <c r="BE832" s="218" t="e">
        <f t="shared" si="800"/>
        <v>#NAME?</v>
      </c>
      <c r="BF832" s="218" t="e">
        <f t="shared" si="800"/>
        <v>#NAME?</v>
      </c>
      <c r="BG832" s="218" t="e">
        <f t="shared" si="800"/>
        <v>#NAME?</v>
      </c>
      <c r="BH832" s="218" t="e">
        <f t="shared" si="800"/>
        <v>#NAME?</v>
      </c>
      <c r="BI832" s="218" t="e">
        <f t="shared" si="800"/>
        <v>#NAME?</v>
      </c>
      <c r="BJ832" s="218" t="e">
        <f t="shared" si="800"/>
        <v>#NAME?</v>
      </c>
      <c r="BK832" s="218" t="e">
        <f t="shared" si="800"/>
        <v>#NAME?</v>
      </c>
      <c r="BL832" s="218" t="e">
        <f t="shared" si="800"/>
        <v>#NAME?</v>
      </c>
      <c r="BM832" s="218" t="e">
        <f t="shared" si="800"/>
        <v>#NAME?</v>
      </c>
      <c r="BN832" s="218" t="e">
        <f t="shared" si="800"/>
        <v>#NAME?</v>
      </c>
      <c r="BO832" s="218" t="e">
        <f t="shared" ref="BO832:CF832" si="801">ROUND(INDEX(MO_CFSum_Capex,0,COLUMN())-BO667,6)</f>
        <v>#NAME?</v>
      </c>
      <c r="BP832" s="218" t="e">
        <f t="shared" si="801"/>
        <v>#NAME?</v>
      </c>
      <c r="BQ832" s="218" t="e">
        <f t="shared" si="801"/>
        <v>#NAME?</v>
      </c>
      <c r="BR832" s="218" t="e">
        <f t="shared" si="801"/>
        <v>#NAME?</v>
      </c>
      <c r="BS832" s="515" t="e">
        <f t="shared" si="801"/>
        <v>#NAME?</v>
      </c>
      <c r="BT832" s="218" t="e">
        <f t="shared" si="801"/>
        <v>#NAME?</v>
      </c>
      <c r="BU832" s="218" t="e">
        <f t="shared" si="801"/>
        <v>#NAME?</v>
      </c>
      <c r="BV832" s="218" t="e">
        <f t="shared" si="801"/>
        <v>#NAME?</v>
      </c>
      <c r="BW832" s="218" t="e">
        <f t="shared" si="801"/>
        <v>#NAME?</v>
      </c>
      <c r="BX832" s="218" t="e">
        <f t="shared" si="801"/>
        <v>#NAME?</v>
      </c>
      <c r="BY832" s="218" t="e">
        <f t="shared" si="801"/>
        <v>#NAME?</v>
      </c>
      <c r="BZ832" s="218" t="e">
        <f t="shared" si="801"/>
        <v>#NAME?</v>
      </c>
      <c r="CA832" s="218" t="e">
        <f t="shared" si="801"/>
        <v>#NAME?</v>
      </c>
      <c r="CB832" s="218" t="e">
        <f t="shared" si="801"/>
        <v>#NAME?</v>
      </c>
      <c r="CC832" s="218" t="e">
        <f t="shared" si="801"/>
        <v>#NAME?</v>
      </c>
      <c r="CD832" s="218" t="e">
        <f t="shared" si="801"/>
        <v>#NAME?</v>
      </c>
      <c r="CE832" s="218" t="e">
        <f t="shared" si="801"/>
        <v>#NAME?</v>
      </c>
      <c r="CF832" s="218" t="e">
        <f t="shared" si="801"/>
        <v>#NAME?</v>
      </c>
      <c r="CG832" s="99"/>
    </row>
    <row r="833" spans="1:85" ht="14.45" customHeight="1" x14ac:dyDescent="0.25">
      <c r="A833" s="99" t="s">
        <v>751</v>
      </c>
      <c r="B833" s="127"/>
      <c r="C833" s="218">
        <f>IF(ISBLANK(INDEX(MO_IS_FirstRow,0,COLUMN())),0,IF(MOD(C261*1000000,1)=0,"Check",0))</f>
        <v>0</v>
      </c>
      <c r="D833" s="218">
        <f>IF(ISBLANK(INDEX(MO_IS_FirstRow,0,COLUMN())),0,IF(MOD(D261*1000000,1)=0,"Check",0))</f>
        <v>0</v>
      </c>
      <c r="E833" s="218">
        <f>IF(ISBLANK(INDEX(MO_IS_FirstRow,0,COLUMN())),0,IF(MOD(E261*1000000,1)=0,"Check",0))</f>
        <v>0</v>
      </c>
      <c r="F833" s="218">
        <f>IF(ISBLANK(INDEX(MO_IS_FirstRow,0,COLUMN())),0,IF(MOD(F261*1000000,1)=0,"Check",0))</f>
        <v>0</v>
      </c>
      <c r="G833" s="218">
        <f>IF(ISBLANK(INDEX(MO_IS_FirstRow,0,COLUMN())),0,IF(MOD(G261*1000000,1)=0,"Check",0))</f>
        <v>0</v>
      </c>
      <c r="H833" s="218">
        <f>IF(ISBLANK(INDEX(MO_IS_FirstRow,0,COLUMN())),0,IF(MOD(H261*1000000,1)=0,"Check",0))</f>
        <v>0</v>
      </c>
      <c r="I833" s="218">
        <f>IF(ISBLANK(INDEX(MO_IS_FirstRow,0,COLUMN())),0,IF(MOD(I261*1000000,1)=0,"Check",0))</f>
        <v>0</v>
      </c>
      <c r="J833" s="218">
        <f>IF(ISBLANK(INDEX(MO_IS_FirstRow,0,COLUMN())),0,IF(MOD(J261*1000000,1)=0,"Check",0))</f>
        <v>0</v>
      </c>
      <c r="K833" s="218">
        <f>IF(ISBLANK(INDEX(MO_IS_FirstRow,0,COLUMN())),0,IF(MOD(K261*1000000,1)=0,"Check",0))</f>
        <v>0</v>
      </c>
      <c r="L833" s="218">
        <f>IF(ISBLANK(INDEX(MO_IS_FirstRow,0,COLUMN())),0,IF(MOD(L261*1000000,1)=0,"Check",0))</f>
        <v>0</v>
      </c>
      <c r="M833" s="218">
        <f>IF(ISBLANK(INDEX(MO_IS_FirstRow,0,COLUMN())),0,IF(MOD(M261*1000000,1)=0,"Check",0))</f>
        <v>0</v>
      </c>
      <c r="N833" s="218">
        <f>IF(ISBLANK(INDEX(MO_IS_FirstRow,0,COLUMN())),0,IF(MOD(N261*1000000,1)=0,"Check",0))</f>
        <v>0</v>
      </c>
      <c r="O833" s="218">
        <f>IF(ISBLANK(INDEX(MO_IS_FirstRow,0,COLUMN())),0,IF(MOD(O261*1000000,1)=0,"Check",0))</f>
        <v>0</v>
      </c>
      <c r="P833" s="218">
        <f>IF(ISBLANK(INDEX(MO_IS_FirstRow,0,COLUMN())),0,IF(MOD(P261*1000000,1)=0,"Check",0))</f>
        <v>0</v>
      </c>
      <c r="Q833" s="218">
        <f>IF(ISBLANK(INDEX(MO_IS_FirstRow,0,COLUMN())),0,IF(MOD(Q261*1000000,1)=0,"Check",0))</f>
        <v>0</v>
      </c>
      <c r="R833" s="218">
        <f>IF(ISBLANK(INDEX(MO_IS_FirstRow,0,COLUMN())),0,IF(MOD(R261*1000000,1)=0,"Check",0))</f>
        <v>0</v>
      </c>
      <c r="S833" s="218">
        <f>IF(ISBLANK(INDEX(MO_IS_FirstRow,0,COLUMN())),0,IF(MOD(S261*1000000,1)=0,"Check",0))</f>
        <v>0</v>
      </c>
      <c r="T833" s="218">
        <f>IF(ISBLANK(INDEX(MO_IS_FirstRow,0,COLUMN())),0,IF(MOD(T261*1000000,1)=0,"Check",0))</f>
        <v>0</v>
      </c>
      <c r="U833" s="218">
        <f>IF(ISBLANK(INDEX(MO_IS_FirstRow,0,COLUMN())),0,IF(MOD(U261*1000000,1)=0,"Check",0))</f>
        <v>0</v>
      </c>
      <c r="V833" s="218">
        <f>IF(ISBLANK(INDEX(MO_IS_FirstRow,0,COLUMN())),0,IF(MOD(V261*1000000,1)=0,"Check",0))</f>
        <v>0</v>
      </c>
      <c r="W833" s="218">
        <f>IF(ISBLANK(INDEX(MO_IS_FirstRow,0,COLUMN())),0,IF(MOD(W261*1000000,1)=0,"Check",0))</f>
        <v>0</v>
      </c>
      <c r="X833" s="218">
        <f>IF(ISBLANK(INDEX(MO_IS_FirstRow,0,COLUMN())),0,IF(MOD(X261*1000000,1)=0,"Check",0))</f>
        <v>0</v>
      </c>
      <c r="Y833" s="218">
        <f>IF(ISBLANK(INDEX(MO_IS_FirstRow,0,COLUMN())),0,IF(MOD(Y261*1000000,1)=0,"Check",0))</f>
        <v>0</v>
      </c>
      <c r="Z833" s="218">
        <f>IF(ISBLANK(INDEX(MO_IS_FirstRow,0,COLUMN())),0,IF(MOD(Z261*1000000,1)=0,"Check",0))</f>
        <v>0</v>
      </c>
      <c r="AA833" s="218">
        <f>IF(ISBLANK(INDEX(MO_IS_FirstRow,0,COLUMN())),0,IF(MOD(AA261*1000000,1)=0,"Check",0))</f>
        <v>0</v>
      </c>
      <c r="AB833" s="218">
        <f>IF(ISBLANK(INDEX(MO_IS_FirstRow,0,COLUMN())),0,IF(MOD(AB261*1000000,1)=0,"Check",0))</f>
        <v>0</v>
      </c>
      <c r="AC833" s="218">
        <f>IF(ISBLANK(INDEX(MO_IS_FirstRow,0,COLUMN())),0,IF(MOD(AC261*1000000,1)=0,"Check",0))</f>
        <v>0</v>
      </c>
      <c r="AD833" s="218">
        <f>IF(ISBLANK(INDEX(MO_IS_FirstRow,0,COLUMN())),0,IF(MOD(AD261*1000000,1)=0,"Check",0))</f>
        <v>0</v>
      </c>
      <c r="AE833" s="218">
        <f>IF(ISBLANK(INDEX(MO_IS_FirstRow,0,COLUMN())),0,IF(MOD(AE261*1000000,1)=0,"Check",0))</f>
        <v>0</v>
      </c>
      <c r="AF833" s="218">
        <f>IF(ISBLANK(INDEX(MO_IS_FirstRow,0,COLUMN())),0,IF(MOD(AF261*1000000,1)=0,"Check",0))</f>
        <v>0</v>
      </c>
      <c r="AG833" s="218">
        <f>IF(ISBLANK(INDEX(MO_IS_FirstRow,0,COLUMN())),0,IF(MOD(AG261*1000000,1)=0,"Check",0))</f>
        <v>0</v>
      </c>
      <c r="AH833" s="218">
        <f>IF(ISBLANK(INDEX(MO_IS_FirstRow,0,COLUMN())),0,IF(MOD(AH261*1000000,1)=0,"Check",0))</f>
        <v>0</v>
      </c>
      <c r="AI833" s="218">
        <f>IF(ISBLANK(INDEX(MO_IS_FirstRow,0,COLUMN())),0,IF(MOD(AI261*1000000,1)=0,"Check",0))</f>
        <v>0</v>
      </c>
      <c r="AJ833" s="218">
        <f>IF(ISBLANK(INDEX(MO_IS_FirstRow,0,COLUMN())),0,IF(MOD(AJ261*1000000,1)=0,"Check",0))</f>
        <v>0</v>
      </c>
      <c r="AK833" s="218">
        <f>IF(ISBLANK(INDEX(MO_IS_FirstRow,0,COLUMN())),0,IF(MOD(AK261*1000000,1)=0,"Check",0))</f>
        <v>0</v>
      </c>
      <c r="AL833" s="218">
        <f>IF(ISBLANK(INDEX(MO_IS_FirstRow,0,COLUMN())),0,IF(MOD(AL261*1000000,1)=0,"Check",0))</f>
        <v>0</v>
      </c>
      <c r="AM833" s="218">
        <f>IF(ISBLANK(INDEX(MO_IS_FirstRow,0,COLUMN())),0,IF(MOD(AM261*1000000,1)=0,"Check",0))</f>
        <v>0</v>
      </c>
      <c r="AN833" s="218">
        <f>IF(ISBLANK(INDEX(MO_IS_FirstRow,0,COLUMN())),0,IF(MOD(AN261*1000000,1)=0,"Check",0))</f>
        <v>0</v>
      </c>
      <c r="AO833" s="218">
        <f>IF(ISBLANK(INDEX(MO_IS_FirstRow,0,COLUMN())),0,IF(MOD(AO261*1000000,1)=0,"Check",0))</f>
        <v>0</v>
      </c>
      <c r="AP833" s="218">
        <f>IF(ISBLANK(INDEX(MO_IS_FirstRow,0,COLUMN())),0,IF(MOD(AP261*1000000,1)=0,"Check",0))</f>
        <v>0</v>
      </c>
      <c r="AQ833" s="218">
        <f>IF(ISBLANK(INDEX(MO_IS_FirstRow,0,COLUMN())),0,IF(MOD(AQ261*1000000,1)=0,"Check",0))</f>
        <v>0</v>
      </c>
      <c r="AR833" s="218">
        <f>IF(ISBLANK(INDEX(MO_IS_FirstRow,0,COLUMN())),0,IF(MOD(AR261*1000000,1)=0,"Check",0))</f>
        <v>0</v>
      </c>
      <c r="AS833" s="218">
        <f>IF(ISBLANK(INDEX(MO_IS_FirstRow,0,COLUMN())),0,IF(MOD(AS261*1000000,1)=0,"Check",0))</f>
        <v>0</v>
      </c>
      <c r="AT833" s="218">
        <f>IF(ISBLANK(INDEX(MO_IS_FirstRow,0,COLUMN())),0,IF(MOD(AT261*1000000,1)=0,"Check",0))</f>
        <v>0</v>
      </c>
      <c r="AU833" s="218">
        <f>IF(ISBLANK(INDEX(MO_IS_FirstRow,0,COLUMN())),0,IF(MOD(AU261*1000000,1)=0,"Check",0))</f>
        <v>0</v>
      </c>
      <c r="AV833" s="218">
        <f>IF(ISBLANK(INDEX(MO_IS_FirstRow,0,COLUMN())),0,IF(MOD(AV261*1000000,1)=0,"Check",0))</f>
        <v>0</v>
      </c>
      <c r="AW833" s="218">
        <f>IF(ISBLANK(INDEX(MO_IS_FirstRow,0,COLUMN())),0,IF(MOD(AW261*1000000,1)=0,"Check",0))</f>
        <v>0</v>
      </c>
      <c r="AX833" s="218">
        <f>IF(ISBLANK(INDEX(MO_IS_FirstRow,0,COLUMN())),0,IF(MOD(AX261*1000000,1)=0,"Check",0))</f>
        <v>0</v>
      </c>
      <c r="AY833" s="218">
        <f>IF(ISBLANK(INDEX(MO_IS_FirstRow,0,COLUMN())),0,IF(MOD(AY261*1000000,1)=0,"Check",0))</f>
        <v>0</v>
      </c>
      <c r="AZ833" s="218">
        <f>IF(ISBLANK(INDEX(MO_IS_FirstRow,0,COLUMN())),0,IF(MOD(AZ261*1000000,1)=0,"Check",0))</f>
        <v>0</v>
      </c>
      <c r="BA833" s="218">
        <f>IF(ISBLANK(INDEX(MO_IS_FirstRow,0,COLUMN())),0,IF(MOD(BA261*1000000,1)=0,"Check",0))</f>
        <v>0</v>
      </c>
      <c r="BB833" s="218">
        <f>IF(ISBLANK(INDEX(MO_IS_FirstRow,0,COLUMN())),0,IF(MOD(BB261*1000000,1)=0,"Check",0))</f>
        <v>0</v>
      </c>
      <c r="BC833" s="218">
        <f>IF(ISBLANK(INDEX(MO_IS_FirstRow,0,COLUMN())),0,IF(MOD(BC261*1000000,1)=0,"Check",0))</f>
        <v>0</v>
      </c>
      <c r="BD833" s="218">
        <f>IF(ISBLANK(INDEX(MO_IS_FirstRow,0,COLUMN())),0,IF(MOD(BD261*1000000,1)=0,"Check",0))</f>
        <v>0</v>
      </c>
      <c r="BE833" s="218">
        <f>IF(ISBLANK(INDEX(MO_IS_FirstRow,0,COLUMN())),0,IF(MOD(BE261*1000000,1)=0,"Check",0))</f>
        <v>0</v>
      </c>
      <c r="BF833" s="218">
        <f>IF(ISBLANK(INDEX(MO_IS_FirstRow,0,COLUMN())),0,IF(MOD(BF261*1000000,1)=0,"Check",0))</f>
        <v>0</v>
      </c>
      <c r="BG833" s="218">
        <f>IF(ISBLANK(INDEX(MO_IS_FirstRow,0,COLUMN())),0,IF(MOD(BG261*1000000,1)=0,"Check",0))</f>
        <v>0</v>
      </c>
      <c r="BH833" s="218">
        <f>IF(ISBLANK(INDEX(MO_IS_FirstRow,0,COLUMN())),0,IF(MOD(BH261*1000000,1)=0,"Check",0))</f>
        <v>0</v>
      </c>
      <c r="BI833" s="218">
        <f>IF(ISBLANK(INDEX(MO_IS_FirstRow,0,COLUMN())),0,IF(MOD(BI261*1000000,1)=0,"Check",0))</f>
        <v>0</v>
      </c>
      <c r="BJ833" s="218">
        <f>IF(ISBLANK(INDEX(MO_IS_FirstRow,0,COLUMN())),0,IF(MOD(BJ261*1000000,1)=0,"Check",0))</f>
        <v>0</v>
      </c>
      <c r="BK833" s="218">
        <f>IF(ISBLANK(INDEX(MO_IS_FirstRow,0,COLUMN())),0,IF(MOD(BK261*1000000,1)=0,"Check",0))</f>
        <v>0</v>
      </c>
      <c r="BL833" s="218">
        <f>IF(ISBLANK(INDEX(MO_IS_FirstRow,0,COLUMN())),0,IF(MOD(BL261*1000000,1)=0,"Check",0))</f>
        <v>0</v>
      </c>
      <c r="BM833" s="218">
        <f>IF(ISBLANK(INDEX(MO_IS_FirstRow,0,COLUMN())),0,IF(MOD(BM261*1000000,1)=0,"Check",0))</f>
        <v>0</v>
      </c>
      <c r="BN833" s="218">
        <f>IF(ISBLANK(INDEX(MO_IS_FirstRow,0,COLUMN())),0,IF(MOD(BN261*1000000,1)=0,"Check",0))</f>
        <v>0</v>
      </c>
      <c r="BO833" s="218">
        <f>IF(ISBLANK(INDEX(MO_IS_FirstRow,0,COLUMN())),0,IF(MOD(BO261*1000000,1)=0,"Check",0))</f>
        <v>0</v>
      </c>
      <c r="BP833" s="218">
        <f>IF(ISBLANK(INDEX(MO_IS_FirstRow,0,COLUMN())),0,IF(MOD(BP261*1000000,1)=0,"Check",0))</f>
        <v>0</v>
      </c>
      <c r="BQ833" s="218">
        <f>IF(ISBLANK(INDEX(MO_IS_FirstRow,0,COLUMN())),0,IF(MOD(BQ261*1000000,1)=0,"Check",0))</f>
        <v>0</v>
      </c>
      <c r="BR833" s="218">
        <f>IF(ISBLANK(INDEX(MO_IS_FirstRow,0,COLUMN())),0,IF(MOD(BR261*1000000,1)=0,"Check",0))</f>
        <v>0</v>
      </c>
      <c r="BS833" s="515">
        <f>IF(ISBLANK(INDEX(MO_IS_FirstRow,0,COLUMN())),0,IF(MOD(BS261*1000000,1)=0,"Check",0))</f>
        <v>0</v>
      </c>
      <c r="BT833" s="218" t="str">
        <f>IF(ISBLANK(INDEX(MO_IS_FirstRow,0,COLUMN())),0,IF(MOD(BT261*1000000,1)=0,"Check",0))</f>
        <v>Check</v>
      </c>
      <c r="BU833" s="218" t="str">
        <f>IF(ISBLANK(INDEX(MO_IS_FirstRow,0,COLUMN())),0,IF(MOD(BU261*1000000,1)=0,"Check",0))</f>
        <v>Check</v>
      </c>
      <c r="BV833" s="218" t="str">
        <f>IF(ISBLANK(INDEX(MO_IS_FirstRow,0,COLUMN())),0,IF(MOD(BV261*1000000,1)=0,"Check",0))</f>
        <v>Check</v>
      </c>
      <c r="BW833" s="218" t="str">
        <f>IF(ISBLANK(INDEX(MO_IS_FirstRow,0,COLUMN())),0,IF(MOD(BW261*1000000,1)=0,"Check",0))</f>
        <v>Check</v>
      </c>
      <c r="BX833" s="218" t="str">
        <f>IF(ISBLANK(INDEX(MO_IS_FirstRow,0,COLUMN())),0,IF(MOD(BX261*1000000,1)=0,"Check",0))</f>
        <v>Check</v>
      </c>
      <c r="BY833" s="218" t="str">
        <f>IF(ISBLANK(INDEX(MO_IS_FirstRow,0,COLUMN())),0,IF(MOD(BY261*1000000,1)=0,"Check",0))</f>
        <v>Check</v>
      </c>
      <c r="BZ833" s="218" t="str">
        <f>IF(ISBLANK(INDEX(MO_IS_FirstRow,0,COLUMN())),0,IF(MOD(BZ261*1000000,1)=0,"Check",0))</f>
        <v>Check</v>
      </c>
      <c r="CA833" s="218" t="str">
        <f>IF(ISBLANK(INDEX(MO_IS_FirstRow,0,COLUMN())),0,IF(MOD(CA261*1000000,1)=0,"Check",0))</f>
        <v>Check</v>
      </c>
      <c r="CB833" s="218" t="str">
        <f>IF(ISBLANK(INDEX(MO_IS_FirstRow,0,COLUMN())),0,IF(MOD(CB261*1000000,1)=0,"Check",0))</f>
        <v>Check</v>
      </c>
      <c r="CC833" s="218" t="str">
        <f>IF(ISBLANK(INDEX(MO_IS_FirstRow,0,COLUMN())),0,IF(MOD(CC261*1000000,1)=0,"Check",0))</f>
        <v>Check</v>
      </c>
      <c r="CD833" s="218" t="str">
        <f>IF(ISBLANK(INDEX(MO_IS_FirstRow,0,COLUMN())),0,IF(MOD(CD261*1000000,1)=0,"Check",0))</f>
        <v>Check</v>
      </c>
      <c r="CE833" s="218" t="str">
        <f>IF(ISBLANK(INDEX(MO_IS_FirstRow,0,COLUMN())),0,IF(MOD(CE261*1000000,1)=0,"Check",0))</f>
        <v>Check</v>
      </c>
      <c r="CF833" s="218" t="str">
        <f>IF(ISBLANK(INDEX(MO_IS_FirstRow,0,COLUMN())),0,IF(MOD(CF261*1000000,1)=0,"Check",0))</f>
        <v>Check</v>
      </c>
      <c r="CG833" s="99"/>
    </row>
    <row r="834" spans="1:85" ht="14.45" customHeight="1" x14ac:dyDescent="0.25">
      <c r="A834" s="99" t="s">
        <v>752</v>
      </c>
      <c r="B834" s="127"/>
      <c r="C834" s="218"/>
      <c r="D834" s="218"/>
      <c r="E834" s="218"/>
      <c r="F834" s="218"/>
      <c r="G834" s="218"/>
      <c r="H834" s="218"/>
      <c r="I834" s="218"/>
      <c r="J834" s="218"/>
      <c r="K834" s="218">
        <f>IF(ISBLANK(INDEX(MO_IS_FirstRow,0,COLUMN())),0,ROUND(K393-SUM(G393,H393,I393,J393),1))</f>
        <v>0</v>
      </c>
      <c r="L834" s="218"/>
      <c r="M834" s="218"/>
      <c r="N834" s="218"/>
      <c r="O834" s="218"/>
      <c r="P834" s="218">
        <f>IF(ISBLANK(INDEX(MO_IS_FirstRow,0,COLUMN())),0,ROUND(P393-SUM(L393,M393,N393,O393),1))</f>
        <v>0</v>
      </c>
      <c r="Q834" s="218"/>
      <c r="R834" s="218"/>
      <c r="S834" s="218"/>
      <c r="T834" s="218"/>
      <c r="U834" s="218">
        <f>IF(ISBLANK(INDEX(MO_IS_FirstRow,0,COLUMN())),0,ROUND(U393-SUM(Q393,R393,S393,T393),1))</f>
        <v>0</v>
      </c>
      <c r="V834" s="218"/>
      <c r="W834" s="218"/>
      <c r="X834" s="218"/>
      <c r="Y834" s="218"/>
      <c r="Z834" s="218">
        <f>IF(ISBLANK(INDEX(MO_IS_FirstRow,0,COLUMN())),0,ROUND(Z393-SUM(V393,W393,X393,Y393),6))</f>
        <v>-0.72599999999999998</v>
      </c>
      <c r="AA834" s="218"/>
      <c r="AB834" s="218"/>
      <c r="AC834" s="218"/>
      <c r="AD834" s="218"/>
      <c r="AE834" s="218">
        <f>IF(ISBLANK(INDEX(MO_IS_FirstRow,0,COLUMN())),0,ROUND(AE393-SUM(AA393,AB393,AC393,AD393),6))</f>
        <v>-5.3819999999999997</v>
      </c>
      <c r="AF834" s="218"/>
      <c r="AG834" s="218"/>
      <c r="AH834" s="218"/>
      <c r="AI834" s="218"/>
      <c r="AJ834" s="218">
        <f>IF(ISBLANK(INDEX(MO_IS_FirstRow,0,COLUMN())),0,ROUND(AJ393-SUM(AF393,AG393,AH393,AI393),6))</f>
        <v>0</v>
      </c>
      <c r="AK834" s="218"/>
      <c r="AL834" s="218"/>
      <c r="AM834" s="218"/>
      <c r="AN834" s="218"/>
      <c r="AO834" s="218">
        <f>IF(ISBLANK(INDEX(MO_IS_FirstRow,0,COLUMN())),0,ROUND(AO393-SUM(AK393,AL393,AM393,AN393),6))</f>
        <v>0</v>
      </c>
      <c r="AP834" s="218"/>
      <c r="AQ834" s="218"/>
      <c r="AR834" s="218"/>
      <c r="AS834" s="218"/>
      <c r="AT834" s="218">
        <f>IF(ISBLANK(INDEX(MO_IS_FirstRow,0,COLUMN())),0,ROUND(AT393-SUM(AP393,AQ393,AR393,AS393),6))</f>
        <v>0</v>
      </c>
      <c r="AU834" s="218"/>
      <c r="AV834" s="218"/>
      <c r="AW834" s="218"/>
      <c r="AX834" s="218"/>
      <c r="AY834" s="218">
        <f>IF(ISBLANK(INDEX(MO_IS_FirstRow,0,COLUMN())),0,ROUND(AY393-SUM(AU393,AV393,AW393,AX393),6))</f>
        <v>0</v>
      </c>
      <c r="AZ834" s="218"/>
      <c r="BA834" s="218"/>
      <c r="BB834" s="218"/>
      <c r="BC834" s="218"/>
      <c r="BD834" s="218">
        <f>IF(ISBLANK(INDEX(MO_IS_FirstRow,0,COLUMN())),0,ROUND(BD393-SUM(AZ393,BA393,BB393,BC393),6))</f>
        <v>0</v>
      </c>
      <c r="BE834" s="218"/>
      <c r="BF834" s="218"/>
      <c r="BG834" s="218"/>
      <c r="BH834" s="218"/>
      <c r="BI834" s="218">
        <f>IF(ISBLANK(INDEX(MO_IS_FirstRow,0,COLUMN())),0,ROUND(BI393-SUM(BE393,BF393,BG393,BH393),6))</f>
        <v>0</v>
      </c>
      <c r="BJ834" s="218"/>
      <c r="BK834" s="218"/>
      <c r="BL834" s="218"/>
      <c r="BM834" s="218"/>
      <c r="BN834" s="218">
        <f>IF(ISBLANK(INDEX(MO_IS_FirstRow,0,COLUMN())),0,ROUND(BN393-SUM(BJ393,BK393,BL393,BM393),6))</f>
        <v>0</v>
      </c>
      <c r="BO834" s="218"/>
      <c r="BP834" s="218"/>
      <c r="BQ834" s="218"/>
      <c r="BR834" s="218"/>
      <c r="BS834" s="515">
        <f>IF(ISBLANK(INDEX(MO_IS_FirstRow,0,COLUMN())),0,ROUND(BS393-SUM(BO393,BP393,BQ393,BR393),6))</f>
        <v>0</v>
      </c>
      <c r="BT834" s="218"/>
      <c r="BU834" s="218"/>
      <c r="BV834" s="218"/>
      <c r="BW834" s="218"/>
      <c r="BX834" s="218">
        <f>IF(ISBLANK(INDEX(MO_IS_FirstRow,0,COLUMN())),0,ROUND(BX393-SUM(BT393,BU393,BV393,BW393),6))</f>
        <v>0</v>
      </c>
      <c r="BY834" s="218"/>
      <c r="BZ834" s="218"/>
      <c r="CA834" s="218"/>
      <c r="CB834" s="218"/>
      <c r="CC834" s="218">
        <f>IF(ISBLANK(INDEX(MO_IS_FirstRow,0,COLUMN())),0,ROUND(CC393-SUM(BY393,BZ393,CA393,CB393),6))</f>
        <v>0</v>
      </c>
      <c r="CD834" s="218"/>
      <c r="CE834" s="218"/>
      <c r="CF834" s="218"/>
      <c r="CG834" s="99"/>
    </row>
    <row r="835" spans="1:85" ht="14.45" customHeight="1" x14ac:dyDescent="0.25">
      <c r="A835" s="99" t="s">
        <v>753</v>
      </c>
      <c r="B835" s="127"/>
      <c r="C835" s="218" t="e">
        <f>IF(OR(INDEX(MO_CFSum_Acquisition,1,COLUMN())&gt;0,INDEX(MO_CFSum_Divestiture,1,COLUMN())&lt;0,INDEX(MO_CFSum_Capex,1,COLUMN())&gt;0,INDEX(MO_CFSum_Dividend,1,COLUMN())&gt;0),"CHECK",0)</f>
        <v>#NAME?</v>
      </c>
      <c r="D835" s="218" t="e">
        <f>IF(OR(INDEX(MO_CFSum_Acquisition,1,COLUMN())&gt;0,INDEX(MO_CFSum_Divestiture,1,COLUMN())&lt;0,INDEX(MO_CFSum_Capex,1,COLUMN())&gt;0,INDEX(MO_CFSum_Dividend,1,COLUMN())&gt;0),"CHECK",0)</f>
        <v>#NAME?</v>
      </c>
      <c r="E835" s="218" t="e">
        <f>IF(OR(INDEX(MO_CFSum_Acquisition,1,COLUMN())&gt;0,INDEX(MO_CFSum_Divestiture,1,COLUMN())&lt;0,INDEX(MO_CFSum_Capex,1,COLUMN())&gt;0,INDEX(MO_CFSum_Dividend,1,COLUMN())&gt;0),"CHECK",0)</f>
        <v>#NAME?</v>
      </c>
      <c r="F835" s="218" t="e">
        <f>IF(OR(INDEX(MO_CFSum_Acquisition,1,COLUMN())&gt;0,INDEX(MO_CFSum_Divestiture,1,COLUMN())&lt;0,INDEX(MO_CFSum_Capex,1,COLUMN())&gt;0,INDEX(MO_CFSum_Dividend,1,COLUMN())&gt;0),"CHECK",0)</f>
        <v>#NAME?</v>
      </c>
      <c r="G835" s="218" t="e">
        <f>IF(OR(INDEX(MO_CFSum_Acquisition,1,COLUMN())&gt;0,INDEX(MO_CFSum_Divestiture,1,COLUMN())&lt;0,INDEX(MO_CFSum_Capex,1,COLUMN())&gt;0,INDEX(MO_CFSum_Dividend,1,COLUMN())&gt;0),"CHECK",0)</f>
        <v>#NAME?</v>
      </c>
      <c r="H835" s="218" t="e">
        <f>IF(OR(INDEX(MO_CFSum_Acquisition,1,COLUMN())&gt;0,INDEX(MO_CFSum_Divestiture,1,COLUMN())&lt;0,INDEX(MO_CFSum_Capex,1,COLUMN())&gt;0,INDEX(MO_CFSum_Dividend,1,COLUMN())&gt;0),"CHECK",0)</f>
        <v>#NAME?</v>
      </c>
      <c r="I835" s="218" t="e">
        <f>IF(OR(INDEX(MO_CFSum_Acquisition,1,COLUMN())&gt;0,INDEX(MO_CFSum_Divestiture,1,COLUMN())&lt;0,INDEX(MO_CFSum_Capex,1,COLUMN())&gt;0,INDEX(MO_CFSum_Dividend,1,COLUMN())&gt;0),"CHECK",0)</f>
        <v>#NAME?</v>
      </c>
      <c r="J835" s="218" t="e">
        <f>IF(OR(INDEX(MO_CFSum_Acquisition,1,COLUMN())&gt;0,INDEX(MO_CFSum_Divestiture,1,COLUMN())&lt;0,INDEX(MO_CFSum_Capex,1,COLUMN())&gt;0,INDEX(MO_CFSum_Dividend,1,COLUMN())&gt;0),"CHECK",0)</f>
        <v>#NAME?</v>
      </c>
      <c r="K835" s="218" t="e">
        <f>IF(OR(INDEX(MO_CFSum_Acquisition,1,COLUMN())&gt;0,INDEX(MO_CFSum_Divestiture,1,COLUMN())&lt;0,INDEX(MO_CFSum_Capex,1,COLUMN())&gt;0,INDEX(MO_CFSum_Dividend,1,COLUMN())&gt;0),"CHECK",0)</f>
        <v>#NAME?</v>
      </c>
      <c r="L835" s="218" t="e">
        <f>IF(OR(INDEX(MO_CFSum_Acquisition,1,COLUMN())&gt;0,INDEX(MO_CFSum_Divestiture,1,COLUMN())&lt;0,INDEX(MO_CFSum_Capex,1,COLUMN())&gt;0,INDEX(MO_CFSum_Dividend,1,COLUMN())&gt;0),"CHECK",0)</f>
        <v>#NAME?</v>
      </c>
      <c r="M835" s="218" t="e">
        <f>IF(OR(INDEX(MO_CFSum_Acquisition,1,COLUMN())&gt;0,INDEX(MO_CFSum_Divestiture,1,COLUMN())&lt;0,INDEX(MO_CFSum_Capex,1,COLUMN())&gt;0,INDEX(MO_CFSum_Dividend,1,COLUMN())&gt;0),"CHECK",0)</f>
        <v>#NAME?</v>
      </c>
      <c r="N835" s="218" t="e">
        <f>IF(OR(INDEX(MO_CFSum_Acquisition,1,COLUMN())&gt;0,INDEX(MO_CFSum_Divestiture,1,COLUMN())&lt;0,INDEX(MO_CFSum_Capex,1,COLUMN())&gt;0,INDEX(MO_CFSum_Dividend,1,COLUMN())&gt;0),"CHECK",0)</f>
        <v>#NAME?</v>
      </c>
      <c r="O835" s="218" t="e">
        <f>IF(OR(INDEX(MO_CFSum_Acquisition,1,COLUMN())&gt;0,INDEX(MO_CFSum_Divestiture,1,COLUMN())&lt;0,INDEX(MO_CFSum_Capex,1,COLUMN())&gt;0,INDEX(MO_CFSum_Dividend,1,COLUMN())&gt;0),"CHECK",0)</f>
        <v>#NAME?</v>
      </c>
      <c r="P835" s="218" t="e">
        <f>IF(OR(INDEX(MO_CFSum_Acquisition,1,COLUMN())&gt;0,INDEX(MO_CFSum_Divestiture,1,COLUMN())&lt;0,INDEX(MO_CFSum_Capex,1,COLUMN())&gt;0,INDEX(MO_CFSum_Dividend,1,COLUMN())&gt;0),"CHECK",0)</f>
        <v>#NAME?</v>
      </c>
      <c r="Q835" s="218" t="e">
        <f>IF(OR(INDEX(MO_CFSum_Acquisition,1,COLUMN())&gt;0,INDEX(MO_CFSum_Divestiture,1,COLUMN())&lt;0,INDEX(MO_CFSum_Capex,1,COLUMN())&gt;0,INDEX(MO_CFSum_Dividend,1,COLUMN())&gt;0),"CHECK",0)</f>
        <v>#NAME?</v>
      </c>
      <c r="R835" s="218" t="e">
        <f>IF(OR(INDEX(MO_CFSum_Acquisition,1,COLUMN())&gt;0,INDEX(MO_CFSum_Divestiture,1,COLUMN())&lt;0,INDEX(MO_CFSum_Capex,1,COLUMN())&gt;0,INDEX(MO_CFSum_Dividend,1,COLUMN())&gt;0),"CHECK",0)</f>
        <v>#NAME?</v>
      </c>
      <c r="S835" s="218" t="e">
        <f>IF(OR(INDEX(MO_CFSum_Acquisition,1,COLUMN())&gt;0,INDEX(MO_CFSum_Divestiture,1,COLUMN())&lt;0,INDEX(MO_CFSum_Capex,1,COLUMN())&gt;0,INDEX(MO_CFSum_Dividend,1,COLUMN())&gt;0),"CHECK",0)</f>
        <v>#NAME?</v>
      </c>
      <c r="T835" s="218" t="e">
        <f>IF(OR(INDEX(MO_CFSum_Acquisition,1,COLUMN())&gt;0,INDEX(MO_CFSum_Divestiture,1,COLUMN())&lt;0,INDEX(MO_CFSum_Capex,1,COLUMN())&gt;0,INDEX(MO_CFSum_Dividend,1,COLUMN())&gt;0),"CHECK",0)</f>
        <v>#NAME?</v>
      </c>
      <c r="U835" s="218" t="e">
        <f>IF(OR(INDEX(MO_CFSum_Acquisition,1,COLUMN())&gt;0,INDEX(MO_CFSum_Divestiture,1,COLUMN())&lt;0,INDEX(MO_CFSum_Capex,1,COLUMN())&gt;0,INDEX(MO_CFSum_Dividend,1,COLUMN())&gt;0),"CHECK",0)</f>
        <v>#NAME?</v>
      </c>
      <c r="V835" s="218" t="e">
        <f>IF(OR(INDEX(MO_CFSum_Acquisition,1,COLUMN())&gt;0,INDEX(MO_CFSum_Divestiture,1,COLUMN())&lt;0,INDEX(MO_CFSum_Capex,1,COLUMN())&gt;0,INDEX(MO_CFSum_Dividend,1,COLUMN())&gt;0),"CHECK",0)</f>
        <v>#NAME?</v>
      </c>
      <c r="W835" s="218" t="e">
        <f>IF(OR(INDEX(MO_CFSum_Acquisition,1,COLUMN())&gt;0,INDEX(MO_CFSum_Divestiture,1,COLUMN())&lt;0,INDEX(MO_CFSum_Capex,1,COLUMN())&gt;0,INDEX(MO_CFSum_Dividend,1,COLUMN())&gt;0),"CHECK",0)</f>
        <v>#NAME?</v>
      </c>
      <c r="X835" s="218" t="e">
        <f>IF(OR(INDEX(MO_CFSum_Acquisition,1,COLUMN())&gt;0,INDEX(MO_CFSum_Divestiture,1,COLUMN())&lt;0,INDEX(MO_CFSum_Capex,1,COLUMN())&gt;0,INDEX(MO_CFSum_Dividend,1,COLUMN())&gt;0),"CHECK",0)</f>
        <v>#NAME?</v>
      </c>
      <c r="Y835" s="218" t="e">
        <f>IF(OR(INDEX(MO_CFSum_Acquisition,1,COLUMN())&gt;0,INDEX(MO_CFSum_Divestiture,1,COLUMN())&lt;0,INDEX(MO_CFSum_Capex,1,COLUMN())&gt;0,INDEX(MO_CFSum_Dividend,1,COLUMN())&gt;0),"CHECK",0)</f>
        <v>#NAME?</v>
      </c>
      <c r="Z835" s="218" t="e">
        <f>IF(OR(INDEX(MO_CFSum_Acquisition,1,COLUMN())&gt;0,INDEX(MO_CFSum_Divestiture,1,COLUMN())&lt;0,INDEX(MO_CFSum_Capex,1,COLUMN())&gt;0,INDEX(MO_CFSum_Dividend,1,COLUMN())&gt;0),"CHECK",0)</f>
        <v>#NAME?</v>
      </c>
      <c r="AA835" s="218" t="e">
        <f>IF(OR(INDEX(MO_CFSum_Acquisition,1,COLUMN())&gt;0,INDEX(MO_CFSum_Divestiture,1,COLUMN())&lt;0,INDEX(MO_CFSum_Capex,1,COLUMN())&gt;0,INDEX(MO_CFSum_Dividend,1,COLUMN())&gt;0),"CHECK",0)</f>
        <v>#NAME?</v>
      </c>
      <c r="AB835" s="218" t="e">
        <f>IF(OR(INDEX(MO_CFSum_Acquisition,1,COLUMN())&gt;0,INDEX(MO_CFSum_Divestiture,1,COLUMN())&lt;0,INDEX(MO_CFSum_Capex,1,COLUMN())&gt;0,INDEX(MO_CFSum_Dividend,1,COLUMN())&gt;0),"CHECK",0)</f>
        <v>#NAME?</v>
      </c>
      <c r="AC835" s="218" t="e">
        <f>IF(OR(INDEX(MO_CFSum_Acquisition,1,COLUMN())&gt;0,INDEX(MO_CFSum_Divestiture,1,COLUMN())&lt;0,INDEX(MO_CFSum_Capex,1,COLUMN())&gt;0,INDEX(MO_CFSum_Dividend,1,COLUMN())&gt;0),"CHECK",0)</f>
        <v>#NAME?</v>
      </c>
      <c r="AD835" s="218" t="e">
        <f>IF(OR(INDEX(MO_CFSum_Acquisition,1,COLUMN())&gt;0,INDEX(MO_CFSum_Divestiture,1,COLUMN())&lt;0,INDEX(MO_CFSum_Capex,1,COLUMN())&gt;0,INDEX(MO_CFSum_Dividend,1,COLUMN())&gt;0),"CHECK",0)</f>
        <v>#NAME?</v>
      </c>
      <c r="AE835" s="218" t="e">
        <f>IF(OR(INDEX(MO_CFSum_Acquisition,1,COLUMN())&gt;0,INDEX(MO_CFSum_Divestiture,1,COLUMN())&lt;0,INDEX(MO_CFSum_Capex,1,COLUMN())&gt;0,INDEX(MO_CFSum_Dividend,1,COLUMN())&gt;0),"CHECK",0)</f>
        <v>#NAME?</v>
      </c>
      <c r="AF835" s="218" t="e">
        <f>IF(OR(INDEX(MO_CFSum_Acquisition,1,COLUMN())&gt;0,INDEX(MO_CFSum_Divestiture,1,COLUMN())&lt;0,INDEX(MO_CFSum_Capex,1,COLUMN())&gt;0,INDEX(MO_CFSum_Dividend,1,COLUMN())&gt;0),"CHECK",0)</f>
        <v>#NAME?</v>
      </c>
      <c r="AG835" s="218" t="e">
        <f>IF(OR(INDEX(MO_CFSum_Acquisition,1,COLUMN())&gt;0,INDEX(MO_CFSum_Divestiture,1,COLUMN())&lt;0,INDEX(MO_CFSum_Capex,1,COLUMN())&gt;0,INDEX(MO_CFSum_Dividend,1,COLUMN())&gt;0),"CHECK",0)</f>
        <v>#NAME?</v>
      </c>
      <c r="AH835" s="218" t="e">
        <f>IF(OR(INDEX(MO_CFSum_Acquisition,1,COLUMN())&gt;0,INDEX(MO_CFSum_Divestiture,1,COLUMN())&lt;0,INDEX(MO_CFSum_Capex,1,COLUMN())&gt;0,INDEX(MO_CFSum_Dividend,1,COLUMN())&gt;0),"CHECK",0)</f>
        <v>#NAME?</v>
      </c>
      <c r="AI835" s="218" t="e">
        <f>IF(OR(INDEX(MO_CFSum_Acquisition,1,COLUMN())&gt;0,INDEX(MO_CFSum_Divestiture,1,COLUMN())&lt;0,INDEX(MO_CFSum_Capex,1,COLUMN())&gt;0,INDEX(MO_CFSum_Dividend,1,COLUMN())&gt;0),"CHECK",0)</f>
        <v>#NAME?</v>
      </c>
      <c r="AJ835" s="218" t="e">
        <f>IF(OR(INDEX(MO_CFSum_Acquisition,1,COLUMN())&gt;0,INDEX(MO_CFSum_Divestiture,1,COLUMN())&lt;0,INDEX(MO_CFSum_Capex,1,COLUMN())&gt;0,INDEX(MO_CFSum_Dividend,1,COLUMN())&gt;0),"CHECK",0)</f>
        <v>#NAME?</v>
      </c>
      <c r="AK835" s="218" t="e">
        <f>IF(OR(INDEX(MO_CFSum_Acquisition,1,COLUMN())&gt;0,INDEX(MO_CFSum_Divestiture,1,COLUMN())&lt;0,INDEX(MO_CFSum_Capex,1,COLUMN())&gt;0,INDEX(MO_CFSum_Dividend,1,COLUMN())&gt;0),"CHECK",0)</f>
        <v>#NAME?</v>
      </c>
      <c r="AL835" s="218" t="e">
        <f>IF(OR(INDEX(MO_CFSum_Acquisition,1,COLUMN())&gt;0,INDEX(MO_CFSum_Divestiture,1,COLUMN())&lt;0,INDEX(MO_CFSum_Capex,1,COLUMN())&gt;0,INDEX(MO_CFSum_Dividend,1,COLUMN())&gt;0),"CHECK",0)</f>
        <v>#NAME?</v>
      </c>
      <c r="AM835" s="218" t="e">
        <f>IF(OR(INDEX(MO_CFSum_Acquisition,1,COLUMN())&gt;0,INDEX(MO_CFSum_Divestiture,1,COLUMN())&lt;0,INDEX(MO_CFSum_Capex,1,COLUMN())&gt;0,INDEX(MO_CFSum_Dividend,1,COLUMN())&gt;0),"CHECK",0)</f>
        <v>#NAME?</v>
      </c>
      <c r="AN835" s="218" t="e">
        <f>IF(OR(INDEX(MO_CFSum_Acquisition,1,COLUMN())&gt;0,INDEX(MO_CFSum_Divestiture,1,COLUMN())&lt;0,INDEX(MO_CFSum_Capex,1,COLUMN())&gt;0,INDEX(MO_CFSum_Dividend,1,COLUMN())&gt;0),"CHECK",0)</f>
        <v>#NAME?</v>
      </c>
      <c r="AO835" s="218" t="e">
        <f>IF(OR(INDEX(MO_CFSum_Acquisition,1,COLUMN())&gt;0,INDEX(MO_CFSum_Divestiture,1,COLUMN())&lt;0,INDEX(MO_CFSum_Capex,1,COLUMN())&gt;0,INDEX(MO_CFSum_Dividend,1,COLUMN())&gt;0),"CHECK",0)</f>
        <v>#NAME?</v>
      </c>
      <c r="AP835" s="218" t="e">
        <f>IF(OR(INDEX(MO_CFSum_Acquisition,1,COLUMN())&gt;0,INDEX(MO_CFSum_Divestiture,1,COLUMN())&lt;0,INDEX(MO_CFSum_Capex,1,COLUMN())&gt;0,INDEX(MO_CFSum_Dividend,1,COLUMN())&gt;0),"CHECK",0)</f>
        <v>#NAME?</v>
      </c>
      <c r="AQ835" s="218" t="e">
        <f>IF(OR(INDEX(MO_CFSum_Acquisition,1,COLUMN())&gt;0,INDEX(MO_CFSum_Divestiture,1,COLUMN())&lt;0,INDEX(MO_CFSum_Capex,1,COLUMN())&gt;0,INDEX(MO_CFSum_Dividend,1,COLUMN())&gt;0),"CHECK",0)</f>
        <v>#NAME?</v>
      </c>
      <c r="AR835" s="218" t="e">
        <f>IF(OR(INDEX(MO_CFSum_Acquisition,1,COLUMN())&gt;0,INDEX(MO_CFSum_Divestiture,1,COLUMN())&lt;0,INDEX(MO_CFSum_Capex,1,COLUMN())&gt;0,INDEX(MO_CFSum_Dividend,1,COLUMN())&gt;0),"CHECK",0)</f>
        <v>#NAME?</v>
      </c>
      <c r="AS835" s="218" t="e">
        <f>IF(OR(INDEX(MO_CFSum_Acquisition,1,COLUMN())&gt;0,INDEX(MO_CFSum_Divestiture,1,COLUMN())&lt;0,INDEX(MO_CFSum_Capex,1,COLUMN())&gt;0,INDEX(MO_CFSum_Dividend,1,COLUMN())&gt;0),"CHECK",0)</f>
        <v>#NAME?</v>
      </c>
      <c r="AT835" s="218" t="e">
        <f>IF(OR(INDEX(MO_CFSum_Acquisition,1,COLUMN())&gt;0,INDEX(MO_CFSum_Divestiture,1,COLUMN())&lt;0,INDEX(MO_CFSum_Capex,1,COLUMN())&gt;0,INDEX(MO_CFSum_Dividend,1,COLUMN())&gt;0),"CHECK",0)</f>
        <v>#NAME?</v>
      </c>
      <c r="AU835" s="218" t="e">
        <f>IF(OR(INDEX(MO_CFSum_Acquisition,1,COLUMN())&gt;0,INDEX(MO_CFSum_Divestiture,1,COLUMN())&lt;0,INDEX(MO_CFSum_Capex,1,COLUMN())&gt;0,INDEX(MO_CFSum_Dividend,1,COLUMN())&gt;0),"CHECK",0)</f>
        <v>#NAME?</v>
      </c>
      <c r="AV835" s="218" t="e">
        <f>IF(OR(INDEX(MO_CFSum_Acquisition,1,COLUMN())&gt;0,INDEX(MO_CFSum_Divestiture,1,COLUMN())&lt;0,INDEX(MO_CFSum_Capex,1,COLUMN())&gt;0,INDEX(MO_CFSum_Dividend,1,COLUMN())&gt;0),"CHECK",0)</f>
        <v>#NAME?</v>
      </c>
      <c r="AW835" s="218" t="e">
        <f>IF(OR(INDEX(MO_CFSum_Acquisition,1,COLUMN())&gt;0,INDEX(MO_CFSum_Divestiture,1,COLUMN())&lt;0,INDEX(MO_CFSum_Capex,1,COLUMN())&gt;0,INDEX(MO_CFSum_Dividend,1,COLUMN())&gt;0),"CHECK",0)</f>
        <v>#NAME?</v>
      </c>
      <c r="AX835" s="218" t="e">
        <f>IF(OR(INDEX(MO_CFSum_Acquisition,1,COLUMN())&gt;0,INDEX(MO_CFSum_Divestiture,1,COLUMN())&lt;0,INDEX(MO_CFSum_Capex,1,COLUMN())&gt;0,INDEX(MO_CFSum_Dividend,1,COLUMN())&gt;0),"CHECK",0)</f>
        <v>#NAME?</v>
      </c>
      <c r="AY835" s="218" t="e">
        <f>IF(OR(INDEX(MO_CFSum_Acquisition,1,COLUMN())&gt;0,INDEX(MO_CFSum_Divestiture,1,COLUMN())&lt;0,INDEX(MO_CFSum_Capex,1,COLUMN())&gt;0,INDEX(MO_CFSum_Dividend,1,COLUMN())&gt;0),"CHECK",0)</f>
        <v>#NAME?</v>
      </c>
      <c r="AZ835" s="218" t="e">
        <f>IF(OR(INDEX(MO_CFSum_Acquisition,1,COLUMN())&gt;0,INDEX(MO_CFSum_Divestiture,1,COLUMN())&lt;0,INDEX(MO_CFSum_Capex,1,COLUMN())&gt;0,INDEX(MO_CFSum_Dividend,1,COLUMN())&gt;0),"CHECK",0)</f>
        <v>#NAME?</v>
      </c>
      <c r="BA835" s="218" t="e">
        <f>IF(OR(INDEX(MO_CFSum_Acquisition,1,COLUMN())&gt;0,INDEX(MO_CFSum_Divestiture,1,COLUMN())&lt;0,INDEX(MO_CFSum_Capex,1,COLUMN())&gt;0,INDEX(MO_CFSum_Dividend,1,COLUMN())&gt;0),"CHECK",0)</f>
        <v>#NAME?</v>
      </c>
      <c r="BB835" s="218" t="e">
        <f>IF(OR(INDEX(MO_CFSum_Acquisition,1,COLUMN())&gt;0,INDEX(MO_CFSum_Divestiture,1,COLUMN())&lt;0,INDEX(MO_CFSum_Capex,1,COLUMN())&gt;0,INDEX(MO_CFSum_Dividend,1,COLUMN())&gt;0),"CHECK",0)</f>
        <v>#NAME?</v>
      </c>
      <c r="BC835" s="218" t="e">
        <f>IF(OR(INDEX(MO_CFSum_Acquisition,1,COLUMN())&gt;0,INDEX(MO_CFSum_Divestiture,1,COLUMN())&lt;0,INDEX(MO_CFSum_Capex,1,COLUMN())&gt;0,INDEX(MO_CFSum_Dividend,1,COLUMN())&gt;0),"CHECK",0)</f>
        <v>#NAME?</v>
      </c>
      <c r="BD835" s="218" t="e">
        <f>IF(OR(INDEX(MO_CFSum_Acquisition,1,COLUMN())&gt;0,INDEX(MO_CFSum_Divestiture,1,COLUMN())&lt;0,INDEX(MO_CFSum_Capex,1,COLUMN())&gt;0,INDEX(MO_CFSum_Dividend,1,COLUMN())&gt;0),"CHECK",0)</f>
        <v>#NAME?</v>
      </c>
      <c r="BE835" s="218" t="e">
        <f>IF(OR(INDEX(MO_CFSum_Acquisition,1,COLUMN())&gt;0,INDEX(MO_CFSum_Divestiture,1,COLUMN())&lt;0,INDEX(MO_CFSum_Capex,1,COLUMN())&gt;0,INDEX(MO_CFSum_Dividend,1,COLUMN())&gt;0),"CHECK",0)</f>
        <v>#NAME?</v>
      </c>
      <c r="BF835" s="218" t="e">
        <f>IF(OR(INDEX(MO_CFSum_Acquisition,1,COLUMN())&gt;0,INDEX(MO_CFSum_Divestiture,1,COLUMN())&lt;0,INDEX(MO_CFSum_Capex,1,COLUMN())&gt;0,INDEX(MO_CFSum_Dividend,1,COLUMN())&gt;0),"CHECK",0)</f>
        <v>#NAME?</v>
      </c>
      <c r="BG835" s="218" t="e">
        <f>IF(OR(INDEX(MO_CFSum_Acquisition,1,COLUMN())&gt;0,INDEX(MO_CFSum_Divestiture,1,COLUMN())&lt;0,INDEX(MO_CFSum_Capex,1,COLUMN())&gt;0,INDEX(MO_CFSum_Dividend,1,COLUMN())&gt;0),"CHECK",0)</f>
        <v>#NAME?</v>
      </c>
      <c r="BH835" s="218" t="e">
        <f>IF(OR(INDEX(MO_CFSum_Acquisition,1,COLUMN())&gt;0,INDEX(MO_CFSum_Divestiture,1,COLUMN())&lt;0,INDEX(MO_CFSum_Capex,1,COLUMN())&gt;0,INDEX(MO_CFSum_Dividend,1,COLUMN())&gt;0),"CHECK",0)</f>
        <v>#NAME?</v>
      </c>
      <c r="BI835" s="218" t="e">
        <f>IF(OR(INDEX(MO_CFSum_Acquisition,1,COLUMN())&gt;0,INDEX(MO_CFSum_Divestiture,1,COLUMN())&lt;0,INDEX(MO_CFSum_Capex,1,COLUMN())&gt;0,INDEX(MO_CFSum_Dividend,1,COLUMN())&gt;0),"CHECK",0)</f>
        <v>#NAME?</v>
      </c>
      <c r="BJ835" s="218" t="e">
        <f>IF(OR(INDEX(MO_CFSum_Acquisition,1,COLUMN())&gt;0,INDEX(MO_CFSum_Divestiture,1,COLUMN())&lt;0,INDEX(MO_CFSum_Capex,1,COLUMN())&gt;0,INDEX(MO_CFSum_Dividend,1,COLUMN())&gt;0),"CHECK",0)</f>
        <v>#NAME?</v>
      </c>
      <c r="BK835" s="218" t="e">
        <f>IF(OR(INDEX(MO_CFSum_Acquisition,1,COLUMN())&gt;0,INDEX(MO_CFSum_Divestiture,1,COLUMN())&lt;0,INDEX(MO_CFSum_Capex,1,COLUMN())&gt;0,INDEX(MO_CFSum_Dividend,1,COLUMN())&gt;0),"CHECK",0)</f>
        <v>#NAME?</v>
      </c>
      <c r="BL835" s="218" t="e">
        <f>IF(OR(INDEX(MO_CFSum_Acquisition,1,COLUMN())&gt;0,INDEX(MO_CFSum_Divestiture,1,COLUMN())&lt;0,INDEX(MO_CFSum_Capex,1,COLUMN())&gt;0,INDEX(MO_CFSum_Dividend,1,COLUMN())&gt;0),"CHECK",0)</f>
        <v>#NAME?</v>
      </c>
      <c r="BM835" s="218" t="e">
        <f>IF(OR(INDEX(MO_CFSum_Acquisition,1,COLUMN())&gt;0,INDEX(MO_CFSum_Divestiture,1,COLUMN())&lt;0,INDEX(MO_CFSum_Capex,1,COLUMN())&gt;0,INDEX(MO_CFSum_Dividend,1,COLUMN())&gt;0),"CHECK",0)</f>
        <v>#NAME?</v>
      </c>
      <c r="BN835" s="218" t="e">
        <f>IF(OR(INDEX(MO_CFSum_Acquisition,1,COLUMN())&gt;0,INDEX(MO_CFSum_Divestiture,1,COLUMN())&lt;0,INDEX(MO_CFSum_Capex,1,COLUMN())&gt;0,INDEX(MO_CFSum_Dividend,1,COLUMN())&gt;0),"CHECK",0)</f>
        <v>#NAME?</v>
      </c>
      <c r="BO835" s="218" t="e">
        <f>IF(OR(INDEX(MO_CFSum_Acquisition,1,COLUMN())&gt;0,INDEX(MO_CFSum_Divestiture,1,COLUMN())&lt;0,INDEX(MO_CFSum_Capex,1,COLUMN())&gt;0,INDEX(MO_CFSum_Dividend,1,COLUMN())&gt;0),"CHECK",0)</f>
        <v>#NAME?</v>
      </c>
      <c r="BP835" s="218" t="e">
        <f>IF(OR(INDEX(MO_CFSum_Acquisition,1,COLUMN())&gt;0,INDEX(MO_CFSum_Divestiture,1,COLUMN())&lt;0,INDEX(MO_CFSum_Capex,1,COLUMN())&gt;0,INDEX(MO_CFSum_Dividend,1,COLUMN())&gt;0),"CHECK",0)</f>
        <v>#NAME?</v>
      </c>
      <c r="BQ835" s="218" t="e">
        <f>IF(OR(INDEX(MO_CFSum_Acquisition,1,COLUMN())&gt;0,INDEX(MO_CFSum_Divestiture,1,COLUMN())&lt;0,INDEX(MO_CFSum_Capex,1,COLUMN())&gt;0,INDEX(MO_CFSum_Dividend,1,COLUMN())&gt;0),"CHECK",0)</f>
        <v>#NAME?</v>
      </c>
      <c r="BR835" s="218" t="e">
        <f>IF(OR(INDEX(MO_CFSum_Acquisition,1,COLUMN())&gt;0,INDEX(MO_CFSum_Divestiture,1,COLUMN())&lt;0,INDEX(MO_CFSum_Capex,1,COLUMN())&gt;0,INDEX(MO_CFSum_Dividend,1,COLUMN())&gt;0),"CHECK",0)</f>
        <v>#NAME?</v>
      </c>
      <c r="BS835" s="515" t="e">
        <f>IF(OR(INDEX(MO_CFSum_Acquisition,1,COLUMN())&gt;0,INDEX(MO_CFSum_Divestiture,1,COLUMN())&lt;0,INDEX(MO_CFSum_Capex,1,COLUMN())&gt;0,INDEX(MO_CFSum_Dividend,1,COLUMN())&gt;0),"CHECK",0)</f>
        <v>#NAME?</v>
      </c>
      <c r="BT835" s="218" t="e">
        <f>IF(OR(INDEX(MO_CFSum_Acquisition,1,COLUMN())&gt;0,INDEX(MO_CFSum_Divestiture,1,COLUMN())&lt;0,INDEX(MO_CFSum_Capex,1,COLUMN())&gt;0,INDEX(MO_CFSum_Dividend,1,COLUMN())&gt;0),"CHECK",0)</f>
        <v>#NAME?</v>
      </c>
      <c r="BU835" s="218" t="e">
        <f>IF(OR(INDEX(MO_CFSum_Acquisition,1,COLUMN())&gt;0,INDEX(MO_CFSum_Divestiture,1,COLUMN())&lt;0,INDEX(MO_CFSum_Capex,1,COLUMN())&gt;0,INDEX(MO_CFSum_Dividend,1,COLUMN())&gt;0),"CHECK",0)</f>
        <v>#NAME?</v>
      </c>
      <c r="BV835" s="218" t="e">
        <f>IF(OR(INDEX(MO_CFSum_Acquisition,1,COLUMN())&gt;0,INDEX(MO_CFSum_Divestiture,1,COLUMN())&lt;0,INDEX(MO_CFSum_Capex,1,COLUMN())&gt;0,INDEX(MO_CFSum_Dividend,1,COLUMN())&gt;0),"CHECK",0)</f>
        <v>#NAME?</v>
      </c>
      <c r="BW835" s="218" t="e">
        <f>IF(OR(INDEX(MO_CFSum_Acquisition,1,COLUMN())&gt;0,INDEX(MO_CFSum_Divestiture,1,COLUMN())&lt;0,INDEX(MO_CFSum_Capex,1,COLUMN())&gt;0,INDEX(MO_CFSum_Dividend,1,COLUMN())&gt;0),"CHECK",0)</f>
        <v>#NAME?</v>
      </c>
      <c r="BX835" s="218" t="e">
        <f>IF(OR(INDEX(MO_CFSum_Acquisition,1,COLUMN())&gt;0,INDEX(MO_CFSum_Divestiture,1,COLUMN())&lt;0,INDEX(MO_CFSum_Capex,1,COLUMN())&gt;0,INDEX(MO_CFSum_Dividend,1,COLUMN())&gt;0),"CHECK",0)</f>
        <v>#NAME?</v>
      </c>
      <c r="BY835" s="218" t="e">
        <f>IF(OR(INDEX(MO_CFSum_Acquisition,1,COLUMN())&gt;0,INDEX(MO_CFSum_Divestiture,1,COLUMN())&lt;0,INDEX(MO_CFSum_Capex,1,COLUMN())&gt;0,INDEX(MO_CFSum_Dividend,1,COLUMN())&gt;0),"CHECK",0)</f>
        <v>#NAME?</v>
      </c>
      <c r="BZ835" s="218" t="e">
        <f>IF(OR(INDEX(MO_CFSum_Acquisition,1,COLUMN())&gt;0,INDEX(MO_CFSum_Divestiture,1,COLUMN())&lt;0,INDEX(MO_CFSum_Capex,1,COLUMN())&gt;0,INDEX(MO_CFSum_Dividend,1,COLUMN())&gt;0),"CHECK",0)</f>
        <v>#NAME?</v>
      </c>
      <c r="CA835" s="218" t="e">
        <f>IF(OR(INDEX(MO_CFSum_Acquisition,1,COLUMN())&gt;0,INDEX(MO_CFSum_Divestiture,1,COLUMN())&lt;0,INDEX(MO_CFSum_Capex,1,COLUMN())&gt;0,INDEX(MO_CFSum_Dividend,1,COLUMN())&gt;0),"CHECK",0)</f>
        <v>#NAME?</v>
      </c>
      <c r="CB835" s="218" t="e">
        <f>IF(OR(INDEX(MO_CFSum_Acquisition,1,COLUMN())&gt;0,INDEX(MO_CFSum_Divestiture,1,COLUMN())&lt;0,INDEX(MO_CFSum_Capex,1,COLUMN())&gt;0,INDEX(MO_CFSum_Dividend,1,COLUMN())&gt;0),"CHECK",0)</f>
        <v>#NAME?</v>
      </c>
      <c r="CC835" s="218" t="e">
        <f>IF(OR(INDEX(MO_CFSum_Acquisition,1,COLUMN())&gt;0,INDEX(MO_CFSum_Divestiture,1,COLUMN())&lt;0,INDEX(MO_CFSum_Capex,1,COLUMN())&gt;0,INDEX(MO_CFSum_Dividend,1,COLUMN())&gt;0),"CHECK",0)</f>
        <v>#NAME?</v>
      </c>
      <c r="CD835" s="218" t="e">
        <f>IF(OR(INDEX(MO_CFSum_Acquisition,1,COLUMN())&gt;0,INDEX(MO_CFSum_Divestiture,1,COLUMN())&lt;0,INDEX(MO_CFSum_Capex,1,COLUMN())&gt;0,INDEX(MO_CFSum_Dividend,1,COLUMN())&gt;0),"CHECK",0)</f>
        <v>#NAME?</v>
      </c>
      <c r="CE835" s="218" t="e">
        <f>IF(OR(INDEX(MO_CFSum_Acquisition,1,COLUMN())&gt;0,INDEX(MO_CFSum_Divestiture,1,COLUMN())&lt;0,INDEX(MO_CFSum_Capex,1,COLUMN())&gt;0,INDEX(MO_CFSum_Dividend,1,COLUMN())&gt;0),"CHECK",0)</f>
        <v>#NAME?</v>
      </c>
      <c r="CF835" s="218" t="e">
        <f>IF(OR(INDEX(MO_CFSum_Acquisition,1,COLUMN())&gt;0,INDEX(MO_CFSum_Divestiture,1,COLUMN())&lt;0,INDEX(MO_CFSum_Capex,1,COLUMN())&gt;0,INDEX(MO_CFSum_Dividend,1,COLUMN())&gt;0),"CHECK",0)</f>
        <v>#NAME?</v>
      </c>
      <c r="CG835" s="99"/>
    </row>
    <row r="836" spans="1:85" ht="14.45" customHeight="1" x14ac:dyDescent="0.25">
      <c r="A836" s="99" t="s">
        <v>754</v>
      </c>
      <c r="B836" s="127"/>
      <c r="C836" s="218"/>
      <c r="D836" s="218"/>
      <c r="E836" s="218"/>
      <c r="F836" s="218"/>
      <c r="G836" s="218"/>
      <c r="H836" s="218"/>
      <c r="I836" s="218"/>
      <c r="J836" s="218"/>
      <c r="K836" s="218">
        <f>ROUND(K426-SUM(G426,H426,I426,J426),6)</f>
        <v>0</v>
      </c>
      <c r="L836" s="218"/>
      <c r="M836" s="218"/>
      <c r="N836" s="218"/>
      <c r="O836" s="218"/>
      <c r="P836" s="218">
        <f>ROUND(P426-SUM(L426,M426,N426,O426),6)</f>
        <v>0</v>
      </c>
      <c r="Q836" s="218"/>
      <c r="R836" s="218"/>
      <c r="S836" s="218"/>
      <c r="T836" s="218"/>
      <c r="U836" s="218">
        <f>ROUND(U426-SUM(Q426,R426,S426,T426),6)</f>
        <v>0</v>
      </c>
      <c r="V836" s="218"/>
      <c r="W836" s="218"/>
      <c r="X836" s="218"/>
      <c r="Y836" s="218"/>
      <c r="Z836" s="218">
        <f>ROUND(Z426-SUM(V426,W426,X426,Y426),6)</f>
        <v>0</v>
      </c>
      <c r="AA836" s="218"/>
      <c r="AB836" s="218"/>
      <c r="AC836" s="218"/>
      <c r="AD836" s="218"/>
      <c r="AE836" s="218">
        <f>ROUND(AE426-SUM(AA426,AB426,AC426,AD426),6)</f>
        <v>0</v>
      </c>
      <c r="AF836" s="218"/>
      <c r="AG836" s="218"/>
      <c r="AH836" s="218"/>
      <c r="AI836" s="218"/>
      <c r="AJ836" s="218">
        <f>ROUND(AJ426-SUM(AF426,AG426,AH426,AI426),6)</f>
        <v>0</v>
      </c>
      <c r="AK836" s="218"/>
      <c r="AL836" s="218"/>
      <c r="AM836" s="218"/>
      <c r="AN836" s="218"/>
      <c r="AO836" s="218">
        <f>ROUND(AO426-SUM(AK426,AL426,AM426,AN426),6)</f>
        <v>0</v>
      </c>
      <c r="AP836" s="218"/>
      <c r="AQ836" s="218"/>
      <c r="AR836" s="218"/>
      <c r="AS836" s="218"/>
      <c r="AT836" s="218">
        <f>ROUND(AT426-SUM(AP426,AQ426,AR426,AS426),6)</f>
        <v>0</v>
      </c>
      <c r="AU836" s="218"/>
      <c r="AV836" s="218"/>
      <c r="AW836" s="218"/>
      <c r="AX836" s="218"/>
      <c r="AY836" s="218">
        <f>ROUND(AY426-SUM(AU426,AV426,AW426,AX426),6)</f>
        <v>0</v>
      </c>
      <c r="AZ836" s="218"/>
      <c r="BA836" s="218"/>
      <c r="BB836" s="218"/>
      <c r="BC836" s="218"/>
      <c r="BD836" s="218">
        <f>ROUND(BD426-SUM(AZ426,BA426,BB426,BC426),6)</f>
        <v>0</v>
      </c>
      <c r="BE836" s="218"/>
      <c r="BF836" s="218"/>
      <c r="BG836" s="218"/>
      <c r="BH836" s="218"/>
      <c r="BI836" s="218">
        <f>ROUND(BI426-SUM(BE426,BF426,BG426,BH426),6)</f>
        <v>0</v>
      </c>
      <c r="BJ836" s="218"/>
      <c r="BK836" s="218"/>
      <c r="BL836" s="218"/>
      <c r="BM836" s="218"/>
      <c r="BN836" s="218">
        <f>ROUND(BN426-SUM(BJ426,BK426,BL426,BM426),6)</f>
        <v>0</v>
      </c>
      <c r="BO836" s="218"/>
      <c r="BP836" s="218"/>
      <c r="BQ836" s="218"/>
      <c r="BR836" s="218"/>
      <c r="BS836" s="515">
        <f>ROUND(BS426-SUM(BO426,BP426,BQ426,BR426),6)</f>
        <v>0</v>
      </c>
      <c r="BT836" s="218"/>
      <c r="BU836" s="218"/>
      <c r="BV836" s="218"/>
      <c r="BW836" s="218"/>
      <c r="BX836" s="218">
        <f>ROUND(BX426-SUM(BT426,BU426,BV426,BW426),6)</f>
        <v>0</v>
      </c>
      <c r="BY836" s="218"/>
      <c r="BZ836" s="218"/>
      <c r="CA836" s="218"/>
      <c r="CB836" s="218"/>
      <c r="CC836" s="218">
        <f>ROUND(CC426-SUM(BY426,BZ426,CA426,CB426),6)</f>
        <v>0</v>
      </c>
      <c r="CD836" s="218"/>
      <c r="CE836" s="218"/>
      <c r="CF836" s="218"/>
      <c r="CG836" s="99"/>
    </row>
    <row r="837" spans="1:85" ht="14.45" customHeight="1" x14ac:dyDescent="0.25">
      <c r="A837" s="99" t="s">
        <v>755</v>
      </c>
      <c r="B837" s="127"/>
      <c r="C837" s="218"/>
      <c r="D837" s="218"/>
      <c r="E837" s="218"/>
      <c r="F837" s="218"/>
      <c r="G837" s="218"/>
      <c r="H837" s="218"/>
      <c r="I837" s="218"/>
      <c r="J837" s="218"/>
      <c r="K837" s="218" t="e">
        <f>ROUND(SUM(G435,H435,I435,J435)-INDEX(MO_RIS_NI_NONGAAP_Diluted,1,COLUMN()),1)</f>
        <v>#NAME?</v>
      </c>
      <c r="L837" s="218"/>
      <c r="M837" s="218"/>
      <c r="N837" s="218"/>
      <c r="O837" s="218"/>
      <c r="P837" s="218" t="e">
        <f>ROUND(SUM(L435,M435,N435,O435)-INDEX(MO_RIS_NI_NONGAAP_Diluted,1,COLUMN()),1)</f>
        <v>#NAME?</v>
      </c>
      <c r="Q837" s="218"/>
      <c r="R837" s="218"/>
      <c r="S837" s="218"/>
      <c r="T837" s="218"/>
      <c r="U837" s="218" t="e">
        <f>ROUND(SUM(Q435,R435,S435,T435)-INDEX(MO_RIS_NI_NONGAAP_Diluted,1,COLUMN()),1)</f>
        <v>#NAME?</v>
      </c>
      <c r="V837" s="218"/>
      <c r="W837" s="218"/>
      <c r="X837" s="218"/>
      <c r="Y837" s="218"/>
      <c r="Z837" s="218" t="e">
        <f>ROUND(SUM(V435,W435,X435,Y435)-INDEX(MO_RIS_NI_NONGAAP_Diluted,1,COLUMN()),6)</f>
        <v>#NAME?</v>
      </c>
      <c r="AA837" s="218"/>
      <c r="AB837" s="218"/>
      <c r="AC837" s="218"/>
      <c r="AD837" s="218"/>
      <c r="AE837" s="218" t="e">
        <f>ROUND(SUM(AA435,AB435,AC435,AD435)-INDEX(MO_RIS_NI_NONGAAP_Diluted,1,COLUMN()),6)</f>
        <v>#NAME?</v>
      </c>
      <c r="AF837" s="218"/>
      <c r="AG837" s="218"/>
      <c r="AH837" s="218"/>
      <c r="AI837" s="218"/>
      <c r="AJ837" s="218" t="e">
        <f>ROUND(SUM(AF435,AG435,AH435,AI435)-INDEX(MO_RIS_NI_NONGAAP_Diluted,1,COLUMN()),6)</f>
        <v>#NAME?</v>
      </c>
      <c r="AK837" s="218"/>
      <c r="AL837" s="218"/>
      <c r="AM837" s="218"/>
      <c r="AN837" s="218"/>
      <c r="AO837" s="218" t="e">
        <f>ROUND(SUM(AK435,AL435,AM435,AN435)-INDEX(MO_RIS_NI_NONGAAP_Diluted,1,COLUMN()),6)</f>
        <v>#NAME?</v>
      </c>
      <c r="AP837" s="218"/>
      <c r="AQ837" s="218"/>
      <c r="AR837" s="218"/>
      <c r="AS837" s="218"/>
      <c r="AT837" s="218" t="e">
        <f>ROUND(SUM(AP435,AQ435,AR435,AS435)-INDEX(MO_RIS_NI_NONGAAP_Diluted,1,COLUMN()),6)</f>
        <v>#NAME?</v>
      </c>
      <c r="AU837" s="218"/>
      <c r="AV837" s="218"/>
      <c r="AW837" s="218"/>
      <c r="AX837" s="218"/>
      <c r="AY837" s="218" t="e">
        <f>ROUND(SUM(AU435,AV435,AW435,AX435)-INDEX(MO_RIS_NI_NONGAAP_Diluted,1,COLUMN()),6)</f>
        <v>#NAME?</v>
      </c>
      <c r="AZ837" s="218"/>
      <c r="BA837" s="218"/>
      <c r="BB837" s="218"/>
      <c r="BC837" s="218"/>
      <c r="BD837" s="218" t="e">
        <f>ROUND(SUM(AZ435,BA435,BB435,BC435)-INDEX(MO_RIS_NI_NONGAAP_Diluted,1,COLUMN()),6)</f>
        <v>#NAME?</v>
      </c>
      <c r="BE837" s="218"/>
      <c r="BF837" s="218"/>
      <c r="BG837" s="218"/>
      <c r="BH837" s="218"/>
      <c r="BI837" s="218" t="e">
        <f>ROUND(SUM(BE435,BF435,BG435,BH435)-INDEX(MO_RIS_NI_NONGAAP_Diluted,1,COLUMN()),6)</f>
        <v>#NAME?</v>
      </c>
      <c r="BJ837" s="218"/>
      <c r="BK837" s="218"/>
      <c r="BL837" s="218"/>
      <c r="BM837" s="218"/>
      <c r="BN837" s="218" t="e">
        <f>ROUND(SUM(BJ435,BK435,BL435,BM435)-INDEX(MO_RIS_NI_NONGAAP_Diluted,1,COLUMN()),6)</f>
        <v>#NAME?</v>
      </c>
      <c r="BO837" s="218"/>
      <c r="BP837" s="218"/>
      <c r="BQ837" s="218"/>
      <c r="BR837" s="218"/>
      <c r="BS837" s="515" t="e">
        <f>ROUND(SUM(BO435,BP435,BQ435,BR435)-INDEX(MO_RIS_NI_NONGAAP_Diluted,1,COLUMN()),6)</f>
        <v>#NAME?</v>
      </c>
      <c r="BT837" s="218"/>
      <c r="BU837" s="218"/>
      <c r="BV837" s="218"/>
      <c r="BW837" s="218"/>
      <c r="BX837" s="218" t="e">
        <f>ROUND(SUM(BT435,BU435,BV435,BW435)-INDEX(MO_RIS_NI_NONGAAP_Diluted,1,COLUMN()),6)</f>
        <v>#NAME?</v>
      </c>
      <c r="BY837" s="218"/>
      <c r="BZ837" s="218"/>
      <c r="CA837" s="218"/>
      <c r="CB837" s="218"/>
      <c r="CC837" s="218" t="e">
        <f>ROUND(SUM(BY435,BZ435,CA435,CB435)-INDEX(MO_RIS_NI_NONGAAP_Diluted,1,COLUMN()),6)</f>
        <v>#NAME?</v>
      </c>
      <c r="CD837" s="218"/>
      <c r="CE837" s="218"/>
      <c r="CF837" s="218"/>
      <c r="CG837" s="99"/>
    </row>
    <row r="838" spans="1:85" ht="14.45" customHeight="1" x14ac:dyDescent="0.25">
      <c r="A838" s="99" t="s">
        <v>756</v>
      </c>
      <c r="B838" s="127"/>
      <c r="C838" s="218"/>
      <c r="D838" s="218"/>
      <c r="E838" s="218"/>
      <c r="F838" s="218"/>
      <c r="G838" s="218"/>
      <c r="H838" s="218"/>
      <c r="I838" s="218"/>
      <c r="J838" s="218"/>
      <c r="K838" s="218" t="e">
        <f ca="1">ROUND(SUM(G657,H657,I657,J657)-SUM(OFFSET(INDEX(MO_CFS_CFO_BeforeWC,1,COLUMN()),ROW(INDEX(MO_SubSection_CFS_CFO,1,COLUMN()))-ROW(INDEX(MO_CFS_CFO_BeforeWC,1,COLUMN())),0,ROW(INDEX(MO_CFS_CFO_BeforeWC,1,COLUMN()))-ROW(INDEX(MO_SubSection_CFS_CFO,1,COLUMN())),1)),6)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L838" s="218"/>
      <c r="M838" s="218"/>
      <c r="N838" s="218"/>
      <c r="O838" s="218"/>
      <c r="P838" s="218" t="e">
        <f ca="1">ROUND(SUM(L657,M657,N657,O657)-SUM(OFFSET(INDEX(MO_CFS_CFO_BeforeWC,1,COLUMN()),ROW(INDEX(MO_SubSection_CFS_CFO,1,COLUMN()))-ROW(INDEX(MO_CFS_CFO_BeforeWC,1,COLUMN())),0,ROW(INDEX(MO_CFS_CFO_BeforeWC,1,COLUMN()))-ROW(INDEX(MO_SubSection_CFS_CFO,1,COLUMN())),1)),6)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Q838" s="218"/>
      <c r="R838" s="218"/>
      <c r="S838" s="218"/>
      <c r="T838" s="218"/>
      <c r="U838" s="218" t="e">
        <f ca="1">ROUND(SUM(Q657,R657,S657,T657)-SUM(OFFSET(INDEX(MO_CFS_CFO_BeforeWC,1,COLUMN()),ROW(INDEX(MO_SubSection_CFS_CFO,1,COLUMN()))-ROW(INDEX(MO_CFS_CFO_BeforeWC,1,COLUMN())),0,ROW(INDEX(MO_CFS_CFO_BeforeWC,1,COLUMN()))-ROW(INDEX(MO_SubSection_CFS_CFO,1,COLUMN())),1)),6)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V838" s="218"/>
      <c r="W838" s="218"/>
      <c r="X838" s="218"/>
      <c r="Y838" s="218"/>
      <c r="Z838" s="218" t="e">
        <f ca="1">ROUND(SUM(V657,W657,X657,Y657)-SUM(OFFSET(INDEX(MO_CFS_CFO_BeforeWC,1,COLUMN()),ROW(INDEX(MO_SubSection_CFS_CFO,1,COLUMN()))-ROW(INDEX(MO_CFS_CFO_BeforeWC,1,COLUMN())),0,ROW(INDEX(MO_CFS_CFO_BeforeWC,1,COLUMN()))-ROW(INDEX(MO_SubSection_CFS_CFO,1,COLUMN())),1)),6)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A838" s="218"/>
      <c r="AB838" s="218"/>
      <c r="AC838" s="218"/>
      <c r="AD838" s="218"/>
      <c r="AE838" s="218" t="e">
        <f ca="1">ROUND(SUM(AA657,AB657,AC657,AD657)-SUM(OFFSET(INDEX(MO_CFS_CFO_BeforeWC,1,COLUMN()),ROW(INDEX(MO_SubSection_CFS_CFO,1,COLUMN()))-ROW(INDEX(MO_CFS_CFO_BeforeWC,1,COLUMN())),0,ROW(INDEX(MO_CFS_CFO_BeforeWC,1,COLUMN()))-ROW(INDEX(MO_SubSection_CFS_CFO,1,COLUMN())),1)),6)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F838" s="218"/>
      <c r="AG838" s="218"/>
      <c r="AH838" s="218"/>
      <c r="AI838" s="218"/>
      <c r="AJ838" s="218" t="e">
        <f ca="1">ROUND(SUM(AF657,AG657,AH657,AI657)-SUM(OFFSET(INDEX(MO_CFS_CFO_BeforeWC,1,COLUMN()),ROW(INDEX(MO_SubSection_CFS_CFO,1,COLUMN()))-ROW(INDEX(MO_CFS_CFO_BeforeWC,1,COLUMN())),0,ROW(INDEX(MO_CFS_CFO_BeforeWC,1,COLUMN()))-ROW(INDEX(MO_SubSection_CFS_CFO,1,COLUMN())),1)),6)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K838" s="218"/>
      <c r="AL838" s="218"/>
      <c r="AM838" s="218"/>
      <c r="AN838" s="218"/>
      <c r="AO838" s="218" t="e">
        <f ca="1">ROUND(SUM(AK657,AL657,AM657,AN657)-SUM(OFFSET(INDEX(MO_CFS_CFO_BeforeWC,1,COLUMN()),ROW(INDEX(MO_SubSection_CFS_CFO,1,COLUMN()))-ROW(INDEX(MO_CFS_CFO_BeforeWC,1,COLUMN())),0,ROW(INDEX(MO_CFS_CFO_BeforeWC,1,COLUMN()))-ROW(INDEX(MO_SubSection_CFS_CFO,1,COLUMN())),1)),6)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P838" s="218"/>
      <c r="AQ838" s="218"/>
      <c r="AR838" s="218"/>
      <c r="AS838" s="218"/>
      <c r="AT838" s="218" t="e">
        <f ca="1">ROUND(SUM(AP657,AQ657,AR657,AS657)-SUM(OFFSET(INDEX(MO_CFS_CFO_BeforeWC,1,COLUMN()),ROW(INDEX(MO_SubSection_CFS_CFO,1,COLUMN()))-ROW(INDEX(MO_CFS_CFO_BeforeWC,1,COLUMN())),0,ROW(INDEX(MO_CFS_CFO_BeforeWC,1,COLUMN()))-ROW(INDEX(MO_SubSection_CFS_CFO,1,COLUMN())),1)),6)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U838" s="218"/>
      <c r="AV838" s="218"/>
      <c r="AW838" s="218"/>
      <c r="AX838" s="218"/>
      <c r="AY838" s="218" t="e">
        <f ca="1">ROUND(SUM(AU657,AV657,AW657,AX657)-SUM(OFFSET(INDEX(MO_CFS_CFO_BeforeWC,1,COLUMN()),ROW(INDEX(MO_SubSection_CFS_CFO,1,COLUMN()))-ROW(INDEX(MO_CFS_CFO_BeforeWC,1,COLUMN())),0,ROW(INDEX(MO_CFS_CFO_BeforeWC,1,COLUMN()))-ROW(INDEX(MO_SubSection_CFS_CFO,1,COLUMN())),1)),6)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AZ838" s="218"/>
      <c r="BA838" s="218"/>
      <c r="BB838" s="218"/>
      <c r="BC838" s="218"/>
      <c r="BD838" s="218" t="e">
        <f ca="1">ROUND(SUM(AZ657,BA657,BB657,BC657)-SUM(OFFSET(INDEX(MO_CFS_CFO_BeforeWC,1,COLUMN()),ROW(INDEX(MO_SubSection_CFS_CFO,1,COLUMN()))-ROW(INDEX(MO_CFS_CFO_BeforeWC,1,COLUMN())),0,ROW(INDEX(MO_CFS_CFO_BeforeWC,1,COLUMN()))-ROW(INDEX(MO_SubSection_CFS_CFO,1,COLUMN())),1)),6)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BE838" s="218"/>
      <c r="BF838" s="218"/>
      <c r="BG838" s="218"/>
      <c r="BH838" s="218"/>
      <c r="BI838" s="218" t="e">
        <f ca="1">ROUND(SUM(BE657,BF657,BG657,BH657)-SUM(OFFSET(INDEX(MO_CFS_CFO_BeforeWC,1,COLUMN()),ROW(INDEX(MO_SubSection_CFS_CFO,1,COLUMN()))-ROW(INDEX(MO_CFS_CFO_BeforeWC,1,COLUMN())),0,ROW(INDEX(MO_CFS_CFO_BeforeWC,1,COLUMN()))-ROW(INDEX(MO_SubSection_CFS_CFO,1,COLUMN())),1)),6)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BJ838" s="218"/>
      <c r="BK838" s="218"/>
      <c r="BL838" s="218"/>
      <c r="BM838" s="218"/>
      <c r="BN838" s="218" t="e">
        <f ca="1">ROUND(SUM(BJ657,BK657,BL657,BM657)-SUM(OFFSET(INDEX(MO_CFS_CFO_BeforeWC,1,COLUMN()),ROW(INDEX(MO_SubSection_CFS_CFO,1,COLUMN()))-ROW(INDEX(MO_CFS_CFO_BeforeWC,1,COLUMN())),0,ROW(INDEX(MO_CFS_CFO_BeforeWC,1,COLUMN()))-ROW(INDEX(MO_SubSection_CFS_CFO,1,COLUMN())),1)),6)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BO838" s="218"/>
      <c r="BP838" s="218"/>
      <c r="BQ838" s="218"/>
      <c r="BR838" s="218"/>
      <c r="BS838" s="515" t="e">
        <f ca="1">ROUND(SUM(BO657,BP657,BQ657,BR657)-SUM(OFFSET(INDEX(MO_CFS_CFO_BeforeWC,1,COLUMN()),ROW(INDEX(MO_SubSection_CFS_CFO,1,COLUMN()))-ROW(INDEX(MO_CFS_CFO_BeforeWC,1,COLUMN())),0,ROW(INDEX(MO_CFS_CFO_BeforeWC,1,COLUMN()))-ROW(INDEX(MO_SubSection_CFS_CFO,1,COLUMN())),1)),6)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BT838" s="218"/>
      <c r="BU838" s="218"/>
      <c r="BV838" s="218"/>
      <c r="BW838" s="218"/>
      <c r="BX838" s="218" t="e">
        <f ca="1">ROUND(SUM(BT657,BU657,BV657,BW657)-SUM(OFFSET(INDEX(MO_CFS_CFO_BeforeWC,1,COLUMN()),ROW(INDEX(MO_SubSection_CFS_CFO,1,COLUMN()))-ROW(INDEX(MO_CFS_CFO_BeforeWC,1,COLUMN())),0,ROW(INDEX(MO_CFS_CFO_BeforeWC,1,COLUMN()))-ROW(INDEX(MO_SubSection_CFS_CFO,1,COLUMN())),1)),6)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BY838" s="218"/>
      <c r="BZ838" s="218"/>
      <c r="CA838" s="218"/>
      <c r="CB838" s="218"/>
      <c r="CC838" s="218" t="e">
        <f ca="1">ROUND(SUM(BY657,BZ657,CA657,CB657)-SUM(OFFSET(INDEX(MO_CFS_CFO_BeforeWC,1,COLUMN()),ROW(INDEX(MO_SubSection_CFS_CFO,1,COLUMN()))-ROW(INDEX(MO_CFS_CFO_BeforeWC,1,COLUMN())),0,ROW(INDEX(MO_CFS_CFO_BeforeWC,1,COLUMN()))-ROW(INDEX(MO_SubSection_CFS_CFO,1,COLUMN())),1)),6)</f>
        <v>#NAME?</v>
      </c>
      <c r="CD838" s="218"/>
      <c r="CE838" s="218"/>
      <c r="CF838" s="218"/>
      <c r="CG838" s="99"/>
    </row>
    <row r="839" spans="1:85" ht="14.45" customHeight="1" x14ac:dyDescent="0.25">
      <c r="A839" s="99" t="s">
        <v>757</v>
      </c>
      <c r="B839" s="127"/>
      <c r="C839" s="218"/>
      <c r="D839" s="218"/>
      <c r="E839" s="218"/>
      <c r="F839" s="218"/>
      <c r="G839" s="218"/>
      <c r="H839" s="218"/>
      <c r="I839" s="218"/>
      <c r="J839" s="218"/>
      <c r="K839" s="218" t="e">
        <f ca="1">ROUND(SUM(G664,H664,I664,J664)-SUM(OFFSET(INDEX(MO_CFS_CFO,1,COLUMN()),ROW(INDEX(MO_CFS_CFO_BeforeWC,1,COLUMN()))-ROW(INDEX(MO_CFS_CFO,1,COLUMN())),0,ROW(INDEX(MO_CFS_CFO,1,COLUMN()))-ROW(INDEX(MO_CFS_CFO_BeforeWC,1,COLUMN())),1)),6)</f>
        <v>#NAME?</v>
      </c>
      <c r="L839" s="218"/>
      <c r="M839" s="218"/>
      <c r="N839" s="218"/>
      <c r="O839" s="218"/>
      <c r="P839" s="218" t="e">
        <f ca="1">ROUND(SUM(L664,M664,N664,O664)-SUM(OFFSET(INDEX(MO_CFS_CFO,1,COLUMN()),ROW(INDEX(MO_CFS_CFO_BeforeWC,1,COLUMN()))-ROW(INDEX(MO_CFS_CFO,1,COLUMN())),0,ROW(INDEX(MO_CFS_CFO,1,COLUMN()))-ROW(INDEX(MO_CFS_CFO_BeforeWC,1,COLUMN())),1)),6)</f>
        <v>#NAME?</v>
      </c>
      <c r="Q839" s="218"/>
      <c r="R839" s="218"/>
      <c r="S839" s="218"/>
      <c r="T839" s="218"/>
      <c r="U839" s="218" t="e">
        <f ca="1">ROUND(SUM(Q664,R664,S664,T664)-SUM(OFFSET(INDEX(MO_CFS_CFO,1,COLUMN()),ROW(INDEX(MO_CFS_CFO_BeforeWC,1,COLUMN()))-ROW(INDEX(MO_CFS_CFO,1,COLUMN())),0,ROW(INDEX(MO_CFS_CFO,1,COLUMN()))-ROW(INDEX(MO_CFS_CFO_BeforeWC,1,COLUMN())),1)),6)</f>
        <v>#NAME?</v>
      </c>
      <c r="V839" s="218"/>
      <c r="W839" s="218"/>
      <c r="X839" s="218"/>
      <c r="Y839" s="218"/>
      <c r="Z839" s="218" t="e">
        <f ca="1">ROUND(SUM(V664,W664,X664,Y664)-SUM(OFFSET(INDEX(MO_CFS_CFO,1,COLUMN()),ROW(INDEX(MO_CFS_CFO_BeforeWC,1,COLUMN()))-ROW(INDEX(MO_CFS_CFO,1,COLUMN())),0,ROW(INDEX(MO_CFS_CFO,1,COLUMN()))-ROW(INDEX(MO_CFS_CFO_BeforeWC,1,COLUMN())),1)),6)</f>
        <v>#NAME?</v>
      </c>
      <c r="AA839" s="218"/>
      <c r="AB839" s="218"/>
      <c r="AC839" s="218"/>
      <c r="AD839" s="218"/>
      <c r="AE839" s="218" t="e">
        <f ca="1">ROUND(SUM(AA664,AB664,AC664,AD664)-SUM(OFFSET(INDEX(MO_CFS_CFO,1,COLUMN()),ROW(INDEX(MO_CFS_CFO_BeforeWC,1,COLUMN()))-ROW(INDEX(MO_CFS_CFO,1,COLUMN())),0,ROW(INDEX(MO_CFS_CFO,1,COLUMN()))-ROW(INDEX(MO_CFS_CFO_BeforeWC,1,COLUMN())),1)),6)</f>
        <v>#NAME?</v>
      </c>
      <c r="AF839" s="218"/>
      <c r="AG839" s="218"/>
      <c r="AH839" s="218"/>
      <c r="AI839" s="218"/>
      <c r="AJ839" s="218" t="e">
        <f ca="1">ROUND(SUM(AF664,AG664,AH664,AI664)-SUM(OFFSET(INDEX(MO_CFS_CFO,1,COLUMN()),ROW(INDEX(MO_CFS_CFO_BeforeWC,1,COLUMN()))-ROW(INDEX(MO_CFS_CFO,1,COLUMN())),0,ROW(INDEX(MO_CFS_CFO,1,COLUMN()))-ROW(INDEX(MO_CFS_CFO_BeforeWC,1,COLUMN())),1)),6)</f>
        <v>#NAME?</v>
      </c>
      <c r="AK839" s="218"/>
      <c r="AL839" s="218"/>
      <c r="AM839" s="218"/>
      <c r="AN839" s="218"/>
      <c r="AO839" s="218" t="e">
        <f ca="1">ROUND(SUM(AK664,AL664,AM664,AN664)-SUM(OFFSET(INDEX(MO_CFS_CFO,1,COLUMN()),ROW(INDEX(MO_CFS_CFO_BeforeWC,1,COLUMN()))-ROW(INDEX(MO_CFS_CFO,1,COLUMN())),0,ROW(INDEX(MO_CFS_CFO,1,COLUMN()))-ROW(INDEX(MO_CFS_CFO_BeforeWC,1,COLUMN())),1)),6)</f>
        <v>#NAME?</v>
      </c>
      <c r="AP839" s="218"/>
      <c r="AQ839" s="218"/>
      <c r="AR839" s="218"/>
      <c r="AS839" s="218"/>
      <c r="AT839" s="218" t="e">
        <f ca="1">ROUND(SUM(AP664,AQ664,AR664,AS664)-SUM(OFFSET(INDEX(MO_CFS_CFO,1,COLUMN()),ROW(INDEX(MO_CFS_CFO_BeforeWC,1,COLUMN()))-ROW(INDEX(MO_CFS_CFO,1,COLUMN())),0,ROW(INDEX(MO_CFS_CFO,1,COLUMN()))-ROW(INDEX(MO_CFS_CFO_BeforeWC,1,COLUMN())),1)),6)</f>
        <v>#NAME?</v>
      </c>
      <c r="AU839" s="218"/>
      <c r="AV839" s="218"/>
      <c r="AW839" s="218"/>
      <c r="AX839" s="218"/>
      <c r="AY839" s="218" t="e">
        <f ca="1">ROUND(SUM(AU664,AV664,AW664,AX664)-SUM(OFFSET(INDEX(MO_CFS_CFO,1,COLUMN()),ROW(INDEX(MO_CFS_CFO_BeforeWC,1,COLUMN()))-ROW(INDEX(MO_CFS_CFO,1,COLUMN())),0,ROW(INDEX(MO_CFS_CFO,1,COLUMN()))-ROW(INDEX(MO_CFS_CFO_BeforeWC,1,COLUMN())),1)),6)</f>
        <v>#NAME?</v>
      </c>
      <c r="AZ839" s="218"/>
      <c r="BA839" s="218"/>
      <c r="BB839" s="218"/>
      <c r="BC839" s="218"/>
      <c r="BD839" s="218" t="e">
        <f ca="1">ROUND(SUM(AZ664,BA664,BB664,BC664)-SUM(OFFSET(INDEX(MO_CFS_CFO,1,COLUMN()),ROW(INDEX(MO_CFS_CFO_BeforeWC,1,COLUMN()))-ROW(INDEX(MO_CFS_CFO,1,COLUMN())),0,ROW(INDEX(MO_CFS_CFO,1,COLUMN()))-ROW(INDEX(MO_CFS_CFO_BeforeWC,1,COLUMN())),1)),6)</f>
        <v>#NAME?</v>
      </c>
      <c r="BE839" s="218"/>
      <c r="BF839" s="218"/>
      <c r="BG839" s="218"/>
      <c r="BH839" s="218"/>
      <c r="BI839" s="218" t="e">
        <f ca="1">ROUND(SUM(BE664,BF664,BG664,BH664)-SUM(OFFSET(INDEX(MO_CFS_CFO,1,COLUMN()),ROW(INDEX(MO_CFS_CFO_BeforeWC,1,COLUMN()))-ROW(INDEX(MO_CFS_CFO,1,COLUMN())),0,ROW(INDEX(MO_CFS_CFO,1,COLUMN()))-ROW(INDEX(MO_CFS_CFO_BeforeWC,1,COLUMN())),1)),6)</f>
        <v>#NAME?</v>
      </c>
      <c r="BJ839" s="218"/>
      <c r="BK839" s="218"/>
      <c r="BL839" s="218"/>
      <c r="BM839" s="218"/>
      <c r="BN839" s="218" t="e">
        <f ca="1">ROUND(SUM(BJ664,BK664,BL664,BM664)-SUM(OFFSET(INDEX(MO_CFS_CFO,1,COLUMN()),ROW(INDEX(MO_CFS_CFO_BeforeWC,1,COLUMN()))-ROW(INDEX(MO_CFS_CFO,1,COLUMN())),0,ROW(INDEX(MO_CFS_CFO,1,COLUMN()))-ROW(INDEX(MO_CFS_CFO_BeforeWC,1,COLUMN())),1)),6)</f>
        <v>#NAME?</v>
      </c>
      <c r="BO839" s="218"/>
      <c r="BP839" s="218"/>
      <c r="BQ839" s="218"/>
      <c r="BR839" s="218"/>
      <c r="BS839" s="515" t="e">
        <f ca="1">ROUND(SUM(BO664,BP664,BQ664,BR664)-SUM(OFFSET(INDEX(MO_CFS_CFO,1,COLUMN()),ROW(INDEX(MO_CFS_CFO_BeforeWC,1,COLUMN()))-ROW(INDEX(MO_CFS_CFO,1,COLUMN())),0,ROW(INDEX(MO_CFS_CFO,1,COLUMN()))-ROW(INDEX(MO_CFS_CFO_BeforeWC,1,COLUMN())),1)),6)</f>
        <v>#NAME?</v>
      </c>
      <c r="BT839" s="218"/>
      <c r="BU839" s="218"/>
      <c r="BV839" s="218"/>
      <c r="BW839" s="218"/>
      <c r="BX839" s="218" t="e">
        <f ca="1">ROUND(SUM(BT664,BU664,BV664,BW664)-SUM(OFFSET(INDEX(MO_CFS_CFO,1,COLUMN()),ROW(INDEX(MO_CFS_CFO_BeforeWC,1,COLUMN()))-ROW(INDEX(MO_CFS_CFO,1,COLUMN())),0,ROW(INDEX(MO_CFS_CFO,1,COLUMN()))-ROW(INDEX(MO_CFS_CFO_BeforeWC,1,COLUMN())),1)),6)</f>
        <v>#NAME?</v>
      </c>
      <c r="BY839" s="218"/>
      <c r="BZ839" s="218"/>
      <c r="CA839" s="218"/>
      <c r="CB839" s="218"/>
      <c r="CC839" s="218" t="e">
        <f ca="1">ROUND(SUM(BY664,BZ664,CA664,CB664)-SUM(OFFSET(INDEX(MO_CFS_CFO,1,COLUMN()),ROW(INDEX(MO_CFS_CFO_BeforeWC,1,COLUMN()))-ROW(INDEX(MO_CFS_CFO,1,COLUMN())),0,ROW(INDEX(MO_CFS_CFO,1,COLUMN()))-ROW(INDEX(MO_CFS_CFO_BeforeWC,1,COLUMN())),1)),6)</f>
        <v>#NAME?</v>
      </c>
      <c r="CD839" s="218"/>
      <c r="CE839" s="218"/>
      <c r="CF839" s="218"/>
      <c r="CG839" s="99"/>
    </row>
    <row r="840" spans="1:85" ht="14.45" customHeight="1" x14ac:dyDescent="0.25">
      <c r="A840" s="99" t="s">
        <v>758</v>
      </c>
      <c r="B840" s="127"/>
      <c r="C840" s="218"/>
      <c r="D840" s="218"/>
      <c r="E840" s="218"/>
      <c r="F840" s="218"/>
      <c r="G840" s="218"/>
      <c r="H840" s="218"/>
      <c r="I840" s="218"/>
      <c r="J840" s="218"/>
      <c r="K840" s="218" t="e">
        <f ca="1">ROUND(SUM(G681,H681,I681,J681)-SUM(OFFSET(INDEX(MO_CFS_CFI,1,COLUMN()),ROW(INDEX(MO_SubSection_CFS_CFI,1,COLUMN()))-ROW(INDEX(MO_CFS_CFI,1,COLUMN())),0,ROW(INDEX(MO_CFS_CFI,1,COLUMN()))-ROW(INDEX(MO_SubSection_CFS_CFI,1,COLUMN())),1)),6)</f>
        <v>#NAME?</v>
      </c>
      <c r="L840" s="218"/>
      <c r="M840" s="218"/>
      <c r="N840" s="218"/>
      <c r="O840" s="218"/>
      <c r="P840" s="218" t="e">
        <f ca="1">ROUND(SUM(L681,M681,N681,O681)-SUM(OFFSET(INDEX(MO_CFS_CFI,1,COLUMN()),ROW(INDEX(MO_SubSection_CFS_CFI,1,COLUMN()))-ROW(INDEX(MO_CFS_CFI,1,COLUMN())),0,ROW(INDEX(MO_CFS_CFI,1,COLUMN()))-ROW(INDEX(MO_SubSection_CFS_CFI,1,COLUMN())),1)),6)</f>
        <v>#NAME?</v>
      </c>
      <c r="Q840" s="218"/>
      <c r="R840" s="218"/>
      <c r="S840" s="218"/>
      <c r="T840" s="218"/>
      <c r="U840" s="218" t="e">
        <f ca="1">ROUND(SUM(Q681,R681,S681,T681)-SUM(OFFSET(INDEX(MO_CFS_CFI,1,COLUMN()),ROW(INDEX(MO_SubSection_CFS_CFI,1,COLUMN()))-ROW(INDEX(MO_CFS_CFI,1,COLUMN())),0,ROW(INDEX(MO_CFS_CFI,1,COLUMN()))-ROW(INDEX(MO_SubSection_CFS_CFI,1,COLUMN())),1)),6)</f>
        <v>#NAME?</v>
      </c>
      <c r="V840" s="218"/>
      <c r="W840" s="218"/>
      <c r="X840" s="218"/>
      <c r="Y840" s="218"/>
      <c r="Z840" s="218" t="e">
        <f ca="1">ROUND(SUM(V681,W681,X681,Y681)-SUM(OFFSET(INDEX(MO_CFS_CFI,1,COLUMN()),ROW(INDEX(MO_SubSection_CFS_CFI,1,COLUMN()))-ROW(INDEX(MO_CFS_CFI,1,COLUMN())),0,ROW(INDEX(MO_CFS_CFI,1,COLUMN()))-ROW(INDEX(MO_SubSection_CFS_CFI,1,COLUMN())),1)),6)</f>
        <v>#NAME?</v>
      </c>
      <c r="AA840" s="218"/>
      <c r="AB840" s="218"/>
      <c r="AC840" s="218"/>
      <c r="AD840" s="218"/>
      <c r="AE840" s="218" t="e">
        <f ca="1">ROUND(SUM(AA681,AB681,AC681,AD681)-SUM(OFFSET(INDEX(MO_CFS_CFI,1,COLUMN()),ROW(INDEX(MO_SubSection_CFS_CFI,1,COLUMN()))-ROW(INDEX(MO_CFS_CFI,1,COLUMN())),0,ROW(INDEX(MO_CFS_CFI,1,COLUMN()))-ROW(INDEX(MO_SubSection_CFS_CFI,1,COLUMN())),1)),6)</f>
        <v>#NAME?</v>
      </c>
      <c r="AF840" s="218"/>
      <c r="AG840" s="218"/>
      <c r="AH840" s="218"/>
      <c r="AI840" s="218"/>
      <c r="AJ840" s="218" t="e">
        <f ca="1">ROUND(SUM(AF681,AG681,AH681,AI681)-SUM(OFFSET(INDEX(MO_CFS_CFI,1,COLUMN()),ROW(INDEX(MO_SubSection_CFS_CFI,1,COLUMN()))-ROW(INDEX(MO_CFS_CFI,1,COLUMN())),0,ROW(INDEX(MO_CFS_CFI,1,COLUMN()))-ROW(INDEX(MO_SubSection_CFS_CFI,1,COLUMN())),1)),6)</f>
        <v>#NAME?</v>
      </c>
      <c r="AK840" s="218"/>
      <c r="AL840" s="218"/>
      <c r="AM840" s="218"/>
      <c r="AN840" s="218"/>
      <c r="AO840" s="218" t="e">
        <f ca="1">ROUND(SUM(AK681,AL681,AM681,AN681)-SUM(OFFSET(INDEX(MO_CFS_CFI,1,COLUMN()),ROW(INDEX(MO_SubSection_CFS_CFI,1,COLUMN()))-ROW(INDEX(MO_CFS_CFI,1,COLUMN())),0,ROW(INDEX(MO_CFS_CFI,1,COLUMN()))-ROW(INDEX(MO_SubSection_CFS_CFI,1,COLUMN())),1)),6)</f>
        <v>#NAME?</v>
      </c>
      <c r="AP840" s="218"/>
      <c r="AQ840" s="218"/>
      <c r="AR840" s="218"/>
      <c r="AS840" s="218"/>
      <c r="AT840" s="218" t="e">
        <f ca="1">ROUND(SUM(AP681,AQ681,AR681,AS681)-SUM(OFFSET(INDEX(MO_CFS_CFI,1,COLUMN()),ROW(INDEX(MO_SubSection_CFS_CFI,1,COLUMN()))-ROW(INDEX(MO_CFS_CFI,1,COLUMN())),0,ROW(INDEX(MO_CFS_CFI,1,COLUMN()))-ROW(INDEX(MO_SubSection_CFS_CFI,1,COLUMN())),1)),6)</f>
        <v>#NAME?</v>
      </c>
      <c r="AU840" s="218"/>
      <c r="AV840" s="218"/>
      <c r="AW840" s="218"/>
      <c r="AX840" s="218"/>
      <c r="AY840" s="218" t="e">
        <f ca="1">ROUND(SUM(AU681,AV681,AW681,AX681)-SUM(OFFSET(INDEX(MO_CFS_CFI,1,COLUMN()),ROW(INDEX(MO_SubSection_CFS_CFI,1,COLUMN()))-ROW(INDEX(MO_CFS_CFI,1,COLUMN())),0,ROW(INDEX(MO_CFS_CFI,1,COLUMN()))-ROW(INDEX(MO_SubSection_CFS_CFI,1,COLUMN())),1)),6)</f>
        <v>#NAME?</v>
      </c>
      <c r="AZ840" s="218"/>
      <c r="BA840" s="218"/>
      <c r="BB840" s="218"/>
      <c r="BC840" s="218"/>
      <c r="BD840" s="218" t="e">
        <f ca="1">ROUND(SUM(AZ681,BA681,BB681,BC681)-SUM(OFFSET(INDEX(MO_CFS_CFI,1,COLUMN()),ROW(INDEX(MO_SubSection_CFS_CFI,1,COLUMN()))-ROW(INDEX(MO_CFS_CFI,1,COLUMN())),0,ROW(INDEX(MO_CFS_CFI,1,COLUMN()))-ROW(INDEX(MO_SubSection_CFS_CFI,1,COLUMN())),1)),6)</f>
        <v>#NAME?</v>
      </c>
      <c r="BE840" s="218"/>
      <c r="BF840" s="218"/>
      <c r="BG840" s="218"/>
      <c r="BH840" s="218"/>
      <c r="BI840" s="218" t="e">
        <f ca="1">ROUND(SUM(BE681,BF681,BG681,BH681)-SUM(OFFSET(INDEX(MO_CFS_CFI,1,COLUMN()),ROW(INDEX(MO_SubSection_CFS_CFI,1,COLUMN()))-ROW(INDEX(MO_CFS_CFI,1,COLUMN())),0,ROW(INDEX(MO_CFS_CFI,1,COLUMN()))-ROW(INDEX(MO_SubSection_CFS_CFI,1,COLUMN())),1)),6)</f>
        <v>#NAME?</v>
      </c>
      <c r="BJ840" s="218"/>
      <c r="BK840" s="218"/>
      <c r="BL840" s="218"/>
      <c r="BM840" s="218"/>
      <c r="BN840" s="218" t="e">
        <f ca="1">ROUND(SUM(BJ681,BK681,BL681,BM681)-SUM(OFFSET(INDEX(MO_CFS_CFI,1,COLUMN()),ROW(INDEX(MO_SubSection_CFS_CFI,1,COLUMN()))-ROW(INDEX(MO_CFS_CFI,1,COLUMN())),0,ROW(INDEX(MO_CFS_CFI,1,COLUMN()))-ROW(INDEX(MO_SubSection_CFS_CFI,1,COLUMN())),1)),6)</f>
        <v>#NAME?</v>
      </c>
      <c r="BO840" s="218"/>
      <c r="BP840" s="218"/>
      <c r="BQ840" s="218"/>
      <c r="BR840" s="218"/>
      <c r="BS840" s="515" t="e">
        <f ca="1">ROUND(SUM(BO681,BP681,BQ681,BR681)-SUM(OFFSET(INDEX(MO_CFS_CFI,1,COLUMN()),ROW(INDEX(MO_SubSection_CFS_CFI,1,COLUMN()))-ROW(INDEX(MO_CFS_CFI,1,COLUMN())),0,ROW(INDEX(MO_CFS_CFI,1,COLUMN()))-ROW(INDEX(MO_SubSection_CFS_CFI,1,COLUMN())),1)),6)</f>
        <v>#NAME?</v>
      </c>
      <c r="BT840" s="218"/>
      <c r="BU840" s="218"/>
      <c r="BV840" s="218"/>
      <c r="BW840" s="218"/>
      <c r="BX840" s="218" t="e">
        <f ca="1">ROUND(SUM(BT681,BU681,BV681,BW681)-SUM(OFFSET(INDEX(MO_CFS_CFI,1,COLUMN()),ROW(INDEX(MO_SubSection_CFS_CFI,1,COLUMN()))-ROW(INDEX(MO_CFS_CFI,1,COLUMN())),0,ROW(INDEX(MO_CFS_CFI,1,COLUMN()))-ROW(INDEX(MO_SubSection_CFS_CFI,1,COLUMN())),1)),6)</f>
        <v>#NAME?</v>
      </c>
      <c r="BY840" s="218"/>
      <c r="BZ840" s="218"/>
      <c r="CA840" s="218"/>
      <c r="CB840" s="218"/>
      <c r="CC840" s="218" t="e">
        <f ca="1">ROUND(SUM(BY681,BZ681,CA681,CB681)-SUM(OFFSET(INDEX(MO_CFS_CFI,1,COLUMN()),ROW(INDEX(MO_SubSection_CFS_CFI,1,COLUMN()))-ROW(INDEX(MO_CFS_CFI,1,COLUMN())),0,ROW(INDEX(MO_CFS_CFI,1,COLUMN()))-ROW(INDEX(MO_SubSection_CFS_CFI,1,COLUMN())),1)),6)</f>
        <v>#NAME?</v>
      </c>
      <c r="CD840" s="218"/>
      <c r="CE840" s="218"/>
      <c r="CF840" s="218"/>
      <c r="CG840" s="99"/>
    </row>
    <row r="841" spans="1:85" ht="14.45" customHeight="1" x14ac:dyDescent="0.25">
      <c r="A841" s="99" t="s">
        <v>759</v>
      </c>
      <c r="B841" s="127"/>
      <c r="C841" s="218"/>
      <c r="D841" s="218"/>
      <c r="E841" s="218"/>
      <c r="F841" s="218"/>
      <c r="G841" s="218"/>
      <c r="H841" s="218"/>
      <c r="I841" s="218"/>
      <c r="J841" s="218"/>
      <c r="K841" s="218" t="e">
        <f ca="1">ROUND(SUM(G708,H708,I708,J708)-SUM(OFFSET(INDEX(MO_CFS_CFF,1,COLUMN()),ROW(INDEX(MO_SubSection_CFS_CFF,1,COLUMN()))-ROW(INDEX(MO_CFS_CFF,1,COLUMN())),0,ROW(INDEX(MO_CFS_CFF,1,COLUMN()))-ROW(INDEX(MO_SubSection_CFS_CFF,1,COLUMN())),1)),6)</f>
        <v>#NAME?</v>
      </c>
      <c r="L841" s="218"/>
      <c r="M841" s="218"/>
      <c r="N841" s="218"/>
      <c r="O841" s="218"/>
      <c r="P841" s="218" t="e">
        <f ca="1">ROUND(SUM(L708,M708,N708,O708)-SUM(OFFSET(INDEX(MO_CFS_CFF,1,COLUMN()),ROW(INDEX(MO_SubSection_CFS_CFF,1,COLUMN()))-ROW(INDEX(MO_CFS_CFF,1,COLUMN())),0,ROW(INDEX(MO_CFS_CFF,1,COLUMN()))-ROW(INDEX(MO_SubSection_CFS_CFF,1,COLUMN())),1)),6)</f>
        <v>#NAME?</v>
      </c>
      <c r="Q841" s="218"/>
      <c r="R841" s="218"/>
      <c r="S841" s="218"/>
      <c r="T841" s="218"/>
      <c r="U841" s="218" t="e">
        <f ca="1">ROUND(SUM(Q708,R708,S708,T708)-SUM(OFFSET(INDEX(MO_CFS_CFF,1,COLUMN()),ROW(INDEX(MO_SubSection_CFS_CFF,1,COLUMN()))-ROW(INDEX(MO_CFS_CFF,1,COLUMN())),0,ROW(INDEX(MO_CFS_CFF,1,COLUMN()))-ROW(INDEX(MO_SubSection_CFS_CFF,1,COLUMN())),1)),6)</f>
        <v>#NAME?</v>
      </c>
      <c r="V841" s="218"/>
      <c r="W841" s="218"/>
      <c r="X841" s="218"/>
      <c r="Y841" s="218"/>
      <c r="Z841" s="218" t="e">
        <f ca="1">ROUND(SUM(V708,W708,X708,Y708)-SUM(OFFSET(INDEX(MO_CFS_CFF,1,COLUMN()),ROW(INDEX(MO_SubSection_CFS_CFF,1,COLUMN()))-ROW(INDEX(MO_CFS_CFF,1,COLUMN())),0,ROW(INDEX(MO_CFS_CFF,1,COLUMN()))-ROW(INDEX(MO_SubSection_CFS_CFF,1,COLUMN())),1)),6)</f>
        <v>#NAME?</v>
      </c>
      <c r="AA841" s="218"/>
      <c r="AB841" s="218"/>
      <c r="AC841" s="218"/>
      <c r="AD841" s="218"/>
      <c r="AE841" s="218" t="e">
        <f ca="1">ROUND(SUM(AA708,AB708,AC708,AD708)-SUM(OFFSET(INDEX(MO_CFS_CFF,1,COLUMN()),ROW(INDEX(MO_SubSection_CFS_CFF,1,COLUMN()))-ROW(INDEX(MO_CFS_CFF,1,COLUMN())),0,ROW(INDEX(MO_CFS_CFF,1,COLUMN()))-ROW(INDEX(MO_SubSection_CFS_CFF,1,COLUMN())),1)),6)</f>
        <v>#NAME?</v>
      </c>
      <c r="AF841" s="218"/>
      <c r="AG841" s="218"/>
      <c r="AH841" s="218"/>
      <c r="AI841" s="218"/>
      <c r="AJ841" s="218" t="e">
        <f ca="1">ROUND(SUM(AF708,AG708,AH708,AI708)-SUM(OFFSET(INDEX(MO_CFS_CFF,1,COLUMN()),ROW(INDEX(MO_SubSection_CFS_CFF,1,COLUMN()))-ROW(INDEX(MO_CFS_CFF,1,COLUMN())),0,ROW(INDEX(MO_CFS_CFF,1,COLUMN()))-ROW(INDEX(MO_SubSection_CFS_CFF,1,COLUMN())),1)),6)</f>
        <v>#NAME?</v>
      </c>
      <c r="AK841" s="218"/>
      <c r="AL841" s="218"/>
      <c r="AM841" s="218"/>
      <c r="AN841" s="218"/>
      <c r="AO841" s="218" t="e">
        <f ca="1">ROUND(SUM(AK708,AL708,AM708,AN708)-SUM(OFFSET(INDEX(MO_CFS_CFF,1,COLUMN()),ROW(INDEX(MO_SubSection_CFS_CFF,1,COLUMN()))-ROW(INDEX(MO_CFS_CFF,1,COLUMN())),0,ROW(INDEX(MO_CFS_CFF,1,COLUMN()))-ROW(INDEX(MO_SubSection_CFS_CFF,1,COLUMN())),1)),6)</f>
        <v>#NAME?</v>
      </c>
      <c r="AP841" s="218"/>
      <c r="AQ841" s="218"/>
      <c r="AR841" s="218"/>
      <c r="AS841" s="218"/>
      <c r="AT841" s="218" t="e">
        <f ca="1">ROUND(SUM(AP708,AQ708,AR708,AS708)-SUM(OFFSET(INDEX(MO_CFS_CFF,1,COLUMN()),ROW(INDEX(MO_SubSection_CFS_CFF,1,COLUMN()))-ROW(INDEX(MO_CFS_CFF,1,COLUMN())),0,ROW(INDEX(MO_CFS_CFF,1,COLUMN()))-ROW(INDEX(MO_SubSection_CFS_CFF,1,COLUMN())),1)),6)</f>
        <v>#NAME?</v>
      </c>
      <c r="AU841" s="218"/>
      <c r="AV841" s="218"/>
      <c r="AW841" s="218"/>
      <c r="AX841" s="218"/>
      <c r="AY841" s="218" t="e">
        <f ca="1">ROUND(SUM(AU708,AV708,AW708,AX708)-SUM(OFFSET(INDEX(MO_CFS_CFF,1,COLUMN()),ROW(INDEX(MO_SubSection_CFS_CFF,1,COLUMN()))-ROW(INDEX(MO_CFS_CFF,1,COLUMN())),0,ROW(INDEX(MO_CFS_CFF,1,COLUMN()))-ROW(INDEX(MO_SubSection_CFS_CFF,1,COLUMN())),1)),6)</f>
        <v>#NAME?</v>
      </c>
      <c r="AZ841" s="218"/>
      <c r="BA841" s="218"/>
      <c r="BB841" s="218"/>
      <c r="BC841" s="218"/>
      <c r="BD841" s="218" t="e">
        <f ca="1">ROUND(SUM(AZ708,BA708,BB708,BC708)-SUM(OFFSET(INDEX(MO_CFS_CFF,1,COLUMN()),ROW(INDEX(MO_SubSection_CFS_CFF,1,COLUMN()))-ROW(INDEX(MO_CFS_CFF,1,COLUMN())),0,ROW(INDEX(MO_CFS_CFF,1,COLUMN()))-ROW(INDEX(MO_SubSection_CFS_CFF,1,COLUMN())),1)),6)</f>
        <v>#NAME?</v>
      </c>
      <c r="BE841" s="218"/>
      <c r="BF841" s="218"/>
      <c r="BG841" s="218"/>
      <c r="BH841" s="218"/>
      <c r="BI841" s="218" t="e">
        <f ca="1">ROUND(SUM(BE708,BF708,BG708,BH708)-SUM(OFFSET(INDEX(MO_CFS_CFF,1,COLUMN()),ROW(INDEX(MO_SubSection_CFS_CFF,1,COLUMN()))-ROW(INDEX(MO_CFS_CFF,1,COLUMN())),0,ROW(INDEX(MO_CFS_CFF,1,COLUMN()))-ROW(INDEX(MO_SubSection_CFS_CFF,1,COLUMN())),1)),6)</f>
        <v>#NAME?</v>
      </c>
      <c r="BJ841" s="218"/>
      <c r="BK841" s="218"/>
      <c r="BL841" s="218"/>
      <c r="BM841" s="218"/>
      <c r="BN841" s="218" t="e">
        <f ca="1">ROUND(SUM(BJ708,BK708,BL708,BM708)-SUM(OFFSET(INDEX(MO_CFS_CFF,1,COLUMN()),ROW(INDEX(MO_SubSection_CFS_CFF,1,COLUMN()))-ROW(INDEX(MO_CFS_CFF,1,COLUMN())),0,ROW(INDEX(MO_CFS_CFF,1,COLUMN()))-ROW(INDEX(MO_SubSection_CFS_CFF,1,COLUMN())),1)),6)</f>
        <v>#NAME?</v>
      </c>
      <c r="BO841" s="218"/>
      <c r="BP841" s="218"/>
      <c r="BQ841" s="218"/>
      <c r="BR841" s="218"/>
      <c r="BS841" s="515" t="e">
        <f ca="1">ROUND(SUM(BO708,BP708,BQ708,BR708)-SUM(OFFSET(INDEX(MO_CFS_CFF,1,COLUMN()),ROW(INDEX(MO_SubSection_CFS_CFF,1,COLUMN()))-ROW(INDEX(MO_CFS_CFF,1,COLUMN())),0,ROW(INDEX(MO_CFS_CFF,1,COLUMN()))-ROW(INDEX(MO_SubSection_CFS_CFF,1,COLUMN())),1)),6)</f>
        <v>#NAME?</v>
      </c>
      <c r="BT841" s="218"/>
      <c r="BU841" s="218"/>
      <c r="BV841" s="218"/>
      <c r="BW841" s="218"/>
      <c r="BX841" s="218" t="e">
        <f ca="1">ROUND(SUM(BT708,BU708,BV708,BW708)-SUM(OFFSET(INDEX(MO_CFS_CFF,1,COLUMN()),ROW(INDEX(MO_SubSection_CFS_CFF,1,COLUMN()))-ROW(INDEX(MO_CFS_CFF,1,COLUMN())),0,ROW(INDEX(MO_CFS_CFF,1,COLUMN()))-ROW(INDEX(MO_SubSection_CFS_CFF,1,COLUMN())),1)),6)</f>
        <v>#NAME?</v>
      </c>
      <c r="BY841" s="218"/>
      <c r="BZ841" s="218"/>
      <c r="CA841" s="218"/>
      <c r="CB841" s="218"/>
      <c r="CC841" s="218" t="e">
        <f ca="1">ROUND(SUM(BY708,BZ708,CA708,CB708)-SUM(OFFSET(INDEX(MO_CFS_CFF,1,COLUMN()),ROW(INDEX(MO_SubSection_CFS_CFF,1,COLUMN()))-ROW(INDEX(MO_CFS_CFF,1,COLUMN())),0,ROW(INDEX(MO_CFS_CFF,1,COLUMN()))-ROW(INDEX(MO_SubSection_CFS_CFF,1,COLUMN())),1)),6)</f>
        <v>#NAME?</v>
      </c>
      <c r="CD841" s="218"/>
      <c r="CE841" s="218"/>
      <c r="CF841" s="218"/>
      <c r="CG841" s="99"/>
    </row>
    <row r="842" spans="1:85" ht="14.45" customHeight="1" x14ac:dyDescent="0.25">
      <c r="A842" s="99" t="s">
        <v>760</v>
      </c>
      <c r="B842" s="127"/>
      <c r="C842" s="218"/>
      <c r="D842" s="218"/>
      <c r="E842" s="218"/>
      <c r="F842" s="218"/>
      <c r="G842" s="218"/>
      <c r="H842" s="218"/>
      <c r="I842" s="218"/>
      <c r="J842" s="218"/>
      <c r="K842" s="218" t="e">
        <f>ROUND(SUM(INDEX(MO_CFSum_Acquisition,0,COLUMN()),INDEX(MO_CFSum_Capex,0,COLUMN()),INDEX(MO_CFSum_Divestiture,0,COLUMN()),INDEX(MO_CFSum_Dividend,0,COLUMN()))-SUM(G486,H486,I486,J486,G487,H487,I487,J487,G488,H488,I488,J488)-SUM(G484,H484,I484,J484),6)</f>
        <v>#NAME?</v>
      </c>
      <c r="L842" s="218"/>
      <c r="M842" s="218"/>
      <c r="N842" s="218"/>
      <c r="O842" s="218"/>
      <c r="P842" s="218" t="e">
        <f>ROUND(SUM(INDEX(MO_CFSum_Acquisition,0,COLUMN()),INDEX(MO_CFSum_Capex,0,COLUMN()),INDEX(MO_CFSum_Divestiture,0,COLUMN()),INDEX(MO_CFSum_Dividend,0,COLUMN()))-SUM(L486,M486,N486,O486,L487,M487,N487,O487,L488,M488,N488,O488)-SUM(L484,M484,N484,O484),6)</f>
        <v>#NAME?</v>
      </c>
      <c r="Q842" s="218"/>
      <c r="R842" s="218"/>
      <c r="S842" s="218"/>
      <c r="T842" s="218"/>
      <c r="U842" s="218" t="e">
        <f>ROUND(SUM(INDEX(MO_CFSum_Acquisition,0,COLUMN()),INDEX(MO_CFSum_Capex,0,COLUMN()),INDEX(MO_CFSum_Divestiture,0,COLUMN()),INDEX(MO_CFSum_Dividend,0,COLUMN()))-SUM(Q486,R486,S486,T486,Q487,R487,S487,T487,Q488,R488,S488,T488)-SUM(Q484,R484,S484,T484),6)</f>
        <v>#NAME?</v>
      </c>
      <c r="V842" s="218"/>
      <c r="W842" s="218"/>
      <c r="X842" s="218"/>
      <c r="Y842" s="218"/>
      <c r="Z842" s="218" t="e">
        <f>ROUND(SUM(INDEX(MO_CFSum_Acquisition,0,COLUMN()),INDEX(MO_CFSum_Capex,0,COLUMN()),INDEX(MO_CFSum_Divestiture,0,COLUMN()),INDEX(MO_CFSum_Dividend,0,COLUMN()))-SUM(V486,W486,X486,Y486,V487,W487,X487,Y487,V488,W488,X488,Y488)-SUM(V484,W484,X484,Y484),6)</f>
        <v>#NAME?</v>
      </c>
      <c r="AA842" s="218"/>
      <c r="AB842" s="218"/>
      <c r="AC842" s="218"/>
      <c r="AD842" s="218"/>
      <c r="AE842" s="218" t="e">
        <f>ROUND(SUM(INDEX(MO_CFSum_Acquisition,0,COLUMN()),INDEX(MO_CFSum_Capex,0,COLUMN()),INDEX(MO_CFSum_Divestiture,0,COLUMN()),INDEX(MO_CFSum_Dividend,0,COLUMN()))-SUM(AA486,AB486,AC486,AD486,AA487,AB487,AC487,AD487,AA488,AB488,AC488,AD488)-SUM(AA484,AB484,AC484,AD484),6)</f>
        <v>#NAME?</v>
      </c>
      <c r="AF842" s="218"/>
      <c r="AG842" s="218"/>
      <c r="AH842" s="218"/>
      <c r="AI842" s="218"/>
      <c r="AJ842" s="218" t="e">
        <f>ROUND(SUM(INDEX(MO_CFSum_Acquisition,0,COLUMN()),INDEX(MO_CFSum_Capex,0,COLUMN()),INDEX(MO_CFSum_Divestiture,0,COLUMN()),INDEX(MO_CFSum_Dividend,0,COLUMN()))-SUM(AF486,AG486,AH486,AI486,AF487,AG487,AH487,AI487,AF488,AG488,AH488,AI488)-SUM(AF484,AG484,AH484,AI484),6)</f>
        <v>#NAME?</v>
      </c>
      <c r="AK842" s="218"/>
      <c r="AL842" s="218"/>
      <c r="AM842" s="218"/>
      <c r="AN842" s="218"/>
      <c r="AO842" s="218" t="e">
        <f>ROUND(SUM(INDEX(MO_CFSum_Acquisition,0,COLUMN()),INDEX(MO_CFSum_Capex,0,COLUMN()),INDEX(MO_CFSum_Divestiture,0,COLUMN()),INDEX(MO_CFSum_Dividend,0,COLUMN()))-SUM(AK486,AL486,AM486,AN486,AK487,AL487,AM487,AN487,AK488,AL488,AM488,AN488)-SUM(AK484,AL484,AM484,AN484),6)</f>
        <v>#NAME?</v>
      </c>
      <c r="AP842" s="218"/>
      <c r="AQ842" s="218"/>
      <c r="AR842" s="218"/>
      <c r="AS842" s="218"/>
      <c r="AT842" s="218" t="e">
        <f>ROUND(SUM(INDEX(MO_CFSum_Acquisition,0,COLUMN()),INDEX(MO_CFSum_Capex,0,COLUMN()),INDEX(MO_CFSum_Divestiture,0,COLUMN()),INDEX(MO_CFSum_Dividend,0,COLUMN()))-SUM(AP486,AQ486,AR486,AS486,AP487,AQ487,AR487,AS487,AP488,AQ488,AR488,AS488)-SUM(AP484,AQ484,AR484,AS484),6)</f>
        <v>#NAME?</v>
      </c>
      <c r="AU842" s="218"/>
      <c r="AV842" s="218"/>
      <c r="AW842" s="218"/>
      <c r="AX842" s="218"/>
      <c r="AY842" s="218" t="e">
        <f>ROUND(SUM(INDEX(MO_CFSum_Acquisition,0,COLUMN()),INDEX(MO_CFSum_Capex,0,COLUMN()),INDEX(MO_CFSum_Divestiture,0,COLUMN()),INDEX(MO_CFSum_Dividend,0,COLUMN()))-SUM(AU486,AV486,AW486,AX486,AU487,AV487,AW487,AX487,AU488,AV488,AW488,AX488)-SUM(AU484,AV484,AW484,AX484),6)</f>
        <v>#NAME?</v>
      </c>
      <c r="AZ842" s="218"/>
      <c r="BA842" s="218"/>
      <c r="BB842" s="218"/>
      <c r="BC842" s="218"/>
      <c r="BD842" s="218" t="e">
        <f>ROUND(SUM(INDEX(MO_CFSum_Acquisition,0,COLUMN()),INDEX(MO_CFSum_Capex,0,COLUMN()),INDEX(MO_CFSum_Divestiture,0,COLUMN()),INDEX(MO_CFSum_Dividend,0,COLUMN()))-SUM(AZ486,BA486,BB486,BC486,AZ487,BA487,BB487,BC487,AZ488,BA488,BB488,BC488)-SUM(AZ484,BA484,BB484,BC484),6)</f>
        <v>#NAME?</v>
      </c>
      <c r="BE842" s="218"/>
      <c r="BF842" s="218"/>
      <c r="BG842" s="218"/>
      <c r="BH842" s="218"/>
      <c r="BI842" s="218" t="e">
        <f>ROUND(SUM(INDEX(MO_CFSum_Acquisition,0,COLUMN()),INDEX(MO_CFSum_Capex,0,COLUMN()),INDEX(MO_CFSum_Divestiture,0,COLUMN()),INDEX(MO_CFSum_Dividend,0,COLUMN()))-SUM(BE486,BF486,BG486,BH486,BE487,BF487,BG487,BH487,BE488,BF488,BG488,BH488)-SUM(BE484,BF484,BG484,BH484),6)</f>
        <v>#NAME?</v>
      </c>
      <c r="BJ842" s="218"/>
      <c r="BK842" s="218"/>
      <c r="BL842" s="218"/>
      <c r="BM842" s="218"/>
      <c r="BN842" s="218" t="e">
        <f>ROUND(SUM(INDEX(MO_CFSum_Acquisition,0,COLUMN()),INDEX(MO_CFSum_Capex,0,COLUMN()),INDEX(MO_CFSum_Divestiture,0,COLUMN()),INDEX(MO_CFSum_Dividend,0,COLUMN()))-SUM(BJ486,BK486,BL486,BM486,BJ487,BK487,BL487,BM487,BJ488,BK488,BL488,BM488)-SUM(BJ484,BK484,BL484,BM484),6)</f>
        <v>#NAME?</v>
      </c>
      <c r="BO842" s="218"/>
      <c r="BP842" s="218"/>
      <c r="BQ842" s="218"/>
      <c r="BR842" s="218"/>
      <c r="BS842" s="515" t="e">
        <f>ROUND(SUM(INDEX(MO_CFSum_Acquisition,0,COLUMN()),INDEX(MO_CFSum_Capex,0,COLUMN()),INDEX(MO_CFSum_Divestiture,0,COLUMN()),INDEX(MO_CFSum_Dividend,0,COLUMN()))-SUM(BO486,BP486,BQ486,BR486,BO487,BP487,BQ487,BR487,BO488,BP488,BQ488,BR488)-SUM(BO484,BP484,BQ484,BR484),6)</f>
        <v>#NAME?</v>
      </c>
      <c r="BT842" s="218"/>
      <c r="BU842" s="218"/>
      <c r="BV842" s="218"/>
      <c r="BW842" s="218"/>
      <c r="BX842" s="218" t="e">
        <f>ROUND(SUM(INDEX(MO_CFSum_Acquisition,0,COLUMN()),INDEX(MO_CFSum_Capex,0,COLUMN()),INDEX(MO_CFSum_Divestiture,0,COLUMN()),INDEX(MO_CFSum_Dividend,0,COLUMN()))-SUM(BT486,BU486,BV486,BW486,BT487,BU487,BV487,BW487,BT488,BU488,BV488,BW488)-SUM(BT484,BU484,BV484,BW484),6)</f>
        <v>#NAME?</v>
      </c>
      <c r="BY842" s="218"/>
      <c r="BZ842" s="218"/>
      <c r="CA842" s="218"/>
      <c r="CB842" s="218"/>
      <c r="CC842" s="218" t="e">
        <f>ROUND(SUM(INDEX(MO_CFSum_Acquisition,0,COLUMN()),INDEX(MO_CFSum_Capex,0,COLUMN()),INDEX(MO_CFSum_Divestiture,0,COLUMN()),INDEX(MO_CFSum_Dividend,0,COLUMN()))-SUM(BY486,BZ486,CA486,CB486,BY487,BZ487,CA487,CB487,BY488,BZ488,CA488,CB488)-SUM(BY484,BZ484,CA484,CB484),6)</f>
        <v>#NAME?</v>
      </c>
      <c r="CD842" s="218"/>
      <c r="CE842" s="218"/>
      <c r="CF842" s="218"/>
      <c r="CG842" s="99"/>
    </row>
    <row r="843" spans="1:85" ht="14.45" customHeight="1" x14ac:dyDescent="0.2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376"/>
      <c r="BT843" s="63"/>
      <c r="BU843" s="63"/>
      <c r="BV843" s="63"/>
      <c r="BW843" s="63"/>
      <c r="BX843" s="63"/>
      <c r="BY843" s="63"/>
      <c r="BZ843" s="63"/>
      <c r="CA843" s="63"/>
      <c r="CB843" s="63"/>
      <c r="CC843" s="63"/>
      <c r="CD843" s="63"/>
      <c r="CE843" s="63"/>
      <c r="CF843" s="63"/>
      <c r="CG843" s="99"/>
    </row>
    <row r="844" spans="1:85" ht="14.45" customHeight="1" x14ac:dyDescent="0.25">
      <c r="A844" s="313" t="s">
        <v>761</v>
      </c>
      <c r="B844" s="313"/>
      <c r="C844" s="313"/>
      <c r="D844" s="313"/>
      <c r="E844" s="313"/>
      <c r="F844" s="313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3"/>
      <c r="S844" s="313"/>
      <c r="T844" s="313"/>
      <c r="U844" s="313"/>
      <c r="V844" s="313"/>
      <c r="W844" s="313"/>
      <c r="X844" s="313"/>
      <c r="Y844" s="313"/>
      <c r="Z844" s="313"/>
      <c r="AA844" s="313"/>
      <c r="AB844" s="313"/>
      <c r="AC844" s="313"/>
      <c r="AD844" s="313"/>
      <c r="AE844" s="313"/>
      <c r="AF844" s="313"/>
      <c r="AG844" s="313"/>
      <c r="AH844" s="313"/>
      <c r="AI844" s="313"/>
      <c r="AJ844" s="313"/>
      <c r="AK844" s="313"/>
      <c r="AL844" s="313"/>
      <c r="AM844" s="313"/>
      <c r="AN844" s="313"/>
      <c r="AO844" s="313"/>
      <c r="AP844" s="313"/>
      <c r="AQ844" s="313"/>
      <c r="AR844" s="313"/>
      <c r="AS844" s="313"/>
      <c r="AT844" s="313"/>
      <c r="AU844" s="313"/>
      <c r="AV844" s="313"/>
      <c r="AW844" s="313"/>
      <c r="AX844" s="313"/>
      <c r="AY844" s="313"/>
      <c r="AZ844" s="313"/>
      <c r="BA844" s="313"/>
      <c r="BB844" s="313"/>
      <c r="BC844" s="313"/>
      <c r="BD844" s="313"/>
      <c r="BE844" s="313"/>
      <c r="BF844" s="313"/>
      <c r="BG844" s="313"/>
      <c r="BH844" s="313"/>
      <c r="BI844" s="313"/>
      <c r="BJ844" s="313"/>
      <c r="BK844" s="313"/>
      <c r="BL844" s="313"/>
      <c r="BM844" s="313"/>
      <c r="BN844" s="313"/>
      <c r="BO844" s="313"/>
      <c r="BP844" s="313"/>
      <c r="BQ844" s="313"/>
      <c r="BR844" s="313"/>
      <c r="BS844" s="621"/>
      <c r="BT844" s="313"/>
      <c r="BU844" s="313"/>
      <c r="BV844" s="313"/>
      <c r="BW844" s="313"/>
      <c r="BX844" s="313"/>
      <c r="BY844" s="313"/>
      <c r="BZ844" s="313"/>
      <c r="CA844" s="313"/>
      <c r="CB844" s="313"/>
      <c r="CC844" s="313"/>
      <c r="CD844" s="313"/>
      <c r="CE844" s="313"/>
      <c r="CF844" s="313"/>
      <c r="CG844" s="109"/>
    </row>
    <row r="845" spans="1:85" ht="14.45" customHeight="1" x14ac:dyDescent="0.25">
      <c r="A845" s="314"/>
      <c r="B845" s="63"/>
      <c r="C845" s="126"/>
      <c r="D845" s="126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376"/>
      <c r="BT845" s="63"/>
      <c r="BU845" s="63"/>
      <c r="BV845" s="63"/>
      <c r="BW845" s="63"/>
      <c r="BX845" s="63"/>
      <c r="BY845" s="63"/>
      <c r="BZ845" s="63"/>
      <c r="CA845" s="63"/>
      <c r="CB845" s="63"/>
      <c r="CC845" s="63"/>
      <c r="CD845" s="63"/>
      <c r="CE845" s="63"/>
      <c r="CF845" s="63"/>
      <c r="CG845" s="99"/>
    </row>
    <row r="846" spans="1:85" ht="14.45" customHeight="1" x14ac:dyDescent="0.25">
      <c r="A846" s="315" t="s">
        <v>762</v>
      </c>
      <c r="B846" s="316"/>
      <c r="C846" s="622"/>
      <c r="D846" s="622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  <c r="AI846" s="179"/>
      <c r="AJ846" s="179"/>
      <c r="AK846" s="179"/>
      <c r="AL846" s="179"/>
      <c r="AM846" s="179"/>
      <c r="AN846" s="179"/>
      <c r="AO846" s="179"/>
      <c r="AP846" s="179"/>
      <c r="AQ846" s="179"/>
      <c r="AR846" s="179"/>
      <c r="AS846" s="179"/>
      <c r="AT846" s="179"/>
      <c r="AU846" s="179"/>
      <c r="AV846" s="179"/>
      <c r="AW846" s="179"/>
      <c r="AX846" s="179"/>
      <c r="AY846" s="179"/>
      <c r="AZ846" s="179"/>
      <c r="BA846" s="179"/>
      <c r="BB846" s="179"/>
      <c r="BC846" s="179"/>
      <c r="BD846" s="179"/>
      <c r="BE846" s="179"/>
      <c r="BF846" s="179"/>
      <c r="BG846" s="179"/>
      <c r="BH846" s="179"/>
      <c r="BI846" s="179"/>
      <c r="BJ846" s="179"/>
      <c r="BK846" s="179"/>
      <c r="BL846" s="179"/>
      <c r="BM846" s="179"/>
      <c r="BN846" s="179"/>
      <c r="BO846" s="179"/>
      <c r="BP846" s="179"/>
      <c r="BQ846" s="179"/>
      <c r="BR846" s="179"/>
      <c r="BS846" s="623"/>
      <c r="BT846" s="179"/>
      <c r="BU846" s="179"/>
      <c r="BV846" s="179"/>
      <c r="BW846" s="179"/>
      <c r="BX846" s="179"/>
      <c r="BY846" s="179"/>
      <c r="BZ846" s="179"/>
      <c r="CA846" s="179"/>
      <c r="CB846" s="179"/>
      <c r="CC846" s="179"/>
      <c r="CD846" s="179"/>
      <c r="CE846" s="179"/>
      <c r="CF846" s="179"/>
      <c r="CG846" s="491"/>
    </row>
    <row r="847" spans="1:85" ht="14.45" customHeight="1" x14ac:dyDescent="0.25">
      <c r="A847" s="317" t="s">
        <v>763</v>
      </c>
      <c r="B847" s="318"/>
      <c r="C847" s="624"/>
      <c r="D847" s="624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  <c r="AQ847" s="173"/>
      <c r="AR847" s="173"/>
      <c r="AS847" s="173"/>
      <c r="AT847" s="173"/>
      <c r="AU847" s="173"/>
      <c r="AV847" s="173"/>
      <c r="AW847" s="173"/>
      <c r="AX847" s="173"/>
      <c r="AY847" s="173"/>
      <c r="AZ847" s="173"/>
      <c r="BA847" s="173"/>
      <c r="BB847" s="173"/>
      <c r="BC847" s="173"/>
      <c r="BD847" s="173"/>
      <c r="BE847" s="173"/>
      <c r="BF847" s="173"/>
      <c r="BG847" s="173"/>
      <c r="BH847" s="173"/>
      <c r="BI847" s="173"/>
      <c r="BJ847" s="173"/>
      <c r="BK847" s="173"/>
      <c r="BL847" s="173"/>
      <c r="BM847" s="173"/>
      <c r="BN847" s="173"/>
      <c r="BO847" s="173"/>
      <c r="BP847" s="173"/>
      <c r="BQ847" s="173"/>
      <c r="BR847" s="173"/>
      <c r="BS847" s="625"/>
      <c r="BT847" s="173"/>
      <c r="BU847" s="173"/>
      <c r="BV847" s="173"/>
      <c r="BW847" s="173"/>
      <c r="BX847" s="173"/>
      <c r="BY847" s="173"/>
      <c r="BZ847" s="173"/>
      <c r="CA847" s="173"/>
      <c r="CB847" s="173"/>
      <c r="CC847" s="173"/>
      <c r="CD847" s="173"/>
      <c r="CE847" s="173"/>
      <c r="CF847" s="173"/>
      <c r="CG847" s="491"/>
    </row>
    <row r="848" spans="1:85" ht="14.45" customHeight="1" x14ac:dyDescent="0.25">
      <c r="A848" s="319" t="s">
        <v>119</v>
      </c>
      <c r="B848" s="318"/>
      <c r="C848" s="624"/>
      <c r="D848" s="624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  <c r="AQ848" s="173"/>
      <c r="AR848" s="173"/>
      <c r="AS848" s="173"/>
      <c r="AT848" s="173"/>
      <c r="AU848" s="173"/>
      <c r="AV848" s="173"/>
      <c r="AW848" s="173"/>
      <c r="AX848" s="173"/>
      <c r="AY848" s="173"/>
      <c r="AZ848" s="173"/>
      <c r="BA848" s="173"/>
      <c r="BB848" s="173"/>
      <c r="BC848" s="173"/>
      <c r="BD848" s="173"/>
      <c r="BE848" s="173"/>
      <c r="BF848" s="173"/>
      <c r="BG848" s="173"/>
      <c r="BH848" s="173"/>
      <c r="BI848" s="173"/>
      <c r="BJ848" s="173"/>
      <c r="BK848" s="173"/>
      <c r="BL848" s="173"/>
      <c r="BM848" s="173"/>
      <c r="BN848" s="173"/>
      <c r="BO848" s="173"/>
      <c r="BP848" s="173"/>
      <c r="BQ848" s="173"/>
      <c r="BR848" s="173"/>
      <c r="BS848" s="625"/>
      <c r="BT848" s="173"/>
      <c r="BU848" s="173"/>
      <c r="BV848" s="173"/>
      <c r="BW848" s="173"/>
      <c r="BX848" s="173"/>
      <c r="BY848" s="173"/>
      <c r="BZ848" s="173"/>
      <c r="CA848" s="173"/>
      <c r="CB848" s="173"/>
      <c r="CC848" s="173"/>
      <c r="CD848" s="173"/>
      <c r="CE848" s="173"/>
      <c r="CF848" s="173"/>
      <c r="CG848" s="370"/>
    </row>
    <row r="849" spans="1:85" ht="14.45" customHeight="1" x14ac:dyDescent="0.25">
      <c r="A849" s="320" t="s">
        <v>764</v>
      </c>
      <c r="B849" s="318"/>
      <c r="C849" s="624"/>
      <c r="D849" s="624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  <c r="AQ849" s="173"/>
      <c r="AR849" s="173"/>
      <c r="AS849" s="173"/>
      <c r="AT849" s="173"/>
      <c r="AU849" s="173"/>
      <c r="AV849" s="173"/>
      <c r="AW849" s="173"/>
      <c r="AX849" s="173"/>
      <c r="AY849" s="173"/>
      <c r="AZ849" s="173"/>
      <c r="BA849" s="173"/>
      <c r="BB849" s="173"/>
      <c r="BC849" s="173"/>
      <c r="BD849" s="173"/>
      <c r="BE849" s="173"/>
      <c r="BF849" s="173"/>
      <c r="BG849" s="173"/>
      <c r="BH849" s="173"/>
      <c r="BI849" s="173"/>
      <c r="BJ849" s="173"/>
      <c r="BK849" s="173"/>
      <c r="BL849" s="173"/>
      <c r="BM849" s="173"/>
      <c r="BN849" s="173"/>
      <c r="BO849" s="173"/>
      <c r="BP849" s="173"/>
      <c r="BQ849" s="173"/>
      <c r="BR849" s="173"/>
      <c r="BS849" s="625"/>
      <c r="BT849" s="173"/>
      <c r="BU849" s="173"/>
      <c r="BV849" s="173"/>
      <c r="BW849" s="173"/>
      <c r="BX849" s="173"/>
      <c r="BY849" s="173"/>
      <c r="BZ849" s="173"/>
      <c r="CA849" s="173"/>
      <c r="CB849" s="173"/>
      <c r="CC849" s="173"/>
      <c r="CD849" s="173"/>
      <c r="CE849" s="173"/>
      <c r="CF849" s="173"/>
      <c r="CG849" s="370"/>
    </row>
    <row r="850" spans="1:85" ht="14.45" customHeight="1" x14ac:dyDescent="0.25">
      <c r="A850" s="321" t="s">
        <v>765</v>
      </c>
      <c r="B850" s="318"/>
      <c r="C850" s="624"/>
      <c r="D850" s="624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  <c r="AQ850" s="173"/>
      <c r="AR850" s="173"/>
      <c r="AS850" s="173"/>
      <c r="AT850" s="173"/>
      <c r="AU850" s="173"/>
      <c r="AV850" s="173"/>
      <c r="AW850" s="173"/>
      <c r="AX850" s="173"/>
      <c r="AY850" s="173"/>
      <c r="AZ850" s="173"/>
      <c r="BA850" s="173"/>
      <c r="BB850" s="173"/>
      <c r="BC850" s="173"/>
      <c r="BD850" s="173"/>
      <c r="BE850" s="173"/>
      <c r="BF850" s="173"/>
      <c r="BG850" s="173"/>
      <c r="BH850" s="173"/>
      <c r="BI850" s="173"/>
      <c r="BJ850" s="173"/>
      <c r="BK850" s="173"/>
      <c r="BL850" s="173"/>
      <c r="BM850" s="173"/>
      <c r="BN850" s="173"/>
      <c r="BO850" s="173"/>
      <c r="BP850" s="173"/>
      <c r="BQ850" s="173"/>
      <c r="BR850" s="173"/>
      <c r="BS850" s="625"/>
      <c r="BT850" s="173"/>
      <c r="BU850" s="173"/>
      <c r="BV850" s="173"/>
      <c r="BW850" s="173"/>
      <c r="BX850" s="173"/>
      <c r="BY850" s="173"/>
      <c r="BZ850" s="173"/>
      <c r="CA850" s="173"/>
      <c r="CB850" s="173"/>
      <c r="CC850" s="173"/>
      <c r="CD850" s="173"/>
      <c r="CE850" s="173"/>
      <c r="CF850" s="173"/>
      <c r="CG850" s="370"/>
    </row>
    <row r="851" spans="1:85" ht="14.45" customHeight="1" x14ac:dyDescent="0.25">
      <c r="A851" s="322" t="s">
        <v>766</v>
      </c>
      <c r="B851" s="318"/>
      <c r="C851" s="624"/>
      <c r="D851" s="624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  <c r="AQ851" s="173"/>
      <c r="AR851" s="173"/>
      <c r="AS851" s="173"/>
      <c r="AT851" s="173"/>
      <c r="AU851" s="173"/>
      <c r="AV851" s="173"/>
      <c r="AW851" s="173"/>
      <c r="AX851" s="173"/>
      <c r="AY851" s="173"/>
      <c r="AZ851" s="173"/>
      <c r="BA851" s="173"/>
      <c r="BB851" s="173"/>
      <c r="BC851" s="173"/>
      <c r="BD851" s="173"/>
      <c r="BE851" s="173"/>
      <c r="BF851" s="173"/>
      <c r="BG851" s="173"/>
      <c r="BH851" s="173"/>
      <c r="BI851" s="173"/>
      <c r="BJ851" s="173"/>
      <c r="BK851" s="173"/>
      <c r="BL851" s="173"/>
      <c r="BM851" s="173"/>
      <c r="BN851" s="173"/>
      <c r="BO851" s="173"/>
      <c r="BP851" s="173"/>
      <c r="BQ851" s="173"/>
      <c r="BR851" s="173"/>
      <c r="BS851" s="625"/>
      <c r="BT851" s="173"/>
      <c r="BU851" s="173"/>
      <c r="BV851" s="173"/>
      <c r="BW851" s="173"/>
      <c r="BX851" s="173"/>
      <c r="BY851" s="173"/>
      <c r="BZ851" s="173"/>
      <c r="CA851" s="173"/>
      <c r="CB851" s="173"/>
      <c r="CC851" s="173"/>
      <c r="CD851" s="173"/>
      <c r="CE851" s="173"/>
      <c r="CF851" s="173"/>
      <c r="CG851" s="370"/>
    </row>
    <row r="852" spans="1:85" ht="14.45" customHeight="1" x14ac:dyDescent="0.25">
      <c r="A852" s="323"/>
      <c r="B852" s="324"/>
      <c r="C852" s="624"/>
      <c r="D852" s="624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  <c r="AQ852" s="173"/>
      <c r="AR852" s="173"/>
      <c r="AS852" s="173"/>
      <c r="AT852" s="173"/>
      <c r="AU852" s="173"/>
      <c r="AV852" s="173"/>
      <c r="AW852" s="173"/>
      <c r="AX852" s="173"/>
      <c r="AY852" s="173"/>
      <c r="AZ852" s="173"/>
      <c r="BA852" s="173"/>
      <c r="BB852" s="173"/>
      <c r="BC852" s="173"/>
      <c r="BD852" s="173"/>
      <c r="BE852" s="173"/>
      <c r="BF852" s="173"/>
      <c r="BG852" s="173"/>
      <c r="BH852" s="173"/>
      <c r="BI852" s="173"/>
      <c r="BJ852" s="173"/>
      <c r="BK852" s="173"/>
      <c r="BL852" s="173"/>
      <c r="BM852" s="173"/>
      <c r="BN852" s="173"/>
      <c r="BO852" s="173"/>
      <c r="BP852" s="173"/>
      <c r="BQ852" s="173"/>
      <c r="BR852" s="173"/>
      <c r="BS852" s="625"/>
      <c r="BT852" s="173"/>
      <c r="BU852" s="173"/>
      <c r="BV852" s="173"/>
      <c r="BW852" s="173"/>
      <c r="BX852" s="173"/>
      <c r="BY852" s="173"/>
      <c r="BZ852" s="173"/>
      <c r="CA852" s="173"/>
      <c r="CB852" s="173"/>
      <c r="CC852" s="173"/>
      <c r="CD852" s="173"/>
      <c r="CE852" s="173"/>
      <c r="CF852" s="173"/>
      <c r="CG852" s="370"/>
    </row>
    <row r="853" spans="1:85" ht="14.45" customHeight="1" x14ac:dyDescent="0.25">
      <c r="A853" s="325" t="s">
        <v>767</v>
      </c>
      <c r="B853" s="326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  <c r="V853" s="327"/>
      <c r="W853" s="327"/>
      <c r="X853" s="327"/>
      <c r="Y853" s="327"/>
      <c r="Z853" s="327"/>
      <c r="AA853" s="327"/>
      <c r="AB853" s="327"/>
      <c r="AC853" s="327"/>
      <c r="AD853" s="327"/>
      <c r="AE853" s="327"/>
      <c r="AF853" s="327"/>
      <c r="AG853" s="327"/>
      <c r="AH853" s="327"/>
      <c r="AI853" s="327"/>
      <c r="AJ853" s="327"/>
      <c r="AK853" s="327"/>
      <c r="AL853" s="327"/>
      <c r="AM853" s="327"/>
      <c r="AN853" s="327"/>
      <c r="AO853" s="327"/>
      <c r="AP853" s="327"/>
      <c r="AQ853" s="327"/>
      <c r="AR853" s="327"/>
      <c r="AS853" s="327"/>
      <c r="AT853" s="327"/>
      <c r="AU853" s="327"/>
      <c r="AV853" s="327"/>
      <c r="AW853" s="327"/>
      <c r="AX853" s="327"/>
      <c r="AY853" s="327"/>
      <c r="AZ853" s="327"/>
      <c r="BA853" s="327"/>
      <c r="BB853" s="327"/>
      <c r="BC853" s="327"/>
      <c r="BD853" s="327"/>
      <c r="BE853" s="327"/>
      <c r="BF853" s="327"/>
      <c r="BG853" s="327"/>
      <c r="BH853" s="327"/>
      <c r="BI853" s="327"/>
      <c r="BJ853" s="327"/>
      <c r="BK853" s="327"/>
      <c r="BL853" s="327"/>
      <c r="BM853" s="327"/>
      <c r="BN853" s="327"/>
      <c r="BO853" s="327"/>
      <c r="BP853" s="327"/>
      <c r="BQ853" s="327"/>
      <c r="BR853" s="327"/>
      <c r="BS853" s="626"/>
      <c r="BT853" s="327"/>
      <c r="BU853" s="327"/>
      <c r="BV853" s="327"/>
      <c r="BW853" s="327"/>
      <c r="BX853" s="327"/>
      <c r="BY853" s="327"/>
      <c r="BZ853" s="327"/>
      <c r="CA853" s="327"/>
      <c r="CB853" s="327"/>
      <c r="CC853" s="327"/>
      <c r="CD853" s="327"/>
      <c r="CE853" s="327"/>
      <c r="CF853" s="327"/>
      <c r="CG853" s="379"/>
    </row>
    <row r="854" spans="1:85" ht="14.45" customHeight="1" x14ac:dyDescent="0.25">
      <c r="A854" s="328" t="s">
        <v>768</v>
      </c>
      <c r="B854" s="329">
        <v>1</v>
      </c>
      <c r="C854" s="173"/>
      <c r="D854" s="624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  <c r="AQ854" s="173"/>
      <c r="AR854" s="173"/>
      <c r="AS854" s="173"/>
      <c r="AT854" s="173"/>
      <c r="AU854" s="173"/>
      <c r="AV854" s="173"/>
      <c r="AW854" s="173"/>
      <c r="AX854" s="173"/>
      <c r="AY854" s="173"/>
      <c r="AZ854" s="173"/>
      <c r="BA854" s="173"/>
      <c r="BB854" s="173"/>
      <c r="BC854" s="173"/>
      <c r="BD854" s="173"/>
      <c r="BE854" s="173"/>
      <c r="BF854" s="173"/>
      <c r="BG854" s="173"/>
      <c r="BH854" s="173"/>
      <c r="BI854" s="173"/>
      <c r="BJ854" s="173"/>
      <c r="BK854" s="173"/>
      <c r="BL854" s="173"/>
      <c r="BM854" s="173"/>
      <c r="BN854" s="173"/>
      <c r="BO854" s="173"/>
      <c r="BP854" s="173"/>
      <c r="BQ854" s="173"/>
      <c r="BR854" s="173"/>
      <c r="BS854" s="625"/>
      <c r="BT854" s="173"/>
      <c r="BU854" s="173"/>
      <c r="BV854" s="173"/>
      <c r="BW854" s="173"/>
      <c r="BX854" s="173"/>
      <c r="BY854" s="173"/>
      <c r="BZ854" s="173"/>
      <c r="CA854" s="173"/>
      <c r="CB854" s="173"/>
      <c r="CC854" s="173"/>
      <c r="CD854" s="173"/>
      <c r="CE854" s="173"/>
      <c r="CF854" s="173"/>
      <c r="CG854" s="370"/>
    </row>
    <row r="855" spans="1:85" ht="14.45" customHeight="1" x14ac:dyDescent="0.25">
      <c r="A855" s="328" t="s">
        <v>769</v>
      </c>
      <c r="B855" s="329">
        <v>2</v>
      </c>
      <c r="C855" s="173"/>
      <c r="D855" s="624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  <c r="AQ855" s="173"/>
      <c r="AR855" s="173"/>
      <c r="AS855" s="173"/>
      <c r="AT855" s="173"/>
      <c r="AU855" s="173"/>
      <c r="AV855" s="173"/>
      <c r="AW855" s="173"/>
      <c r="AX855" s="173"/>
      <c r="AY855" s="173"/>
      <c r="AZ855" s="173"/>
      <c r="BA855" s="173"/>
      <c r="BB855" s="173"/>
      <c r="BC855" s="173"/>
      <c r="BD855" s="173"/>
      <c r="BE855" s="173"/>
      <c r="BF855" s="173"/>
      <c r="BG855" s="173"/>
      <c r="BH855" s="173"/>
      <c r="BI855" s="173"/>
      <c r="BJ855" s="173"/>
      <c r="BK855" s="173"/>
      <c r="BL855" s="173"/>
      <c r="BM855" s="173"/>
      <c r="BN855" s="173"/>
      <c r="BO855" s="173"/>
      <c r="BP855" s="173"/>
      <c r="BQ855" s="173"/>
      <c r="BR855" s="173"/>
      <c r="BS855" s="625"/>
      <c r="BT855" s="173"/>
      <c r="BU855" s="173"/>
      <c r="BV855" s="173"/>
      <c r="BW855" s="173"/>
      <c r="BX855" s="173"/>
      <c r="BY855" s="173"/>
      <c r="BZ855" s="173"/>
      <c r="CA855" s="173"/>
      <c r="CB855" s="173"/>
      <c r="CC855" s="173"/>
      <c r="CD855" s="173"/>
      <c r="CE855" s="173"/>
      <c r="CF855" s="173"/>
      <c r="CG855" s="370"/>
    </row>
    <row r="856" spans="1:85" ht="14.45" customHeight="1" x14ac:dyDescent="0.25">
      <c r="A856" s="328" t="s">
        <v>770</v>
      </c>
      <c r="B856" s="329">
        <v>3</v>
      </c>
      <c r="C856" s="173"/>
      <c r="D856" s="624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  <c r="AQ856" s="173"/>
      <c r="AR856" s="173"/>
      <c r="AS856" s="173"/>
      <c r="AT856" s="173"/>
      <c r="AU856" s="173"/>
      <c r="AV856" s="173"/>
      <c r="AW856" s="173"/>
      <c r="AX856" s="173"/>
      <c r="AY856" s="173"/>
      <c r="AZ856" s="173"/>
      <c r="BA856" s="173"/>
      <c r="BB856" s="173"/>
      <c r="BC856" s="173"/>
      <c r="BD856" s="173"/>
      <c r="BE856" s="173"/>
      <c r="BF856" s="173"/>
      <c r="BG856" s="173"/>
      <c r="BH856" s="173"/>
      <c r="BI856" s="173"/>
      <c r="BJ856" s="173"/>
      <c r="BK856" s="173"/>
      <c r="BL856" s="173"/>
      <c r="BM856" s="173"/>
      <c r="BN856" s="173"/>
      <c r="BO856" s="173"/>
      <c r="BP856" s="173"/>
      <c r="BQ856" s="173"/>
      <c r="BR856" s="173"/>
      <c r="BS856" s="625"/>
      <c r="BT856" s="173"/>
      <c r="BU856" s="173"/>
      <c r="BV856" s="173"/>
      <c r="BW856" s="173"/>
      <c r="BX856" s="173"/>
      <c r="BY856" s="173"/>
      <c r="BZ856" s="173"/>
      <c r="CA856" s="173"/>
      <c r="CB856" s="173"/>
      <c r="CC856" s="173"/>
      <c r="CD856" s="173"/>
      <c r="CE856" s="173"/>
      <c r="CF856" s="173"/>
      <c r="CG856" s="370"/>
    </row>
    <row r="857" spans="1:85" ht="14.45" customHeight="1" x14ac:dyDescent="0.25">
      <c r="A857" s="330" t="s">
        <v>771</v>
      </c>
      <c r="B857" s="331">
        <v>4</v>
      </c>
      <c r="C857" s="173"/>
      <c r="D857" s="624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  <c r="AQ857" s="173"/>
      <c r="AR857" s="173"/>
      <c r="AS857" s="173"/>
      <c r="AT857" s="173"/>
      <c r="AU857" s="173"/>
      <c r="AV857" s="173"/>
      <c r="AW857" s="173"/>
      <c r="AX857" s="173"/>
      <c r="AY857" s="173"/>
      <c r="AZ857" s="173"/>
      <c r="BA857" s="173"/>
      <c r="BB857" s="173"/>
      <c r="BC857" s="173"/>
      <c r="BD857" s="173"/>
      <c r="BE857" s="173"/>
      <c r="BF857" s="173"/>
      <c r="BG857" s="173"/>
      <c r="BH857" s="173"/>
      <c r="BI857" s="173"/>
      <c r="BJ857" s="173"/>
      <c r="BK857" s="173"/>
      <c r="BL857" s="173"/>
      <c r="BM857" s="173"/>
      <c r="BN857" s="173"/>
      <c r="BO857" s="173"/>
      <c r="BP857" s="173"/>
      <c r="BQ857" s="173"/>
      <c r="BR857" s="173"/>
      <c r="BS857" s="625"/>
      <c r="BT857" s="173"/>
      <c r="BU857" s="173"/>
      <c r="BV857" s="173"/>
      <c r="BW857" s="173"/>
      <c r="BX857" s="173"/>
      <c r="BY857" s="173"/>
      <c r="BZ857" s="173"/>
      <c r="CA857" s="173"/>
      <c r="CB857" s="173"/>
      <c r="CC857" s="173"/>
      <c r="CD857" s="173"/>
      <c r="CE857" s="173"/>
      <c r="CF857" s="173"/>
      <c r="CG857" s="370"/>
    </row>
    <row r="858" spans="1:85" ht="14.45" customHeight="1" x14ac:dyDescent="0.25">
      <c r="A858" s="332"/>
      <c r="B858" s="333"/>
      <c r="C858" s="624"/>
      <c r="D858" s="624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  <c r="AQ858" s="173"/>
      <c r="AR858" s="173"/>
      <c r="AS858" s="173"/>
      <c r="AT858" s="173"/>
      <c r="AU858" s="173"/>
      <c r="AV858" s="173"/>
      <c r="AW858" s="173"/>
      <c r="AX858" s="173"/>
      <c r="AY858" s="173"/>
      <c r="AZ858" s="173"/>
      <c r="BA858" s="173"/>
      <c r="BB858" s="173"/>
      <c r="BC858" s="173"/>
      <c r="BD858" s="173"/>
      <c r="BE858" s="173"/>
      <c r="BF858" s="173"/>
      <c r="BG858" s="173"/>
      <c r="BH858" s="173"/>
      <c r="BI858" s="173"/>
      <c r="BJ858" s="173"/>
      <c r="BK858" s="173"/>
      <c r="BL858" s="173"/>
      <c r="BM858" s="173"/>
      <c r="BN858" s="173"/>
      <c r="BO858" s="173"/>
      <c r="BP858" s="173"/>
      <c r="BQ858" s="173"/>
      <c r="BR858" s="173"/>
      <c r="BS858" s="625"/>
      <c r="BT858" s="173"/>
      <c r="BU858" s="173"/>
      <c r="BV858" s="173"/>
      <c r="BW858" s="173"/>
      <c r="BX858" s="173"/>
      <c r="BY858" s="173"/>
      <c r="BZ858" s="173"/>
      <c r="CA858" s="173"/>
      <c r="CB858" s="173"/>
      <c r="CC858" s="173"/>
      <c r="CD858" s="173"/>
      <c r="CE858" s="173"/>
      <c r="CF858" s="173"/>
      <c r="CG858" s="370"/>
    </row>
    <row r="859" spans="1:85" ht="14.45" customHeight="1" x14ac:dyDescent="0.25">
      <c r="A859" s="334" t="s">
        <v>772</v>
      </c>
      <c r="B859" s="173"/>
      <c r="C859" s="624"/>
      <c r="D859" s="624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  <c r="AQ859" s="173"/>
      <c r="AR859" s="173"/>
      <c r="AS859" s="173"/>
      <c r="AT859" s="173"/>
      <c r="AU859" s="173"/>
      <c r="AV859" s="173"/>
      <c r="AW859" s="173"/>
      <c r="AX859" s="173"/>
      <c r="AY859" s="173"/>
      <c r="AZ859" s="173"/>
      <c r="BA859" s="173"/>
      <c r="BB859" s="173"/>
      <c r="BC859" s="173"/>
      <c r="BD859" s="173"/>
      <c r="BE859" s="173"/>
      <c r="BF859" s="173"/>
      <c r="BG859" s="173"/>
      <c r="BH859" s="173"/>
      <c r="BI859" s="173"/>
      <c r="BJ859" s="173"/>
      <c r="BK859" s="173"/>
      <c r="BL859" s="173"/>
      <c r="BM859" s="173"/>
      <c r="BN859" s="173"/>
      <c r="BO859" s="173"/>
      <c r="BP859" s="173"/>
      <c r="BQ859" s="173"/>
      <c r="BR859" s="173"/>
      <c r="BS859" s="625"/>
      <c r="BT859" s="173"/>
      <c r="BU859" s="173"/>
      <c r="BV859" s="173"/>
      <c r="BW859" s="173"/>
      <c r="BX859" s="173"/>
      <c r="BY859" s="173"/>
      <c r="BZ859" s="173"/>
      <c r="CA859" s="173"/>
      <c r="CB859" s="173"/>
      <c r="CC859" s="173"/>
      <c r="CD859" s="173"/>
      <c r="CE859" s="173"/>
      <c r="CF859" s="173"/>
      <c r="CG859" s="370"/>
    </row>
    <row r="860" spans="1:85" ht="14.45" customHeight="1" x14ac:dyDescent="0.25">
      <c r="A860" s="335" t="e">
        <f>MO_RIS_REV</f>
        <v>#NAME?</v>
      </c>
      <c r="B860" s="173"/>
      <c r="C860" s="624"/>
      <c r="D860" s="624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  <c r="AQ860" s="173"/>
      <c r="AR860" s="173"/>
      <c r="AS860" s="173"/>
      <c r="AT860" s="173"/>
      <c r="AU860" s="173"/>
      <c r="AV860" s="173"/>
      <c r="AW860" s="173"/>
      <c r="AX860" s="173"/>
      <c r="AY860" s="173"/>
      <c r="AZ860" s="173"/>
      <c r="BA860" s="173"/>
      <c r="BB860" s="173"/>
      <c r="BC860" s="173"/>
      <c r="BD860" s="173"/>
      <c r="BE860" s="173"/>
      <c r="BF860" s="173"/>
      <c r="BG860" s="173"/>
      <c r="BH860" s="173"/>
      <c r="BI860" s="173"/>
      <c r="BJ860" s="173"/>
      <c r="BK860" s="173"/>
      <c r="BL860" s="173"/>
      <c r="BM860" s="173"/>
      <c r="BN860" s="173"/>
      <c r="BO860" s="173"/>
      <c r="BP860" s="173"/>
      <c r="BQ860" s="173"/>
      <c r="BR860" s="173"/>
      <c r="BS860" s="625"/>
      <c r="BT860" s="173"/>
      <c r="BU860" s="173"/>
      <c r="BV860" s="173"/>
      <c r="BW860" s="173"/>
      <c r="BX860" s="173"/>
      <c r="BY860" s="173"/>
      <c r="BZ860" s="173"/>
      <c r="CA860" s="173"/>
      <c r="CB860" s="173"/>
      <c r="CC860" s="173"/>
      <c r="CD860" s="173"/>
      <c r="CE860" s="173"/>
      <c r="CF860" s="173"/>
      <c r="CG860" s="370"/>
    </row>
    <row r="861" spans="1:85" ht="14.45" customHeight="1" x14ac:dyDescent="0.25">
      <c r="A861" s="335" t="e">
        <f>MO_RIS_EBITDA_Adj</f>
        <v>#NAME?</v>
      </c>
      <c r="B861" s="173"/>
      <c r="C861" s="624"/>
      <c r="D861" s="624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  <c r="AQ861" s="173"/>
      <c r="AR861" s="173"/>
      <c r="AS861" s="173"/>
      <c r="AT861" s="173"/>
      <c r="AU861" s="173"/>
      <c r="AV861" s="173"/>
      <c r="AW861" s="173"/>
      <c r="AX861" s="173"/>
      <c r="AY861" s="173"/>
      <c r="AZ861" s="173"/>
      <c r="BA861" s="173"/>
      <c r="BB861" s="173"/>
      <c r="BC861" s="173"/>
      <c r="BD861" s="173"/>
      <c r="BE861" s="173"/>
      <c r="BF861" s="173"/>
      <c r="BG861" s="173"/>
      <c r="BH861" s="173"/>
      <c r="BI861" s="173"/>
      <c r="BJ861" s="173"/>
      <c r="BK861" s="173"/>
      <c r="BL861" s="173"/>
      <c r="BM861" s="173"/>
      <c r="BN861" s="173"/>
      <c r="BO861" s="173"/>
      <c r="BP861" s="173"/>
      <c r="BQ861" s="173"/>
      <c r="BR861" s="173"/>
      <c r="BS861" s="625"/>
      <c r="BT861" s="173"/>
      <c r="BU861" s="173"/>
      <c r="BV861" s="173"/>
      <c r="BW861" s="173"/>
      <c r="BX861" s="173"/>
      <c r="BY861" s="173"/>
      <c r="BZ861" s="173"/>
      <c r="CA861" s="173"/>
      <c r="CB861" s="173"/>
      <c r="CC861" s="173"/>
      <c r="CD861" s="173"/>
      <c r="CE861" s="173"/>
      <c r="CF861" s="173"/>
      <c r="CG861" s="370"/>
    </row>
    <row r="862" spans="1:85" ht="14.45" customHeight="1" x14ac:dyDescent="0.25">
      <c r="A862" s="335" t="e">
        <f>MO_RIS_EBIT_Adj</f>
        <v>#NAME?</v>
      </c>
      <c r="B862" s="173"/>
      <c r="C862" s="624"/>
      <c r="D862" s="624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  <c r="AY862" s="173"/>
      <c r="AZ862" s="173"/>
      <c r="BA862" s="173"/>
      <c r="BB862" s="173"/>
      <c r="BC862" s="173"/>
      <c r="BD862" s="173"/>
      <c r="BE862" s="173"/>
      <c r="BF862" s="173"/>
      <c r="BG862" s="173"/>
      <c r="BH862" s="173"/>
      <c r="BI862" s="173"/>
      <c r="BJ862" s="173"/>
      <c r="BK862" s="173"/>
      <c r="BL862" s="173"/>
      <c r="BM862" s="173"/>
      <c r="BN862" s="173"/>
      <c r="BO862" s="173"/>
      <c r="BP862" s="173"/>
      <c r="BQ862" s="173"/>
      <c r="BR862" s="173"/>
      <c r="BS862" s="625"/>
      <c r="BT862" s="173"/>
      <c r="BU862" s="173"/>
      <c r="BV862" s="173"/>
      <c r="BW862" s="173"/>
      <c r="BX862" s="173"/>
      <c r="BY862" s="173"/>
      <c r="BZ862" s="173"/>
      <c r="CA862" s="173"/>
      <c r="CB862" s="173"/>
      <c r="CC862" s="173"/>
      <c r="CD862" s="173"/>
      <c r="CE862" s="173"/>
      <c r="CF862" s="173"/>
      <c r="CG862" s="370"/>
    </row>
    <row r="863" spans="1:85" ht="14.45" customHeight="1" x14ac:dyDescent="0.25">
      <c r="A863" s="335" t="e">
        <f>MO_RIS_EPS_WAD_Adj</f>
        <v>#NAME?</v>
      </c>
      <c r="B863" s="173"/>
      <c r="C863" s="624"/>
      <c r="D863" s="624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  <c r="AQ863" s="173"/>
      <c r="AR863" s="173"/>
      <c r="AS863" s="173"/>
      <c r="AT863" s="173"/>
      <c r="AU863" s="173"/>
      <c r="AV863" s="173"/>
      <c r="AW863" s="173"/>
      <c r="AX863" s="173"/>
      <c r="AY863" s="173"/>
      <c r="AZ863" s="173"/>
      <c r="BA863" s="173"/>
      <c r="BB863" s="173"/>
      <c r="BC863" s="173"/>
      <c r="BD863" s="173"/>
      <c r="BE863" s="173"/>
      <c r="BF863" s="173"/>
      <c r="BG863" s="173"/>
      <c r="BH863" s="173"/>
      <c r="BI863" s="173"/>
      <c r="BJ863" s="173"/>
      <c r="BK863" s="173"/>
      <c r="BL863" s="173"/>
      <c r="BM863" s="173"/>
      <c r="BN863" s="173"/>
      <c r="BO863" s="173"/>
      <c r="BP863" s="173"/>
      <c r="BQ863" s="173"/>
      <c r="BR863" s="173"/>
      <c r="BS863" s="625"/>
      <c r="BT863" s="173"/>
      <c r="BU863" s="173"/>
      <c r="BV863" s="173"/>
      <c r="BW863" s="173"/>
      <c r="BX863" s="173"/>
      <c r="BY863" s="173"/>
      <c r="BZ863" s="173"/>
      <c r="CA863" s="173"/>
      <c r="CB863" s="173"/>
      <c r="CC863" s="173"/>
      <c r="CD863" s="173"/>
      <c r="CE863" s="173"/>
      <c r="CF863" s="173"/>
      <c r="CG863" s="370"/>
    </row>
    <row r="864" spans="1:85" ht="14.45" customHeight="1" x14ac:dyDescent="0.25">
      <c r="A864" s="335" t="e">
        <f>MO_VA_EV_ToEBITDA</f>
        <v>#NAME?</v>
      </c>
      <c r="B864" s="173"/>
      <c r="C864" s="624"/>
      <c r="D864" s="624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  <c r="AQ864" s="173"/>
      <c r="AR864" s="173"/>
      <c r="AS864" s="173"/>
      <c r="AT864" s="173"/>
      <c r="AU864" s="173"/>
      <c r="AV864" s="173"/>
      <c r="AW864" s="173"/>
      <c r="AX864" s="173"/>
      <c r="AY864" s="173"/>
      <c r="AZ864" s="173"/>
      <c r="BA864" s="173"/>
      <c r="BB864" s="173"/>
      <c r="BC864" s="173"/>
      <c r="BD864" s="173"/>
      <c r="BE864" s="173"/>
      <c r="BF864" s="173"/>
      <c r="BG864" s="173"/>
      <c r="BH864" s="173"/>
      <c r="BI864" s="173"/>
      <c r="BJ864" s="173"/>
      <c r="BK864" s="173"/>
      <c r="BL864" s="173"/>
      <c r="BM864" s="173"/>
      <c r="BN864" s="173"/>
      <c r="BO864" s="173"/>
      <c r="BP864" s="173"/>
      <c r="BQ864" s="173"/>
      <c r="BR864" s="173"/>
      <c r="BS864" s="625"/>
      <c r="BT864" s="173"/>
      <c r="BU864" s="173"/>
      <c r="BV864" s="173"/>
      <c r="BW864" s="173"/>
      <c r="BX864" s="173"/>
      <c r="BY864" s="173"/>
      <c r="BZ864" s="173"/>
      <c r="CA864" s="173"/>
      <c r="CB864" s="173"/>
      <c r="CC864" s="173"/>
      <c r="CD864" s="173"/>
      <c r="CE864" s="173"/>
      <c r="CF864" s="173"/>
      <c r="CG864" s="370"/>
    </row>
    <row r="865" spans="1:85" ht="14.45" customHeight="1" x14ac:dyDescent="0.25">
      <c r="A865" s="335" t="e">
        <f>MO_VA_P_ToE</f>
        <v>#NAME?</v>
      </c>
      <c r="B865" s="173"/>
      <c r="C865" s="624"/>
      <c r="D865" s="624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  <c r="AQ865" s="173"/>
      <c r="AR865" s="173"/>
      <c r="AS865" s="173"/>
      <c r="AT865" s="173"/>
      <c r="AU865" s="173"/>
      <c r="AV865" s="173"/>
      <c r="AW865" s="173"/>
      <c r="AX865" s="173"/>
      <c r="AY865" s="173"/>
      <c r="AZ865" s="173"/>
      <c r="BA865" s="173"/>
      <c r="BB865" s="173"/>
      <c r="BC865" s="173"/>
      <c r="BD865" s="173"/>
      <c r="BE865" s="173"/>
      <c r="BF865" s="173"/>
      <c r="BG865" s="173"/>
      <c r="BH865" s="173"/>
      <c r="BI865" s="173"/>
      <c r="BJ865" s="173"/>
      <c r="BK865" s="173"/>
      <c r="BL865" s="173"/>
      <c r="BM865" s="173"/>
      <c r="BN865" s="173"/>
      <c r="BO865" s="173"/>
      <c r="BP865" s="173"/>
      <c r="BQ865" s="173"/>
      <c r="BR865" s="173"/>
      <c r="BS865" s="625"/>
      <c r="BT865" s="173"/>
      <c r="BU865" s="173"/>
      <c r="BV865" s="173"/>
      <c r="BW865" s="173"/>
      <c r="BX865" s="173"/>
      <c r="BY865" s="173"/>
      <c r="BZ865" s="173"/>
      <c r="CA865" s="173"/>
      <c r="CB865" s="173"/>
      <c r="CC865" s="173"/>
      <c r="CD865" s="173"/>
      <c r="CE865" s="173"/>
      <c r="CF865" s="173"/>
      <c r="CG865" s="370"/>
    </row>
    <row r="866" spans="1:85" ht="14.45" customHeight="1" x14ac:dyDescent="0.25">
      <c r="A866" s="336"/>
      <c r="B866" s="173"/>
      <c r="C866" s="624"/>
      <c r="D866" s="624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  <c r="AQ866" s="173"/>
      <c r="AR866" s="173"/>
      <c r="AS866" s="173"/>
      <c r="AT866" s="173"/>
      <c r="AU866" s="173"/>
      <c r="AV866" s="173"/>
      <c r="AW866" s="173"/>
      <c r="AX866" s="173"/>
      <c r="AY866" s="173"/>
      <c r="AZ866" s="173"/>
      <c r="BA866" s="173"/>
      <c r="BB866" s="173"/>
      <c r="BC866" s="173"/>
      <c r="BD866" s="173"/>
      <c r="BE866" s="173"/>
      <c r="BF866" s="173"/>
      <c r="BG866" s="173"/>
      <c r="BH866" s="173"/>
      <c r="BI866" s="173"/>
      <c r="BJ866" s="173"/>
      <c r="BK866" s="173"/>
      <c r="BL866" s="173"/>
      <c r="BM866" s="173"/>
      <c r="BN866" s="173"/>
      <c r="BO866" s="173"/>
      <c r="BP866" s="173"/>
      <c r="BQ866" s="173"/>
      <c r="BR866" s="173"/>
      <c r="BS866" s="625"/>
      <c r="BT866" s="173"/>
      <c r="BU866" s="173"/>
      <c r="BV866" s="173"/>
      <c r="BW866" s="173"/>
      <c r="BX866" s="173"/>
      <c r="BY866" s="173"/>
      <c r="BZ866" s="173"/>
      <c r="CA866" s="173"/>
      <c r="CB866" s="173"/>
      <c r="CC866" s="173"/>
      <c r="CD866" s="173"/>
      <c r="CE866" s="173"/>
      <c r="CF866" s="173"/>
      <c r="CG866" s="370"/>
    </row>
    <row r="867" spans="1:85" ht="14.45" customHeight="1" x14ac:dyDescent="0.25">
      <c r="A867" s="337"/>
      <c r="B867" s="173"/>
      <c r="C867" s="624"/>
      <c r="D867" s="624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  <c r="AQ867" s="173"/>
      <c r="AR867" s="173"/>
      <c r="AS867" s="173"/>
      <c r="AT867" s="173"/>
      <c r="AU867" s="173"/>
      <c r="AV867" s="173"/>
      <c r="AW867" s="173"/>
      <c r="AX867" s="173"/>
      <c r="AY867" s="173"/>
      <c r="AZ867" s="173"/>
      <c r="BA867" s="173"/>
      <c r="BB867" s="173"/>
      <c r="BC867" s="173"/>
      <c r="BD867" s="173"/>
      <c r="BE867" s="173"/>
      <c r="BF867" s="173"/>
      <c r="BG867" s="173"/>
      <c r="BH867" s="173"/>
      <c r="BI867" s="173"/>
      <c r="BJ867" s="173"/>
      <c r="BK867" s="173"/>
      <c r="BL867" s="173"/>
      <c r="BM867" s="173"/>
      <c r="BN867" s="173"/>
      <c r="BO867" s="173"/>
      <c r="BP867" s="173"/>
      <c r="BQ867" s="173"/>
      <c r="BR867" s="173"/>
      <c r="BS867" s="625"/>
      <c r="BT867" s="173"/>
      <c r="BU867" s="173"/>
      <c r="BV867" s="173"/>
      <c r="BW867" s="173"/>
      <c r="BX867" s="173"/>
      <c r="BY867" s="173"/>
      <c r="BZ867" s="173"/>
      <c r="CA867" s="173"/>
      <c r="CB867" s="173"/>
      <c r="CC867" s="173"/>
      <c r="CD867" s="173"/>
      <c r="CE867" s="173"/>
      <c r="CF867" s="173"/>
      <c r="CG867" s="370"/>
    </row>
    <row r="868" spans="1:85" ht="14.45" customHeight="1" x14ac:dyDescent="0.25">
      <c r="A868" s="338" t="s">
        <v>773</v>
      </c>
      <c r="B868" s="173"/>
      <c r="C868" s="624"/>
      <c r="D868" s="624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  <c r="AQ868" s="173"/>
      <c r="AR868" s="173"/>
      <c r="AS868" s="173"/>
      <c r="AT868" s="173"/>
      <c r="AU868" s="173"/>
      <c r="AV868" s="173"/>
      <c r="AW868" s="173"/>
      <c r="AX868" s="173"/>
      <c r="AY868" s="173"/>
      <c r="AZ868" s="173"/>
      <c r="BA868" s="173"/>
      <c r="BB868" s="173"/>
      <c r="BC868" s="173"/>
      <c r="BD868" s="173"/>
      <c r="BE868" s="173"/>
      <c r="BF868" s="173"/>
      <c r="BG868" s="173"/>
      <c r="BH868" s="173"/>
      <c r="BI868" s="173"/>
      <c r="BJ868" s="173"/>
      <c r="BK868" s="173"/>
      <c r="BL868" s="173"/>
      <c r="BM868" s="173"/>
      <c r="BN868" s="173"/>
      <c r="BO868" s="173"/>
      <c r="BP868" s="173"/>
      <c r="BQ868" s="173"/>
      <c r="BR868" s="173"/>
      <c r="BS868" s="625"/>
      <c r="BT868" s="173"/>
      <c r="BU868" s="173"/>
      <c r="BV868" s="173"/>
      <c r="BW868" s="173"/>
      <c r="BX868" s="173"/>
      <c r="BY868" s="173"/>
      <c r="BZ868" s="173"/>
      <c r="CA868" s="173"/>
      <c r="CB868" s="173"/>
      <c r="CC868" s="173"/>
      <c r="CD868" s="173"/>
      <c r="CE868" s="173"/>
      <c r="CF868" s="173"/>
      <c r="CG868" s="370"/>
    </row>
    <row r="869" spans="1:85" ht="14.45" customHeight="1" x14ac:dyDescent="0.25">
      <c r="A869" s="339" t="s">
        <v>774</v>
      </c>
      <c r="B869" s="173"/>
      <c r="C869" s="624"/>
      <c r="D869" s="624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  <c r="AQ869" s="173"/>
      <c r="AR869" s="173"/>
      <c r="AS869" s="173"/>
      <c r="AT869" s="173"/>
      <c r="AU869" s="173"/>
      <c r="AV869" s="173"/>
      <c r="AW869" s="173"/>
      <c r="AX869" s="173"/>
      <c r="AY869" s="173"/>
      <c r="AZ869" s="173"/>
      <c r="BA869" s="173"/>
      <c r="BB869" s="173"/>
      <c r="BC869" s="173"/>
      <c r="BD869" s="173"/>
      <c r="BE869" s="173"/>
      <c r="BF869" s="173"/>
      <c r="BG869" s="173"/>
      <c r="BH869" s="173"/>
      <c r="BI869" s="173"/>
      <c r="BJ869" s="173"/>
      <c r="BK869" s="173"/>
      <c r="BL869" s="173"/>
      <c r="BM869" s="173"/>
      <c r="BN869" s="173"/>
      <c r="BO869" s="173"/>
      <c r="BP869" s="173"/>
      <c r="BQ869" s="173"/>
      <c r="BR869" s="173"/>
      <c r="BS869" s="625"/>
      <c r="BT869" s="173"/>
      <c r="BU869" s="173"/>
      <c r="BV869" s="173"/>
      <c r="BW869" s="173"/>
      <c r="BX869" s="173"/>
      <c r="BY869" s="173"/>
      <c r="BZ869" s="173"/>
      <c r="CA869" s="173"/>
      <c r="CB869" s="173"/>
      <c r="CC869" s="173"/>
      <c r="CD869" s="173"/>
      <c r="CE869" s="173"/>
      <c r="CF869" s="173"/>
      <c r="CG869" s="370"/>
    </row>
    <row r="870" spans="1:85" ht="14.45" customHeight="1" x14ac:dyDescent="0.25">
      <c r="A870" s="339" t="s">
        <v>775</v>
      </c>
      <c r="B870" s="173"/>
      <c r="C870" s="624"/>
      <c r="D870" s="624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  <c r="AQ870" s="173"/>
      <c r="AR870" s="173"/>
      <c r="AS870" s="173"/>
      <c r="AT870" s="173"/>
      <c r="AU870" s="173"/>
      <c r="AV870" s="173"/>
      <c r="AW870" s="173"/>
      <c r="AX870" s="173"/>
      <c r="AY870" s="173"/>
      <c r="AZ870" s="173"/>
      <c r="BA870" s="173"/>
      <c r="BB870" s="173"/>
      <c r="BC870" s="173"/>
      <c r="BD870" s="173"/>
      <c r="BE870" s="173"/>
      <c r="BF870" s="173"/>
      <c r="BG870" s="173"/>
      <c r="BH870" s="173"/>
      <c r="BI870" s="173"/>
      <c r="BJ870" s="173"/>
      <c r="BK870" s="173"/>
      <c r="BL870" s="173"/>
      <c r="BM870" s="173"/>
      <c r="BN870" s="173"/>
      <c r="BO870" s="173"/>
      <c r="BP870" s="173"/>
      <c r="BQ870" s="173"/>
      <c r="BR870" s="173"/>
      <c r="BS870" s="625"/>
      <c r="BT870" s="173"/>
      <c r="BU870" s="173"/>
      <c r="BV870" s="173"/>
      <c r="BW870" s="173"/>
      <c r="BX870" s="173"/>
      <c r="BY870" s="173"/>
      <c r="BZ870" s="173"/>
      <c r="CA870" s="173"/>
      <c r="CB870" s="173"/>
      <c r="CC870" s="173"/>
      <c r="CD870" s="173"/>
      <c r="CE870" s="173"/>
      <c r="CF870" s="173"/>
      <c r="CG870" s="370"/>
    </row>
    <row r="871" spans="1:85" ht="14.45" customHeight="1" x14ac:dyDescent="0.25">
      <c r="A871" s="339" t="s">
        <v>776</v>
      </c>
      <c r="B871" s="173"/>
      <c r="C871" s="624"/>
      <c r="D871" s="624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  <c r="AQ871" s="173"/>
      <c r="AR871" s="173"/>
      <c r="AS871" s="173"/>
      <c r="AT871" s="173"/>
      <c r="AU871" s="173"/>
      <c r="AV871" s="173"/>
      <c r="AW871" s="173"/>
      <c r="AX871" s="173"/>
      <c r="AY871" s="173"/>
      <c r="AZ871" s="173"/>
      <c r="BA871" s="173"/>
      <c r="BB871" s="173"/>
      <c r="BC871" s="173"/>
      <c r="BD871" s="173"/>
      <c r="BE871" s="173"/>
      <c r="BF871" s="173"/>
      <c r="BG871" s="173"/>
      <c r="BH871" s="173"/>
      <c r="BI871" s="173"/>
      <c r="BJ871" s="173"/>
      <c r="BK871" s="173"/>
      <c r="BL871" s="173"/>
      <c r="BM871" s="173"/>
      <c r="BN871" s="173"/>
      <c r="BO871" s="173"/>
      <c r="BP871" s="173"/>
      <c r="BQ871" s="173"/>
      <c r="BR871" s="173"/>
      <c r="BS871" s="625"/>
      <c r="BT871" s="173"/>
      <c r="BU871" s="173"/>
      <c r="BV871" s="173"/>
      <c r="BW871" s="173"/>
      <c r="BX871" s="173"/>
      <c r="BY871" s="173"/>
      <c r="BZ871" s="173"/>
      <c r="CA871" s="173"/>
      <c r="CB871" s="173"/>
      <c r="CC871" s="173"/>
      <c r="CD871" s="173"/>
      <c r="CE871" s="173"/>
      <c r="CF871" s="173"/>
      <c r="CG871" s="370"/>
    </row>
    <row r="872" spans="1:85" ht="14.45" customHeight="1" x14ac:dyDescent="0.25">
      <c r="A872" s="339" t="s">
        <v>777</v>
      </c>
      <c r="B872" s="173"/>
      <c r="C872" s="624"/>
      <c r="D872" s="624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  <c r="AQ872" s="173"/>
      <c r="AR872" s="173"/>
      <c r="AS872" s="173"/>
      <c r="AT872" s="173"/>
      <c r="AU872" s="173"/>
      <c r="AV872" s="173"/>
      <c r="AW872" s="173"/>
      <c r="AX872" s="173"/>
      <c r="AY872" s="173"/>
      <c r="AZ872" s="173"/>
      <c r="BA872" s="173"/>
      <c r="BB872" s="173"/>
      <c r="BC872" s="173"/>
      <c r="BD872" s="173"/>
      <c r="BE872" s="173"/>
      <c r="BF872" s="173"/>
      <c r="BG872" s="173"/>
      <c r="BH872" s="173"/>
      <c r="BI872" s="173"/>
      <c r="BJ872" s="173"/>
      <c r="BK872" s="173"/>
      <c r="BL872" s="173"/>
      <c r="BM872" s="173"/>
      <c r="BN872" s="173"/>
      <c r="BO872" s="173"/>
      <c r="BP872" s="173"/>
      <c r="BQ872" s="173"/>
      <c r="BR872" s="173"/>
      <c r="BS872" s="625"/>
      <c r="BT872" s="173"/>
      <c r="BU872" s="173"/>
      <c r="BV872" s="173"/>
      <c r="BW872" s="173"/>
      <c r="BX872" s="173"/>
      <c r="BY872" s="173"/>
      <c r="BZ872" s="173"/>
      <c r="CA872" s="173"/>
      <c r="CB872" s="173"/>
      <c r="CC872" s="173"/>
      <c r="CD872" s="173"/>
      <c r="CE872" s="173"/>
      <c r="CF872" s="173"/>
      <c r="CG872" s="370"/>
    </row>
    <row r="873" spans="1:85" ht="14.45" customHeight="1" x14ac:dyDescent="0.25">
      <c r="A873" s="339" t="s">
        <v>778</v>
      </c>
      <c r="B873" s="173"/>
      <c r="C873" s="624"/>
      <c r="D873" s="624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  <c r="AQ873" s="173"/>
      <c r="AR873" s="173"/>
      <c r="AS873" s="173"/>
      <c r="AT873" s="173"/>
      <c r="AU873" s="173"/>
      <c r="AV873" s="173"/>
      <c r="AW873" s="173"/>
      <c r="AX873" s="173"/>
      <c r="AY873" s="173"/>
      <c r="AZ873" s="173"/>
      <c r="BA873" s="173"/>
      <c r="BB873" s="173"/>
      <c r="BC873" s="173"/>
      <c r="BD873" s="173"/>
      <c r="BE873" s="173"/>
      <c r="BF873" s="173"/>
      <c r="BG873" s="173"/>
      <c r="BH873" s="173"/>
      <c r="BI873" s="173"/>
      <c r="BJ873" s="173"/>
      <c r="BK873" s="173"/>
      <c r="BL873" s="173"/>
      <c r="BM873" s="173"/>
      <c r="BN873" s="173"/>
      <c r="BO873" s="173"/>
      <c r="BP873" s="173"/>
      <c r="BQ873" s="173"/>
      <c r="BR873" s="173"/>
      <c r="BS873" s="625"/>
      <c r="BT873" s="173"/>
      <c r="BU873" s="173"/>
      <c r="BV873" s="173"/>
      <c r="BW873" s="173"/>
      <c r="BX873" s="173"/>
      <c r="BY873" s="173"/>
      <c r="BZ873" s="173"/>
      <c r="CA873" s="173"/>
      <c r="CB873" s="173"/>
      <c r="CC873" s="173"/>
      <c r="CD873" s="173"/>
      <c r="CE873" s="173"/>
      <c r="CF873" s="173"/>
      <c r="CG873" s="370"/>
    </row>
    <row r="874" spans="1:85" ht="14.45" customHeight="1" x14ac:dyDescent="0.25">
      <c r="A874" s="339" t="s">
        <v>779</v>
      </c>
      <c r="B874" s="173"/>
      <c r="C874" s="624"/>
      <c r="D874" s="624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  <c r="AQ874" s="173"/>
      <c r="AR874" s="173"/>
      <c r="AS874" s="173"/>
      <c r="AT874" s="173"/>
      <c r="AU874" s="173"/>
      <c r="AV874" s="173"/>
      <c r="AW874" s="173"/>
      <c r="AX874" s="173"/>
      <c r="AY874" s="173"/>
      <c r="AZ874" s="173"/>
      <c r="BA874" s="173"/>
      <c r="BB874" s="173"/>
      <c r="BC874" s="173"/>
      <c r="BD874" s="173"/>
      <c r="BE874" s="173"/>
      <c r="BF874" s="173"/>
      <c r="BG874" s="173"/>
      <c r="BH874" s="173"/>
      <c r="BI874" s="173"/>
      <c r="BJ874" s="173"/>
      <c r="BK874" s="173"/>
      <c r="BL874" s="173"/>
      <c r="BM874" s="173"/>
      <c r="BN874" s="173"/>
      <c r="BO874" s="173"/>
      <c r="BP874" s="173"/>
      <c r="BQ874" s="173"/>
      <c r="BR874" s="173"/>
      <c r="BS874" s="625"/>
      <c r="BT874" s="173"/>
      <c r="BU874" s="173"/>
      <c r="BV874" s="173"/>
      <c r="BW874" s="173"/>
      <c r="BX874" s="173"/>
      <c r="BY874" s="173"/>
      <c r="BZ874" s="173"/>
      <c r="CA874" s="173"/>
      <c r="CB874" s="173"/>
      <c r="CC874" s="173"/>
      <c r="CD874" s="173"/>
      <c r="CE874" s="173"/>
      <c r="CF874" s="173"/>
      <c r="CG874" s="370"/>
    </row>
    <row r="875" spans="1:85" ht="14.45" customHeight="1" x14ac:dyDescent="0.25">
      <c r="A875" s="336"/>
      <c r="B875" s="173"/>
      <c r="C875" s="624"/>
      <c r="D875" s="624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  <c r="AQ875" s="173"/>
      <c r="AR875" s="173"/>
      <c r="AS875" s="173"/>
      <c r="AT875" s="173"/>
      <c r="AU875" s="173"/>
      <c r="AV875" s="173"/>
      <c r="AW875" s="173"/>
      <c r="AX875" s="173"/>
      <c r="AY875" s="173"/>
      <c r="AZ875" s="173"/>
      <c r="BA875" s="173"/>
      <c r="BB875" s="173"/>
      <c r="BC875" s="173"/>
      <c r="BD875" s="173"/>
      <c r="BE875" s="173"/>
      <c r="BF875" s="173"/>
      <c r="BG875" s="173"/>
      <c r="BH875" s="173"/>
      <c r="BI875" s="173"/>
      <c r="BJ875" s="173"/>
      <c r="BK875" s="173"/>
      <c r="BL875" s="173"/>
      <c r="BM875" s="173"/>
      <c r="BN875" s="173"/>
      <c r="BO875" s="173"/>
      <c r="BP875" s="173"/>
      <c r="BQ875" s="173"/>
      <c r="BR875" s="173"/>
      <c r="BS875" s="625"/>
      <c r="BT875" s="173"/>
      <c r="BU875" s="173"/>
      <c r="BV875" s="173"/>
      <c r="BW875" s="173"/>
      <c r="BX875" s="173"/>
      <c r="BY875" s="173"/>
      <c r="BZ875" s="173"/>
      <c r="CA875" s="173"/>
      <c r="CB875" s="173"/>
      <c r="CC875" s="173"/>
      <c r="CD875" s="173"/>
      <c r="CE875" s="173"/>
      <c r="CF875" s="173"/>
      <c r="CG875" s="370"/>
    </row>
    <row r="876" spans="1:85" ht="14.45" customHeight="1" x14ac:dyDescent="0.25">
      <c r="A876" s="314"/>
      <c r="B876" s="324"/>
      <c r="C876" s="627"/>
      <c r="D876" s="627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  <c r="AF876" s="324"/>
      <c r="AG876" s="324"/>
      <c r="AH876" s="324"/>
      <c r="AI876" s="324"/>
      <c r="AJ876" s="324"/>
      <c r="AK876" s="324"/>
      <c r="AL876" s="324"/>
      <c r="AM876" s="324"/>
      <c r="AN876" s="324"/>
      <c r="AO876" s="324"/>
      <c r="AP876" s="324"/>
      <c r="AQ876" s="324"/>
      <c r="AR876" s="324"/>
      <c r="AS876" s="324"/>
      <c r="AT876" s="324"/>
      <c r="AU876" s="324"/>
      <c r="AV876" s="324"/>
      <c r="AW876" s="324"/>
      <c r="AX876" s="324"/>
      <c r="AY876" s="324"/>
      <c r="AZ876" s="324"/>
      <c r="BA876" s="324"/>
      <c r="BB876" s="324"/>
      <c r="BC876" s="324"/>
      <c r="BD876" s="324"/>
      <c r="BE876" s="324"/>
      <c r="BF876" s="324"/>
      <c r="BG876" s="324"/>
      <c r="BH876" s="324"/>
      <c r="BI876" s="324"/>
      <c r="BJ876" s="324"/>
      <c r="BK876" s="324"/>
      <c r="BL876" s="324"/>
      <c r="BM876" s="324"/>
      <c r="BN876" s="324"/>
      <c r="BO876" s="324"/>
      <c r="BP876" s="324"/>
      <c r="BQ876" s="324"/>
      <c r="BR876" s="324"/>
      <c r="BS876" s="628"/>
      <c r="BT876" s="324"/>
      <c r="BU876" s="324"/>
      <c r="BV876" s="324"/>
      <c r="BW876" s="324"/>
      <c r="BX876" s="324"/>
      <c r="BY876" s="324"/>
      <c r="BZ876" s="324"/>
      <c r="CA876" s="324"/>
      <c r="CB876" s="324"/>
      <c r="CC876" s="324"/>
      <c r="CD876" s="324"/>
      <c r="CE876" s="324"/>
      <c r="CF876" s="324"/>
      <c r="CG876" s="370"/>
    </row>
    <row r="877" spans="1:85" ht="14.45" customHeight="1" x14ac:dyDescent="0.25">
      <c r="A877" s="340" t="s">
        <v>780</v>
      </c>
      <c r="B877" s="341"/>
      <c r="C877" s="629"/>
      <c r="D877" s="629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  <c r="AQ877" s="341"/>
      <c r="AR877" s="341"/>
      <c r="AS877" s="341"/>
      <c r="AT877" s="341"/>
      <c r="AU877" s="341"/>
      <c r="AV877" s="341"/>
      <c r="AW877" s="341"/>
      <c r="AX877" s="341"/>
      <c r="AY877" s="341"/>
      <c r="AZ877" s="341"/>
      <c r="BA877" s="341"/>
      <c r="BB877" s="341"/>
      <c r="BC877" s="341"/>
      <c r="BD877" s="341"/>
      <c r="BE877" s="341"/>
      <c r="BF877" s="341"/>
      <c r="BG877" s="341"/>
      <c r="BH877" s="341"/>
      <c r="BI877" s="341"/>
      <c r="BJ877" s="341"/>
      <c r="BK877" s="341"/>
      <c r="BL877" s="341"/>
      <c r="BM877" s="341"/>
      <c r="BN877" s="341"/>
      <c r="BO877" s="341"/>
      <c r="BP877" s="341"/>
      <c r="BQ877" s="341"/>
      <c r="BR877" s="341"/>
      <c r="BS877" s="630"/>
      <c r="BT877" s="341"/>
      <c r="BU877" s="341"/>
      <c r="BV877" s="341"/>
      <c r="BW877" s="341"/>
      <c r="BX877" s="341"/>
      <c r="BY877" s="341"/>
      <c r="BZ877" s="341"/>
      <c r="CA877" s="341"/>
      <c r="CB877" s="341"/>
      <c r="CC877" s="341"/>
      <c r="CD877" s="341"/>
      <c r="CE877" s="341"/>
      <c r="CF877" s="631"/>
      <c r="CG877" s="370"/>
    </row>
    <row r="878" spans="1:85" ht="14.45" customHeight="1" x14ac:dyDescent="0.25">
      <c r="A878" s="342" t="s">
        <v>781</v>
      </c>
      <c r="B878" s="173"/>
      <c r="C878" s="632"/>
      <c r="D878" s="632"/>
      <c r="E878" s="343"/>
      <c r="F878" s="343"/>
      <c r="G878" s="343"/>
      <c r="H878" s="343"/>
      <c r="I878" s="343"/>
      <c r="J878" s="343"/>
      <c r="K878" s="343"/>
      <c r="L878" s="343"/>
      <c r="M878" s="343"/>
      <c r="N878" s="343"/>
      <c r="O878" s="343"/>
      <c r="P878" s="343"/>
      <c r="Q878" s="343"/>
      <c r="R878" s="343"/>
      <c r="S878" s="343"/>
      <c r="T878" s="343"/>
      <c r="U878" s="343"/>
      <c r="V878" s="343"/>
      <c r="W878" s="343"/>
      <c r="X878" s="343"/>
      <c r="Y878" s="343"/>
      <c r="Z878" s="343"/>
      <c r="AA878" s="343"/>
      <c r="AB878" s="343"/>
      <c r="AC878" s="343"/>
      <c r="AD878" s="343"/>
      <c r="AE878" s="343"/>
      <c r="AF878" s="343"/>
      <c r="AG878" s="343"/>
      <c r="AH878" s="343"/>
      <c r="AI878" s="344">
        <v>43529</v>
      </c>
      <c r="AJ878" s="344">
        <v>43529</v>
      </c>
      <c r="AK878" s="344">
        <v>43599</v>
      </c>
      <c r="AL878" s="344">
        <v>43683</v>
      </c>
      <c r="AM878" s="344">
        <v>43774</v>
      </c>
      <c r="AN878" s="344">
        <v>43886</v>
      </c>
      <c r="AO878" s="344">
        <v>43886</v>
      </c>
      <c r="AP878" s="343"/>
      <c r="AQ878" s="343"/>
      <c r="AR878" s="343"/>
      <c r="AS878" s="343"/>
      <c r="AT878" s="343"/>
      <c r="AU878" s="343"/>
      <c r="AV878" s="343"/>
      <c r="AW878" s="343"/>
      <c r="AX878" s="344">
        <v>44614</v>
      </c>
      <c r="AY878" s="344">
        <v>44614</v>
      </c>
      <c r="AZ878" s="344">
        <v>44684</v>
      </c>
      <c r="BA878" s="343"/>
      <c r="BB878" s="343"/>
      <c r="BC878" s="344">
        <v>44979</v>
      </c>
      <c r="BD878" s="344">
        <v>44979</v>
      </c>
      <c r="BE878" s="344">
        <v>45049</v>
      </c>
      <c r="BF878" s="344">
        <v>45140</v>
      </c>
      <c r="BG878" s="344">
        <v>45231</v>
      </c>
      <c r="BH878" s="344">
        <v>45343</v>
      </c>
      <c r="BI878" s="344">
        <v>45343</v>
      </c>
      <c r="BJ878" s="344">
        <v>45418</v>
      </c>
      <c r="BK878" s="344">
        <v>45504</v>
      </c>
      <c r="BL878" s="344">
        <v>45595</v>
      </c>
      <c r="BM878" s="344">
        <v>45708</v>
      </c>
      <c r="BN878" s="344">
        <v>45708</v>
      </c>
      <c r="BO878" s="344">
        <v>45777</v>
      </c>
      <c r="BP878" s="344">
        <v>45862</v>
      </c>
      <c r="BQ878" s="344">
        <v>45959</v>
      </c>
      <c r="BR878" s="344">
        <v>46071</v>
      </c>
      <c r="BS878" s="633">
        <v>46071</v>
      </c>
      <c r="BT878" s="343"/>
      <c r="BU878" s="343"/>
      <c r="BV878" s="343"/>
      <c r="BW878" s="343"/>
      <c r="BX878" s="343"/>
      <c r="BY878" s="343"/>
      <c r="BZ878" s="343"/>
      <c r="CA878" s="343"/>
      <c r="CB878" s="343"/>
      <c r="CC878" s="343"/>
      <c r="CD878" s="343"/>
      <c r="CE878" s="343"/>
      <c r="CF878" s="634"/>
      <c r="CG878" s="370"/>
    </row>
    <row r="879" spans="1:85" ht="14.45" customHeight="1" x14ac:dyDescent="0.25">
      <c r="A879" s="342" t="s">
        <v>782</v>
      </c>
      <c r="B879" s="173"/>
      <c r="C879" s="635"/>
      <c r="D879" s="635"/>
      <c r="E879" s="345"/>
      <c r="F879" s="345"/>
      <c r="G879" s="345"/>
      <c r="H879" s="345"/>
      <c r="I879" s="345"/>
      <c r="J879" s="345"/>
      <c r="K879" s="345"/>
      <c r="L879" s="345"/>
      <c r="M879" s="345"/>
      <c r="N879" s="345"/>
      <c r="O879" s="345"/>
      <c r="P879" s="345"/>
      <c r="Q879" s="345"/>
      <c r="R879" s="345"/>
      <c r="S879" s="345"/>
      <c r="T879" s="345"/>
      <c r="U879" s="345"/>
      <c r="V879" s="345"/>
      <c r="W879" s="345"/>
      <c r="X879" s="345"/>
      <c r="Y879" s="345"/>
      <c r="Z879" s="345"/>
      <c r="AA879" s="345"/>
      <c r="AB879" s="345"/>
      <c r="AC879" s="345"/>
      <c r="AD879" s="345"/>
      <c r="AE879" s="345"/>
      <c r="AF879" s="345"/>
      <c r="AG879" s="345"/>
      <c r="AH879" s="345"/>
      <c r="AI879" s="345" t="str">
        <f>AK$5</f>
        <v>Q1-2019</v>
      </c>
      <c r="AJ879" s="345" t="str">
        <f>AK$5</f>
        <v>Q1-2019</v>
      </c>
      <c r="AK879" s="345" t="str">
        <f>AL$5</f>
        <v>Q2-2019</v>
      </c>
      <c r="AL879" s="345" t="str">
        <f>AM$5</f>
        <v>Q3-2019</v>
      </c>
      <c r="AM879" s="345" t="str">
        <f>AN$5</f>
        <v>Q4-2019</v>
      </c>
      <c r="AN879" s="345" t="str">
        <f>AP$5</f>
        <v>Q1-2020</v>
      </c>
      <c r="AO879" s="345" t="str">
        <f>AP$5</f>
        <v>Q1-2020</v>
      </c>
      <c r="AP879" s="345" t="str">
        <f>AQ$5</f>
        <v>Q2-2020</v>
      </c>
      <c r="AQ879" s="345" t="str">
        <f>AR$5</f>
        <v>Q3-2020</v>
      </c>
      <c r="AR879" s="345" t="str">
        <f>AS$5</f>
        <v>Q4-2020</v>
      </c>
      <c r="AS879" s="345" t="str">
        <f>AU$5</f>
        <v>Q1-2021</v>
      </c>
      <c r="AT879" s="345" t="str">
        <f>AU$5</f>
        <v>Q1-2021</v>
      </c>
      <c r="AU879" s="345" t="str">
        <f>AV$5</f>
        <v>Q2-2021</v>
      </c>
      <c r="AV879" s="345" t="str">
        <f>AW$5</f>
        <v>Q3-2021</v>
      </c>
      <c r="AW879" s="345" t="str">
        <f>AX$5</f>
        <v>Q4-2021</v>
      </c>
      <c r="AX879" s="345" t="str">
        <f>AZ$5</f>
        <v>Q1-2022</v>
      </c>
      <c r="AY879" s="345" t="str">
        <f>AZ$5</f>
        <v>Q1-2022</v>
      </c>
      <c r="AZ879" s="345" t="str">
        <f>BA$5</f>
        <v>Q2-2022</v>
      </c>
      <c r="BA879" s="345" t="str">
        <f>BB$5</f>
        <v>Q3-2022</v>
      </c>
      <c r="BB879" s="345" t="str">
        <f>BC$5</f>
        <v>Q4-2022</v>
      </c>
      <c r="BC879" s="345" t="str">
        <f>BE$5</f>
        <v>Q1-2023</v>
      </c>
      <c r="BD879" s="345" t="str">
        <f>BE$5</f>
        <v>Q1-2023</v>
      </c>
      <c r="BE879" s="345" t="str">
        <f>BF$5</f>
        <v>Q2-2023</v>
      </c>
      <c r="BF879" s="345" t="str">
        <f>BG$5</f>
        <v>Q3-2023</v>
      </c>
      <c r="BG879" s="345" t="str">
        <f>BH$5</f>
        <v>Q4-2023</v>
      </c>
      <c r="BH879" s="345" t="str">
        <f>BJ$5</f>
        <v>Q1-2024</v>
      </c>
      <c r="BI879" s="345" t="str">
        <f>BJ$5</f>
        <v>Q1-2024</v>
      </c>
      <c r="BJ879" s="345" t="str">
        <f>BK$5</f>
        <v>Q2-2024</v>
      </c>
      <c r="BK879" s="345" t="str">
        <f>BL$5</f>
        <v>Q3-2024</v>
      </c>
      <c r="BL879" s="345" t="str">
        <f>BM$5</f>
        <v>Q4-2024</v>
      </c>
      <c r="BM879" s="345" t="str">
        <f>BO$5</f>
        <v>Q1-2025</v>
      </c>
      <c r="BN879" s="345" t="str">
        <f>BO$5</f>
        <v>Q1-2025</v>
      </c>
      <c r="BO879" s="345" t="str">
        <f>BP$5</f>
        <v>Q2-2025</v>
      </c>
      <c r="BP879" s="345" t="str">
        <f>BQ$5</f>
        <v>Q3-2025</v>
      </c>
      <c r="BQ879" s="345" t="str">
        <f>BR$5</f>
        <v>Q4-2025</v>
      </c>
      <c r="BR879" s="345" t="str">
        <f>BT$5</f>
        <v>Q1-2026</v>
      </c>
      <c r="BS879" s="636" t="str">
        <f>BT$5</f>
        <v>Q1-2026</v>
      </c>
      <c r="BT879" s="345"/>
      <c r="BU879" s="345"/>
      <c r="BV879" s="345"/>
      <c r="BW879" s="345"/>
      <c r="BX879" s="345"/>
      <c r="BY879" s="345"/>
      <c r="BZ879" s="345"/>
      <c r="CA879" s="345"/>
      <c r="CB879" s="345"/>
      <c r="CC879" s="345"/>
      <c r="CD879" s="345"/>
      <c r="CE879" s="345"/>
      <c r="CF879" s="637"/>
      <c r="CG879" s="370"/>
    </row>
    <row r="880" spans="1:85" ht="14.45" customHeight="1" x14ac:dyDescent="0.25">
      <c r="A880" s="346"/>
      <c r="B880" s="176"/>
      <c r="C880" s="638"/>
      <c r="D880" s="638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  <c r="AA880" s="176"/>
      <c r="AB880" s="176"/>
      <c r="AC880" s="176"/>
      <c r="AD880" s="176"/>
      <c r="AE880" s="176"/>
      <c r="AF880" s="176"/>
      <c r="AG880" s="176"/>
      <c r="AH880" s="176"/>
      <c r="AI880" s="176"/>
      <c r="AJ880" s="176"/>
      <c r="AK880" s="176"/>
      <c r="AL880" s="176"/>
      <c r="AM880" s="176"/>
      <c r="AN880" s="176"/>
      <c r="AO880" s="176"/>
      <c r="AP880" s="176"/>
      <c r="AQ880" s="176"/>
      <c r="AR880" s="176"/>
      <c r="AS880" s="176"/>
      <c r="AT880" s="176"/>
      <c r="AU880" s="176"/>
      <c r="AV880" s="176"/>
      <c r="AW880" s="176"/>
      <c r="AX880" s="176"/>
      <c r="AY880" s="176"/>
      <c r="AZ880" s="176"/>
      <c r="BA880" s="176"/>
      <c r="BB880" s="176"/>
      <c r="BC880" s="176"/>
      <c r="BD880" s="176"/>
      <c r="BE880" s="176"/>
      <c r="BF880" s="176"/>
      <c r="BG880" s="176"/>
      <c r="BH880" s="176"/>
      <c r="BI880" s="176"/>
      <c r="BJ880" s="176"/>
      <c r="BK880" s="176"/>
      <c r="BL880" s="176"/>
      <c r="BM880" s="176"/>
      <c r="BN880" s="176"/>
      <c r="BO880" s="176"/>
      <c r="BP880" s="176"/>
      <c r="BQ880" s="176"/>
      <c r="BR880" s="176"/>
      <c r="BS880" s="639"/>
      <c r="BT880" s="176"/>
      <c r="BU880" s="176"/>
      <c r="BV880" s="176"/>
      <c r="BW880" s="176"/>
      <c r="BX880" s="176"/>
      <c r="BY880" s="176"/>
      <c r="BZ880" s="176"/>
      <c r="CA880" s="176"/>
      <c r="CB880" s="176"/>
      <c r="CC880" s="176"/>
      <c r="CD880" s="176"/>
      <c r="CE880" s="176"/>
      <c r="CF880" s="640"/>
      <c r="CG880" s="370"/>
    </row>
    <row r="881" spans="1:85" ht="14.45" customHeight="1" x14ac:dyDescent="0.25">
      <c r="A881" s="314"/>
      <c r="B881" s="324"/>
      <c r="C881" s="627"/>
      <c r="D881" s="627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  <c r="AF881" s="324"/>
      <c r="AG881" s="324"/>
      <c r="AH881" s="324"/>
      <c r="AI881" s="324"/>
      <c r="AJ881" s="324"/>
      <c r="AK881" s="324"/>
      <c r="AL881" s="324"/>
      <c r="AM881" s="324"/>
      <c r="AN881" s="324"/>
      <c r="AO881" s="324"/>
      <c r="AP881" s="324"/>
      <c r="AQ881" s="324"/>
      <c r="AR881" s="324"/>
      <c r="AS881" s="324"/>
      <c r="AT881" s="324"/>
      <c r="AU881" s="324"/>
      <c r="AV881" s="324"/>
      <c r="AW881" s="324"/>
      <c r="AX881" s="324"/>
      <c r="AY881" s="324"/>
      <c r="AZ881" s="324"/>
      <c r="BA881" s="324"/>
      <c r="BB881" s="324"/>
      <c r="BC881" s="324"/>
      <c r="BD881" s="324"/>
      <c r="BE881" s="324"/>
      <c r="BF881" s="324"/>
      <c r="BG881" s="324"/>
      <c r="BH881" s="324"/>
      <c r="BI881" s="324"/>
      <c r="BJ881" s="324"/>
      <c r="BK881" s="324"/>
      <c r="BL881" s="324"/>
      <c r="BM881" s="324"/>
      <c r="BN881" s="324"/>
      <c r="BO881" s="324"/>
      <c r="BP881" s="324"/>
      <c r="BQ881" s="324"/>
      <c r="BR881" s="324"/>
      <c r="BS881" s="628"/>
      <c r="BT881" s="324"/>
      <c r="BU881" s="324"/>
      <c r="BV881" s="324"/>
      <c r="BW881" s="324"/>
      <c r="BX881" s="324"/>
      <c r="BY881" s="324"/>
      <c r="BZ881" s="324"/>
      <c r="CA881" s="324"/>
      <c r="CB881" s="324"/>
      <c r="CC881" s="324"/>
      <c r="CD881" s="324"/>
      <c r="CE881" s="324"/>
      <c r="CF881" s="324"/>
      <c r="CG881" s="370"/>
    </row>
    <row r="882" spans="1:85" ht="14.45" customHeight="1" x14ac:dyDescent="0.25">
      <c r="A882" s="340" t="s">
        <v>784</v>
      </c>
      <c r="B882" s="341"/>
      <c r="C882" s="629"/>
      <c r="D882" s="629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  <c r="AQ882" s="341"/>
      <c r="AR882" s="341"/>
      <c r="AS882" s="341"/>
      <c r="AT882" s="341"/>
      <c r="AU882" s="341"/>
      <c r="AV882" s="341"/>
      <c r="AW882" s="341"/>
      <c r="AX882" s="341"/>
      <c r="AY882" s="341"/>
      <c r="AZ882" s="341"/>
      <c r="BA882" s="341"/>
      <c r="BB882" s="341"/>
      <c r="BC882" s="341"/>
      <c r="BD882" s="341"/>
      <c r="BE882" s="341"/>
      <c r="BF882" s="341"/>
      <c r="BG882" s="341"/>
      <c r="BH882" s="341"/>
      <c r="BI882" s="341"/>
      <c r="BJ882" s="341"/>
      <c r="BK882" s="341"/>
      <c r="BL882" s="341"/>
      <c r="BM882" s="341"/>
      <c r="BN882" s="341"/>
      <c r="BO882" s="341"/>
      <c r="BP882" s="341"/>
      <c r="BQ882" s="341"/>
      <c r="BR882" s="341"/>
      <c r="BS882" s="630"/>
      <c r="BT882" s="341"/>
      <c r="BU882" s="341"/>
      <c r="BV882" s="341"/>
      <c r="BW882" s="341"/>
      <c r="BX882" s="341"/>
      <c r="BY882" s="341"/>
      <c r="BZ882" s="341"/>
      <c r="CA882" s="341"/>
      <c r="CB882" s="341"/>
      <c r="CC882" s="341"/>
      <c r="CD882" s="341"/>
      <c r="CE882" s="341"/>
      <c r="CF882" s="631"/>
      <c r="CG882" s="370"/>
    </row>
    <row r="883" spans="1:85" ht="14.45" customHeight="1" x14ac:dyDescent="0.25">
      <c r="A883" s="342" t="s">
        <v>781</v>
      </c>
      <c r="B883" s="173"/>
      <c r="C883" s="632"/>
      <c r="D883" s="632"/>
      <c r="E883" s="343"/>
      <c r="F883" s="343"/>
      <c r="G883" s="343"/>
      <c r="H883" s="343"/>
      <c r="I883" s="343"/>
      <c r="J883" s="343"/>
      <c r="K883" s="343"/>
      <c r="L883" s="343"/>
      <c r="M883" s="343"/>
      <c r="N883" s="343"/>
      <c r="O883" s="343"/>
      <c r="P883" s="343"/>
      <c r="Q883" s="343"/>
      <c r="R883" s="343"/>
      <c r="S883" s="343"/>
      <c r="T883" s="343"/>
      <c r="U883" s="343"/>
      <c r="V883" s="343"/>
      <c r="W883" s="343"/>
      <c r="X883" s="343"/>
      <c r="Y883" s="343"/>
      <c r="Z883" s="343"/>
      <c r="AA883" s="343"/>
      <c r="AB883" s="343"/>
      <c r="AC883" s="343"/>
      <c r="AD883" s="343"/>
      <c r="AE883" s="343"/>
      <c r="AF883" s="343"/>
      <c r="AG883" s="343"/>
      <c r="AH883" s="343"/>
      <c r="AI883" s="343">
        <f t="shared" ref="AI883:AO883" si="802">AI878</f>
        <v>43529</v>
      </c>
      <c r="AJ883" s="343">
        <f t="shared" si="802"/>
        <v>43529</v>
      </c>
      <c r="AK883" s="343">
        <f t="shared" si="802"/>
        <v>43599</v>
      </c>
      <c r="AL883" s="343">
        <f t="shared" si="802"/>
        <v>43683</v>
      </c>
      <c r="AM883" s="343">
        <f t="shared" si="802"/>
        <v>43774</v>
      </c>
      <c r="AN883" s="343">
        <f t="shared" si="802"/>
        <v>43886</v>
      </c>
      <c r="AO883" s="343">
        <f t="shared" si="802"/>
        <v>43886</v>
      </c>
      <c r="AP883" s="343"/>
      <c r="AQ883" s="343"/>
      <c r="AR883" s="343"/>
      <c r="AS883" s="343"/>
      <c r="AT883" s="343"/>
      <c r="AU883" s="343"/>
      <c r="AV883" s="343"/>
      <c r="AW883" s="343"/>
      <c r="AX883" s="343">
        <f>AX878</f>
        <v>44614</v>
      </c>
      <c r="AY883" s="343">
        <f>AY878</f>
        <v>44614</v>
      </c>
      <c r="AZ883" s="343">
        <f>AZ878</f>
        <v>44684</v>
      </c>
      <c r="BA883" s="343"/>
      <c r="BB883" s="343"/>
      <c r="BC883" s="343">
        <f t="shared" ref="BC883:BS883" si="803">BC878</f>
        <v>44979</v>
      </c>
      <c r="BD883" s="343">
        <f t="shared" si="803"/>
        <v>44979</v>
      </c>
      <c r="BE883" s="343">
        <f t="shared" si="803"/>
        <v>45049</v>
      </c>
      <c r="BF883" s="343">
        <f t="shared" si="803"/>
        <v>45140</v>
      </c>
      <c r="BG883" s="343">
        <f t="shared" si="803"/>
        <v>45231</v>
      </c>
      <c r="BH883" s="343">
        <f t="shared" si="803"/>
        <v>45343</v>
      </c>
      <c r="BI883" s="343">
        <f t="shared" si="803"/>
        <v>45343</v>
      </c>
      <c r="BJ883" s="343">
        <f t="shared" si="803"/>
        <v>45418</v>
      </c>
      <c r="BK883" s="343">
        <f t="shared" si="803"/>
        <v>45504</v>
      </c>
      <c r="BL883" s="343">
        <f t="shared" si="803"/>
        <v>45595</v>
      </c>
      <c r="BM883" s="343">
        <f t="shared" si="803"/>
        <v>45708</v>
      </c>
      <c r="BN883" s="343">
        <f t="shared" si="803"/>
        <v>45708</v>
      </c>
      <c r="BO883" s="343">
        <f t="shared" si="803"/>
        <v>45777</v>
      </c>
      <c r="BP883" s="343">
        <f t="shared" si="803"/>
        <v>45862</v>
      </c>
      <c r="BQ883" s="343">
        <f t="shared" si="803"/>
        <v>45959</v>
      </c>
      <c r="BR883" s="343">
        <f t="shared" si="803"/>
        <v>46071</v>
      </c>
      <c r="BS883" s="641">
        <f t="shared" si="803"/>
        <v>46071</v>
      </c>
      <c r="BT883" s="343"/>
      <c r="BU883" s="343"/>
      <c r="BV883" s="343"/>
      <c r="BW883" s="343"/>
      <c r="BX883" s="343"/>
      <c r="BY883" s="343"/>
      <c r="BZ883" s="343"/>
      <c r="CA883" s="343"/>
      <c r="CB883" s="343"/>
      <c r="CC883" s="343"/>
      <c r="CD883" s="343"/>
      <c r="CE883" s="343"/>
      <c r="CF883" s="634"/>
      <c r="CG883" s="370"/>
    </row>
    <row r="884" spans="1:85" ht="14.45" customHeight="1" x14ac:dyDescent="0.25">
      <c r="A884" s="342" t="s">
        <v>785</v>
      </c>
      <c r="B884" s="173"/>
      <c r="C884" s="635"/>
      <c r="D884" s="635"/>
      <c r="E884" s="345"/>
      <c r="F884" s="345"/>
      <c r="G884" s="345"/>
      <c r="H884" s="345"/>
      <c r="I884" s="345"/>
      <c r="J884" s="345"/>
      <c r="K884" s="345"/>
      <c r="L884" s="345"/>
      <c r="M884" s="345"/>
      <c r="N884" s="345"/>
      <c r="O884" s="345"/>
      <c r="P884" s="345"/>
      <c r="Q884" s="345"/>
      <c r="R884" s="345"/>
      <c r="S884" s="345"/>
      <c r="T884" s="345"/>
      <c r="U884" s="345"/>
      <c r="V884" s="345"/>
      <c r="W884" s="345"/>
      <c r="X884" s="345"/>
      <c r="Y884" s="345"/>
      <c r="Z884" s="345"/>
      <c r="AA884" s="345"/>
      <c r="AB884" s="345"/>
      <c r="AC884" s="345"/>
      <c r="AD884" s="345"/>
      <c r="AE884" s="345"/>
      <c r="AF884" s="345"/>
      <c r="AG884" s="345"/>
      <c r="AH884" s="345"/>
      <c r="AI884" s="345" t="str">
        <f t="shared" ref="AI884:BS884" si="804">IF(AI885=AJ885,"",AI885)</f>
        <v/>
      </c>
      <c r="AJ884" s="345" t="str">
        <f t="shared" si="804"/>
        <v/>
      </c>
      <c r="AK884" s="345" t="str">
        <f t="shared" si="804"/>
        <v/>
      </c>
      <c r="AL884" s="345" t="str">
        <f t="shared" si="804"/>
        <v/>
      </c>
      <c r="AM884" s="345" t="str">
        <f t="shared" si="804"/>
        <v>FY2019</v>
      </c>
      <c r="AN884" s="345" t="str">
        <f t="shared" si="804"/>
        <v/>
      </c>
      <c r="AO884" s="345" t="str">
        <f t="shared" si="804"/>
        <v/>
      </c>
      <c r="AP884" s="345" t="str">
        <f t="shared" si="804"/>
        <v/>
      </c>
      <c r="AQ884" s="345" t="str">
        <f t="shared" si="804"/>
        <v/>
      </c>
      <c r="AR884" s="345" t="str">
        <f t="shared" si="804"/>
        <v>FY2020</v>
      </c>
      <c r="AS884" s="345" t="str">
        <f t="shared" si="804"/>
        <v/>
      </c>
      <c r="AT884" s="345" t="str">
        <f t="shared" si="804"/>
        <v/>
      </c>
      <c r="AU884" s="345" t="str">
        <f t="shared" si="804"/>
        <v/>
      </c>
      <c r="AV884" s="345" t="str">
        <f t="shared" si="804"/>
        <v/>
      </c>
      <c r="AW884" s="345" t="str">
        <f t="shared" si="804"/>
        <v>FY2021</v>
      </c>
      <c r="AX884" s="345" t="str">
        <f t="shared" si="804"/>
        <v/>
      </c>
      <c r="AY884" s="345" t="str">
        <f t="shared" si="804"/>
        <v/>
      </c>
      <c r="AZ884" s="345" t="str">
        <f t="shared" si="804"/>
        <v/>
      </c>
      <c r="BA884" s="345" t="str">
        <f t="shared" si="804"/>
        <v/>
      </c>
      <c r="BB884" s="345" t="str">
        <f t="shared" si="804"/>
        <v>FY2022</v>
      </c>
      <c r="BC884" s="345" t="str">
        <f t="shared" si="804"/>
        <v/>
      </c>
      <c r="BD884" s="345" t="str">
        <f t="shared" si="804"/>
        <v/>
      </c>
      <c r="BE884" s="345" t="str">
        <f t="shared" si="804"/>
        <v/>
      </c>
      <c r="BF884" s="345" t="str">
        <f t="shared" si="804"/>
        <v/>
      </c>
      <c r="BG884" s="345" t="str">
        <f t="shared" si="804"/>
        <v>FY2023</v>
      </c>
      <c r="BH884" s="345" t="str">
        <f t="shared" si="804"/>
        <v/>
      </c>
      <c r="BI884" s="345" t="str">
        <f t="shared" si="804"/>
        <v/>
      </c>
      <c r="BJ884" s="345" t="str">
        <f t="shared" si="804"/>
        <v/>
      </c>
      <c r="BK884" s="345" t="str">
        <f t="shared" si="804"/>
        <v/>
      </c>
      <c r="BL884" s="345" t="str">
        <f t="shared" si="804"/>
        <v>FY2024</v>
      </c>
      <c r="BM884" s="345" t="str">
        <f t="shared" si="804"/>
        <v/>
      </c>
      <c r="BN884" s="345" t="str">
        <f t="shared" si="804"/>
        <v/>
      </c>
      <c r="BO884" s="345" t="str">
        <f t="shared" si="804"/>
        <v/>
      </c>
      <c r="BP884" s="345" t="str">
        <f t="shared" si="804"/>
        <v/>
      </c>
      <c r="BQ884" s="345" t="str">
        <f t="shared" si="804"/>
        <v>FY2025</v>
      </c>
      <c r="BR884" s="345" t="str">
        <f t="shared" si="804"/>
        <v/>
      </c>
      <c r="BS884" s="636" t="str">
        <f t="shared" si="804"/>
        <v>FY2026</v>
      </c>
      <c r="BT884" s="345"/>
      <c r="BU884" s="345"/>
      <c r="BV884" s="345"/>
      <c r="BW884" s="345"/>
      <c r="BX884" s="345"/>
      <c r="BY884" s="345"/>
      <c r="BZ884" s="345"/>
      <c r="CA884" s="345"/>
      <c r="CB884" s="345"/>
      <c r="CC884" s="345"/>
      <c r="CD884" s="345"/>
      <c r="CE884" s="345"/>
      <c r="CF884" s="637"/>
      <c r="CG884" s="370"/>
    </row>
    <row r="885" spans="1:85" ht="14.45" customHeight="1" x14ac:dyDescent="0.25">
      <c r="A885" s="342" t="s">
        <v>782</v>
      </c>
      <c r="B885" s="173"/>
      <c r="C885" s="635"/>
      <c r="D885" s="635"/>
      <c r="E885" s="345"/>
      <c r="F885" s="345"/>
      <c r="G885" s="345"/>
      <c r="H885" s="345"/>
      <c r="I885" s="345"/>
      <c r="J885" s="345"/>
      <c r="K885" s="345"/>
      <c r="L885" s="345"/>
      <c r="M885" s="345"/>
      <c r="N885" s="345"/>
      <c r="O885" s="345"/>
      <c r="P885" s="345"/>
      <c r="Q885" s="345"/>
      <c r="R885" s="345"/>
      <c r="S885" s="345"/>
      <c r="T885" s="345"/>
      <c r="U885" s="345"/>
      <c r="V885" s="345"/>
      <c r="W885" s="345"/>
      <c r="X885" s="345"/>
      <c r="Y885" s="345"/>
      <c r="Z885" s="345"/>
      <c r="AA885" s="345"/>
      <c r="AB885" s="345"/>
      <c r="AC885" s="345"/>
      <c r="AD885" s="345"/>
      <c r="AE885" s="345"/>
      <c r="AF885" s="345"/>
      <c r="AG885" s="345"/>
      <c r="AH885" s="345"/>
      <c r="AI885" s="345" t="str">
        <f>AO$5</f>
        <v>FY2019</v>
      </c>
      <c r="AJ885" s="345" t="str">
        <f>AO$5</f>
        <v>FY2019</v>
      </c>
      <c r="AK885" s="345" t="str">
        <f>AO$5</f>
        <v>FY2019</v>
      </c>
      <c r="AL885" s="345" t="str">
        <f>AO$5</f>
        <v>FY2019</v>
      </c>
      <c r="AM885" s="345" t="str">
        <f>AO$5</f>
        <v>FY2019</v>
      </c>
      <c r="AN885" s="345" t="str">
        <f>AT$5</f>
        <v>FY2020</v>
      </c>
      <c r="AO885" s="345" t="str">
        <f>AT$5</f>
        <v>FY2020</v>
      </c>
      <c r="AP885" s="345" t="str">
        <f>AT$5</f>
        <v>FY2020</v>
      </c>
      <c r="AQ885" s="345" t="str">
        <f>AT$5</f>
        <v>FY2020</v>
      </c>
      <c r="AR885" s="345" t="str">
        <f>AT$5</f>
        <v>FY2020</v>
      </c>
      <c r="AS885" s="345" t="str">
        <f>AY$5</f>
        <v>FY2021</v>
      </c>
      <c r="AT885" s="345" t="str">
        <f>AY$5</f>
        <v>FY2021</v>
      </c>
      <c r="AU885" s="345" t="str">
        <f>AY$5</f>
        <v>FY2021</v>
      </c>
      <c r="AV885" s="345" t="str">
        <f>AY$5</f>
        <v>FY2021</v>
      </c>
      <c r="AW885" s="345" t="str">
        <f>AY$5</f>
        <v>FY2021</v>
      </c>
      <c r="AX885" s="345" t="str">
        <f>BD$5</f>
        <v>FY2022</v>
      </c>
      <c r="AY885" s="345" t="str">
        <f>BD$5</f>
        <v>FY2022</v>
      </c>
      <c r="AZ885" s="345" t="str">
        <f>BD$5</f>
        <v>FY2022</v>
      </c>
      <c r="BA885" s="345" t="str">
        <f>BD$5</f>
        <v>FY2022</v>
      </c>
      <c r="BB885" s="345" t="str">
        <f>BD$5</f>
        <v>FY2022</v>
      </c>
      <c r="BC885" s="345" t="str">
        <f>BI$5</f>
        <v>FY2023</v>
      </c>
      <c r="BD885" s="345" t="str">
        <f>BI$5</f>
        <v>FY2023</v>
      </c>
      <c r="BE885" s="345" t="str">
        <f>BI$5</f>
        <v>FY2023</v>
      </c>
      <c r="BF885" s="345" t="str">
        <f>BI$5</f>
        <v>FY2023</v>
      </c>
      <c r="BG885" s="345" t="str">
        <f>BI$5</f>
        <v>FY2023</v>
      </c>
      <c r="BH885" s="345" t="str">
        <f>BN$5</f>
        <v>FY2024</v>
      </c>
      <c r="BI885" s="345" t="str">
        <f>BN$5</f>
        <v>FY2024</v>
      </c>
      <c r="BJ885" s="345" t="str">
        <f>BN$5</f>
        <v>FY2024</v>
      </c>
      <c r="BK885" s="345" t="str">
        <f>BN$5</f>
        <v>FY2024</v>
      </c>
      <c r="BL885" s="345" t="str">
        <f>BN$5</f>
        <v>FY2024</v>
      </c>
      <c r="BM885" s="345" t="str">
        <f>BS$5</f>
        <v>FY2025</v>
      </c>
      <c r="BN885" s="345" t="str">
        <f>BS$5</f>
        <v>FY2025</v>
      </c>
      <c r="BO885" s="345" t="str">
        <f>BS$5</f>
        <v>FY2025</v>
      </c>
      <c r="BP885" s="345" t="str">
        <f>BS$5</f>
        <v>FY2025</v>
      </c>
      <c r="BQ885" s="345" t="str">
        <f>BS$5</f>
        <v>FY2025</v>
      </c>
      <c r="BR885" s="345" t="str">
        <f>BX$5</f>
        <v>FY2026</v>
      </c>
      <c r="BS885" s="636" t="str">
        <f>BX$5</f>
        <v>FY2026</v>
      </c>
      <c r="BT885" s="345"/>
      <c r="BU885" s="345"/>
      <c r="BV885" s="345"/>
      <c r="BW885" s="345"/>
      <c r="BX885" s="345"/>
      <c r="BY885" s="345"/>
      <c r="BZ885" s="345"/>
      <c r="CA885" s="345"/>
      <c r="CB885" s="345"/>
      <c r="CC885" s="345"/>
      <c r="CD885" s="345"/>
      <c r="CE885" s="345"/>
      <c r="CF885" s="637"/>
      <c r="CG885" s="370"/>
    </row>
    <row r="886" spans="1:85" ht="14.45" customHeight="1" x14ac:dyDescent="0.25">
      <c r="A886" s="346"/>
      <c r="B886" s="176"/>
      <c r="C886" s="638"/>
      <c r="D886" s="638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  <c r="AF886" s="176"/>
      <c r="AG886" s="176"/>
      <c r="AH886" s="176"/>
      <c r="AI886" s="176"/>
      <c r="AJ886" s="176"/>
      <c r="AK886" s="176"/>
      <c r="AL886" s="176"/>
      <c r="AM886" s="176"/>
      <c r="AN886" s="176"/>
      <c r="AO886" s="176"/>
      <c r="AP886" s="176"/>
      <c r="AQ886" s="176"/>
      <c r="AR886" s="176"/>
      <c r="AS886" s="176"/>
      <c r="AT886" s="176"/>
      <c r="AU886" s="176"/>
      <c r="AV886" s="176"/>
      <c r="AW886" s="176"/>
      <c r="AX886" s="176"/>
      <c r="AY886" s="176"/>
      <c r="AZ886" s="176"/>
      <c r="BA886" s="176"/>
      <c r="BB886" s="176"/>
      <c r="BC886" s="176"/>
      <c r="BD886" s="176"/>
      <c r="BE886" s="176"/>
      <c r="BF886" s="176"/>
      <c r="BG886" s="176"/>
      <c r="BH886" s="176"/>
      <c r="BI886" s="176"/>
      <c r="BJ886" s="176"/>
      <c r="BK886" s="176"/>
      <c r="BL886" s="176"/>
      <c r="BM886" s="176"/>
      <c r="BN886" s="176"/>
      <c r="BO886" s="176"/>
      <c r="BP886" s="176"/>
      <c r="BQ886" s="176"/>
      <c r="BR886" s="176"/>
      <c r="BS886" s="639"/>
      <c r="BT886" s="176"/>
      <c r="BU886" s="176"/>
      <c r="BV886" s="176"/>
      <c r="BW886" s="176"/>
      <c r="BX886" s="176"/>
      <c r="BY886" s="176"/>
      <c r="BZ886" s="176"/>
      <c r="CA886" s="176"/>
      <c r="CB886" s="176"/>
      <c r="CC886" s="176"/>
      <c r="CD886" s="176"/>
      <c r="CE886" s="176"/>
      <c r="CF886" s="640"/>
      <c r="CG886" s="370"/>
    </row>
    <row r="887" spans="1:85" ht="14.45" customHeight="1" x14ac:dyDescent="0.25">
      <c r="A887" s="314"/>
      <c r="B887" s="324"/>
      <c r="C887" s="627"/>
      <c r="D887" s="627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  <c r="AF887" s="324"/>
      <c r="AG887" s="324"/>
      <c r="AH887" s="324"/>
      <c r="AI887" s="324"/>
      <c r="AJ887" s="324"/>
      <c r="AK887" s="324"/>
      <c r="AL887" s="324"/>
      <c r="AM887" s="324"/>
      <c r="AN887" s="324"/>
      <c r="AO887" s="324"/>
      <c r="AP887" s="324"/>
      <c r="AQ887" s="324"/>
      <c r="AR887" s="324"/>
      <c r="AS887" s="324"/>
      <c r="AT887" s="324"/>
      <c r="AU887" s="324"/>
      <c r="AV887" s="324"/>
      <c r="AW887" s="324"/>
      <c r="AX887" s="324"/>
      <c r="AY887" s="324"/>
      <c r="AZ887" s="324"/>
      <c r="BA887" s="324"/>
      <c r="BB887" s="324"/>
      <c r="BC887" s="324"/>
      <c r="BD887" s="324"/>
      <c r="BE887" s="324"/>
      <c r="BF887" s="324"/>
      <c r="BG887" s="324"/>
      <c r="BH887" s="324"/>
      <c r="BI887" s="324"/>
      <c r="BJ887" s="324"/>
      <c r="BK887" s="324"/>
      <c r="BL887" s="324"/>
      <c r="BM887" s="324"/>
      <c r="BN887" s="324"/>
      <c r="BO887" s="324"/>
      <c r="BP887" s="324"/>
      <c r="BQ887" s="324"/>
      <c r="BR887" s="324"/>
      <c r="BS887" s="628"/>
      <c r="BT887" s="324"/>
      <c r="BU887" s="324"/>
      <c r="BV887" s="324"/>
      <c r="BW887" s="324"/>
      <c r="BX887" s="324"/>
      <c r="BY887" s="324"/>
      <c r="BZ887" s="324"/>
      <c r="CA887" s="324"/>
      <c r="CB887" s="324"/>
      <c r="CC887" s="324"/>
      <c r="CD887" s="324"/>
      <c r="CE887" s="324"/>
      <c r="CF887" s="324"/>
      <c r="CG887" s="370"/>
    </row>
    <row r="888" spans="1:85" ht="14.45" customHeight="1" x14ac:dyDescent="0.25">
      <c r="A888" s="347" t="s">
        <v>794</v>
      </c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  <c r="AN888" s="159"/>
      <c r="AO888" s="159"/>
      <c r="AP888" s="159"/>
      <c r="AQ888" s="159"/>
      <c r="AR888" s="159"/>
      <c r="AS888" s="159"/>
      <c r="AT888" s="159"/>
      <c r="AU888" s="159"/>
      <c r="AV888" s="159"/>
      <c r="AW888" s="159"/>
      <c r="AX888" s="159"/>
      <c r="AY888" s="159"/>
      <c r="AZ888" s="159"/>
      <c r="BA888" s="159"/>
      <c r="BB888" s="159"/>
      <c r="BC888" s="159"/>
      <c r="BD888" s="159"/>
      <c r="BE888" s="159"/>
      <c r="BF888" s="159"/>
      <c r="BG888" s="159"/>
      <c r="BH888" s="159"/>
      <c r="BI888" s="159"/>
      <c r="BJ888" s="159"/>
      <c r="BK888" s="159"/>
      <c r="BL888" s="159"/>
      <c r="BM888" s="159"/>
      <c r="BN888" s="159"/>
      <c r="BO888" s="159"/>
      <c r="BP888" s="159"/>
      <c r="BQ888" s="159"/>
      <c r="BR888" s="159"/>
      <c r="BS888" s="642"/>
      <c r="BT888" s="159" t="str">
        <f t="shared" ref="BT888:CF888" si="805">BT5</f>
        <v>Q1-2026</v>
      </c>
      <c r="BU888" s="159" t="str">
        <f t="shared" si="805"/>
        <v>Q2-2026</v>
      </c>
      <c r="BV888" s="159" t="str">
        <f t="shared" si="805"/>
        <v>Q3-2026</v>
      </c>
      <c r="BW888" s="159" t="str">
        <f t="shared" si="805"/>
        <v>Q4-2026</v>
      </c>
      <c r="BX888" s="159" t="str">
        <f t="shared" si="805"/>
        <v>FY2026</v>
      </c>
      <c r="BY888" s="159" t="str">
        <f t="shared" si="805"/>
        <v>Q1-2027</v>
      </c>
      <c r="BZ888" s="159" t="str">
        <f t="shared" si="805"/>
        <v>Q2-2027</v>
      </c>
      <c r="CA888" s="159" t="str">
        <f t="shared" si="805"/>
        <v>Q3-2027</v>
      </c>
      <c r="CB888" s="159" t="str">
        <f t="shared" si="805"/>
        <v>Q4-2027</v>
      </c>
      <c r="CC888" s="159" t="str">
        <f t="shared" si="805"/>
        <v>FY2027</v>
      </c>
      <c r="CD888" s="159" t="str">
        <f t="shared" si="805"/>
        <v>FY2028</v>
      </c>
      <c r="CE888" s="159" t="str">
        <f t="shared" si="805"/>
        <v>FY2029</v>
      </c>
      <c r="CF888" s="643" t="str">
        <f t="shared" si="805"/>
        <v>FY2030</v>
      </c>
      <c r="CG888" s="644"/>
    </row>
    <row r="889" spans="1:85" ht="14.45" customHeight="1" x14ac:dyDescent="0.25">
      <c r="A889" s="348" t="s">
        <v>795</v>
      </c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  <c r="AW889" s="112"/>
      <c r="AX889" s="112"/>
      <c r="AY889" s="112"/>
      <c r="AZ889" s="112"/>
      <c r="BA889" s="112"/>
      <c r="BB889" s="112"/>
      <c r="BC889" s="112"/>
      <c r="BD889" s="112"/>
      <c r="BE889" s="112"/>
      <c r="BF889" s="112"/>
      <c r="BG889" s="112"/>
      <c r="BH889" s="112"/>
      <c r="BI889" s="112"/>
      <c r="BJ889" s="112"/>
      <c r="BK889" s="112"/>
      <c r="BL889" s="112"/>
      <c r="BM889" s="112"/>
      <c r="BN889" s="112"/>
      <c r="BO889" s="112"/>
      <c r="BP889" s="112"/>
      <c r="BQ889" s="112"/>
      <c r="BR889" s="112"/>
      <c r="BS889" s="645"/>
      <c r="BT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U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V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W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X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Y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BZ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A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B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C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D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E889" s="112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F889" s="646" t="e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IF(MO.DataSourceIndex=3,IF(LEFT(INDIRECT(ADDRESS(ROW()-1,COLUMN())),2)="FY","ANNUAL",IF(LEFT(INDIRECT(ADDRESS(ROW()-1,COLUMN())),1)="Q","QUARTERLY","")),IF(LEFT(INDIRECT(ADDRESS(ROW()-1,COLUMN())),2)="FY","FY",IF(LEFT(INDIRECT(ADDRESS(ROW()-1,COLUMN())),1)="Q","FQ","FS")))</f>
        <v>#NAME?</v>
      </c>
      <c r="CG889" s="644"/>
    </row>
    <row r="890" spans="1:85" ht="14.45" customHeight="1" x14ac:dyDescent="0.25">
      <c r="A890" s="348" t="s">
        <v>796</v>
      </c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  <c r="AW890" s="112"/>
      <c r="AX890" s="112"/>
      <c r="AY890" s="112"/>
      <c r="AZ890" s="112"/>
      <c r="BA890" s="112"/>
      <c r="BB890" s="112"/>
      <c r="BC890" s="112"/>
      <c r="BD890" s="112"/>
      <c r="BE890" s="112"/>
      <c r="BF890" s="112"/>
      <c r="BG890" s="112"/>
      <c r="BH890" s="112"/>
      <c r="BI890" s="112"/>
      <c r="BJ890" s="112"/>
      <c r="BK890" s="112"/>
      <c r="BL890" s="112"/>
      <c r="BM890" s="112"/>
      <c r="BN890" s="112"/>
      <c r="BO890" s="112"/>
      <c r="BP890" s="112"/>
      <c r="BQ890" s="112"/>
      <c r="BR890" s="112"/>
      <c r="BS890" s="645"/>
      <c r="BT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U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V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W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X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Y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BZ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A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B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C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D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E890" s="112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F890" s="646" t="e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S"))))</f>
        <v>#NAME?</v>
      </c>
      <c r="CG890" s="644"/>
    </row>
    <row r="891" spans="1:85" ht="14.45" customHeight="1" x14ac:dyDescent="0.25">
      <c r="A891" s="328" t="str">
        <f>$A$259</f>
        <v>Consensus Estimates - Gross Margin, %</v>
      </c>
      <c r="B891" s="63"/>
      <c r="C891" s="80"/>
      <c r="D891" s="80"/>
      <c r="E891" s="80"/>
      <c r="F891" s="80"/>
      <c r="G891" s="80"/>
      <c r="H891" s="160"/>
      <c r="I891" s="160"/>
      <c r="J891" s="160"/>
      <c r="K891" s="160"/>
      <c r="L891" s="160"/>
      <c r="M891" s="160"/>
      <c r="N891" s="160"/>
      <c r="O891" s="160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  <c r="AW891" s="112"/>
      <c r="AX891" s="112"/>
      <c r="AY891" s="112"/>
      <c r="AZ891" s="112"/>
      <c r="BA891" s="112"/>
      <c r="BB891" s="112"/>
      <c r="BC891" s="112"/>
      <c r="BD891" s="112"/>
      <c r="BE891" s="112"/>
      <c r="BF891" s="112"/>
      <c r="BG891" s="112"/>
      <c r="BH891" s="112"/>
      <c r="BI891" s="112"/>
      <c r="BJ891" s="112"/>
      <c r="BK891" s="112"/>
      <c r="BL891" s="112"/>
      <c r="BM891" s="112"/>
      <c r="BN891" s="112"/>
      <c r="BO891" s="112"/>
      <c r="BP891" s="112"/>
      <c r="BQ891" s="112"/>
      <c r="BR891" s="112"/>
      <c r="BS891" s="645"/>
      <c r="BT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U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V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W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X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Y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Z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A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B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C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D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E891" s="160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F891" s="647" t="str">
        <f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CG891" s="644"/>
    </row>
    <row r="892" spans="1:85" ht="14.45" customHeight="1" x14ac:dyDescent="0.25">
      <c r="A892" s="328" t="str">
        <f>$A$402</f>
        <v>Consensus Estimates - Net Revenue</v>
      </c>
      <c r="B892" s="63"/>
      <c r="C892" s="126"/>
      <c r="D892" s="126"/>
      <c r="E892" s="126"/>
      <c r="F892" s="126"/>
      <c r="G892" s="126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376"/>
      <c r="BT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U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V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W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X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Y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Z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A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B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C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D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E892" s="63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F892" s="648" t="str">
        <f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CG892" s="649"/>
    </row>
    <row r="893" spans="1:85" ht="14.45" customHeight="1" x14ac:dyDescent="0.25">
      <c r="A893" s="328" t="str">
        <f>$A$417</f>
        <v xml:space="preserve">Consensus Estimates - Adjusted EBITDA </v>
      </c>
      <c r="B893" s="63"/>
      <c r="C893" s="126"/>
      <c r="D893" s="126"/>
      <c r="E893" s="126"/>
      <c r="F893" s="126"/>
      <c r="G893" s="126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376"/>
      <c r="BT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U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V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W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X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Y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Z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A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B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C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D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E893" s="63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F893" s="648" t="str">
        <f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CG893" s="649"/>
    </row>
    <row r="894" spans="1:85" ht="14.45" customHeight="1" x14ac:dyDescent="0.25">
      <c r="A894" s="328" t="str">
        <f>$A$410</f>
        <v>Consensus Estimates - Adjusted EBIT</v>
      </c>
      <c r="B894" s="63"/>
      <c r="C894" s="126"/>
      <c r="D894" s="126"/>
      <c r="E894" s="126"/>
      <c r="F894" s="126"/>
      <c r="G894" s="126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376"/>
      <c r="BT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U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V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W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X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Y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Z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A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B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C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D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E894" s="63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F894" s="648" t="str">
        <f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CG894" s="649"/>
    </row>
    <row r="895" spans="1:85" ht="14.45" customHeight="1" x14ac:dyDescent="0.25">
      <c r="A895" s="328" t="str">
        <f>$A$444</f>
        <v>Consensus Estimates - Adjusted Earnings Per Share - WAD</v>
      </c>
      <c r="B895" s="63"/>
      <c r="C895" s="650"/>
      <c r="D895" s="650"/>
      <c r="E895" s="650"/>
      <c r="F895" s="650"/>
      <c r="G895" s="650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376"/>
      <c r="BT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U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V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W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X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Y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Z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A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B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C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D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E895" s="63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F895" s="648" t="str">
        <f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CG895" s="649"/>
    </row>
    <row r="896" spans="1:85" ht="14.45" customHeight="1" x14ac:dyDescent="0.25">
      <c r="A896" s="328" t="str">
        <f>$A$483</f>
        <v>Consensus Estimates - Cash Flow Per Diluted Share</v>
      </c>
      <c r="B896" s="63"/>
      <c r="C896" s="650"/>
      <c r="D896" s="650"/>
      <c r="E896" s="650"/>
      <c r="F896" s="650"/>
      <c r="G896" s="650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376"/>
      <c r="BT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U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V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W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X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Y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Z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A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B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C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D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E896" s="63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F896" s="648" t="str">
        <f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CG896" s="649"/>
    </row>
    <row r="897" spans="1:85" ht="14.45" customHeight="1" x14ac:dyDescent="0.25">
      <c r="A897" s="328" t="str">
        <f>A485</f>
        <v>Consensus Estimates - Capex</v>
      </c>
      <c r="B897" s="63"/>
      <c r="C897" s="126"/>
      <c r="D897" s="126"/>
      <c r="E897" s="126"/>
      <c r="F897" s="126"/>
      <c r="G897" s="126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376"/>
      <c r="BT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U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V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W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X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Y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Z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A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B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C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D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E897" s="63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F897" s="648" t="str">
        <f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CG897" s="649"/>
    </row>
    <row r="898" spans="1:85" ht="14.45" customHeight="1" x14ac:dyDescent="0.25">
      <c r="A898" s="330"/>
      <c r="B898" s="158"/>
      <c r="C898" s="131"/>
      <c r="D898" s="131"/>
      <c r="E898" s="131"/>
      <c r="F898" s="131"/>
      <c r="G898" s="131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  <c r="AQ898" s="158"/>
      <c r="AR898" s="158"/>
      <c r="AS898" s="158"/>
      <c r="AT898" s="158"/>
      <c r="AU898" s="158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158"/>
      <c r="BH898" s="158"/>
      <c r="BI898" s="158"/>
      <c r="BJ898" s="158"/>
      <c r="BK898" s="158"/>
      <c r="BL898" s="158"/>
      <c r="BM898" s="158"/>
      <c r="BN898" s="158"/>
      <c r="BO898" s="158"/>
      <c r="BP898" s="158"/>
      <c r="BQ898" s="158"/>
      <c r="BR898" s="158"/>
      <c r="BS898" s="651"/>
      <c r="BT898" s="158"/>
      <c r="BU898" s="158"/>
      <c r="BV898" s="158"/>
      <c r="BW898" s="158"/>
      <c r="BX898" s="158"/>
      <c r="BY898" s="158"/>
      <c r="BZ898" s="158"/>
      <c r="CA898" s="158"/>
      <c r="CB898" s="158"/>
      <c r="CC898" s="158"/>
      <c r="CD898" s="158"/>
      <c r="CE898" s="158"/>
      <c r="CF898" s="652"/>
      <c r="CG898" s="649"/>
    </row>
    <row r="899" spans="1:85" ht="14.45" customHeight="1" x14ac:dyDescent="0.25">
      <c r="A899" s="323"/>
      <c r="B899" s="349"/>
      <c r="C899" s="653"/>
      <c r="D899" s="653"/>
      <c r="E899" s="653"/>
      <c r="F899" s="653"/>
      <c r="G899" s="653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  <c r="R899" s="349"/>
      <c r="S899" s="349"/>
      <c r="T899" s="349"/>
      <c r="U899" s="349"/>
      <c r="V899" s="349"/>
      <c r="W899" s="349"/>
      <c r="X899" s="349"/>
      <c r="Y899" s="349"/>
      <c r="Z899" s="349"/>
      <c r="AA899" s="349"/>
      <c r="AB899" s="349"/>
      <c r="AC899" s="349"/>
      <c r="AD899" s="349"/>
      <c r="AE899" s="349"/>
      <c r="AF899" s="349"/>
      <c r="AG899" s="349"/>
      <c r="AH899" s="349"/>
      <c r="AI899" s="349"/>
      <c r="AJ899" s="349"/>
      <c r="AK899" s="349"/>
      <c r="AL899" s="349"/>
      <c r="AM899" s="349"/>
      <c r="AN899" s="349"/>
      <c r="AO899" s="349"/>
      <c r="AP899" s="349"/>
      <c r="AQ899" s="349"/>
      <c r="AR899" s="349"/>
      <c r="AS899" s="349"/>
      <c r="AT899" s="349"/>
      <c r="AU899" s="349"/>
      <c r="AV899" s="349"/>
      <c r="AW899" s="349"/>
      <c r="AX899" s="349"/>
      <c r="AY899" s="349"/>
      <c r="AZ899" s="349"/>
      <c r="BA899" s="349"/>
      <c r="BB899" s="349"/>
      <c r="BC899" s="349"/>
      <c r="BD899" s="349"/>
      <c r="BE899" s="349"/>
      <c r="BF899" s="349"/>
      <c r="BG899" s="349"/>
      <c r="BH899" s="349"/>
      <c r="BI899" s="349"/>
      <c r="BJ899" s="349"/>
      <c r="BK899" s="349"/>
      <c r="BL899" s="349"/>
      <c r="BM899" s="349"/>
      <c r="BN899" s="349"/>
      <c r="BO899" s="349"/>
      <c r="BP899" s="349"/>
      <c r="BQ899" s="349"/>
      <c r="BR899" s="349"/>
      <c r="BS899" s="654"/>
      <c r="BT899" s="349"/>
      <c r="BU899" s="349"/>
      <c r="BV899" s="349"/>
      <c r="BW899" s="349"/>
      <c r="BX899" s="349"/>
      <c r="BY899" s="349"/>
      <c r="BZ899" s="349"/>
      <c r="CA899" s="349"/>
      <c r="CB899" s="349"/>
      <c r="CC899" s="349"/>
      <c r="CD899" s="349"/>
      <c r="CE899" s="349"/>
      <c r="CF899" s="349"/>
      <c r="CG899" s="99"/>
    </row>
    <row r="900" spans="1:85" ht="14.45" customHeight="1" x14ac:dyDescent="0.25">
      <c r="A900" s="350" t="s">
        <v>797</v>
      </c>
      <c r="B900" s="254"/>
      <c r="C900" s="655"/>
      <c r="D900" s="655"/>
      <c r="E900" s="655"/>
      <c r="F900" s="655"/>
      <c r="G900" s="655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  <c r="AD900" s="254"/>
      <c r="AE900" s="254"/>
      <c r="AF900" s="254"/>
      <c r="AG900" s="254"/>
      <c r="AH900" s="254"/>
      <c r="AI900" s="254"/>
      <c r="AJ900" s="254"/>
      <c r="AK900" s="254"/>
      <c r="AL900" s="254"/>
      <c r="AM900" s="254"/>
      <c r="AN900" s="254"/>
      <c r="AO900" s="254"/>
      <c r="AP900" s="254"/>
      <c r="AQ900" s="254"/>
      <c r="AR900" s="254"/>
      <c r="AS900" s="254"/>
      <c r="AT900" s="254"/>
      <c r="AU900" s="254"/>
      <c r="AV900" s="254"/>
      <c r="AW900" s="254"/>
      <c r="AX900" s="254"/>
      <c r="AY900" s="254"/>
      <c r="AZ900" s="254"/>
      <c r="BA900" s="254"/>
      <c r="BB900" s="254"/>
      <c r="BC900" s="254"/>
      <c r="BD900" s="254"/>
      <c r="BE900" s="254"/>
      <c r="BF900" s="254"/>
      <c r="BG900" s="254"/>
      <c r="BH900" s="254"/>
      <c r="BI900" s="254"/>
      <c r="BJ900" s="254"/>
      <c r="BK900" s="254"/>
      <c r="BL900" s="254"/>
      <c r="BM900" s="254"/>
      <c r="BN900" s="254"/>
      <c r="BO900" s="254"/>
      <c r="BP900" s="254"/>
      <c r="BQ900" s="254"/>
      <c r="BR900" s="254"/>
      <c r="BS900" s="656"/>
      <c r="BT900" s="254"/>
      <c r="BU900" s="254"/>
      <c r="BV900" s="254"/>
      <c r="BW900" s="254"/>
      <c r="BX900" s="254"/>
      <c r="BY900" s="254"/>
      <c r="BZ900" s="254"/>
      <c r="CA900" s="254"/>
      <c r="CB900" s="254"/>
      <c r="CC900" s="254"/>
      <c r="CD900" s="254"/>
      <c r="CE900" s="254"/>
      <c r="CF900" s="657"/>
      <c r="CG900" s="649"/>
    </row>
    <row r="901" spans="1:85" ht="14.45" customHeight="1" x14ac:dyDescent="0.25">
      <c r="A901" s="351" t="s">
        <v>798</v>
      </c>
      <c r="B901" s="63"/>
      <c r="C901" s="658" t="e">
        <f>INDEX(MO_Common_QEndDate,0,COLUMN())-INDEX(MO_Common_FPDays,0,COLUMN())+1</f>
        <v>#NAME?</v>
      </c>
      <c r="D901" s="658" t="e">
        <f>INDEX(MO_Common_QEndDate,0,COLUMN())-INDEX(MO_Common_FPDays,0,COLUMN())+1</f>
        <v>#NAME?</v>
      </c>
      <c r="E901" s="658" t="e">
        <f>INDEX(MO_Common_QEndDate,0,COLUMN())-INDEX(MO_Common_FPDays,0,COLUMN())+1</f>
        <v>#NAME?</v>
      </c>
      <c r="F901" s="658" t="e">
        <f>INDEX(MO_Common_QEndDate,0,COLUMN())-INDEX(MO_Common_FPDays,0,COLUMN())+1</f>
        <v>#NAME?</v>
      </c>
      <c r="G901" s="658" t="e">
        <f>INDEX(MO_Common_QEndDate,0,COLUMN())-INDEX(MO_Common_FPDays,0,COLUMN())+1</f>
        <v>#NAME?</v>
      </c>
      <c r="H901" s="352" t="e">
        <f>INDEX(MO_Common_QEndDate,0,COLUMN())-INDEX(MO_Common_FPDays,0,COLUMN())+1</f>
        <v>#NAME?</v>
      </c>
      <c r="I901" s="352" t="e">
        <f>INDEX(MO_Common_QEndDate,0,COLUMN())-INDEX(MO_Common_FPDays,0,COLUMN())+1</f>
        <v>#NAME?</v>
      </c>
      <c r="J901" s="352" t="e">
        <f>INDEX(MO_Common_QEndDate,0,COLUMN())-INDEX(MO_Common_FPDays,0,COLUMN())+1</f>
        <v>#NAME?</v>
      </c>
      <c r="K901" s="352" t="e">
        <f>INDEX(MO_Common_QEndDate,0,COLUMN())-INDEX(MO_Common_FPDays,0,COLUMN())+1</f>
        <v>#NAME?</v>
      </c>
      <c r="L901" s="352" t="e">
        <f>INDEX(MO_Common_QEndDate,0,COLUMN())-INDEX(MO_Common_FPDays,0,COLUMN())+1</f>
        <v>#NAME?</v>
      </c>
      <c r="M901" s="352" t="e">
        <f>INDEX(MO_Common_QEndDate,0,COLUMN())-INDEX(MO_Common_FPDays,0,COLUMN())+1</f>
        <v>#NAME?</v>
      </c>
      <c r="N901" s="352" t="e">
        <f>INDEX(MO_Common_QEndDate,0,COLUMN())-INDEX(MO_Common_FPDays,0,COLUMN())+1</f>
        <v>#NAME?</v>
      </c>
      <c r="O901" s="352" t="e">
        <f>INDEX(MO_Common_QEndDate,0,COLUMN())-INDEX(MO_Common_FPDays,0,COLUMN())+1</f>
        <v>#NAME?</v>
      </c>
      <c r="P901" s="352" t="e">
        <f>INDEX(MO_Common_QEndDate,0,COLUMN())-INDEX(MO_Common_FPDays,0,COLUMN())+1</f>
        <v>#NAME?</v>
      </c>
      <c r="Q901" s="352" t="e">
        <f>INDEX(MO_Common_QEndDate,0,COLUMN())-INDEX(MO_Common_FPDays,0,COLUMN())+1</f>
        <v>#NAME?</v>
      </c>
      <c r="R901" s="352" t="e">
        <f>INDEX(MO_Common_QEndDate,0,COLUMN())-INDEX(MO_Common_FPDays,0,COLUMN())+1</f>
        <v>#NAME?</v>
      </c>
      <c r="S901" s="352" t="e">
        <f>INDEX(MO_Common_QEndDate,0,COLUMN())-INDEX(MO_Common_FPDays,0,COLUMN())+1</f>
        <v>#NAME?</v>
      </c>
      <c r="T901" s="352" t="e">
        <f>INDEX(MO_Common_QEndDate,0,COLUMN())-INDEX(MO_Common_FPDays,0,COLUMN())+1</f>
        <v>#NAME?</v>
      </c>
      <c r="U901" s="352" t="e">
        <f>INDEX(MO_Common_QEndDate,0,COLUMN())-INDEX(MO_Common_FPDays,0,COLUMN())+1</f>
        <v>#NAME?</v>
      </c>
      <c r="V901" s="352" t="e">
        <f>INDEX(MO_Common_QEndDate,0,COLUMN())-INDEX(MO_Common_FPDays,0,COLUMN())+1</f>
        <v>#NAME?</v>
      </c>
      <c r="W901" s="352" t="e">
        <f>INDEX(MO_Common_QEndDate,0,COLUMN())-INDEX(MO_Common_FPDays,0,COLUMN())+1</f>
        <v>#NAME?</v>
      </c>
      <c r="X901" s="352" t="e">
        <f>INDEX(MO_Common_QEndDate,0,COLUMN())-INDEX(MO_Common_FPDays,0,COLUMN())+1</f>
        <v>#NAME?</v>
      </c>
      <c r="Y901" s="352" t="e">
        <f>INDEX(MO_Common_QEndDate,0,COLUMN())-INDEX(MO_Common_FPDays,0,COLUMN())+1</f>
        <v>#NAME?</v>
      </c>
      <c r="Z901" s="352" t="e">
        <f>INDEX(MO_Common_QEndDate,0,COLUMN())-INDEX(MO_Common_FPDays,0,COLUMN())+1</f>
        <v>#NAME?</v>
      </c>
      <c r="AA901" s="352" t="e">
        <f>INDEX(MO_Common_QEndDate,0,COLUMN())-INDEX(MO_Common_FPDays,0,COLUMN())+1</f>
        <v>#NAME?</v>
      </c>
      <c r="AB901" s="352" t="e">
        <f>INDEX(MO_Common_QEndDate,0,COLUMN())-INDEX(MO_Common_FPDays,0,COLUMN())+1</f>
        <v>#NAME?</v>
      </c>
      <c r="AC901" s="352" t="e">
        <f>INDEX(MO_Common_QEndDate,0,COLUMN())-INDEX(MO_Common_FPDays,0,COLUMN())+1</f>
        <v>#NAME?</v>
      </c>
      <c r="AD901" s="352" t="e">
        <f>INDEX(MO_Common_QEndDate,0,COLUMN())-INDEX(MO_Common_FPDays,0,COLUMN())+1</f>
        <v>#NAME?</v>
      </c>
      <c r="AE901" s="352" t="e">
        <f>INDEX(MO_Common_QEndDate,0,COLUMN())-INDEX(MO_Common_FPDays,0,COLUMN())+1</f>
        <v>#NAME?</v>
      </c>
      <c r="AF901" s="352" t="e">
        <f>INDEX(MO_Common_QEndDate,0,COLUMN())-INDEX(MO_Common_FPDays,0,COLUMN())+1</f>
        <v>#NAME?</v>
      </c>
      <c r="AG901" s="352" t="e">
        <f>INDEX(MO_Common_QEndDate,0,COLUMN())-INDEX(MO_Common_FPDays,0,COLUMN())+1</f>
        <v>#NAME?</v>
      </c>
      <c r="AH901" s="352" t="e">
        <f>INDEX(MO_Common_QEndDate,0,COLUMN())-INDEX(MO_Common_FPDays,0,COLUMN())+1</f>
        <v>#NAME?</v>
      </c>
      <c r="AI901" s="352" t="e">
        <f>INDEX(MO_Common_QEndDate,0,COLUMN())-INDEX(MO_Common_FPDays,0,COLUMN())+1</f>
        <v>#NAME?</v>
      </c>
      <c r="AJ901" s="352" t="e">
        <f>INDEX(MO_Common_QEndDate,0,COLUMN())-INDEX(MO_Common_FPDays,0,COLUMN())+1</f>
        <v>#NAME?</v>
      </c>
      <c r="AK901" s="352" t="e">
        <f>INDEX(MO_Common_QEndDate,0,COLUMN())-INDEX(MO_Common_FPDays,0,COLUMN())+1</f>
        <v>#NAME?</v>
      </c>
      <c r="AL901" s="352" t="e">
        <f>INDEX(MO_Common_QEndDate,0,COLUMN())-INDEX(MO_Common_FPDays,0,COLUMN())+1</f>
        <v>#NAME?</v>
      </c>
      <c r="AM901" s="352" t="e">
        <f>INDEX(MO_Common_QEndDate,0,COLUMN())-INDEX(MO_Common_FPDays,0,COLUMN())+1</f>
        <v>#NAME?</v>
      </c>
      <c r="AN901" s="352" t="e">
        <f>INDEX(MO_Common_QEndDate,0,COLUMN())-INDEX(MO_Common_FPDays,0,COLUMN())+1</f>
        <v>#NAME?</v>
      </c>
      <c r="AO901" s="352" t="e">
        <f>INDEX(MO_Common_QEndDate,0,COLUMN())-INDEX(MO_Common_FPDays,0,COLUMN())+1</f>
        <v>#NAME?</v>
      </c>
      <c r="AP901" s="352" t="e">
        <f>INDEX(MO_Common_QEndDate,0,COLUMN())-INDEX(MO_Common_FPDays,0,COLUMN())+1</f>
        <v>#NAME?</v>
      </c>
      <c r="AQ901" s="352" t="e">
        <f>INDEX(MO_Common_QEndDate,0,COLUMN())-INDEX(MO_Common_FPDays,0,COLUMN())+1</f>
        <v>#NAME?</v>
      </c>
      <c r="AR901" s="352" t="e">
        <f>INDEX(MO_Common_QEndDate,0,COLUMN())-INDEX(MO_Common_FPDays,0,COLUMN())+1</f>
        <v>#NAME?</v>
      </c>
      <c r="AS901" s="352" t="e">
        <f>INDEX(MO_Common_QEndDate,0,COLUMN())-INDEX(MO_Common_FPDays,0,COLUMN())+1</f>
        <v>#NAME?</v>
      </c>
      <c r="AT901" s="352" t="e">
        <f>INDEX(MO_Common_QEndDate,0,COLUMN())-INDEX(MO_Common_FPDays,0,COLUMN())+1</f>
        <v>#NAME?</v>
      </c>
      <c r="AU901" s="352" t="e">
        <f>INDEX(MO_Common_QEndDate,0,COLUMN())-INDEX(MO_Common_FPDays,0,COLUMN())+1</f>
        <v>#NAME?</v>
      </c>
      <c r="AV901" s="352" t="e">
        <f>INDEX(MO_Common_QEndDate,0,COLUMN())-INDEX(MO_Common_FPDays,0,COLUMN())+1</f>
        <v>#NAME?</v>
      </c>
      <c r="AW901" s="352" t="e">
        <f>INDEX(MO_Common_QEndDate,0,COLUMN())-INDEX(MO_Common_FPDays,0,COLUMN())+1</f>
        <v>#NAME?</v>
      </c>
      <c r="AX901" s="352" t="e">
        <f>INDEX(MO_Common_QEndDate,0,COLUMN())-INDEX(MO_Common_FPDays,0,COLUMN())+1</f>
        <v>#NAME?</v>
      </c>
      <c r="AY901" s="352" t="e">
        <f>INDEX(MO_Common_QEndDate,0,COLUMN())-INDEX(MO_Common_FPDays,0,COLUMN())+1</f>
        <v>#NAME?</v>
      </c>
      <c r="AZ901" s="352" t="e">
        <f>INDEX(MO_Common_QEndDate,0,COLUMN())-INDEX(MO_Common_FPDays,0,COLUMN())+1</f>
        <v>#NAME?</v>
      </c>
      <c r="BA901" s="352" t="e">
        <f>INDEX(MO_Common_QEndDate,0,COLUMN())-INDEX(MO_Common_FPDays,0,COLUMN())+1</f>
        <v>#NAME?</v>
      </c>
      <c r="BB901" s="352" t="e">
        <f>INDEX(MO_Common_QEndDate,0,COLUMN())-INDEX(MO_Common_FPDays,0,COLUMN())+1</f>
        <v>#NAME?</v>
      </c>
      <c r="BC901" s="352" t="e">
        <f>INDEX(MO_Common_QEndDate,0,COLUMN())-INDEX(MO_Common_FPDays,0,COLUMN())+1</f>
        <v>#NAME?</v>
      </c>
      <c r="BD901" s="352" t="e">
        <f>INDEX(MO_Common_QEndDate,0,COLUMN())-INDEX(MO_Common_FPDays,0,COLUMN())+1</f>
        <v>#NAME?</v>
      </c>
      <c r="BE901" s="352" t="e">
        <f>INDEX(MO_Common_QEndDate,0,COLUMN())-INDEX(MO_Common_FPDays,0,COLUMN())+1</f>
        <v>#NAME?</v>
      </c>
      <c r="BF901" s="352" t="e">
        <f>INDEX(MO_Common_QEndDate,0,COLUMN())-INDEX(MO_Common_FPDays,0,COLUMN())+1</f>
        <v>#NAME?</v>
      </c>
      <c r="BG901" s="352" t="e">
        <f>INDEX(MO_Common_QEndDate,0,COLUMN())-INDEX(MO_Common_FPDays,0,COLUMN())+1</f>
        <v>#NAME?</v>
      </c>
      <c r="BH901" s="352" t="e">
        <f>INDEX(MO_Common_QEndDate,0,COLUMN())-INDEX(MO_Common_FPDays,0,COLUMN())+1</f>
        <v>#NAME?</v>
      </c>
      <c r="BI901" s="352" t="e">
        <f>INDEX(MO_Common_QEndDate,0,COLUMN())-INDEX(MO_Common_FPDays,0,COLUMN())+1</f>
        <v>#NAME?</v>
      </c>
      <c r="BJ901" s="352" t="e">
        <f>INDEX(MO_Common_QEndDate,0,COLUMN())-INDEX(MO_Common_FPDays,0,COLUMN())+1</f>
        <v>#NAME?</v>
      </c>
      <c r="BK901" s="352" t="e">
        <f>INDEX(MO_Common_QEndDate,0,COLUMN())-INDEX(MO_Common_FPDays,0,COLUMN())+1</f>
        <v>#NAME?</v>
      </c>
      <c r="BL901" s="352" t="e">
        <f>INDEX(MO_Common_QEndDate,0,COLUMN())-INDEX(MO_Common_FPDays,0,COLUMN())+1</f>
        <v>#NAME?</v>
      </c>
      <c r="BM901" s="352" t="e">
        <f>INDEX(MO_Common_QEndDate,0,COLUMN())-INDEX(MO_Common_FPDays,0,COLUMN())+1</f>
        <v>#NAME?</v>
      </c>
      <c r="BN901" s="352" t="e">
        <f>INDEX(MO_Common_QEndDate,0,COLUMN())-INDEX(MO_Common_FPDays,0,COLUMN())+1</f>
        <v>#NAME?</v>
      </c>
      <c r="BO901" s="352" t="e">
        <f>INDEX(MO_Common_QEndDate,0,COLUMN())-INDEX(MO_Common_FPDays,0,COLUMN())+1</f>
        <v>#NAME?</v>
      </c>
      <c r="BP901" s="352" t="e">
        <f>INDEX(MO_Common_QEndDate,0,COLUMN())-INDEX(MO_Common_FPDays,0,COLUMN())+1</f>
        <v>#NAME?</v>
      </c>
      <c r="BQ901" s="352" t="e">
        <f>INDEX(MO_Common_QEndDate,0,COLUMN())-INDEX(MO_Common_FPDays,0,COLUMN())+1</f>
        <v>#NAME?</v>
      </c>
      <c r="BR901" s="352" t="e">
        <f>INDEX(MO_Common_QEndDate,0,COLUMN())-INDEX(MO_Common_FPDays,0,COLUMN())+1</f>
        <v>#NAME?</v>
      </c>
      <c r="BS901" s="659" t="e">
        <f>INDEX(MO_Common_QEndDate,0,COLUMN())-INDEX(MO_Common_FPDays,0,COLUMN())+1</f>
        <v>#NAME?</v>
      </c>
      <c r="BT901" s="352" t="e">
        <f>INDEX(MO_Common_QEndDate,0,COLUMN())-INDEX(MO_Common_FPDays,0,COLUMN())+1</f>
        <v>#NAME?</v>
      </c>
      <c r="BU901" s="352" t="e">
        <f>INDEX(MO_Common_QEndDate,0,COLUMN())-INDEX(MO_Common_FPDays,0,COLUMN())+1</f>
        <v>#NAME?</v>
      </c>
      <c r="BV901" s="352" t="e">
        <f>INDEX(MO_Common_QEndDate,0,COLUMN())-INDEX(MO_Common_FPDays,0,COLUMN())+1</f>
        <v>#NAME?</v>
      </c>
      <c r="BW901" s="352" t="e">
        <f>INDEX(MO_Common_QEndDate,0,COLUMN())-INDEX(MO_Common_FPDays,0,COLUMN())+1</f>
        <v>#NAME?</v>
      </c>
      <c r="BX901" s="352" t="e">
        <f>INDEX(MO_Common_QEndDate,0,COLUMN())-INDEX(MO_Common_FPDays,0,COLUMN())+1</f>
        <v>#NAME?</v>
      </c>
      <c r="BY901" s="352" t="e">
        <f>INDEX(MO_Common_QEndDate,0,COLUMN())-INDEX(MO_Common_FPDays,0,COLUMN())+1</f>
        <v>#NAME?</v>
      </c>
      <c r="BZ901" s="352" t="e">
        <f>INDEX(MO_Common_QEndDate,0,COLUMN())-INDEX(MO_Common_FPDays,0,COLUMN())+1</f>
        <v>#NAME?</v>
      </c>
      <c r="CA901" s="352" t="e">
        <f>INDEX(MO_Common_QEndDate,0,COLUMN())-INDEX(MO_Common_FPDays,0,COLUMN())+1</f>
        <v>#NAME?</v>
      </c>
      <c r="CB901" s="352" t="e">
        <f>INDEX(MO_Common_QEndDate,0,COLUMN())-INDEX(MO_Common_FPDays,0,COLUMN())+1</f>
        <v>#NAME?</v>
      </c>
      <c r="CC901" s="352" t="e">
        <f>INDEX(MO_Common_QEndDate,0,COLUMN())-INDEX(MO_Common_FPDays,0,COLUMN())+1</f>
        <v>#NAME?</v>
      </c>
      <c r="CD901" s="352" t="e">
        <f>INDEX(MO_Common_QEndDate,0,COLUMN())-INDEX(MO_Common_FPDays,0,COLUMN())+1</f>
        <v>#NAME?</v>
      </c>
      <c r="CE901" s="352" t="e">
        <f>INDEX(MO_Common_QEndDate,0,COLUMN())-INDEX(MO_Common_FPDays,0,COLUMN())+1</f>
        <v>#NAME?</v>
      </c>
      <c r="CF901" s="660" t="e">
        <f>INDEX(MO_Common_QEndDate,0,COLUMN())-INDEX(MO_Common_FPDays,0,COLUMN())+1</f>
        <v>#NAME?</v>
      </c>
      <c r="CG901" s="649"/>
    </row>
    <row r="902" spans="1:85" ht="14.45" customHeight="1" x14ac:dyDescent="0.25">
      <c r="A902" s="351" t="s">
        <v>799</v>
      </c>
      <c r="B902" s="63"/>
      <c r="C902" s="658" t="b">
        <f>TRUE</f>
        <v>1</v>
      </c>
      <c r="D902" s="658" t="b">
        <f>TRUE</f>
        <v>1</v>
      </c>
      <c r="E902" s="658" t="b">
        <f>TRUE</f>
        <v>1</v>
      </c>
      <c r="F902" s="658" t="b">
        <f>TRUE</f>
        <v>1</v>
      </c>
      <c r="G902" s="658" t="b">
        <f>TRUE</f>
        <v>1</v>
      </c>
      <c r="H902" s="352" t="b">
        <f>TRUE</f>
        <v>1</v>
      </c>
      <c r="I902" s="352" t="b">
        <f>TRUE</f>
        <v>1</v>
      </c>
      <c r="J902" s="352" t="b">
        <f>TRUE</f>
        <v>1</v>
      </c>
      <c r="K902" s="352" t="b">
        <f>TRUE</f>
        <v>1</v>
      </c>
      <c r="L902" s="352" t="b">
        <f>TRUE</f>
        <v>1</v>
      </c>
      <c r="M902" s="352" t="b">
        <f>TRUE</f>
        <v>1</v>
      </c>
      <c r="N902" s="352" t="b">
        <f>TRUE</f>
        <v>1</v>
      </c>
      <c r="O902" s="352" t="b">
        <f>TRUE</f>
        <v>1</v>
      </c>
      <c r="P902" s="352" t="b">
        <f>TRUE</f>
        <v>1</v>
      </c>
      <c r="Q902" s="352" t="b">
        <f>TRUE</f>
        <v>1</v>
      </c>
      <c r="R902" s="352" t="b">
        <f>TRUE</f>
        <v>1</v>
      </c>
      <c r="S902" s="352" t="b">
        <f>TRUE</f>
        <v>1</v>
      </c>
      <c r="T902" s="352" t="b">
        <f>TRUE</f>
        <v>1</v>
      </c>
      <c r="U902" s="352" t="b">
        <f>TRUE</f>
        <v>1</v>
      </c>
      <c r="V902" s="352" t="b">
        <f>TRUE</f>
        <v>1</v>
      </c>
      <c r="W902" s="352" t="b">
        <f>TRUE</f>
        <v>1</v>
      </c>
      <c r="X902" s="352" t="b">
        <f>TRUE</f>
        <v>1</v>
      </c>
      <c r="Y902" s="352" t="b">
        <f>TRUE</f>
        <v>1</v>
      </c>
      <c r="Z902" s="352" t="b">
        <f>TRUE</f>
        <v>1</v>
      </c>
      <c r="AA902" s="352" t="b">
        <f>TRUE</f>
        <v>1</v>
      </c>
      <c r="AB902" s="352" t="b">
        <f>TRUE</f>
        <v>1</v>
      </c>
      <c r="AC902" s="352" t="b">
        <f>TRUE</f>
        <v>1</v>
      </c>
      <c r="AD902" s="352" t="b">
        <f>TRUE</f>
        <v>1</v>
      </c>
      <c r="AE902" s="352" t="b">
        <f>TRUE</f>
        <v>1</v>
      </c>
      <c r="AF902" s="352" t="b">
        <f>TRUE</f>
        <v>1</v>
      </c>
      <c r="AG902" s="352" t="b">
        <f>TRUE</f>
        <v>1</v>
      </c>
      <c r="AH902" s="352" t="b">
        <f>TRUE</f>
        <v>1</v>
      </c>
      <c r="AI902" s="352" t="b">
        <f>TRUE</f>
        <v>1</v>
      </c>
      <c r="AJ902" s="352" t="b">
        <f>TRUE</f>
        <v>1</v>
      </c>
      <c r="AK902" s="352" t="b">
        <f>TRUE</f>
        <v>1</v>
      </c>
      <c r="AL902" s="352" t="b">
        <f>TRUE</f>
        <v>1</v>
      </c>
      <c r="AM902" s="352" t="b">
        <f>TRUE</f>
        <v>1</v>
      </c>
      <c r="AN902" s="352" t="b">
        <f>TRUE</f>
        <v>1</v>
      </c>
      <c r="AO902" s="352" t="b">
        <f>TRUE</f>
        <v>1</v>
      </c>
      <c r="AP902" s="352" t="b">
        <f>TRUE</f>
        <v>1</v>
      </c>
      <c r="AQ902" s="352" t="b">
        <f>TRUE</f>
        <v>1</v>
      </c>
      <c r="AR902" s="352" t="b">
        <f>TRUE</f>
        <v>1</v>
      </c>
      <c r="AS902" s="352" t="b">
        <f>TRUE</f>
        <v>1</v>
      </c>
      <c r="AT902" s="352" t="b">
        <f>TRUE</f>
        <v>1</v>
      </c>
      <c r="AU902" s="352" t="b">
        <f>TRUE</f>
        <v>1</v>
      </c>
      <c r="AV902" s="352" t="b">
        <f>TRUE</f>
        <v>1</v>
      </c>
      <c r="AW902" s="352" t="b">
        <f>TRUE</f>
        <v>1</v>
      </c>
      <c r="AX902" s="352" t="b">
        <f>TRUE</f>
        <v>1</v>
      </c>
      <c r="AY902" s="352" t="b">
        <f>TRUE</f>
        <v>1</v>
      </c>
      <c r="AZ902" s="352" t="b">
        <f>TRUE</f>
        <v>1</v>
      </c>
      <c r="BA902" s="352" t="b">
        <f>TRUE</f>
        <v>1</v>
      </c>
      <c r="BB902" s="352" t="b">
        <f>TRUE</f>
        <v>1</v>
      </c>
      <c r="BC902" s="352" t="b">
        <f>TRUE</f>
        <v>1</v>
      </c>
      <c r="BD902" s="352" t="b">
        <f>TRUE</f>
        <v>1</v>
      </c>
      <c r="BE902" s="352" t="b">
        <f>TRUE</f>
        <v>1</v>
      </c>
      <c r="BF902" s="352" t="b">
        <f>TRUE</f>
        <v>1</v>
      </c>
      <c r="BG902" s="352" t="b">
        <f>TRUE</f>
        <v>1</v>
      </c>
      <c r="BH902" s="352" t="b">
        <f>TRUE</f>
        <v>1</v>
      </c>
      <c r="BI902" s="352" t="b">
        <f>TRUE</f>
        <v>1</v>
      </c>
      <c r="BJ902" s="352" t="b">
        <f>TRUE</f>
        <v>1</v>
      </c>
      <c r="BK902" s="352" t="b">
        <f>TRUE</f>
        <v>1</v>
      </c>
      <c r="BL902" s="352" t="b">
        <f>TRUE</f>
        <v>1</v>
      </c>
      <c r="BM902" s="352" t="b">
        <f>TRUE</f>
        <v>1</v>
      </c>
      <c r="BN902" s="352" t="b">
        <f>TRUE</f>
        <v>1</v>
      </c>
      <c r="BO902" s="352" t="b">
        <f>TRUE</f>
        <v>1</v>
      </c>
      <c r="BP902" s="352" t="b">
        <f>TRUE</f>
        <v>1</v>
      </c>
      <c r="BQ902" s="352" t="b">
        <f>TRUE</f>
        <v>1</v>
      </c>
      <c r="BR902" s="352" t="b">
        <f>TRUE</f>
        <v>1</v>
      </c>
      <c r="BS902" s="659" t="b">
        <f>TRUE</f>
        <v>1</v>
      </c>
      <c r="BT902" s="352" t="b">
        <f>FALSE</f>
        <v>0</v>
      </c>
      <c r="BU902" s="352" t="b">
        <f>FALSE</f>
        <v>0</v>
      </c>
      <c r="BV902" s="352" t="b">
        <f>FALSE</f>
        <v>0</v>
      </c>
      <c r="BW902" s="352" t="b">
        <f>FALSE</f>
        <v>0</v>
      </c>
      <c r="BX902" s="352" t="b">
        <f>FALSE</f>
        <v>0</v>
      </c>
      <c r="BY902" s="352" t="b">
        <f>FALSE</f>
        <v>0</v>
      </c>
      <c r="BZ902" s="352" t="b">
        <f>FALSE</f>
        <v>0</v>
      </c>
      <c r="CA902" s="352" t="b">
        <f>FALSE</f>
        <v>0</v>
      </c>
      <c r="CB902" s="352" t="b">
        <f>FALSE</f>
        <v>0</v>
      </c>
      <c r="CC902" s="352" t="b">
        <f>FALSE</f>
        <v>0</v>
      </c>
      <c r="CD902" s="352" t="b">
        <f>FALSE</f>
        <v>0</v>
      </c>
      <c r="CE902" s="352" t="b">
        <f>FALSE</f>
        <v>0</v>
      </c>
      <c r="CF902" s="660" t="b">
        <f>FALSE</f>
        <v>0</v>
      </c>
      <c r="CG902" s="649"/>
    </row>
    <row r="903" spans="1:85" ht="14.45" customHeight="1" x14ac:dyDescent="0.25">
      <c r="A903" s="353" t="e">
        <f>"Stock High: "&amp;IF(OR(MO.RealTimeStockPriceToggle=FALSE,VLOOKUP(MO.DataSourceName,MO_SPT_StockHigh_Sources,COLUMN()+2,FALSE)="N/A"),"Real-Time Off Source",MO.DataSourceName)</f>
        <v>#NAME?</v>
      </c>
      <c r="B903" s="354"/>
      <c r="C903" s="290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D903" s="290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E903" s="290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F903" s="290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G903" s="290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H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I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J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K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L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M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N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O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P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Q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R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S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T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U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V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W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X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Y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Z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A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B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C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D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E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F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G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H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I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J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K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L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M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N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O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P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Q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R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S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T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U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V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W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X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Y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AZ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A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B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C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D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E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F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G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H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I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J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K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L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M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N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O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P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Q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R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S903" s="661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T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U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V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W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X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Y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BZ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A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B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C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D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E903" s="354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F903" s="662" t="e">
        <f>IF(OR(MO.RealTimeStockPriceToggle=FALSE,VLOOKUP(MO.DataSourceName,MO_SPT_StockHigh_Sources,COLUMN(),FALSE)="N/A"),VLOOKUP("Real-Time Off Source",MO_SPT_StockHigh_Sources,COLUMN(),FALSE),VLOOKUP(MO.DataSourceName,MO_SPT_StockHigh_Sources,COLUMN(),FALSE))</f>
        <v>#NAME?</v>
      </c>
      <c r="CG903" s="663"/>
    </row>
    <row r="904" spans="1:85" ht="14.45" hidden="1" customHeight="1" x14ac:dyDescent="0.25">
      <c r="A904" s="355" t="s">
        <v>801</v>
      </c>
      <c r="B904" s="354"/>
      <c r="C904" s="664">
        <v>5.6773540000000002</v>
      </c>
      <c r="D904" s="664">
        <v>5.8608089999999997</v>
      </c>
      <c r="E904" s="664">
        <v>7.3869999999999996</v>
      </c>
      <c r="F904" s="664">
        <v>6.8571270000000002</v>
      </c>
      <c r="G904" s="664">
        <v>6.7653990000000004</v>
      </c>
      <c r="H904" s="356">
        <v>6.0686600000000004</v>
      </c>
      <c r="I904" s="356">
        <v>6.3809240000000003</v>
      </c>
      <c r="J904" s="356">
        <v>7.1215760000000001</v>
      </c>
      <c r="K904" s="356">
        <v>7.1215760000000001</v>
      </c>
      <c r="L904" s="356">
        <v>8.640936</v>
      </c>
      <c r="M904" s="356">
        <v>8.2954939999999997</v>
      </c>
      <c r="N904" s="356">
        <v>7.5538660000000002</v>
      </c>
      <c r="O904" s="356">
        <v>9.2274069999999995</v>
      </c>
      <c r="P904" s="356">
        <v>9.2274069999999995</v>
      </c>
      <c r="Q904" s="356">
        <v>10.887287000000001</v>
      </c>
      <c r="R904" s="356">
        <v>14.537851</v>
      </c>
      <c r="S904" s="356">
        <v>18.455791000000001</v>
      </c>
      <c r="T904" s="356">
        <v>21.220305</v>
      </c>
      <c r="U904" s="356">
        <v>21.220305</v>
      </c>
      <c r="V904" s="356">
        <v>17.559982999999999</v>
      </c>
      <c r="W904" s="356">
        <v>16.295313</v>
      </c>
      <c r="X904" s="356">
        <v>15.418044999999999</v>
      </c>
      <c r="Y904" s="356">
        <v>17.475086000000001</v>
      </c>
      <c r="Z904" s="356">
        <v>17.559982999999999</v>
      </c>
      <c r="AA904" s="356">
        <v>20.103960000000001</v>
      </c>
      <c r="AB904" s="356">
        <v>23.309546999999998</v>
      </c>
      <c r="AC904" s="356">
        <v>23.814049000000001</v>
      </c>
      <c r="AD904" s="356">
        <v>22.201985000000001</v>
      </c>
      <c r="AE904" s="356">
        <v>23.814049000000001</v>
      </c>
      <c r="AF904" s="356">
        <v>20.617243999999999</v>
      </c>
      <c r="AG904" s="356">
        <v>17.346277000000001</v>
      </c>
      <c r="AH904" s="356">
        <v>18.224519999999998</v>
      </c>
      <c r="AI904" s="356">
        <v>21.365703</v>
      </c>
      <c r="AJ904" s="356">
        <v>21.365703</v>
      </c>
      <c r="AK904" s="356">
        <v>28.08719</v>
      </c>
      <c r="AL904" s="356">
        <v>39.019365000000001</v>
      </c>
      <c r="AM904" s="356">
        <v>35.999184</v>
      </c>
      <c r="AN904" s="356">
        <v>29.977364000000001</v>
      </c>
      <c r="AO904" s="356">
        <v>39.019365000000001</v>
      </c>
      <c r="AP904" s="356">
        <v>28.201360999999999</v>
      </c>
      <c r="AQ904" s="356">
        <v>24.704978000000001</v>
      </c>
      <c r="AR904" s="356">
        <v>27.597325000000001</v>
      </c>
      <c r="AS904" s="356">
        <v>26.596128</v>
      </c>
      <c r="AT904" s="356">
        <v>28.201360999999999</v>
      </c>
      <c r="AU904" s="356">
        <v>30.172529000000001</v>
      </c>
      <c r="AV904" s="356">
        <v>44.005834</v>
      </c>
      <c r="AW904" s="356">
        <v>40.737794000000001</v>
      </c>
      <c r="AX904" s="356">
        <v>60.422148999999997</v>
      </c>
      <c r="AY904" s="356">
        <v>60.422148999999997</v>
      </c>
      <c r="AZ904" s="356">
        <v>61.064242</v>
      </c>
      <c r="BA904" s="356">
        <v>62.040067999999998</v>
      </c>
      <c r="BB904" s="356">
        <v>56.961871000000002</v>
      </c>
      <c r="BC904" s="356">
        <v>52.833153000000003</v>
      </c>
      <c r="BD904" s="356">
        <v>62.040067999999998</v>
      </c>
      <c r="BE904" s="356">
        <v>56.875314000000003</v>
      </c>
      <c r="BF904" s="356">
        <v>67.955673000000004</v>
      </c>
      <c r="BG904" s="356">
        <v>72.802287000000007</v>
      </c>
      <c r="BH904" s="356">
        <v>93.162581000000003</v>
      </c>
      <c r="BI904" s="356">
        <v>93.162581000000003</v>
      </c>
      <c r="BJ904" s="356">
        <v>91.784284999999997</v>
      </c>
      <c r="BK904" s="356">
        <v>108.5</v>
      </c>
      <c r="BL904" s="356">
        <v>135.59899999999999</v>
      </c>
      <c r="BM904" s="356">
        <v>134.49600000000001</v>
      </c>
      <c r="BN904" s="356">
        <v>135.59899999999999</v>
      </c>
      <c r="BO904" s="356">
        <v>145.846</v>
      </c>
      <c r="BP904" s="356">
        <v>141.6</v>
      </c>
      <c r="BQ904" s="356">
        <v>124.15</v>
      </c>
      <c r="BR904" s="356">
        <v>168.08</v>
      </c>
      <c r="BS904" s="665">
        <v>168.08</v>
      </c>
      <c r="BT904" s="354"/>
      <c r="BU904" s="354"/>
      <c r="BV904" s="354"/>
      <c r="BW904" s="354"/>
      <c r="BX904" s="354"/>
      <c r="BY904" s="354"/>
      <c r="BZ904" s="354"/>
      <c r="CA904" s="354"/>
      <c r="CB904" s="354"/>
      <c r="CC904" s="354"/>
      <c r="CD904" s="354"/>
      <c r="CE904" s="354"/>
      <c r="CF904" s="662"/>
      <c r="CG904" s="663"/>
    </row>
    <row r="905" spans="1:85" ht="14.45" hidden="1" customHeight="1" x14ac:dyDescent="0.25">
      <c r="A905" s="355" t="s">
        <v>123</v>
      </c>
      <c r="B905" s="354"/>
      <c r="C905" s="290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D905" s="290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E905" s="290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F905" s="290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G905" s="290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H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I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J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K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L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M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N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O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P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Q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R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S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T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U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V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W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X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Y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Z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A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B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C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D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E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F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G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H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I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J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K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L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M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N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O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P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Q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R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S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T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U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V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W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X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Y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Z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A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B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C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D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E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F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G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H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I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J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K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L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M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N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O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P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Q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R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S905" s="661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T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U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V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W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X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Y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Z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A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B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C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D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E905" s="354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F905" s="662" t="str">
        <f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CG905" s="663"/>
    </row>
    <row r="906" spans="1:85" ht="14.45" hidden="1" customHeight="1" x14ac:dyDescent="0.25">
      <c r="A906" s="355" t="s">
        <v>802</v>
      </c>
      <c r="B906" s="354"/>
      <c r="C906" s="290" t="str">
        <f ca="1">IFERROR(_xll.CIQHI(MO.Ticker.CapIQ,"IQ_LASTSALEPRICE",INDEX(MO_SNA_FPStartDate,0,COLUMN()),INDEX(MO_Common_QEndDate,0,COLUMN())),"N/A")</f>
        <v>N/A</v>
      </c>
      <c r="D906" s="290" t="str">
        <f ca="1">IFERROR(_xll.CIQHI(MO.Ticker.CapIQ,"IQ_LASTSALEPRICE",INDEX(MO_SNA_FPStartDate,0,COLUMN()),INDEX(MO_Common_QEndDate,0,COLUMN())),"N/A")</f>
        <v>N/A</v>
      </c>
      <c r="E906" s="290" t="str">
        <f ca="1">IFERROR(_xll.CIQHI(MO.Ticker.CapIQ,"IQ_LASTSALEPRICE",INDEX(MO_SNA_FPStartDate,0,COLUMN()),INDEX(MO_Common_QEndDate,0,COLUMN())),"N/A")</f>
        <v>N/A</v>
      </c>
      <c r="F906" s="290" t="str">
        <f ca="1">IFERROR(_xll.CIQHI(MO.Ticker.CapIQ,"IQ_LASTSALEPRICE",INDEX(MO_SNA_FPStartDate,0,COLUMN()),INDEX(MO_Common_QEndDate,0,COLUMN())),"N/A")</f>
        <v>N/A</v>
      </c>
      <c r="G906" s="290" t="str">
        <f ca="1">IFERROR(_xll.CIQHI(MO.Ticker.CapIQ,"IQ_LASTSALEPRICE",INDEX(MO_SNA_FPStartDate,0,COLUMN()),INDEX(MO_Common_QEndDate,0,COLUMN())),"N/A")</f>
        <v>N/A</v>
      </c>
      <c r="H906" s="354" t="str">
        <f ca="1">IFERROR(_xll.CIQHI(MO.Ticker.CapIQ,"IQ_LASTSALEPRICE",INDEX(MO_SNA_FPStartDate,0,COLUMN()),INDEX(MO_Common_QEndDate,0,COLUMN())),"N/A")</f>
        <v>N/A</v>
      </c>
      <c r="I906" s="354" t="str">
        <f ca="1">IFERROR(_xll.CIQHI(MO.Ticker.CapIQ,"IQ_LASTSALEPRICE",INDEX(MO_SNA_FPStartDate,0,COLUMN()),INDEX(MO_Common_QEndDate,0,COLUMN())),"N/A")</f>
        <v>N/A</v>
      </c>
      <c r="J906" s="354" t="str">
        <f ca="1">IFERROR(_xll.CIQHI(MO.Ticker.CapIQ,"IQ_LASTSALEPRICE",INDEX(MO_SNA_FPStartDate,0,COLUMN()),INDEX(MO_Common_QEndDate,0,COLUMN())),"N/A")</f>
        <v>N/A</v>
      </c>
      <c r="K906" s="354" t="str">
        <f ca="1">IFERROR(_xll.CIQHI(MO.Ticker.CapIQ,"IQ_LASTSALEPRICE",INDEX(MO_SNA_FPStartDate,0,COLUMN()),INDEX(MO_Common_QEndDate,0,COLUMN())),"N/A")</f>
        <v>N/A</v>
      </c>
      <c r="L906" s="354" t="str">
        <f ca="1">IFERROR(_xll.CIQHI(MO.Ticker.CapIQ,"IQ_LASTSALEPRICE",INDEX(MO_SNA_FPStartDate,0,COLUMN()),INDEX(MO_Common_QEndDate,0,COLUMN())),"N/A")</f>
        <v>N/A</v>
      </c>
      <c r="M906" s="354" t="str">
        <f ca="1">IFERROR(_xll.CIQHI(MO.Ticker.CapIQ,"IQ_LASTSALEPRICE",INDEX(MO_SNA_FPStartDate,0,COLUMN()),INDEX(MO_Common_QEndDate,0,COLUMN())),"N/A")</f>
        <v>N/A</v>
      </c>
      <c r="N906" s="354" t="str">
        <f ca="1">IFERROR(_xll.CIQHI(MO.Ticker.CapIQ,"IQ_LASTSALEPRICE",INDEX(MO_SNA_FPStartDate,0,COLUMN()),INDEX(MO_Common_QEndDate,0,COLUMN())),"N/A")</f>
        <v>N/A</v>
      </c>
      <c r="O906" s="354" t="str">
        <f ca="1">IFERROR(_xll.CIQHI(MO.Ticker.CapIQ,"IQ_LASTSALEPRICE",INDEX(MO_SNA_FPStartDate,0,COLUMN()),INDEX(MO_Common_QEndDate,0,COLUMN())),"N/A")</f>
        <v>N/A</v>
      </c>
      <c r="P906" s="354" t="str">
        <f ca="1">IFERROR(_xll.CIQHI(MO.Ticker.CapIQ,"IQ_LASTSALEPRICE",INDEX(MO_SNA_FPStartDate,0,COLUMN()),INDEX(MO_Common_QEndDate,0,COLUMN())),"N/A")</f>
        <v>N/A</v>
      </c>
      <c r="Q906" s="354" t="str">
        <f ca="1">IFERROR(_xll.CIQHI(MO.Ticker.CapIQ,"IQ_LASTSALEPRICE",INDEX(MO_SNA_FPStartDate,0,COLUMN()),INDEX(MO_Common_QEndDate,0,COLUMN())),"N/A")</f>
        <v>N/A</v>
      </c>
      <c r="R906" s="354" t="str">
        <f ca="1">IFERROR(_xll.CIQHI(MO.Ticker.CapIQ,"IQ_LASTSALEPRICE",INDEX(MO_SNA_FPStartDate,0,COLUMN()),INDEX(MO_Common_QEndDate,0,COLUMN())),"N/A")</f>
        <v>N/A</v>
      </c>
      <c r="S906" s="354" t="str">
        <f ca="1">IFERROR(_xll.CIQHI(MO.Ticker.CapIQ,"IQ_LASTSALEPRICE",INDEX(MO_SNA_FPStartDate,0,COLUMN()),INDEX(MO_Common_QEndDate,0,COLUMN())),"N/A")</f>
        <v>N/A</v>
      </c>
      <c r="T906" s="354" t="str">
        <f ca="1">IFERROR(_xll.CIQHI(MO.Ticker.CapIQ,"IQ_LASTSALEPRICE",INDEX(MO_SNA_FPStartDate,0,COLUMN()),INDEX(MO_Common_QEndDate,0,COLUMN())),"N/A")</f>
        <v>N/A</v>
      </c>
      <c r="U906" s="354" t="str">
        <f ca="1">IFERROR(_xll.CIQHI(MO.Ticker.CapIQ,"IQ_LASTSALEPRICE",INDEX(MO_SNA_FPStartDate,0,COLUMN()),INDEX(MO_Common_QEndDate,0,COLUMN())),"N/A")</f>
        <v>N/A</v>
      </c>
      <c r="V906" s="354" t="str">
        <f ca="1">IFERROR(_xll.CIQHI(MO.Ticker.CapIQ,"IQ_LASTSALEPRICE",INDEX(MO_SNA_FPStartDate,0,COLUMN()),INDEX(MO_Common_QEndDate,0,COLUMN())),"N/A")</f>
        <v>N/A</v>
      </c>
      <c r="W906" s="354" t="str">
        <f ca="1">IFERROR(_xll.CIQHI(MO.Ticker.CapIQ,"IQ_LASTSALEPRICE",INDEX(MO_SNA_FPStartDate,0,COLUMN()),INDEX(MO_Common_QEndDate,0,COLUMN())),"N/A")</f>
        <v>N/A</v>
      </c>
      <c r="X906" s="354" t="str">
        <f ca="1">IFERROR(_xll.CIQHI(MO.Ticker.CapIQ,"IQ_LASTSALEPRICE",INDEX(MO_SNA_FPStartDate,0,COLUMN()),INDEX(MO_Common_QEndDate,0,COLUMN())),"N/A")</f>
        <v>N/A</v>
      </c>
      <c r="Y906" s="354" t="str">
        <f ca="1">IFERROR(_xll.CIQHI(MO.Ticker.CapIQ,"IQ_LASTSALEPRICE",INDEX(MO_SNA_FPStartDate,0,COLUMN()),INDEX(MO_Common_QEndDate,0,COLUMN())),"N/A")</f>
        <v>N/A</v>
      </c>
      <c r="Z906" s="354" t="str">
        <f ca="1">IFERROR(_xll.CIQHI(MO.Ticker.CapIQ,"IQ_LASTSALEPRICE",INDEX(MO_SNA_FPStartDate,0,COLUMN()),INDEX(MO_Common_QEndDate,0,COLUMN())),"N/A")</f>
        <v>N/A</v>
      </c>
      <c r="AA906" s="354" t="str">
        <f ca="1">IFERROR(_xll.CIQHI(MO.Ticker.CapIQ,"IQ_LASTSALEPRICE",INDEX(MO_SNA_FPStartDate,0,COLUMN()),INDEX(MO_Common_QEndDate,0,COLUMN())),"N/A")</f>
        <v>N/A</v>
      </c>
      <c r="AB906" s="354" t="str">
        <f ca="1">IFERROR(_xll.CIQHI(MO.Ticker.CapIQ,"IQ_LASTSALEPRICE",INDEX(MO_SNA_FPStartDate,0,COLUMN()),INDEX(MO_Common_QEndDate,0,COLUMN())),"N/A")</f>
        <v>N/A</v>
      </c>
      <c r="AC906" s="354" t="str">
        <f ca="1">IFERROR(_xll.CIQHI(MO.Ticker.CapIQ,"IQ_LASTSALEPRICE",INDEX(MO_SNA_FPStartDate,0,COLUMN()),INDEX(MO_Common_QEndDate,0,COLUMN())),"N/A")</f>
        <v>N/A</v>
      </c>
      <c r="AD906" s="354" t="str">
        <f ca="1">IFERROR(_xll.CIQHI(MO.Ticker.CapIQ,"IQ_LASTSALEPRICE",INDEX(MO_SNA_FPStartDate,0,COLUMN()),INDEX(MO_Common_QEndDate,0,COLUMN())),"N/A")</f>
        <v>N/A</v>
      </c>
      <c r="AE906" s="354" t="str">
        <f ca="1">IFERROR(_xll.CIQHI(MO.Ticker.CapIQ,"IQ_LASTSALEPRICE",INDEX(MO_SNA_FPStartDate,0,COLUMN()),INDEX(MO_Common_QEndDate,0,COLUMN())),"N/A")</f>
        <v>N/A</v>
      </c>
      <c r="AF906" s="354" t="str">
        <f ca="1">IFERROR(_xll.CIQHI(MO.Ticker.CapIQ,"IQ_LASTSALEPRICE",INDEX(MO_SNA_FPStartDate,0,COLUMN()),INDEX(MO_Common_QEndDate,0,COLUMN())),"N/A")</f>
        <v>N/A</v>
      </c>
      <c r="AG906" s="354" t="str">
        <f ca="1">IFERROR(_xll.CIQHI(MO.Ticker.CapIQ,"IQ_LASTSALEPRICE",INDEX(MO_SNA_FPStartDate,0,COLUMN()),INDEX(MO_Common_QEndDate,0,COLUMN())),"N/A")</f>
        <v>N/A</v>
      </c>
      <c r="AH906" s="354" t="str">
        <f ca="1">IFERROR(_xll.CIQHI(MO.Ticker.CapIQ,"IQ_LASTSALEPRICE",INDEX(MO_SNA_FPStartDate,0,COLUMN()),INDEX(MO_Common_QEndDate,0,COLUMN())),"N/A")</f>
        <v>N/A</v>
      </c>
      <c r="AI906" s="354" t="str">
        <f ca="1">IFERROR(_xll.CIQHI(MO.Ticker.CapIQ,"IQ_LASTSALEPRICE",INDEX(MO_SNA_FPStartDate,0,COLUMN()),INDEX(MO_Common_QEndDate,0,COLUMN())),"N/A")</f>
        <v>N/A</v>
      </c>
      <c r="AJ906" s="354" t="str">
        <f ca="1">IFERROR(_xll.CIQHI(MO.Ticker.CapIQ,"IQ_LASTSALEPRICE",INDEX(MO_SNA_FPStartDate,0,COLUMN()),INDEX(MO_Common_QEndDate,0,COLUMN())),"N/A")</f>
        <v>N/A</v>
      </c>
      <c r="AK906" s="354" t="str">
        <f ca="1">IFERROR(_xll.CIQHI(MO.Ticker.CapIQ,"IQ_LASTSALEPRICE",INDEX(MO_SNA_FPStartDate,0,COLUMN()),INDEX(MO_Common_QEndDate,0,COLUMN())),"N/A")</f>
        <v>N/A</v>
      </c>
      <c r="AL906" s="354" t="str">
        <f ca="1">IFERROR(_xll.CIQHI(MO.Ticker.CapIQ,"IQ_LASTSALEPRICE",INDEX(MO_SNA_FPStartDate,0,COLUMN()),INDEX(MO_Common_QEndDate,0,COLUMN())),"N/A")</f>
        <v>N/A</v>
      </c>
      <c r="AM906" s="354" t="str">
        <f ca="1">IFERROR(_xll.CIQHI(MO.Ticker.CapIQ,"IQ_LASTSALEPRICE",INDEX(MO_SNA_FPStartDate,0,COLUMN()),INDEX(MO_Common_QEndDate,0,COLUMN())),"N/A")</f>
        <v>N/A</v>
      </c>
      <c r="AN906" s="354" t="str">
        <f ca="1">IFERROR(_xll.CIQHI(MO.Ticker.CapIQ,"IQ_LASTSALEPRICE",INDEX(MO_SNA_FPStartDate,0,COLUMN()),INDEX(MO_Common_QEndDate,0,COLUMN())),"N/A")</f>
        <v>N/A</v>
      </c>
      <c r="AO906" s="354" t="str">
        <f ca="1">IFERROR(_xll.CIQHI(MO.Ticker.CapIQ,"IQ_LASTSALEPRICE",INDEX(MO_SNA_FPStartDate,0,COLUMN()),INDEX(MO_Common_QEndDate,0,COLUMN())),"N/A")</f>
        <v>N/A</v>
      </c>
      <c r="AP906" s="354" t="str">
        <f ca="1">IFERROR(_xll.CIQHI(MO.Ticker.CapIQ,"IQ_LASTSALEPRICE",INDEX(MO_SNA_FPStartDate,0,COLUMN()),INDEX(MO_Common_QEndDate,0,COLUMN())),"N/A")</f>
        <v>N/A</v>
      </c>
      <c r="AQ906" s="354" t="str">
        <f ca="1">IFERROR(_xll.CIQHI(MO.Ticker.CapIQ,"IQ_LASTSALEPRICE",INDEX(MO_SNA_FPStartDate,0,COLUMN()),INDEX(MO_Common_QEndDate,0,COLUMN())),"N/A")</f>
        <v>N/A</v>
      </c>
      <c r="AR906" s="354" t="str">
        <f ca="1">IFERROR(_xll.CIQHI(MO.Ticker.CapIQ,"IQ_LASTSALEPRICE",INDEX(MO_SNA_FPStartDate,0,COLUMN()),INDEX(MO_Common_QEndDate,0,COLUMN())),"N/A")</f>
        <v>N/A</v>
      </c>
      <c r="AS906" s="354" t="str">
        <f ca="1">IFERROR(_xll.CIQHI(MO.Ticker.CapIQ,"IQ_LASTSALEPRICE",INDEX(MO_SNA_FPStartDate,0,COLUMN()),INDEX(MO_Common_QEndDate,0,COLUMN())),"N/A")</f>
        <v>N/A</v>
      </c>
      <c r="AT906" s="354" t="str">
        <f ca="1">IFERROR(_xll.CIQHI(MO.Ticker.CapIQ,"IQ_LASTSALEPRICE",INDEX(MO_SNA_FPStartDate,0,COLUMN()),INDEX(MO_Common_QEndDate,0,COLUMN())),"N/A")</f>
        <v>N/A</v>
      </c>
      <c r="AU906" s="354" t="str">
        <f ca="1">IFERROR(_xll.CIQHI(MO.Ticker.CapIQ,"IQ_LASTSALEPRICE",INDEX(MO_SNA_FPStartDate,0,COLUMN()),INDEX(MO_Common_QEndDate,0,COLUMN())),"N/A")</f>
        <v>N/A</v>
      </c>
      <c r="AV906" s="354" t="str">
        <f ca="1">IFERROR(_xll.CIQHI(MO.Ticker.CapIQ,"IQ_LASTSALEPRICE",INDEX(MO_SNA_FPStartDate,0,COLUMN()),INDEX(MO_Common_QEndDate,0,COLUMN())),"N/A")</f>
        <v>N/A</v>
      </c>
      <c r="AW906" s="354" t="str">
        <f ca="1">IFERROR(_xll.CIQHI(MO.Ticker.CapIQ,"IQ_LASTSALEPRICE",INDEX(MO_SNA_FPStartDate,0,COLUMN()),INDEX(MO_Common_QEndDate,0,COLUMN())),"N/A")</f>
        <v>N/A</v>
      </c>
      <c r="AX906" s="354" t="str">
        <f ca="1">IFERROR(_xll.CIQHI(MO.Ticker.CapIQ,"IQ_LASTSALEPRICE",INDEX(MO_SNA_FPStartDate,0,COLUMN()),INDEX(MO_Common_QEndDate,0,COLUMN())),"N/A")</f>
        <v>N/A</v>
      </c>
      <c r="AY906" s="354" t="str">
        <f ca="1">IFERROR(_xll.CIQHI(MO.Ticker.CapIQ,"IQ_LASTSALEPRICE",INDEX(MO_SNA_FPStartDate,0,COLUMN()),INDEX(MO_Common_QEndDate,0,COLUMN())),"N/A")</f>
        <v>N/A</v>
      </c>
      <c r="AZ906" s="354" t="str">
        <f ca="1">IFERROR(_xll.CIQHI(MO.Ticker.CapIQ,"IQ_LASTSALEPRICE",INDEX(MO_SNA_FPStartDate,0,COLUMN()),INDEX(MO_Common_QEndDate,0,COLUMN())),"N/A")</f>
        <v>N/A</v>
      </c>
      <c r="BA906" s="354" t="str">
        <f ca="1">IFERROR(_xll.CIQHI(MO.Ticker.CapIQ,"IQ_LASTSALEPRICE",INDEX(MO_SNA_FPStartDate,0,COLUMN()),INDEX(MO_Common_QEndDate,0,COLUMN())),"N/A")</f>
        <v>N/A</v>
      </c>
      <c r="BB906" s="354" t="str">
        <f ca="1">IFERROR(_xll.CIQHI(MO.Ticker.CapIQ,"IQ_LASTSALEPRICE",INDEX(MO_SNA_FPStartDate,0,COLUMN()),INDEX(MO_Common_QEndDate,0,COLUMN())),"N/A")</f>
        <v>N/A</v>
      </c>
      <c r="BC906" s="354" t="str">
        <f ca="1">IFERROR(_xll.CIQHI(MO.Ticker.CapIQ,"IQ_LASTSALEPRICE",INDEX(MO_SNA_FPStartDate,0,COLUMN()),INDEX(MO_Common_QEndDate,0,COLUMN())),"N/A")</f>
        <v>N/A</v>
      </c>
      <c r="BD906" s="354" t="str">
        <f ca="1">IFERROR(_xll.CIQHI(MO.Ticker.CapIQ,"IQ_LASTSALEPRICE",INDEX(MO_SNA_FPStartDate,0,COLUMN()),INDEX(MO_Common_QEndDate,0,COLUMN())),"N/A")</f>
        <v>N/A</v>
      </c>
      <c r="BE906" s="354" t="str">
        <f ca="1">IFERROR(_xll.CIQHI(MO.Ticker.CapIQ,"IQ_LASTSALEPRICE",INDEX(MO_SNA_FPStartDate,0,COLUMN()),INDEX(MO_Common_QEndDate,0,COLUMN())),"N/A")</f>
        <v>N/A</v>
      </c>
      <c r="BF906" s="354" t="str">
        <f ca="1">IFERROR(_xll.CIQHI(MO.Ticker.CapIQ,"IQ_LASTSALEPRICE",INDEX(MO_SNA_FPStartDate,0,COLUMN()),INDEX(MO_Common_QEndDate,0,COLUMN())),"N/A")</f>
        <v>N/A</v>
      </c>
      <c r="BG906" s="354" t="str">
        <f ca="1">IFERROR(_xll.CIQHI(MO.Ticker.CapIQ,"IQ_LASTSALEPRICE",INDEX(MO_SNA_FPStartDate,0,COLUMN()),INDEX(MO_Common_QEndDate,0,COLUMN())),"N/A")</f>
        <v>N/A</v>
      </c>
      <c r="BH906" s="354" t="str">
        <f ca="1">IFERROR(_xll.CIQHI(MO.Ticker.CapIQ,"IQ_LASTSALEPRICE",INDEX(MO_SNA_FPStartDate,0,COLUMN()),INDEX(MO_Common_QEndDate,0,COLUMN())),"N/A")</f>
        <v>N/A</v>
      </c>
      <c r="BI906" s="354" t="str">
        <f ca="1">IFERROR(_xll.CIQHI(MO.Ticker.CapIQ,"IQ_LASTSALEPRICE",INDEX(MO_SNA_FPStartDate,0,COLUMN()),INDEX(MO_Common_QEndDate,0,COLUMN())),"N/A")</f>
        <v>N/A</v>
      </c>
      <c r="BJ906" s="354" t="str">
        <f ca="1">IFERROR(_xll.CIQHI(MO.Ticker.CapIQ,"IQ_LASTSALEPRICE",INDEX(MO_SNA_FPStartDate,0,COLUMN()),INDEX(MO_Common_QEndDate,0,COLUMN())),"N/A")</f>
        <v>N/A</v>
      </c>
      <c r="BK906" s="354" t="str">
        <f ca="1">IFERROR(_xll.CIQHI(MO.Ticker.CapIQ,"IQ_LASTSALEPRICE",INDEX(MO_SNA_FPStartDate,0,COLUMN()),INDEX(MO_Common_QEndDate,0,COLUMN())),"N/A")</f>
        <v>N/A</v>
      </c>
      <c r="BL906" s="354" t="str">
        <f ca="1">IFERROR(_xll.CIQHI(MO.Ticker.CapIQ,"IQ_LASTSALEPRICE",INDEX(MO_SNA_FPStartDate,0,COLUMN()),INDEX(MO_Common_QEndDate,0,COLUMN())),"N/A")</f>
        <v>N/A</v>
      </c>
      <c r="BM906" s="354" t="str">
        <f ca="1">IFERROR(_xll.CIQHI(MO.Ticker.CapIQ,"IQ_LASTSALEPRICE",INDEX(MO_SNA_FPStartDate,0,COLUMN()),INDEX(MO_Common_QEndDate,0,COLUMN())),"N/A")</f>
        <v>N/A</v>
      </c>
      <c r="BN906" s="354" t="str">
        <f ca="1">IFERROR(_xll.CIQHI(MO.Ticker.CapIQ,"IQ_LASTSALEPRICE",INDEX(MO_SNA_FPStartDate,0,COLUMN()),INDEX(MO_Common_QEndDate,0,COLUMN())),"N/A")</f>
        <v>N/A</v>
      </c>
      <c r="BO906" s="354" t="str">
        <f ca="1">IFERROR(_xll.CIQHI(MO.Ticker.CapIQ,"IQ_LASTSALEPRICE",INDEX(MO_SNA_FPStartDate,0,COLUMN()),INDEX(MO_Common_QEndDate,0,COLUMN())),"N/A")</f>
        <v>N/A</v>
      </c>
      <c r="BP906" s="354" t="str">
        <f ca="1">IFERROR(_xll.CIQHI(MO.Ticker.CapIQ,"IQ_LASTSALEPRICE",INDEX(MO_SNA_FPStartDate,0,COLUMN()),INDEX(MO_Common_QEndDate,0,COLUMN())),"N/A")</f>
        <v>N/A</v>
      </c>
      <c r="BQ906" s="354" t="str">
        <f ca="1">IFERROR(_xll.CIQHI(MO.Ticker.CapIQ,"IQ_LASTSALEPRICE",INDEX(MO_SNA_FPStartDate,0,COLUMN()),INDEX(MO_Common_QEndDate,0,COLUMN())),"N/A")</f>
        <v>N/A</v>
      </c>
      <c r="BR906" s="354" t="str">
        <f ca="1">IFERROR(_xll.CIQHI(MO.Ticker.CapIQ,"IQ_LASTSALEPRICE",INDEX(MO_SNA_FPStartDate,0,COLUMN()),INDEX(MO_Common_QEndDate,0,COLUMN())),"N/A")</f>
        <v>N/A</v>
      </c>
      <c r="BS906" s="661" t="str">
        <f ca="1">IFERROR(_xll.CIQHI(MO.Ticker.CapIQ,"IQ_LASTSALEPRICE",INDEX(MO_SNA_FPStartDate,0,COLUMN()),INDEX(MO_Common_QEndDate,0,COLUMN())),"N/A")</f>
        <v>N/A</v>
      </c>
      <c r="BT906" s="354" t="str">
        <f ca="1">IFERROR(_xll.CIQHI(MO.Ticker.CapIQ,"IQ_LASTSALEPRICE",INDEX(MO_SNA_FPStartDate,0,COLUMN()),INDEX(MO_Common_QEndDate,0,COLUMN())),"N/A")</f>
        <v>N/A</v>
      </c>
      <c r="BU906" s="354" t="str">
        <f ca="1">IFERROR(_xll.CIQHI(MO.Ticker.CapIQ,"IQ_LASTSALEPRICE",INDEX(MO_SNA_FPStartDate,0,COLUMN()),INDEX(MO_Common_QEndDate,0,COLUMN())),"N/A")</f>
        <v>N/A</v>
      </c>
      <c r="BV906" s="354" t="str">
        <f ca="1">IFERROR(_xll.CIQHI(MO.Ticker.CapIQ,"IQ_LASTSALEPRICE",INDEX(MO_SNA_FPStartDate,0,COLUMN()),INDEX(MO_Common_QEndDate,0,COLUMN())),"N/A")</f>
        <v>N/A</v>
      </c>
      <c r="BW906" s="354" t="str">
        <f ca="1">IFERROR(_xll.CIQHI(MO.Ticker.CapIQ,"IQ_LASTSALEPRICE",INDEX(MO_SNA_FPStartDate,0,COLUMN()),INDEX(MO_Common_QEndDate,0,COLUMN())),"N/A")</f>
        <v>N/A</v>
      </c>
      <c r="BX906" s="354" t="str">
        <f ca="1">IFERROR(_xll.CIQHI(MO.Ticker.CapIQ,"IQ_LASTSALEPRICE",INDEX(MO_SNA_FPStartDate,0,COLUMN()),INDEX(MO_Common_QEndDate,0,COLUMN())),"N/A")</f>
        <v>N/A</v>
      </c>
      <c r="BY906" s="354" t="str">
        <f ca="1">IFERROR(_xll.CIQHI(MO.Ticker.CapIQ,"IQ_LASTSALEPRICE",INDEX(MO_SNA_FPStartDate,0,COLUMN()),INDEX(MO_Common_QEndDate,0,COLUMN())),"N/A")</f>
        <v>N/A</v>
      </c>
      <c r="BZ906" s="354" t="str">
        <f ca="1">IFERROR(_xll.CIQHI(MO.Ticker.CapIQ,"IQ_LASTSALEPRICE",INDEX(MO_SNA_FPStartDate,0,COLUMN()),INDEX(MO_Common_QEndDate,0,COLUMN())),"N/A")</f>
        <v>N/A</v>
      </c>
      <c r="CA906" s="354" t="str">
        <f ca="1">IFERROR(_xll.CIQHI(MO.Ticker.CapIQ,"IQ_LASTSALEPRICE",INDEX(MO_SNA_FPStartDate,0,COLUMN()),INDEX(MO_Common_QEndDate,0,COLUMN())),"N/A")</f>
        <v>N/A</v>
      </c>
      <c r="CB906" s="354" t="str">
        <f ca="1">IFERROR(_xll.CIQHI(MO.Ticker.CapIQ,"IQ_LASTSALEPRICE",INDEX(MO_SNA_FPStartDate,0,COLUMN()),INDEX(MO_Common_QEndDate,0,COLUMN())),"N/A")</f>
        <v>N/A</v>
      </c>
      <c r="CC906" s="354" t="str">
        <f ca="1">IFERROR(_xll.CIQHI(MO.Ticker.CapIQ,"IQ_LASTSALEPRICE",INDEX(MO_SNA_FPStartDate,0,COLUMN()),INDEX(MO_Common_QEndDate,0,COLUMN())),"N/A")</f>
        <v>N/A</v>
      </c>
      <c r="CD906" s="354" t="str">
        <f ca="1">IFERROR(_xll.CIQHI(MO.Ticker.CapIQ,"IQ_LASTSALEPRICE",INDEX(MO_SNA_FPStartDate,0,COLUMN()),INDEX(MO_Common_QEndDate,0,COLUMN())),"N/A")</f>
        <v>N/A</v>
      </c>
      <c r="CE906" s="354" t="str">
        <f ca="1">IFERROR(_xll.CIQHI(MO.Ticker.CapIQ,"IQ_LASTSALEPRICE",INDEX(MO_SNA_FPStartDate,0,COLUMN()),INDEX(MO_Common_QEndDate,0,COLUMN())),"N/A")</f>
        <v>N/A</v>
      </c>
      <c r="CF906" s="662" t="str">
        <f ca="1">IFERROR(_xll.CIQHI(MO.Ticker.CapIQ,"IQ_LASTSALEPRICE",INDEX(MO_SNA_FPStartDate,0,COLUMN()),INDEX(MO_Common_QEndDate,0,COLUMN())),"N/A")</f>
        <v>N/A</v>
      </c>
      <c r="CG906" s="663"/>
    </row>
    <row r="907" spans="1:85" ht="14.45" hidden="1" customHeight="1" x14ac:dyDescent="0.25">
      <c r="A907" s="355" t="s">
        <v>804</v>
      </c>
      <c r="B907" s="354"/>
      <c r="C907" s="290" t="str">
        <f ca="1">IFERROR(_xll.FDS(MO.Ticker.FactSet,"P_PRICE_HIGH"&amp;"("&amp;INDEX(MO_SNA_FPStartDate,0,COLUMN())&amp;","&amp;INDEX(MO_Common_QEndDate,0,COLUMN())&amp;",,,,""PRICE"",""CLOSE"")"),"N/A")</f>
        <v>N/A</v>
      </c>
      <c r="D907" s="290" t="str">
        <f ca="1">IFERROR(_xll.FDS(MO.Ticker.FactSet,"P_PRICE_HIGH"&amp;"("&amp;INDEX(MO_SNA_FPStartDate,0,COLUMN())&amp;","&amp;INDEX(MO_Common_QEndDate,0,COLUMN())&amp;",,,,""PRICE"",""CLOSE"")"),"N/A")</f>
        <v>N/A</v>
      </c>
      <c r="E907" s="290" t="str">
        <f ca="1">IFERROR(_xll.FDS(MO.Ticker.FactSet,"P_PRICE_HIGH"&amp;"("&amp;INDEX(MO_SNA_FPStartDate,0,COLUMN())&amp;","&amp;INDEX(MO_Common_QEndDate,0,COLUMN())&amp;",,,,""PRICE"",""CLOSE"")"),"N/A")</f>
        <v>N/A</v>
      </c>
      <c r="F907" s="290" t="str">
        <f ca="1">IFERROR(_xll.FDS(MO.Ticker.FactSet,"P_PRICE_HIGH"&amp;"("&amp;INDEX(MO_SNA_FPStartDate,0,COLUMN())&amp;","&amp;INDEX(MO_Common_QEndDate,0,COLUMN())&amp;",,,,""PRICE"",""CLOSE"")"),"N/A")</f>
        <v>N/A</v>
      </c>
      <c r="G907" s="290" t="str">
        <f ca="1">IFERROR(_xll.FDS(MO.Ticker.FactSet,"P_PRICE_HIGH"&amp;"("&amp;INDEX(MO_SNA_FPStartDate,0,COLUMN())&amp;","&amp;INDEX(MO_Common_QEndDate,0,COLUMN())&amp;",,,,""PRICE"",""CLOSE"")"),"N/A")</f>
        <v>N/A</v>
      </c>
      <c r="H907" s="354" t="str">
        <f ca="1">IFERROR(_xll.FDS(MO.Ticker.FactSet,"P_PRICE_HIGH"&amp;"("&amp;INDEX(MO_SNA_FPStartDate,0,COLUMN())&amp;","&amp;INDEX(MO_Common_QEndDate,0,COLUMN())&amp;",,,,""PRICE"",""CLOSE"")"),"N/A")</f>
        <v>N/A</v>
      </c>
      <c r="I907" s="354" t="str">
        <f ca="1">IFERROR(_xll.FDS(MO.Ticker.FactSet,"P_PRICE_HIGH"&amp;"("&amp;INDEX(MO_SNA_FPStartDate,0,COLUMN())&amp;","&amp;INDEX(MO_Common_QEndDate,0,COLUMN())&amp;",,,,""PRICE"",""CLOSE"")"),"N/A")</f>
        <v>N/A</v>
      </c>
      <c r="J907" s="354" t="str">
        <f ca="1">IFERROR(_xll.FDS(MO.Ticker.FactSet,"P_PRICE_HIGH"&amp;"("&amp;INDEX(MO_SNA_FPStartDate,0,COLUMN())&amp;","&amp;INDEX(MO_Common_QEndDate,0,COLUMN())&amp;",,,,""PRICE"",""CLOSE"")"),"N/A")</f>
        <v>N/A</v>
      </c>
      <c r="K907" s="354" t="str">
        <f ca="1">IFERROR(_xll.FDS(MO.Ticker.FactSet,"P_PRICE_HIGH"&amp;"("&amp;INDEX(MO_SNA_FPStartDate,0,COLUMN())&amp;","&amp;INDEX(MO_Common_QEndDate,0,COLUMN())&amp;",,,,""PRICE"",""CLOSE"")"),"N/A")</f>
        <v>N/A</v>
      </c>
      <c r="L907" s="354" t="str">
        <f ca="1">IFERROR(_xll.FDS(MO.Ticker.FactSet,"P_PRICE_HIGH"&amp;"("&amp;INDEX(MO_SNA_FPStartDate,0,COLUMN())&amp;","&amp;INDEX(MO_Common_QEndDate,0,COLUMN())&amp;",,,,""PRICE"",""CLOSE"")"),"N/A")</f>
        <v>N/A</v>
      </c>
      <c r="M907" s="354" t="str">
        <f ca="1">IFERROR(_xll.FDS(MO.Ticker.FactSet,"P_PRICE_HIGH"&amp;"("&amp;INDEX(MO_SNA_FPStartDate,0,COLUMN())&amp;","&amp;INDEX(MO_Common_QEndDate,0,COLUMN())&amp;",,,,""PRICE"",""CLOSE"")"),"N/A")</f>
        <v>N/A</v>
      </c>
      <c r="N907" s="354" t="str">
        <f ca="1">IFERROR(_xll.FDS(MO.Ticker.FactSet,"P_PRICE_HIGH"&amp;"("&amp;INDEX(MO_SNA_FPStartDate,0,COLUMN())&amp;","&amp;INDEX(MO_Common_QEndDate,0,COLUMN())&amp;",,,,""PRICE"",""CLOSE"")"),"N/A")</f>
        <v>N/A</v>
      </c>
      <c r="O907" s="354" t="str">
        <f ca="1">IFERROR(_xll.FDS(MO.Ticker.FactSet,"P_PRICE_HIGH"&amp;"("&amp;INDEX(MO_SNA_FPStartDate,0,COLUMN())&amp;","&amp;INDEX(MO_Common_QEndDate,0,COLUMN())&amp;",,,,""PRICE"",""CLOSE"")"),"N/A")</f>
        <v>N/A</v>
      </c>
      <c r="P907" s="354" t="str">
        <f ca="1">IFERROR(_xll.FDS(MO.Ticker.FactSet,"P_PRICE_HIGH"&amp;"("&amp;INDEX(MO_SNA_FPStartDate,0,COLUMN())&amp;","&amp;INDEX(MO_Common_QEndDate,0,COLUMN())&amp;",,,,""PRICE"",""CLOSE"")"),"N/A")</f>
        <v>N/A</v>
      </c>
      <c r="Q907" s="354" t="str">
        <f ca="1">IFERROR(_xll.FDS(MO.Ticker.FactSet,"P_PRICE_HIGH"&amp;"("&amp;INDEX(MO_SNA_FPStartDate,0,COLUMN())&amp;","&amp;INDEX(MO_Common_QEndDate,0,COLUMN())&amp;",,,,""PRICE"",""CLOSE"")"),"N/A")</f>
        <v>N/A</v>
      </c>
      <c r="R907" s="354" t="str">
        <f ca="1">IFERROR(_xll.FDS(MO.Ticker.FactSet,"P_PRICE_HIGH"&amp;"("&amp;INDEX(MO_SNA_FPStartDate,0,COLUMN())&amp;","&amp;INDEX(MO_Common_QEndDate,0,COLUMN())&amp;",,,,""PRICE"",""CLOSE"")"),"N/A")</f>
        <v>N/A</v>
      </c>
      <c r="S907" s="354" t="str">
        <f ca="1">IFERROR(_xll.FDS(MO.Ticker.FactSet,"P_PRICE_HIGH"&amp;"("&amp;INDEX(MO_SNA_FPStartDate,0,COLUMN())&amp;","&amp;INDEX(MO_Common_QEndDate,0,COLUMN())&amp;",,,,""PRICE"",""CLOSE"")"),"N/A")</f>
        <v>N/A</v>
      </c>
      <c r="T907" s="354" t="str">
        <f ca="1">IFERROR(_xll.FDS(MO.Ticker.FactSet,"P_PRICE_HIGH"&amp;"("&amp;INDEX(MO_SNA_FPStartDate,0,COLUMN())&amp;","&amp;INDEX(MO_Common_QEndDate,0,COLUMN())&amp;",,,,""PRICE"",""CLOSE"")"),"N/A")</f>
        <v>N/A</v>
      </c>
      <c r="U907" s="354" t="str">
        <f ca="1">IFERROR(_xll.FDS(MO.Ticker.FactSet,"P_PRICE_HIGH"&amp;"("&amp;INDEX(MO_SNA_FPStartDate,0,COLUMN())&amp;","&amp;INDEX(MO_Common_QEndDate,0,COLUMN())&amp;",,,,""PRICE"",""CLOSE"")"),"N/A")</f>
        <v>N/A</v>
      </c>
      <c r="V907" s="354" t="str">
        <f ca="1">IFERROR(_xll.FDS(MO.Ticker.FactSet,"P_PRICE_HIGH"&amp;"("&amp;INDEX(MO_SNA_FPStartDate,0,COLUMN())&amp;","&amp;INDEX(MO_Common_QEndDate,0,COLUMN())&amp;",,,,""PRICE"",""CLOSE"")"),"N/A")</f>
        <v>N/A</v>
      </c>
      <c r="W907" s="354" t="str">
        <f ca="1">IFERROR(_xll.FDS(MO.Ticker.FactSet,"P_PRICE_HIGH"&amp;"("&amp;INDEX(MO_SNA_FPStartDate,0,COLUMN())&amp;","&amp;INDEX(MO_Common_QEndDate,0,COLUMN())&amp;",,,,""PRICE"",""CLOSE"")"),"N/A")</f>
        <v>N/A</v>
      </c>
      <c r="X907" s="354" t="str">
        <f ca="1">IFERROR(_xll.FDS(MO.Ticker.FactSet,"P_PRICE_HIGH"&amp;"("&amp;INDEX(MO_SNA_FPStartDate,0,COLUMN())&amp;","&amp;INDEX(MO_Common_QEndDate,0,COLUMN())&amp;",,,,""PRICE"",""CLOSE"")"),"N/A")</f>
        <v>N/A</v>
      </c>
      <c r="Y907" s="354" t="str">
        <f ca="1">IFERROR(_xll.FDS(MO.Ticker.FactSet,"P_PRICE_HIGH"&amp;"("&amp;INDEX(MO_SNA_FPStartDate,0,COLUMN())&amp;","&amp;INDEX(MO_Common_QEndDate,0,COLUMN())&amp;",,,,""PRICE"",""CLOSE"")"),"N/A")</f>
        <v>N/A</v>
      </c>
      <c r="Z907" s="354" t="str">
        <f ca="1">IFERROR(_xll.FDS(MO.Ticker.FactSet,"P_PRICE_HIGH"&amp;"("&amp;INDEX(MO_SNA_FPStartDate,0,COLUMN())&amp;","&amp;INDEX(MO_Common_QEndDate,0,COLUMN())&amp;",,,,""PRICE"",""CLOSE"")"),"N/A")</f>
        <v>N/A</v>
      </c>
      <c r="AA907" s="354" t="str">
        <f ca="1">IFERROR(_xll.FDS(MO.Ticker.FactSet,"P_PRICE_HIGH"&amp;"("&amp;INDEX(MO_SNA_FPStartDate,0,COLUMN())&amp;","&amp;INDEX(MO_Common_QEndDate,0,COLUMN())&amp;",,,,""PRICE"",""CLOSE"")"),"N/A")</f>
        <v>N/A</v>
      </c>
      <c r="AB907" s="354" t="str">
        <f ca="1">IFERROR(_xll.FDS(MO.Ticker.FactSet,"P_PRICE_HIGH"&amp;"("&amp;INDEX(MO_SNA_FPStartDate,0,COLUMN())&amp;","&amp;INDEX(MO_Common_QEndDate,0,COLUMN())&amp;",,,,""PRICE"",""CLOSE"")"),"N/A")</f>
        <v>N/A</v>
      </c>
      <c r="AC907" s="354" t="str">
        <f ca="1">IFERROR(_xll.FDS(MO.Ticker.FactSet,"P_PRICE_HIGH"&amp;"("&amp;INDEX(MO_SNA_FPStartDate,0,COLUMN())&amp;","&amp;INDEX(MO_Common_QEndDate,0,COLUMN())&amp;",,,,""PRICE"",""CLOSE"")"),"N/A")</f>
        <v>N/A</v>
      </c>
      <c r="AD907" s="354" t="str">
        <f ca="1">IFERROR(_xll.FDS(MO.Ticker.FactSet,"P_PRICE_HIGH"&amp;"("&amp;INDEX(MO_SNA_FPStartDate,0,COLUMN())&amp;","&amp;INDEX(MO_Common_QEndDate,0,COLUMN())&amp;",,,,""PRICE"",""CLOSE"")"),"N/A")</f>
        <v>N/A</v>
      </c>
      <c r="AE907" s="354" t="str">
        <f ca="1">IFERROR(_xll.FDS(MO.Ticker.FactSet,"P_PRICE_HIGH"&amp;"("&amp;INDEX(MO_SNA_FPStartDate,0,COLUMN())&amp;","&amp;INDEX(MO_Common_QEndDate,0,COLUMN())&amp;",,,,""PRICE"",""CLOSE"")"),"N/A")</f>
        <v>N/A</v>
      </c>
      <c r="AF907" s="354" t="str">
        <f ca="1">IFERROR(_xll.FDS(MO.Ticker.FactSet,"P_PRICE_HIGH"&amp;"("&amp;INDEX(MO_SNA_FPStartDate,0,COLUMN())&amp;","&amp;INDEX(MO_Common_QEndDate,0,COLUMN())&amp;",,,,""PRICE"",""CLOSE"")"),"N/A")</f>
        <v>N/A</v>
      </c>
      <c r="AG907" s="354" t="str">
        <f ca="1">IFERROR(_xll.FDS(MO.Ticker.FactSet,"P_PRICE_HIGH"&amp;"("&amp;INDEX(MO_SNA_FPStartDate,0,COLUMN())&amp;","&amp;INDEX(MO_Common_QEndDate,0,COLUMN())&amp;",,,,""PRICE"",""CLOSE"")"),"N/A")</f>
        <v>N/A</v>
      </c>
      <c r="AH907" s="354" t="str">
        <f ca="1">IFERROR(_xll.FDS(MO.Ticker.FactSet,"P_PRICE_HIGH"&amp;"("&amp;INDEX(MO_SNA_FPStartDate,0,COLUMN())&amp;","&amp;INDEX(MO_Common_QEndDate,0,COLUMN())&amp;",,,,""PRICE"",""CLOSE"")"),"N/A")</f>
        <v>N/A</v>
      </c>
      <c r="AI907" s="354" t="str">
        <f ca="1">IFERROR(_xll.FDS(MO.Ticker.FactSet,"P_PRICE_HIGH"&amp;"("&amp;INDEX(MO_SNA_FPStartDate,0,COLUMN())&amp;","&amp;INDEX(MO_Common_QEndDate,0,COLUMN())&amp;",,,,""PRICE"",""CLOSE"")"),"N/A")</f>
        <v>N/A</v>
      </c>
      <c r="AJ907" s="354" t="str">
        <f ca="1">IFERROR(_xll.FDS(MO.Ticker.FactSet,"P_PRICE_HIGH"&amp;"("&amp;INDEX(MO_SNA_FPStartDate,0,COLUMN())&amp;","&amp;INDEX(MO_Common_QEndDate,0,COLUMN())&amp;",,,,""PRICE"",""CLOSE"")"),"N/A")</f>
        <v>N/A</v>
      </c>
      <c r="AK907" s="354" t="str">
        <f ca="1">IFERROR(_xll.FDS(MO.Ticker.FactSet,"P_PRICE_HIGH"&amp;"("&amp;INDEX(MO_SNA_FPStartDate,0,COLUMN())&amp;","&amp;INDEX(MO_Common_QEndDate,0,COLUMN())&amp;",,,,""PRICE"",""CLOSE"")"),"N/A")</f>
        <v>N/A</v>
      </c>
      <c r="AL907" s="354" t="str">
        <f ca="1">IFERROR(_xll.FDS(MO.Ticker.FactSet,"P_PRICE_HIGH"&amp;"("&amp;INDEX(MO_SNA_FPStartDate,0,COLUMN())&amp;","&amp;INDEX(MO_Common_QEndDate,0,COLUMN())&amp;",,,,""PRICE"",""CLOSE"")"),"N/A")</f>
        <v>N/A</v>
      </c>
      <c r="AM907" s="354" t="str">
        <f ca="1">IFERROR(_xll.FDS(MO.Ticker.FactSet,"P_PRICE_HIGH"&amp;"("&amp;INDEX(MO_SNA_FPStartDate,0,COLUMN())&amp;","&amp;INDEX(MO_Common_QEndDate,0,COLUMN())&amp;",,,,""PRICE"",""CLOSE"")"),"N/A")</f>
        <v>N/A</v>
      </c>
      <c r="AN907" s="354" t="str">
        <f ca="1">IFERROR(_xll.FDS(MO.Ticker.FactSet,"P_PRICE_HIGH"&amp;"("&amp;INDEX(MO_SNA_FPStartDate,0,COLUMN())&amp;","&amp;INDEX(MO_Common_QEndDate,0,COLUMN())&amp;",,,,""PRICE"",""CLOSE"")"),"N/A")</f>
        <v>N/A</v>
      </c>
      <c r="AO907" s="354" t="str">
        <f ca="1">IFERROR(_xll.FDS(MO.Ticker.FactSet,"P_PRICE_HIGH"&amp;"("&amp;INDEX(MO_SNA_FPStartDate,0,COLUMN())&amp;","&amp;INDEX(MO_Common_QEndDate,0,COLUMN())&amp;",,,,""PRICE"",""CLOSE"")"),"N/A")</f>
        <v>N/A</v>
      </c>
      <c r="AP907" s="354" t="str">
        <f ca="1">IFERROR(_xll.FDS(MO.Ticker.FactSet,"P_PRICE_HIGH"&amp;"("&amp;INDEX(MO_SNA_FPStartDate,0,COLUMN())&amp;","&amp;INDEX(MO_Common_QEndDate,0,COLUMN())&amp;",,,,""PRICE"",""CLOSE"")"),"N/A")</f>
        <v>N/A</v>
      </c>
      <c r="AQ907" s="354" t="str">
        <f ca="1">IFERROR(_xll.FDS(MO.Ticker.FactSet,"P_PRICE_HIGH"&amp;"("&amp;INDEX(MO_SNA_FPStartDate,0,COLUMN())&amp;","&amp;INDEX(MO_Common_QEndDate,0,COLUMN())&amp;",,,,""PRICE"",""CLOSE"")"),"N/A")</f>
        <v>N/A</v>
      </c>
      <c r="AR907" s="354" t="str">
        <f ca="1">IFERROR(_xll.FDS(MO.Ticker.FactSet,"P_PRICE_HIGH"&amp;"("&amp;INDEX(MO_SNA_FPStartDate,0,COLUMN())&amp;","&amp;INDEX(MO_Common_QEndDate,0,COLUMN())&amp;",,,,""PRICE"",""CLOSE"")"),"N/A")</f>
        <v>N/A</v>
      </c>
      <c r="AS907" s="354" t="str">
        <f ca="1">IFERROR(_xll.FDS(MO.Ticker.FactSet,"P_PRICE_HIGH"&amp;"("&amp;INDEX(MO_SNA_FPStartDate,0,COLUMN())&amp;","&amp;INDEX(MO_Common_QEndDate,0,COLUMN())&amp;",,,,""PRICE"",""CLOSE"")"),"N/A")</f>
        <v>N/A</v>
      </c>
      <c r="AT907" s="354" t="str">
        <f ca="1">IFERROR(_xll.FDS(MO.Ticker.FactSet,"P_PRICE_HIGH"&amp;"("&amp;INDEX(MO_SNA_FPStartDate,0,COLUMN())&amp;","&amp;INDEX(MO_Common_QEndDate,0,COLUMN())&amp;",,,,""PRICE"",""CLOSE"")"),"N/A")</f>
        <v>N/A</v>
      </c>
      <c r="AU907" s="354" t="str">
        <f ca="1">IFERROR(_xll.FDS(MO.Ticker.FactSet,"P_PRICE_HIGH"&amp;"("&amp;INDEX(MO_SNA_FPStartDate,0,COLUMN())&amp;","&amp;INDEX(MO_Common_QEndDate,0,COLUMN())&amp;",,,,""PRICE"",""CLOSE"")"),"N/A")</f>
        <v>N/A</v>
      </c>
      <c r="AV907" s="354" t="str">
        <f ca="1">IFERROR(_xll.FDS(MO.Ticker.FactSet,"P_PRICE_HIGH"&amp;"("&amp;INDEX(MO_SNA_FPStartDate,0,COLUMN())&amp;","&amp;INDEX(MO_Common_QEndDate,0,COLUMN())&amp;",,,,""PRICE"",""CLOSE"")"),"N/A")</f>
        <v>N/A</v>
      </c>
      <c r="AW907" s="354" t="str">
        <f ca="1">IFERROR(_xll.FDS(MO.Ticker.FactSet,"P_PRICE_HIGH"&amp;"("&amp;INDEX(MO_SNA_FPStartDate,0,COLUMN())&amp;","&amp;INDEX(MO_Common_QEndDate,0,COLUMN())&amp;",,,,""PRICE"",""CLOSE"")"),"N/A")</f>
        <v>N/A</v>
      </c>
      <c r="AX907" s="354" t="str">
        <f ca="1">IFERROR(_xll.FDS(MO.Ticker.FactSet,"P_PRICE_HIGH"&amp;"("&amp;INDEX(MO_SNA_FPStartDate,0,COLUMN())&amp;","&amp;INDEX(MO_Common_QEndDate,0,COLUMN())&amp;",,,,""PRICE"",""CLOSE"")"),"N/A")</f>
        <v>N/A</v>
      </c>
      <c r="AY907" s="354" t="str">
        <f ca="1">IFERROR(_xll.FDS(MO.Ticker.FactSet,"P_PRICE_HIGH"&amp;"("&amp;INDEX(MO_SNA_FPStartDate,0,COLUMN())&amp;","&amp;INDEX(MO_Common_QEndDate,0,COLUMN())&amp;",,,,""PRICE"",""CLOSE"")"),"N/A")</f>
        <v>N/A</v>
      </c>
      <c r="AZ907" s="354" t="str">
        <f ca="1">IFERROR(_xll.FDS(MO.Ticker.FactSet,"P_PRICE_HIGH"&amp;"("&amp;INDEX(MO_SNA_FPStartDate,0,COLUMN())&amp;","&amp;INDEX(MO_Common_QEndDate,0,COLUMN())&amp;",,,,""PRICE"",""CLOSE"")"),"N/A")</f>
        <v>N/A</v>
      </c>
      <c r="BA907" s="354" t="str">
        <f ca="1">IFERROR(_xll.FDS(MO.Ticker.FactSet,"P_PRICE_HIGH"&amp;"("&amp;INDEX(MO_SNA_FPStartDate,0,COLUMN())&amp;","&amp;INDEX(MO_Common_QEndDate,0,COLUMN())&amp;",,,,""PRICE"",""CLOSE"")"),"N/A")</f>
        <v>N/A</v>
      </c>
      <c r="BB907" s="354" t="str">
        <f ca="1">IFERROR(_xll.FDS(MO.Ticker.FactSet,"P_PRICE_HIGH"&amp;"("&amp;INDEX(MO_SNA_FPStartDate,0,COLUMN())&amp;","&amp;INDEX(MO_Common_QEndDate,0,COLUMN())&amp;",,,,""PRICE"",""CLOSE"")"),"N/A")</f>
        <v>N/A</v>
      </c>
      <c r="BC907" s="354" t="str">
        <f ca="1">IFERROR(_xll.FDS(MO.Ticker.FactSet,"P_PRICE_HIGH"&amp;"("&amp;INDEX(MO_SNA_FPStartDate,0,COLUMN())&amp;","&amp;INDEX(MO_Common_QEndDate,0,COLUMN())&amp;",,,,""PRICE"",""CLOSE"")"),"N/A")</f>
        <v>N/A</v>
      </c>
      <c r="BD907" s="354" t="str">
        <f ca="1">IFERROR(_xll.FDS(MO.Ticker.FactSet,"P_PRICE_HIGH"&amp;"("&amp;INDEX(MO_SNA_FPStartDate,0,COLUMN())&amp;","&amp;INDEX(MO_Common_QEndDate,0,COLUMN())&amp;",,,,""PRICE"",""CLOSE"")"),"N/A")</f>
        <v>N/A</v>
      </c>
      <c r="BE907" s="354" t="str">
        <f ca="1">IFERROR(_xll.FDS(MO.Ticker.FactSet,"P_PRICE_HIGH"&amp;"("&amp;INDEX(MO_SNA_FPStartDate,0,COLUMN())&amp;","&amp;INDEX(MO_Common_QEndDate,0,COLUMN())&amp;",,,,""PRICE"",""CLOSE"")"),"N/A")</f>
        <v>N/A</v>
      </c>
      <c r="BF907" s="354" t="str">
        <f ca="1">IFERROR(_xll.FDS(MO.Ticker.FactSet,"P_PRICE_HIGH"&amp;"("&amp;INDEX(MO_SNA_FPStartDate,0,COLUMN())&amp;","&amp;INDEX(MO_Common_QEndDate,0,COLUMN())&amp;",,,,""PRICE"",""CLOSE"")"),"N/A")</f>
        <v>N/A</v>
      </c>
      <c r="BG907" s="354" t="str">
        <f ca="1">IFERROR(_xll.FDS(MO.Ticker.FactSet,"P_PRICE_HIGH"&amp;"("&amp;INDEX(MO_SNA_FPStartDate,0,COLUMN())&amp;","&amp;INDEX(MO_Common_QEndDate,0,COLUMN())&amp;",,,,""PRICE"",""CLOSE"")"),"N/A")</f>
        <v>N/A</v>
      </c>
      <c r="BH907" s="354" t="str">
        <f ca="1">IFERROR(_xll.FDS(MO.Ticker.FactSet,"P_PRICE_HIGH"&amp;"("&amp;INDEX(MO_SNA_FPStartDate,0,COLUMN())&amp;","&amp;INDEX(MO_Common_QEndDate,0,COLUMN())&amp;",,,,""PRICE"",""CLOSE"")"),"N/A")</f>
        <v>N/A</v>
      </c>
      <c r="BI907" s="354" t="str">
        <f ca="1">IFERROR(_xll.FDS(MO.Ticker.FactSet,"P_PRICE_HIGH"&amp;"("&amp;INDEX(MO_SNA_FPStartDate,0,COLUMN())&amp;","&amp;INDEX(MO_Common_QEndDate,0,COLUMN())&amp;",,,,""PRICE"",""CLOSE"")"),"N/A")</f>
        <v>N/A</v>
      </c>
      <c r="BJ907" s="354" t="str">
        <f ca="1">IFERROR(_xll.FDS(MO.Ticker.FactSet,"P_PRICE_HIGH"&amp;"("&amp;INDEX(MO_SNA_FPStartDate,0,COLUMN())&amp;","&amp;INDEX(MO_Common_QEndDate,0,COLUMN())&amp;",,,,""PRICE"",""CLOSE"")"),"N/A")</f>
        <v>N/A</v>
      </c>
      <c r="BK907" s="354" t="str">
        <f ca="1">IFERROR(_xll.FDS(MO.Ticker.FactSet,"P_PRICE_HIGH"&amp;"("&amp;INDEX(MO_SNA_FPStartDate,0,COLUMN())&amp;","&amp;INDEX(MO_Common_QEndDate,0,COLUMN())&amp;",,,,""PRICE"",""CLOSE"")"),"N/A")</f>
        <v>N/A</v>
      </c>
      <c r="BL907" s="354" t="str">
        <f ca="1">IFERROR(_xll.FDS(MO.Ticker.FactSet,"P_PRICE_HIGH"&amp;"("&amp;INDEX(MO_SNA_FPStartDate,0,COLUMN())&amp;","&amp;INDEX(MO_Common_QEndDate,0,COLUMN())&amp;",,,,""PRICE"",""CLOSE"")"),"N/A")</f>
        <v>N/A</v>
      </c>
      <c r="BM907" s="354" t="str">
        <f ca="1">IFERROR(_xll.FDS(MO.Ticker.FactSet,"P_PRICE_HIGH"&amp;"("&amp;INDEX(MO_SNA_FPStartDate,0,COLUMN())&amp;","&amp;INDEX(MO_Common_QEndDate,0,COLUMN())&amp;",,,,""PRICE"",""CLOSE"")"),"N/A")</f>
        <v>N/A</v>
      </c>
      <c r="BN907" s="354" t="str">
        <f ca="1">IFERROR(_xll.FDS(MO.Ticker.FactSet,"P_PRICE_HIGH"&amp;"("&amp;INDEX(MO_SNA_FPStartDate,0,COLUMN())&amp;","&amp;INDEX(MO_Common_QEndDate,0,COLUMN())&amp;",,,,""PRICE"",""CLOSE"")"),"N/A")</f>
        <v>N/A</v>
      </c>
      <c r="BO907" s="354" t="str">
        <f ca="1">IFERROR(_xll.FDS(MO.Ticker.FactSet,"P_PRICE_HIGH"&amp;"("&amp;INDEX(MO_SNA_FPStartDate,0,COLUMN())&amp;","&amp;INDEX(MO_Common_QEndDate,0,COLUMN())&amp;",,,,""PRICE"",""CLOSE"")"),"N/A")</f>
        <v>N/A</v>
      </c>
      <c r="BP907" s="354" t="str">
        <f ca="1">IFERROR(_xll.FDS(MO.Ticker.FactSet,"P_PRICE_HIGH"&amp;"("&amp;INDEX(MO_SNA_FPStartDate,0,COLUMN())&amp;","&amp;INDEX(MO_Common_QEndDate,0,COLUMN())&amp;",,,,""PRICE"",""CLOSE"")"),"N/A")</f>
        <v>N/A</v>
      </c>
      <c r="BQ907" s="354" t="str">
        <f ca="1">IFERROR(_xll.FDS(MO.Ticker.FactSet,"P_PRICE_HIGH"&amp;"("&amp;INDEX(MO_SNA_FPStartDate,0,COLUMN())&amp;","&amp;INDEX(MO_Common_QEndDate,0,COLUMN())&amp;",,,,""PRICE"",""CLOSE"")"),"N/A")</f>
        <v>N/A</v>
      </c>
      <c r="BR907" s="354" t="str">
        <f ca="1">IFERROR(_xll.FDS(MO.Ticker.FactSet,"P_PRICE_HIGH"&amp;"("&amp;INDEX(MO_SNA_FPStartDate,0,COLUMN())&amp;","&amp;INDEX(MO_Common_QEndDate,0,COLUMN())&amp;",,,,""PRICE"",""CLOSE"")"),"N/A")</f>
        <v>N/A</v>
      </c>
      <c r="BS907" s="661" t="str">
        <f ca="1">IFERROR(_xll.FDS(MO.Ticker.FactSet,"P_PRICE_HIGH"&amp;"("&amp;INDEX(MO_SNA_FPStartDate,0,COLUMN())&amp;","&amp;INDEX(MO_Common_QEndDate,0,COLUMN())&amp;",,,,""PRICE"",""CLOSE"")"),"N/A")</f>
        <v>N/A</v>
      </c>
      <c r="BT907" s="354" t="str">
        <f ca="1">IFERROR(_xll.FDS(MO.Ticker.FactSet,"P_PRICE_HIGH"&amp;"("&amp;INDEX(MO_SNA_FPStartDate,0,COLUMN())&amp;","&amp;INDEX(MO_Common_QEndDate,0,COLUMN())&amp;",,,,""PRICE"",""CLOSE"")"),"N/A")</f>
        <v>N/A</v>
      </c>
      <c r="BU907" s="354" t="str">
        <f ca="1">IFERROR(_xll.FDS(MO.Ticker.FactSet,"P_PRICE_HIGH"&amp;"("&amp;INDEX(MO_SNA_FPStartDate,0,COLUMN())&amp;","&amp;INDEX(MO_Common_QEndDate,0,COLUMN())&amp;",,,,""PRICE"",""CLOSE"")"),"N/A")</f>
        <v>N/A</v>
      </c>
      <c r="BV907" s="354" t="str">
        <f ca="1">IFERROR(_xll.FDS(MO.Ticker.FactSet,"P_PRICE_HIGH"&amp;"("&amp;INDEX(MO_SNA_FPStartDate,0,COLUMN())&amp;","&amp;INDEX(MO_Common_QEndDate,0,COLUMN())&amp;",,,,""PRICE"",""CLOSE"")"),"N/A")</f>
        <v>N/A</v>
      </c>
      <c r="BW907" s="354" t="str">
        <f ca="1">IFERROR(_xll.FDS(MO.Ticker.FactSet,"P_PRICE_HIGH"&amp;"("&amp;INDEX(MO_SNA_FPStartDate,0,COLUMN())&amp;","&amp;INDEX(MO_Common_QEndDate,0,COLUMN())&amp;",,,,""PRICE"",""CLOSE"")"),"N/A")</f>
        <v>N/A</v>
      </c>
      <c r="BX907" s="354" t="str">
        <f ca="1">IFERROR(_xll.FDS(MO.Ticker.FactSet,"P_PRICE_HIGH"&amp;"("&amp;INDEX(MO_SNA_FPStartDate,0,COLUMN())&amp;","&amp;INDEX(MO_Common_QEndDate,0,COLUMN())&amp;",,,,""PRICE"",""CLOSE"")"),"N/A")</f>
        <v>N/A</v>
      </c>
      <c r="BY907" s="354" t="str">
        <f ca="1">IFERROR(_xll.FDS(MO.Ticker.FactSet,"P_PRICE_HIGH"&amp;"("&amp;INDEX(MO_SNA_FPStartDate,0,COLUMN())&amp;","&amp;INDEX(MO_Common_QEndDate,0,COLUMN())&amp;",,,,""PRICE"",""CLOSE"")"),"N/A")</f>
        <v>N/A</v>
      </c>
      <c r="BZ907" s="354" t="str">
        <f ca="1">IFERROR(_xll.FDS(MO.Ticker.FactSet,"P_PRICE_HIGH"&amp;"("&amp;INDEX(MO_SNA_FPStartDate,0,COLUMN())&amp;","&amp;INDEX(MO_Common_QEndDate,0,COLUMN())&amp;",,,,""PRICE"",""CLOSE"")"),"N/A")</f>
        <v>N/A</v>
      </c>
      <c r="CA907" s="354" t="str">
        <f ca="1">IFERROR(_xll.FDS(MO.Ticker.FactSet,"P_PRICE_HIGH"&amp;"("&amp;INDEX(MO_SNA_FPStartDate,0,COLUMN())&amp;","&amp;INDEX(MO_Common_QEndDate,0,COLUMN())&amp;",,,,""PRICE"",""CLOSE"")"),"N/A")</f>
        <v>N/A</v>
      </c>
      <c r="CB907" s="354" t="str">
        <f ca="1">IFERROR(_xll.FDS(MO.Ticker.FactSet,"P_PRICE_HIGH"&amp;"("&amp;INDEX(MO_SNA_FPStartDate,0,COLUMN())&amp;","&amp;INDEX(MO_Common_QEndDate,0,COLUMN())&amp;",,,,""PRICE"",""CLOSE"")"),"N/A")</f>
        <v>N/A</v>
      </c>
      <c r="CC907" s="354" t="str">
        <f ca="1">IFERROR(_xll.FDS(MO.Ticker.FactSet,"P_PRICE_HIGH"&amp;"("&amp;INDEX(MO_SNA_FPStartDate,0,COLUMN())&amp;","&amp;INDEX(MO_Common_QEndDate,0,COLUMN())&amp;",,,,""PRICE"",""CLOSE"")"),"N/A")</f>
        <v>N/A</v>
      </c>
      <c r="CD907" s="354" t="str">
        <f ca="1">IFERROR(_xll.FDS(MO.Ticker.FactSet,"P_PRICE_HIGH"&amp;"("&amp;INDEX(MO_SNA_FPStartDate,0,COLUMN())&amp;","&amp;INDEX(MO_Common_QEndDate,0,COLUMN())&amp;",,,,""PRICE"",""CLOSE"")"),"N/A")</f>
        <v>N/A</v>
      </c>
      <c r="CE907" s="354" t="str">
        <f ca="1">IFERROR(_xll.FDS(MO.Ticker.FactSet,"P_PRICE_HIGH"&amp;"("&amp;INDEX(MO_SNA_FPStartDate,0,COLUMN())&amp;","&amp;INDEX(MO_Common_QEndDate,0,COLUMN())&amp;",,,,""PRICE"",""CLOSE"")"),"N/A")</f>
        <v>N/A</v>
      </c>
      <c r="CF907" s="662" t="str">
        <f ca="1">IFERROR(_xll.FDS(MO.Ticker.FactSet,"P_PRICE_HIGH"&amp;"("&amp;INDEX(MO_SNA_FPStartDate,0,COLUMN())&amp;","&amp;INDEX(MO_Common_QEndDate,0,COLUMN())&amp;",,,,""PRICE"",""CLOSE"")"),"N/A")</f>
        <v>N/A</v>
      </c>
      <c r="CG907" s="663"/>
    </row>
    <row r="908" spans="1:85" ht="14.45" hidden="1" customHeight="1" x14ac:dyDescent="0.25">
      <c r="A908" s="355" t="s">
        <v>805</v>
      </c>
      <c r="B908" s="354"/>
      <c r="C908" s="290" t="str">
        <f ca="1">IFERROR(_xll.TR(MO.Ticker.Thomson,"MAX(TR.Pricehigh)","sdate:#1 edate:#2",,INDEX(MO_SNA_FPStartDate,0,COLUMN()),INDEX(MO_Common_QEndDate,0,COLUMN())),"N/A")</f>
        <v>N/A</v>
      </c>
      <c r="D908" s="290" t="str">
        <f ca="1">IFERROR(_xll.TR(MO.Ticker.Thomson,"MAX(TR.Pricehigh)","sdate:#1 edate:#2",,INDEX(MO_SNA_FPStartDate,0,COLUMN()),INDEX(MO_Common_QEndDate,0,COLUMN())),"N/A")</f>
        <v>N/A</v>
      </c>
      <c r="E908" s="290" t="str">
        <f ca="1">IFERROR(_xll.TR(MO.Ticker.Thomson,"MAX(TR.Pricehigh)","sdate:#1 edate:#2",,INDEX(MO_SNA_FPStartDate,0,COLUMN()),INDEX(MO_Common_QEndDate,0,COLUMN())),"N/A")</f>
        <v>N/A</v>
      </c>
      <c r="F908" s="290" t="str">
        <f ca="1">IFERROR(_xll.TR(MO.Ticker.Thomson,"MAX(TR.Pricehigh)","sdate:#1 edate:#2",,INDEX(MO_SNA_FPStartDate,0,COLUMN()),INDEX(MO_Common_QEndDate,0,COLUMN())),"N/A")</f>
        <v>N/A</v>
      </c>
      <c r="G908" s="290" t="str">
        <f ca="1">IFERROR(_xll.TR(MO.Ticker.Thomson,"MAX(TR.Pricehigh)","sdate:#1 edate:#2",,INDEX(MO_SNA_FPStartDate,0,COLUMN()),INDEX(MO_Common_QEndDate,0,COLUMN())),"N/A")</f>
        <v>N/A</v>
      </c>
      <c r="H908" s="354" t="str">
        <f ca="1">IFERROR(_xll.TR(MO.Ticker.Thomson,"MAX(TR.Pricehigh)","sdate:#1 edate:#2",,INDEX(MO_SNA_FPStartDate,0,COLUMN()),INDEX(MO_Common_QEndDate,0,COLUMN())),"N/A")</f>
        <v>N/A</v>
      </c>
      <c r="I908" s="354" t="str">
        <f ca="1">IFERROR(_xll.TR(MO.Ticker.Thomson,"MAX(TR.Pricehigh)","sdate:#1 edate:#2",,INDEX(MO_SNA_FPStartDate,0,COLUMN()),INDEX(MO_Common_QEndDate,0,COLUMN())),"N/A")</f>
        <v>N/A</v>
      </c>
      <c r="J908" s="354" t="str">
        <f ca="1">IFERROR(_xll.TR(MO.Ticker.Thomson,"MAX(TR.Pricehigh)","sdate:#1 edate:#2",,INDEX(MO_SNA_FPStartDate,0,COLUMN()),INDEX(MO_Common_QEndDate,0,COLUMN())),"N/A")</f>
        <v>N/A</v>
      </c>
      <c r="K908" s="354" t="str">
        <f ca="1">IFERROR(_xll.TR(MO.Ticker.Thomson,"MAX(TR.Pricehigh)","sdate:#1 edate:#2",,INDEX(MO_SNA_FPStartDate,0,COLUMN()),INDEX(MO_Common_QEndDate,0,COLUMN())),"N/A")</f>
        <v>N/A</v>
      </c>
      <c r="L908" s="354" t="str">
        <f ca="1">IFERROR(_xll.TR(MO.Ticker.Thomson,"MAX(TR.Pricehigh)","sdate:#1 edate:#2",,INDEX(MO_SNA_FPStartDate,0,COLUMN()),INDEX(MO_Common_QEndDate,0,COLUMN())),"N/A")</f>
        <v>N/A</v>
      </c>
      <c r="M908" s="354" t="str">
        <f ca="1">IFERROR(_xll.TR(MO.Ticker.Thomson,"MAX(TR.Pricehigh)","sdate:#1 edate:#2",,INDEX(MO_SNA_FPStartDate,0,COLUMN()),INDEX(MO_Common_QEndDate,0,COLUMN())),"N/A")</f>
        <v>N/A</v>
      </c>
      <c r="N908" s="354" t="str">
        <f ca="1">IFERROR(_xll.TR(MO.Ticker.Thomson,"MAX(TR.Pricehigh)","sdate:#1 edate:#2",,INDEX(MO_SNA_FPStartDate,0,COLUMN()),INDEX(MO_Common_QEndDate,0,COLUMN())),"N/A")</f>
        <v>N/A</v>
      </c>
      <c r="O908" s="354" t="str">
        <f ca="1">IFERROR(_xll.TR(MO.Ticker.Thomson,"MAX(TR.Pricehigh)","sdate:#1 edate:#2",,INDEX(MO_SNA_FPStartDate,0,COLUMN()),INDEX(MO_Common_QEndDate,0,COLUMN())),"N/A")</f>
        <v>N/A</v>
      </c>
      <c r="P908" s="354" t="str">
        <f ca="1">IFERROR(_xll.TR(MO.Ticker.Thomson,"MAX(TR.Pricehigh)","sdate:#1 edate:#2",,INDEX(MO_SNA_FPStartDate,0,COLUMN()),INDEX(MO_Common_QEndDate,0,COLUMN())),"N/A")</f>
        <v>N/A</v>
      </c>
      <c r="Q908" s="354" t="str">
        <f ca="1">IFERROR(_xll.TR(MO.Ticker.Thomson,"MAX(TR.Pricehigh)","sdate:#1 edate:#2",,INDEX(MO_SNA_FPStartDate,0,COLUMN()),INDEX(MO_Common_QEndDate,0,COLUMN())),"N/A")</f>
        <v>N/A</v>
      </c>
      <c r="R908" s="354" t="str">
        <f ca="1">IFERROR(_xll.TR(MO.Ticker.Thomson,"MAX(TR.Pricehigh)","sdate:#1 edate:#2",,INDEX(MO_SNA_FPStartDate,0,COLUMN()),INDEX(MO_Common_QEndDate,0,COLUMN())),"N/A")</f>
        <v>N/A</v>
      </c>
      <c r="S908" s="354" t="str">
        <f ca="1">IFERROR(_xll.TR(MO.Ticker.Thomson,"MAX(TR.Pricehigh)","sdate:#1 edate:#2",,INDEX(MO_SNA_FPStartDate,0,COLUMN()),INDEX(MO_Common_QEndDate,0,COLUMN())),"N/A")</f>
        <v>N/A</v>
      </c>
      <c r="T908" s="354" t="str">
        <f ca="1">IFERROR(_xll.TR(MO.Ticker.Thomson,"MAX(TR.Pricehigh)","sdate:#1 edate:#2",,INDEX(MO_SNA_FPStartDate,0,COLUMN()),INDEX(MO_Common_QEndDate,0,COLUMN())),"N/A")</f>
        <v>N/A</v>
      </c>
      <c r="U908" s="354" t="str">
        <f ca="1">IFERROR(_xll.TR(MO.Ticker.Thomson,"MAX(TR.Pricehigh)","sdate:#1 edate:#2",,INDEX(MO_SNA_FPStartDate,0,COLUMN()),INDEX(MO_Common_QEndDate,0,COLUMN())),"N/A")</f>
        <v>N/A</v>
      </c>
      <c r="V908" s="354" t="str">
        <f ca="1">IFERROR(_xll.TR(MO.Ticker.Thomson,"MAX(TR.Pricehigh)","sdate:#1 edate:#2",,INDEX(MO_SNA_FPStartDate,0,COLUMN()),INDEX(MO_Common_QEndDate,0,COLUMN())),"N/A")</f>
        <v>N/A</v>
      </c>
      <c r="W908" s="354" t="str">
        <f ca="1">IFERROR(_xll.TR(MO.Ticker.Thomson,"MAX(TR.Pricehigh)","sdate:#1 edate:#2",,INDEX(MO_SNA_FPStartDate,0,COLUMN()),INDEX(MO_Common_QEndDate,0,COLUMN())),"N/A")</f>
        <v>N/A</v>
      </c>
      <c r="X908" s="354" t="str">
        <f ca="1">IFERROR(_xll.TR(MO.Ticker.Thomson,"MAX(TR.Pricehigh)","sdate:#1 edate:#2",,INDEX(MO_SNA_FPStartDate,0,COLUMN()),INDEX(MO_Common_QEndDate,0,COLUMN())),"N/A")</f>
        <v>N/A</v>
      </c>
      <c r="Y908" s="354" t="str">
        <f ca="1">IFERROR(_xll.TR(MO.Ticker.Thomson,"MAX(TR.Pricehigh)","sdate:#1 edate:#2",,INDEX(MO_SNA_FPStartDate,0,COLUMN()),INDEX(MO_Common_QEndDate,0,COLUMN())),"N/A")</f>
        <v>N/A</v>
      </c>
      <c r="Z908" s="354" t="str">
        <f ca="1">IFERROR(_xll.TR(MO.Ticker.Thomson,"MAX(TR.Pricehigh)","sdate:#1 edate:#2",,INDEX(MO_SNA_FPStartDate,0,COLUMN()),INDEX(MO_Common_QEndDate,0,COLUMN())),"N/A")</f>
        <v>N/A</v>
      </c>
      <c r="AA908" s="354" t="str">
        <f ca="1">IFERROR(_xll.TR(MO.Ticker.Thomson,"MAX(TR.Pricehigh)","sdate:#1 edate:#2",,INDEX(MO_SNA_FPStartDate,0,COLUMN()),INDEX(MO_Common_QEndDate,0,COLUMN())),"N/A")</f>
        <v>N/A</v>
      </c>
      <c r="AB908" s="354" t="str">
        <f ca="1">IFERROR(_xll.TR(MO.Ticker.Thomson,"MAX(TR.Pricehigh)","sdate:#1 edate:#2",,INDEX(MO_SNA_FPStartDate,0,COLUMN()),INDEX(MO_Common_QEndDate,0,COLUMN())),"N/A")</f>
        <v>N/A</v>
      </c>
      <c r="AC908" s="354" t="str">
        <f ca="1">IFERROR(_xll.TR(MO.Ticker.Thomson,"MAX(TR.Pricehigh)","sdate:#1 edate:#2",,INDEX(MO_SNA_FPStartDate,0,COLUMN()),INDEX(MO_Common_QEndDate,0,COLUMN())),"N/A")</f>
        <v>N/A</v>
      </c>
      <c r="AD908" s="354" t="str">
        <f ca="1">IFERROR(_xll.TR(MO.Ticker.Thomson,"MAX(TR.Pricehigh)","sdate:#1 edate:#2",,INDEX(MO_SNA_FPStartDate,0,COLUMN()),INDEX(MO_Common_QEndDate,0,COLUMN())),"N/A")</f>
        <v>N/A</v>
      </c>
      <c r="AE908" s="354" t="str">
        <f ca="1">IFERROR(_xll.TR(MO.Ticker.Thomson,"MAX(TR.Pricehigh)","sdate:#1 edate:#2",,INDEX(MO_SNA_FPStartDate,0,COLUMN()),INDEX(MO_Common_QEndDate,0,COLUMN())),"N/A")</f>
        <v>N/A</v>
      </c>
      <c r="AF908" s="354" t="str">
        <f ca="1">IFERROR(_xll.TR(MO.Ticker.Thomson,"MAX(TR.Pricehigh)","sdate:#1 edate:#2",,INDEX(MO_SNA_FPStartDate,0,COLUMN()),INDEX(MO_Common_QEndDate,0,COLUMN())),"N/A")</f>
        <v>N/A</v>
      </c>
      <c r="AG908" s="354" t="str">
        <f ca="1">IFERROR(_xll.TR(MO.Ticker.Thomson,"MAX(TR.Pricehigh)","sdate:#1 edate:#2",,INDEX(MO_SNA_FPStartDate,0,COLUMN()),INDEX(MO_Common_QEndDate,0,COLUMN())),"N/A")</f>
        <v>N/A</v>
      </c>
      <c r="AH908" s="354" t="str">
        <f ca="1">IFERROR(_xll.TR(MO.Ticker.Thomson,"MAX(TR.Pricehigh)","sdate:#1 edate:#2",,INDEX(MO_SNA_FPStartDate,0,COLUMN()),INDEX(MO_Common_QEndDate,0,COLUMN())),"N/A")</f>
        <v>N/A</v>
      </c>
      <c r="AI908" s="354" t="str">
        <f ca="1">IFERROR(_xll.TR(MO.Ticker.Thomson,"MAX(TR.Pricehigh)","sdate:#1 edate:#2",,INDEX(MO_SNA_FPStartDate,0,COLUMN()),INDEX(MO_Common_QEndDate,0,COLUMN())),"N/A")</f>
        <v>N/A</v>
      </c>
      <c r="AJ908" s="354" t="str">
        <f ca="1">IFERROR(_xll.TR(MO.Ticker.Thomson,"MAX(TR.Pricehigh)","sdate:#1 edate:#2",,INDEX(MO_SNA_FPStartDate,0,COLUMN()),INDEX(MO_Common_QEndDate,0,COLUMN())),"N/A")</f>
        <v>N/A</v>
      </c>
      <c r="AK908" s="354" t="str">
        <f ca="1">IFERROR(_xll.TR(MO.Ticker.Thomson,"MAX(TR.Pricehigh)","sdate:#1 edate:#2",,INDEX(MO_SNA_FPStartDate,0,COLUMN()),INDEX(MO_Common_QEndDate,0,COLUMN())),"N/A")</f>
        <v>N/A</v>
      </c>
      <c r="AL908" s="354" t="str">
        <f ca="1">IFERROR(_xll.TR(MO.Ticker.Thomson,"MAX(TR.Pricehigh)","sdate:#1 edate:#2",,INDEX(MO_SNA_FPStartDate,0,COLUMN()),INDEX(MO_Common_QEndDate,0,COLUMN())),"N/A")</f>
        <v>N/A</v>
      </c>
      <c r="AM908" s="354" t="str">
        <f ca="1">IFERROR(_xll.TR(MO.Ticker.Thomson,"MAX(TR.Pricehigh)","sdate:#1 edate:#2",,INDEX(MO_SNA_FPStartDate,0,COLUMN()),INDEX(MO_Common_QEndDate,0,COLUMN())),"N/A")</f>
        <v>N/A</v>
      </c>
      <c r="AN908" s="354" t="str">
        <f ca="1">IFERROR(_xll.TR(MO.Ticker.Thomson,"MAX(TR.Pricehigh)","sdate:#1 edate:#2",,INDEX(MO_SNA_FPStartDate,0,COLUMN()),INDEX(MO_Common_QEndDate,0,COLUMN())),"N/A")</f>
        <v>N/A</v>
      </c>
      <c r="AO908" s="354" t="str">
        <f ca="1">IFERROR(_xll.TR(MO.Ticker.Thomson,"MAX(TR.Pricehigh)","sdate:#1 edate:#2",,INDEX(MO_SNA_FPStartDate,0,COLUMN()),INDEX(MO_Common_QEndDate,0,COLUMN())),"N/A")</f>
        <v>N/A</v>
      </c>
      <c r="AP908" s="354" t="str">
        <f ca="1">IFERROR(_xll.TR(MO.Ticker.Thomson,"MAX(TR.Pricehigh)","sdate:#1 edate:#2",,INDEX(MO_SNA_FPStartDate,0,COLUMN()),INDEX(MO_Common_QEndDate,0,COLUMN())),"N/A")</f>
        <v>N/A</v>
      </c>
      <c r="AQ908" s="354" t="str">
        <f ca="1">IFERROR(_xll.TR(MO.Ticker.Thomson,"MAX(TR.Pricehigh)","sdate:#1 edate:#2",,INDEX(MO_SNA_FPStartDate,0,COLUMN()),INDEX(MO_Common_QEndDate,0,COLUMN())),"N/A")</f>
        <v>N/A</v>
      </c>
      <c r="AR908" s="354" t="str">
        <f ca="1">IFERROR(_xll.TR(MO.Ticker.Thomson,"MAX(TR.Pricehigh)","sdate:#1 edate:#2",,INDEX(MO_SNA_FPStartDate,0,COLUMN()),INDEX(MO_Common_QEndDate,0,COLUMN())),"N/A")</f>
        <v>N/A</v>
      </c>
      <c r="AS908" s="354" t="str">
        <f ca="1">IFERROR(_xll.TR(MO.Ticker.Thomson,"MAX(TR.Pricehigh)","sdate:#1 edate:#2",,INDEX(MO_SNA_FPStartDate,0,COLUMN()),INDEX(MO_Common_QEndDate,0,COLUMN())),"N/A")</f>
        <v>N/A</v>
      </c>
      <c r="AT908" s="354" t="str">
        <f ca="1">IFERROR(_xll.TR(MO.Ticker.Thomson,"MAX(TR.Pricehigh)","sdate:#1 edate:#2",,INDEX(MO_SNA_FPStartDate,0,COLUMN()),INDEX(MO_Common_QEndDate,0,COLUMN())),"N/A")</f>
        <v>N/A</v>
      </c>
      <c r="AU908" s="354" t="str">
        <f ca="1">IFERROR(_xll.TR(MO.Ticker.Thomson,"MAX(TR.Pricehigh)","sdate:#1 edate:#2",,INDEX(MO_SNA_FPStartDate,0,COLUMN()),INDEX(MO_Common_QEndDate,0,COLUMN())),"N/A")</f>
        <v>N/A</v>
      </c>
      <c r="AV908" s="354" t="str">
        <f ca="1">IFERROR(_xll.TR(MO.Ticker.Thomson,"MAX(TR.Pricehigh)","sdate:#1 edate:#2",,INDEX(MO_SNA_FPStartDate,0,COLUMN()),INDEX(MO_Common_QEndDate,0,COLUMN())),"N/A")</f>
        <v>N/A</v>
      </c>
      <c r="AW908" s="354" t="str">
        <f ca="1">IFERROR(_xll.TR(MO.Ticker.Thomson,"MAX(TR.Pricehigh)","sdate:#1 edate:#2",,INDEX(MO_SNA_FPStartDate,0,COLUMN()),INDEX(MO_Common_QEndDate,0,COLUMN())),"N/A")</f>
        <v>N/A</v>
      </c>
      <c r="AX908" s="354" t="str">
        <f ca="1">IFERROR(_xll.TR(MO.Ticker.Thomson,"MAX(TR.Pricehigh)","sdate:#1 edate:#2",,INDEX(MO_SNA_FPStartDate,0,COLUMN()),INDEX(MO_Common_QEndDate,0,COLUMN())),"N/A")</f>
        <v>N/A</v>
      </c>
      <c r="AY908" s="354" t="str">
        <f ca="1">IFERROR(_xll.TR(MO.Ticker.Thomson,"MAX(TR.Pricehigh)","sdate:#1 edate:#2",,INDEX(MO_SNA_FPStartDate,0,COLUMN()),INDEX(MO_Common_QEndDate,0,COLUMN())),"N/A")</f>
        <v>N/A</v>
      </c>
      <c r="AZ908" s="354" t="str">
        <f ca="1">IFERROR(_xll.TR(MO.Ticker.Thomson,"MAX(TR.Pricehigh)","sdate:#1 edate:#2",,INDEX(MO_SNA_FPStartDate,0,COLUMN()),INDEX(MO_Common_QEndDate,0,COLUMN())),"N/A")</f>
        <v>N/A</v>
      </c>
      <c r="BA908" s="354" t="str">
        <f ca="1">IFERROR(_xll.TR(MO.Ticker.Thomson,"MAX(TR.Pricehigh)","sdate:#1 edate:#2",,INDEX(MO_SNA_FPStartDate,0,COLUMN()),INDEX(MO_Common_QEndDate,0,COLUMN())),"N/A")</f>
        <v>N/A</v>
      </c>
      <c r="BB908" s="354" t="str">
        <f ca="1">IFERROR(_xll.TR(MO.Ticker.Thomson,"MAX(TR.Pricehigh)","sdate:#1 edate:#2",,INDEX(MO_SNA_FPStartDate,0,COLUMN()),INDEX(MO_Common_QEndDate,0,COLUMN())),"N/A")</f>
        <v>N/A</v>
      </c>
      <c r="BC908" s="354" t="str">
        <f ca="1">IFERROR(_xll.TR(MO.Ticker.Thomson,"MAX(TR.Pricehigh)","sdate:#1 edate:#2",,INDEX(MO_SNA_FPStartDate,0,COLUMN()),INDEX(MO_Common_QEndDate,0,COLUMN())),"N/A")</f>
        <v>N/A</v>
      </c>
      <c r="BD908" s="354" t="str">
        <f ca="1">IFERROR(_xll.TR(MO.Ticker.Thomson,"MAX(TR.Pricehigh)","sdate:#1 edate:#2",,INDEX(MO_SNA_FPStartDate,0,COLUMN()),INDEX(MO_Common_QEndDate,0,COLUMN())),"N/A")</f>
        <v>N/A</v>
      </c>
      <c r="BE908" s="354" t="str">
        <f ca="1">IFERROR(_xll.TR(MO.Ticker.Thomson,"MAX(TR.Pricehigh)","sdate:#1 edate:#2",,INDEX(MO_SNA_FPStartDate,0,COLUMN()),INDEX(MO_Common_QEndDate,0,COLUMN())),"N/A")</f>
        <v>N/A</v>
      </c>
      <c r="BF908" s="354" t="str">
        <f ca="1">IFERROR(_xll.TR(MO.Ticker.Thomson,"MAX(TR.Pricehigh)","sdate:#1 edate:#2",,INDEX(MO_SNA_FPStartDate,0,COLUMN()),INDEX(MO_Common_QEndDate,0,COLUMN())),"N/A")</f>
        <v>N/A</v>
      </c>
      <c r="BG908" s="354" t="str">
        <f ca="1">IFERROR(_xll.TR(MO.Ticker.Thomson,"MAX(TR.Pricehigh)","sdate:#1 edate:#2",,INDEX(MO_SNA_FPStartDate,0,COLUMN()),INDEX(MO_Common_QEndDate,0,COLUMN())),"N/A")</f>
        <v>N/A</v>
      </c>
      <c r="BH908" s="354" t="str">
        <f ca="1">IFERROR(_xll.TR(MO.Ticker.Thomson,"MAX(TR.Pricehigh)","sdate:#1 edate:#2",,INDEX(MO_SNA_FPStartDate,0,COLUMN()),INDEX(MO_Common_QEndDate,0,COLUMN())),"N/A")</f>
        <v>N/A</v>
      </c>
      <c r="BI908" s="354" t="str">
        <f ca="1">IFERROR(_xll.TR(MO.Ticker.Thomson,"MAX(TR.Pricehigh)","sdate:#1 edate:#2",,INDEX(MO_SNA_FPStartDate,0,COLUMN()),INDEX(MO_Common_QEndDate,0,COLUMN())),"N/A")</f>
        <v>N/A</v>
      </c>
      <c r="BJ908" s="354" t="str">
        <f ca="1">IFERROR(_xll.TR(MO.Ticker.Thomson,"MAX(TR.Pricehigh)","sdate:#1 edate:#2",,INDEX(MO_SNA_FPStartDate,0,COLUMN()),INDEX(MO_Common_QEndDate,0,COLUMN())),"N/A")</f>
        <v>N/A</v>
      </c>
      <c r="BK908" s="354" t="str">
        <f ca="1">IFERROR(_xll.TR(MO.Ticker.Thomson,"MAX(TR.Pricehigh)","sdate:#1 edate:#2",,INDEX(MO_SNA_FPStartDate,0,COLUMN()),INDEX(MO_Common_QEndDate,0,COLUMN())),"N/A")</f>
        <v>N/A</v>
      </c>
      <c r="BL908" s="354" t="str">
        <f ca="1">IFERROR(_xll.TR(MO.Ticker.Thomson,"MAX(TR.Pricehigh)","sdate:#1 edate:#2",,INDEX(MO_SNA_FPStartDate,0,COLUMN()),INDEX(MO_Common_QEndDate,0,COLUMN())),"N/A")</f>
        <v>N/A</v>
      </c>
      <c r="BM908" s="354" t="str">
        <f ca="1">IFERROR(_xll.TR(MO.Ticker.Thomson,"MAX(TR.Pricehigh)","sdate:#1 edate:#2",,INDEX(MO_SNA_FPStartDate,0,COLUMN()),INDEX(MO_Common_QEndDate,0,COLUMN())),"N/A")</f>
        <v>N/A</v>
      </c>
      <c r="BN908" s="354" t="str">
        <f ca="1">IFERROR(_xll.TR(MO.Ticker.Thomson,"MAX(TR.Pricehigh)","sdate:#1 edate:#2",,INDEX(MO_SNA_FPStartDate,0,COLUMN()),INDEX(MO_Common_QEndDate,0,COLUMN())),"N/A")</f>
        <v>N/A</v>
      </c>
      <c r="BO908" s="354" t="str">
        <f ca="1">IFERROR(_xll.TR(MO.Ticker.Thomson,"MAX(TR.Pricehigh)","sdate:#1 edate:#2",,INDEX(MO_SNA_FPStartDate,0,COLUMN()),INDEX(MO_Common_QEndDate,0,COLUMN())),"N/A")</f>
        <v>N/A</v>
      </c>
      <c r="BP908" s="354" t="str">
        <f ca="1">IFERROR(_xll.TR(MO.Ticker.Thomson,"MAX(TR.Pricehigh)","sdate:#1 edate:#2",,INDEX(MO_SNA_FPStartDate,0,COLUMN()),INDEX(MO_Common_QEndDate,0,COLUMN())),"N/A")</f>
        <v>N/A</v>
      </c>
      <c r="BQ908" s="354" t="str">
        <f ca="1">IFERROR(_xll.TR(MO.Ticker.Thomson,"MAX(TR.Pricehigh)","sdate:#1 edate:#2",,INDEX(MO_SNA_FPStartDate,0,COLUMN()),INDEX(MO_Common_QEndDate,0,COLUMN())),"N/A")</f>
        <v>N/A</v>
      </c>
      <c r="BR908" s="354" t="str">
        <f ca="1">IFERROR(_xll.TR(MO.Ticker.Thomson,"MAX(TR.Pricehigh)","sdate:#1 edate:#2",,INDEX(MO_SNA_FPStartDate,0,COLUMN()),INDEX(MO_Common_QEndDate,0,COLUMN())),"N/A")</f>
        <v>N/A</v>
      </c>
      <c r="BS908" s="661" t="str">
        <f ca="1">IFERROR(_xll.TR(MO.Ticker.Thomson,"MAX(TR.Pricehigh)","sdate:#1 edate:#2",,INDEX(MO_SNA_FPStartDate,0,COLUMN()),INDEX(MO_Common_QEndDate,0,COLUMN())),"N/A")</f>
        <v>N/A</v>
      </c>
      <c r="BT908" s="354" t="str">
        <f ca="1">IFERROR(_xll.TR(MO.Ticker.Thomson,"MAX(TR.Pricehigh)","sdate:#1 edate:#2",,INDEX(MO_SNA_FPStartDate,0,COLUMN()),INDEX(MO_Common_QEndDate,0,COLUMN())),"N/A")</f>
        <v>N/A</v>
      </c>
      <c r="BU908" s="354" t="str">
        <f ca="1">IFERROR(_xll.TR(MO.Ticker.Thomson,"MAX(TR.Pricehigh)","sdate:#1 edate:#2",,INDEX(MO_SNA_FPStartDate,0,COLUMN()),INDEX(MO_Common_QEndDate,0,COLUMN())),"N/A")</f>
        <v>N/A</v>
      </c>
      <c r="BV908" s="354" t="str">
        <f ca="1">IFERROR(_xll.TR(MO.Ticker.Thomson,"MAX(TR.Pricehigh)","sdate:#1 edate:#2",,INDEX(MO_SNA_FPStartDate,0,COLUMN()),INDEX(MO_Common_QEndDate,0,COLUMN())),"N/A")</f>
        <v>N/A</v>
      </c>
      <c r="BW908" s="354" t="str">
        <f ca="1">IFERROR(_xll.TR(MO.Ticker.Thomson,"MAX(TR.Pricehigh)","sdate:#1 edate:#2",,INDEX(MO_SNA_FPStartDate,0,COLUMN()),INDEX(MO_Common_QEndDate,0,COLUMN())),"N/A")</f>
        <v>N/A</v>
      </c>
      <c r="BX908" s="354" t="str">
        <f ca="1">IFERROR(_xll.TR(MO.Ticker.Thomson,"MAX(TR.Pricehigh)","sdate:#1 edate:#2",,INDEX(MO_SNA_FPStartDate,0,COLUMN()),INDEX(MO_Common_QEndDate,0,COLUMN())),"N/A")</f>
        <v>N/A</v>
      </c>
      <c r="BY908" s="354" t="str">
        <f ca="1">IFERROR(_xll.TR(MO.Ticker.Thomson,"MAX(TR.Pricehigh)","sdate:#1 edate:#2",,INDEX(MO_SNA_FPStartDate,0,COLUMN()),INDEX(MO_Common_QEndDate,0,COLUMN())),"N/A")</f>
        <v>N/A</v>
      </c>
      <c r="BZ908" s="354" t="str">
        <f ca="1">IFERROR(_xll.TR(MO.Ticker.Thomson,"MAX(TR.Pricehigh)","sdate:#1 edate:#2",,INDEX(MO_SNA_FPStartDate,0,COLUMN()),INDEX(MO_Common_QEndDate,0,COLUMN())),"N/A")</f>
        <v>N/A</v>
      </c>
      <c r="CA908" s="354" t="str">
        <f ca="1">IFERROR(_xll.TR(MO.Ticker.Thomson,"MAX(TR.Pricehigh)","sdate:#1 edate:#2",,INDEX(MO_SNA_FPStartDate,0,COLUMN()),INDEX(MO_Common_QEndDate,0,COLUMN())),"N/A")</f>
        <v>N/A</v>
      </c>
      <c r="CB908" s="354" t="str">
        <f ca="1">IFERROR(_xll.TR(MO.Ticker.Thomson,"MAX(TR.Pricehigh)","sdate:#1 edate:#2",,INDEX(MO_SNA_FPStartDate,0,COLUMN()),INDEX(MO_Common_QEndDate,0,COLUMN())),"N/A")</f>
        <v>N/A</v>
      </c>
      <c r="CC908" s="354" t="str">
        <f ca="1">IFERROR(_xll.TR(MO.Ticker.Thomson,"MAX(TR.Pricehigh)","sdate:#1 edate:#2",,INDEX(MO_SNA_FPStartDate,0,COLUMN()),INDEX(MO_Common_QEndDate,0,COLUMN())),"N/A")</f>
        <v>N/A</v>
      </c>
      <c r="CD908" s="354" t="str">
        <f ca="1">IFERROR(_xll.TR(MO.Ticker.Thomson,"MAX(TR.Pricehigh)","sdate:#1 edate:#2",,INDEX(MO_SNA_FPStartDate,0,COLUMN()),INDEX(MO_Common_QEndDate,0,COLUMN())),"N/A")</f>
        <v>N/A</v>
      </c>
      <c r="CE908" s="354" t="str">
        <f ca="1">IFERROR(_xll.TR(MO.Ticker.Thomson,"MAX(TR.Pricehigh)","sdate:#1 edate:#2",,INDEX(MO_SNA_FPStartDate,0,COLUMN()),INDEX(MO_Common_QEndDate,0,COLUMN())),"N/A")</f>
        <v>N/A</v>
      </c>
      <c r="CF908" s="662" t="str">
        <f ca="1">IFERROR(_xll.TR(MO.Ticker.Thomson,"MAX(TR.Pricehigh)","sdate:#1 edate:#2",,INDEX(MO_SNA_FPStartDate,0,COLUMN()),INDEX(MO_Common_QEndDate,0,COLUMN())),"N/A")</f>
        <v>N/A</v>
      </c>
      <c r="CG908" s="663"/>
    </row>
    <row r="909" spans="1:85" ht="14.45" hidden="1" customHeight="1" x14ac:dyDescent="0.25">
      <c r="A909" s="357"/>
      <c r="B909" s="63"/>
      <c r="C909" s="126"/>
      <c r="D909" s="126"/>
      <c r="E909" s="126"/>
      <c r="F909" s="126"/>
      <c r="G909" s="126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376"/>
      <c r="BT909" s="63"/>
      <c r="BU909" s="63"/>
      <c r="BV909" s="63"/>
      <c r="BW909" s="63"/>
      <c r="BX909" s="63"/>
      <c r="BY909" s="63"/>
      <c r="BZ909" s="63"/>
      <c r="CA909" s="63"/>
      <c r="CB909" s="63"/>
      <c r="CC909" s="63"/>
      <c r="CD909" s="63"/>
      <c r="CE909" s="63"/>
      <c r="CF909" s="666"/>
      <c r="CG909" s="649"/>
    </row>
    <row r="910" spans="1:85" ht="14.45" customHeight="1" x14ac:dyDescent="0.25">
      <c r="A910" s="353" t="e">
        <f>"Stock Low: "&amp;IF(OR(MO.RealTimeStockPriceToggle=FALSE,VLOOKUP(MO.DataSourceName,MO_SPT_StockLow_Sources,COLUMN()+2,FALSE)="N/A"),"Real-Time Off Source",MO.DataSourceName)</f>
        <v>#NAME?</v>
      </c>
      <c r="B910" s="354"/>
      <c r="C910" s="290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D910" s="290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E910" s="290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F910" s="290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G910" s="290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H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I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J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K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L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M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N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O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P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Q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R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S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T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U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V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W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X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Y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Z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A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B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C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D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E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F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G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H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I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J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K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L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M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N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O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P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Q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R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S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T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U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V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W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X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Y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AZ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A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B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C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D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E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F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G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H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I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J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K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L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M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N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O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P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Q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R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S910" s="661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T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U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V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W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X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Y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BZ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A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B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C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D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E910" s="354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F910" s="662" t="e">
        <f>IF(OR(MO.RealTimeStockPriceToggle=FALSE,VLOOKUP(MO.DataSourceName,MO_SPT_StockLow_Sources,COLUMN(),FALSE)="N/A"),VLOOKUP("Real-Time Off Source",MO_SPT_StockLow_Sources,COLUMN(),FALSE),VLOOKUP(MO.DataSourceName,MO_SPT_StockLow_Sources,COLUMN(),FALSE))</f>
        <v>#NAME?</v>
      </c>
      <c r="CG910" s="663"/>
    </row>
    <row r="911" spans="1:85" ht="14.45" hidden="1" customHeight="1" x14ac:dyDescent="0.25">
      <c r="A911" s="355" t="s">
        <v>801</v>
      </c>
      <c r="B911" s="354"/>
      <c r="C911" s="664">
        <v>3.6837420000000001</v>
      </c>
      <c r="D911" s="664">
        <v>4.4809910000000004</v>
      </c>
      <c r="E911" s="664">
        <v>5.033309</v>
      </c>
      <c r="F911" s="664">
        <v>5.5358590000000003</v>
      </c>
      <c r="G911" s="664">
        <v>5.8637360000000003</v>
      </c>
      <c r="H911" s="356">
        <v>5.6607649999999996</v>
      </c>
      <c r="I911" s="356">
        <v>5.9642460000000002</v>
      </c>
      <c r="J911" s="356">
        <v>5.7788399999999998</v>
      </c>
      <c r="K911" s="356">
        <v>5.6607649999999996</v>
      </c>
      <c r="L911" s="356">
        <v>6.4502079999999999</v>
      </c>
      <c r="M911" s="356">
        <v>7.1820769999999996</v>
      </c>
      <c r="N911" s="356">
        <v>6.7605199999999996</v>
      </c>
      <c r="O911" s="356">
        <v>7.2084239999999999</v>
      </c>
      <c r="P911" s="356">
        <v>6.4502079999999999</v>
      </c>
      <c r="Q911" s="356">
        <v>8.5814109999999992</v>
      </c>
      <c r="R911" s="356">
        <v>10.857036000000001</v>
      </c>
      <c r="S911" s="356">
        <v>14.436365</v>
      </c>
      <c r="T911" s="356">
        <v>16.821283000000001</v>
      </c>
      <c r="U911" s="356">
        <v>8.5814109999999992</v>
      </c>
      <c r="V911" s="356">
        <v>15.174089</v>
      </c>
      <c r="W911" s="356">
        <v>11.883604999999999</v>
      </c>
      <c r="X911" s="356">
        <v>13.81086</v>
      </c>
      <c r="Y911" s="356">
        <v>13.690834000000001</v>
      </c>
      <c r="Z911" s="356">
        <v>11.883604999999999</v>
      </c>
      <c r="AA911" s="356">
        <v>16.052332</v>
      </c>
      <c r="AB911" s="356">
        <v>19.386728000000002</v>
      </c>
      <c r="AC911" s="356">
        <v>19.774131000000001</v>
      </c>
      <c r="AD911" s="356">
        <v>19.113496999999999</v>
      </c>
      <c r="AE911" s="356">
        <v>16.052332</v>
      </c>
      <c r="AF911" s="356">
        <v>16.549026999999999</v>
      </c>
      <c r="AG911" s="356">
        <v>12.342243</v>
      </c>
      <c r="AH911" s="356">
        <v>12.955061000000001</v>
      </c>
      <c r="AI911" s="356">
        <v>15.721527</v>
      </c>
      <c r="AJ911" s="356">
        <v>12.342243</v>
      </c>
      <c r="AK911" s="356">
        <v>17.309194999999999</v>
      </c>
      <c r="AL911" s="356">
        <v>27.401184000000001</v>
      </c>
      <c r="AM911" s="356">
        <v>27.350441</v>
      </c>
      <c r="AN911" s="356">
        <v>25.57639</v>
      </c>
      <c r="AO911" s="356">
        <v>17.309194999999999</v>
      </c>
      <c r="AP911" s="356">
        <v>18.791474999999998</v>
      </c>
      <c r="AQ911" s="356">
        <v>18.939800000000002</v>
      </c>
      <c r="AR911" s="356">
        <v>21.760912000000001</v>
      </c>
      <c r="AS911" s="356">
        <v>22.089765</v>
      </c>
      <c r="AT911" s="356">
        <v>18.791474999999998</v>
      </c>
      <c r="AU911" s="356">
        <v>24.825005000000001</v>
      </c>
      <c r="AV911" s="356">
        <v>27.919347999999999</v>
      </c>
      <c r="AW911" s="356">
        <v>37.253120000000003</v>
      </c>
      <c r="AX911" s="356">
        <v>38.058176000000003</v>
      </c>
      <c r="AY911" s="356">
        <v>24.825005000000001</v>
      </c>
      <c r="AZ911" s="356">
        <v>43.170527</v>
      </c>
      <c r="BA911" s="356">
        <v>43.082703000000002</v>
      </c>
      <c r="BB911" s="356">
        <v>39.984456000000002</v>
      </c>
      <c r="BC911" s="356">
        <v>41.862921</v>
      </c>
      <c r="BD911" s="356">
        <v>39.984456000000002</v>
      </c>
      <c r="BE911" s="356">
        <v>46.513705999999999</v>
      </c>
      <c r="BF911" s="356">
        <v>51.033264000000003</v>
      </c>
      <c r="BG911" s="356">
        <v>60.372101000000001</v>
      </c>
      <c r="BH911" s="356">
        <v>61.01511</v>
      </c>
      <c r="BI911" s="356">
        <v>46.513705999999999</v>
      </c>
      <c r="BJ911" s="356">
        <v>81.022000000000006</v>
      </c>
      <c r="BK911" s="356">
        <v>80.102000000000004</v>
      </c>
      <c r="BL911" s="356">
        <v>106.63200000000001</v>
      </c>
      <c r="BM911" s="356">
        <v>112.426</v>
      </c>
      <c r="BN911" s="356">
        <v>80.102000000000004</v>
      </c>
      <c r="BO911" s="356">
        <v>122.76</v>
      </c>
      <c r="BP911" s="356">
        <v>105.72</v>
      </c>
      <c r="BQ911" s="356">
        <v>109.55</v>
      </c>
      <c r="BR911" s="356">
        <v>116.34</v>
      </c>
      <c r="BS911" s="665">
        <v>105.72</v>
      </c>
      <c r="BT911" s="354"/>
      <c r="BU911" s="354"/>
      <c r="BV911" s="354"/>
      <c r="BW911" s="354"/>
      <c r="BX911" s="354"/>
      <c r="BY911" s="354"/>
      <c r="BZ911" s="354"/>
      <c r="CA911" s="354"/>
      <c r="CB911" s="354"/>
      <c r="CC911" s="354"/>
      <c r="CD911" s="354"/>
      <c r="CE911" s="354"/>
      <c r="CF911" s="662"/>
      <c r="CG911" s="663"/>
    </row>
    <row r="912" spans="1:85" ht="14.45" hidden="1" customHeight="1" x14ac:dyDescent="0.25">
      <c r="A912" s="355" t="s">
        <v>123</v>
      </c>
      <c r="B912" s="354"/>
      <c r="C912" s="290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D912" s="290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E912" s="290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F912" s="290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G912" s="290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H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I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J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K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L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M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N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O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P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Q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R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S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T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U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V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W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X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Y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Z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A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B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C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D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E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F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G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H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I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J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K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L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M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N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O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P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Q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R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S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T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U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V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W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X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Y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Z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A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B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C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D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E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F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G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H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I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J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K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L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M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N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O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P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Q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R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S912" s="661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T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U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V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W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X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Y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Z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A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B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C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D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E912" s="354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F912" s="662" t="str">
        <f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CG912" s="663"/>
    </row>
    <row r="913" spans="1:85" ht="14.45" hidden="1" customHeight="1" x14ac:dyDescent="0.25">
      <c r="A913" s="355" t="s">
        <v>802</v>
      </c>
      <c r="B913" s="354"/>
      <c r="C913" s="290" t="str">
        <f ca="1">IFERROR(CIQLO(MO.Ticker.CapIQ,"IQ_LASTSALEPRICE",INDEX(MO_SNA_FPStartDate,0,COLUMN()),INDEX(MO_Common_QEndDate,0,COLUMN())),"N/A")</f>
        <v>N/A</v>
      </c>
      <c r="D913" s="290" t="str">
        <f ca="1">IFERROR(CIQLO(MO.Ticker.CapIQ,"IQ_LASTSALEPRICE",INDEX(MO_SNA_FPStartDate,0,COLUMN()),INDEX(MO_Common_QEndDate,0,COLUMN())),"N/A")</f>
        <v>N/A</v>
      </c>
      <c r="E913" s="290" t="str">
        <f ca="1">IFERROR(CIQLO(MO.Ticker.CapIQ,"IQ_LASTSALEPRICE",INDEX(MO_SNA_FPStartDate,0,COLUMN()),INDEX(MO_Common_QEndDate,0,COLUMN())),"N/A")</f>
        <v>N/A</v>
      </c>
      <c r="F913" s="290" t="str">
        <f ca="1">IFERROR(CIQLO(MO.Ticker.CapIQ,"IQ_LASTSALEPRICE",INDEX(MO_SNA_FPStartDate,0,COLUMN()),INDEX(MO_Common_QEndDate,0,COLUMN())),"N/A")</f>
        <v>N/A</v>
      </c>
      <c r="G913" s="290" t="str">
        <f ca="1">IFERROR(CIQLO(MO.Ticker.CapIQ,"IQ_LASTSALEPRICE",INDEX(MO_SNA_FPStartDate,0,COLUMN()),INDEX(MO_Common_QEndDate,0,COLUMN())),"N/A")</f>
        <v>N/A</v>
      </c>
      <c r="H913" s="354" t="str">
        <f ca="1">IFERROR(CIQLO(MO.Ticker.CapIQ,"IQ_LASTSALEPRICE",INDEX(MO_SNA_FPStartDate,0,COLUMN()),INDEX(MO_Common_QEndDate,0,COLUMN())),"N/A")</f>
        <v>N/A</v>
      </c>
      <c r="I913" s="354" t="str">
        <f ca="1">IFERROR(CIQLO(MO.Ticker.CapIQ,"IQ_LASTSALEPRICE",INDEX(MO_SNA_FPStartDate,0,COLUMN()),INDEX(MO_Common_QEndDate,0,COLUMN())),"N/A")</f>
        <v>N/A</v>
      </c>
      <c r="J913" s="354" t="str">
        <f ca="1">IFERROR(CIQLO(MO.Ticker.CapIQ,"IQ_LASTSALEPRICE",INDEX(MO_SNA_FPStartDate,0,COLUMN()),INDEX(MO_Common_QEndDate,0,COLUMN())),"N/A")</f>
        <v>N/A</v>
      </c>
      <c r="K913" s="354" t="str">
        <f ca="1">IFERROR(CIQLO(MO.Ticker.CapIQ,"IQ_LASTSALEPRICE",INDEX(MO_SNA_FPStartDate,0,COLUMN()),INDEX(MO_Common_QEndDate,0,COLUMN())),"N/A")</f>
        <v>N/A</v>
      </c>
      <c r="L913" s="354" t="str">
        <f ca="1">IFERROR(CIQLO(MO.Ticker.CapIQ,"IQ_LASTSALEPRICE",INDEX(MO_SNA_FPStartDate,0,COLUMN()),INDEX(MO_Common_QEndDate,0,COLUMN())),"N/A")</f>
        <v>N/A</v>
      </c>
      <c r="M913" s="354" t="str">
        <f ca="1">IFERROR(CIQLO(MO.Ticker.CapIQ,"IQ_LASTSALEPRICE",INDEX(MO_SNA_FPStartDate,0,COLUMN()),INDEX(MO_Common_QEndDate,0,COLUMN())),"N/A")</f>
        <v>N/A</v>
      </c>
      <c r="N913" s="354" t="str">
        <f ca="1">IFERROR(CIQLO(MO.Ticker.CapIQ,"IQ_LASTSALEPRICE",INDEX(MO_SNA_FPStartDate,0,COLUMN()),INDEX(MO_Common_QEndDate,0,COLUMN())),"N/A")</f>
        <v>N/A</v>
      </c>
      <c r="O913" s="354" t="str">
        <f ca="1">IFERROR(CIQLO(MO.Ticker.CapIQ,"IQ_LASTSALEPRICE",INDEX(MO_SNA_FPStartDate,0,COLUMN()),INDEX(MO_Common_QEndDate,0,COLUMN())),"N/A")</f>
        <v>N/A</v>
      </c>
      <c r="P913" s="354" t="str">
        <f ca="1">IFERROR(CIQLO(MO.Ticker.CapIQ,"IQ_LASTSALEPRICE",INDEX(MO_SNA_FPStartDate,0,COLUMN()),INDEX(MO_Common_QEndDate,0,COLUMN())),"N/A")</f>
        <v>N/A</v>
      </c>
      <c r="Q913" s="354" t="str">
        <f ca="1">IFERROR(CIQLO(MO.Ticker.CapIQ,"IQ_LASTSALEPRICE",INDEX(MO_SNA_FPStartDate,0,COLUMN()),INDEX(MO_Common_QEndDate,0,COLUMN())),"N/A")</f>
        <v>N/A</v>
      </c>
      <c r="R913" s="354" t="str">
        <f ca="1">IFERROR(CIQLO(MO.Ticker.CapIQ,"IQ_LASTSALEPRICE",INDEX(MO_SNA_FPStartDate,0,COLUMN()),INDEX(MO_Common_QEndDate,0,COLUMN())),"N/A")</f>
        <v>N/A</v>
      </c>
      <c r="S913" s="354" t="str">
        <f ca="1">IFERROR(CIQLO(MO.Ticker.CapIQ,"IQ_LASTSALEPRICE",INDEX(MO_SNA_FPStartDate,0,COLUMN()),INDEX(MO_Common_QEndDate,0,COLUMN())),"N/A")</f>
        <v>N/A</v>
      </c>
      <c r="T913" s="354" t="str">
        <f ca="1">IFERROR(CIQLO(MO.Ticker.CapIQ,"IQ_LASTSALEPRICE",INDEX(MO_SNA_FPStartDate,0,COLUMN()),INDEX(MO_Common_QEndDate,0,COLUMN())),"N/A")</f>
        <v>N/A</v>
      </c>
      <c r="U913" s="354" t="str">
        <f ca="1">IFERROR(CIQLO(MO.Ticker.CapIQ,"IQ_LASTSALEPRICE",INDEX(MO_SNA_FPStartDate,0,COLUMN()),INDEX(MO_Common_QEndDate,0,COLUMN())),"N/A")</f>
        <v>N/A</v>
      </c>
      <c r="V913" s="354" t="str">
        <f ca="1">IFERROR(CIQLO(MO.Ticker.CapIQ,"IQ_LASTSALEPRICE",INDEX(MO_SNA_FPStartDate,0,COLUMN()),INDEX(MO_Common_QEndDate,0,COLUMN())),"N/A")</f>
        <v>N/A</v>
      </c>
      <c r="W913" s="354" t="str">
        <f ca="1">IFERROR(CIQLO(MO.Ticker.CapIQ,"IQ_LASTSALEPRICE",INDEX(MO_SNA_FPStartDate,0,COLUMN()),INDEX(MO_Common_QEndDate,0,COLUMN())),"N/A")</f>
        <v>N/A</v>
      </c>
      <c r="X913" s="354" t="str">
        <f ca="1">IFERROR(CIQLO(MO.Ticker.CapIQ,"IQ_LASTSALEPRICE",INDEX(MO_SNA_FPStartDate,0,COLUMN()),INDEX(MO_Common_QEndDate,0,COLUMN())),"N/A")</f>
        <v>N/A</v>
      </c>
      <c r="Y913" s="354" t="str">
        <f ca="1">IFERROR(CIQLO(MO.Ticker.CapIQ,"IQ_LASTSALEPRICE",INDEX(MO_SNA_FPStartDate,0,COLUMN()),INDEX(MO_Common_QEndDate,0,COLUMN())),"N/A")</f>
        <v>N/A</v>
      </c>
      <c r="Z913" s="354" t="str">
        <f ca="1">IFERROR(CIQLO(MO.Ticker.CapIQ,"IQ_LASTSALEPRICE",INDEX(MO_SNA_FPStartDate,0,COLUMN()),INDEX(MO_Common_QEndDate,0,COLUMN())),"N/A")</f>
        <v>N/A</v>
      </c>
      <c r="AA913" s="354" t="str">
        <f ca="1">IFERROR(CIQLO(MO.Ticker.CapIQ,"IQ_LASTSALEPRICE",INDEX(MO_SNA_FPStartDate,0,COLUMN()),INDEX(MO_Common_QEndDate,0,COLUMN())),"N/A")</f>
        <v>N/A</v>
      </c>
      <c r="AB913" s="354" t="str">
        <f ca="1">IFERROR(CIQLO(MO.Ticker.CapIQ,"IQ_LASTSALEPRICE",INDEX(MO_SNA_FPStartDate,0,COLUMN()),INDEX(MO_Common_QEndDate,0,COLUMN())),"N/A")</f>
        <v>N/A</v>
      </c>
      <c r="AC913" s="354" t="str">
        <f ca="1">IFERROR(CIQLO(MO.Ticker.CapIQ,"IQ_LASTSALEPRICE",INDEX(MO_SNA_FPStartDate,0,COLUMN()),INDEX(MO_Common_QEndDate,0,COLUMN())),"N/A")</f>
        <v>N/A</v>
      </c>
      <c r="AD913" s="354" t="str">
        <f ca="1">IFERROR(CIQLO(MO.Ticker.CapIQ,"IQ_LASTSALEPRICE",INDEX(MO_SNA_FPStartDate,0,COLUMN()),INDEX(MO_Common_QEndDate,0,COLUMN())),"N/A")</f>
        <v>N/A</v>
      </c>
      <c r="AE913" s="354" t="str">
        <f ca="1">IFERROR(CIQLO(MO.Ticker.CapIQ,"IQ_LASTSALEPRICE",INDEX(MO_SNA_FPStartDate,0,COLUMN()),INDEX(MO_Common_QEndDate,0,COLUMN())),"N/A")</f>
        <v>N/A</v>
      </c>
      <c r="AF913" s="354" t="str">
        <f ca="1">IFERROR(CIQLO(MO.Ticker.CapIQ,"IQ_LASTSALEPRICE",INDEX(MO_SNA_FPStartDate,0,COLUMN()),INDEX(MO_Common_QEndDate,0,COLUMN())),"N/A")</f>
        <v>N/A</v>
      </c>
      <c r="AG913" s="354" t="str">
        <f ca="1">IFERROR(CIQLO(MO.Ticker.CapIQ,"IQ_LASTSALEPRICE",INDEX(MO_SNA_FPStartDate,0,COLUMN()),INDEX(MO_Common_QEndDate,0,COLUMN())),"N/A")</f>
        <v>N/A</v>
      </c>
      <c r="AH913" s="354" t="str">
        <f ca="1">IFERROR(CIQLO(MO.Ticker.CapIQ,"IQ_LASTSALEPRICE",INDEX(MO_SNA_FPStartDate,0,COLUMN()),INDEX(MO_Common_QEndDate,0,COLUMN())),"N/A")</f>
        <v>N/A</v>
      </c>
      <c r="AI913" s="354" t="str">
        <f ca="1">IFERROR(CIQLO(MO.Ticker.CapIQ,"IQ_LASTSALEPRICE",INDEX(MO_SNA_FPStartDate,0,COLUMN()),INDEX(MO_Common_QEndDate,0,COLUMN())),"N/A")</f>
        <v>N/A</v>
      </c>
      <c r="AJ913" s="354" t="str">
        <f ca="1">IFERROR(CIQLO(MO.Ticker.CapIQ,"IQ_LASTSALEPRICE",INDEX(MO_SNA_FPStartDate,0,COLUMN()),INDEX(MO_Common_QEndDate,0,COLUMN())),"N/A")</f>
        <v>N/A</v>
      </c>
      <c r="AK913" s="354" t="str">
        <f ca="1">IFERROR(CIQLO(MO.Ticker.CapIQ,"IQ_LASTSALEPRICE",INDEX(MO_SNA_FPStartDate,0,COLUMN()),INDEX(MO_Common_QEndDate,0,COLUMN())),"N/A")</f>
        <v>N/A</v>
      </c>
      <c r="AL913" s="354" t="str">
        <f ca="1">IFERROR(CIQLO(MO.Ticker.CapIQ,"IQ_LASTSALEPRICE",INDEX(MO_SNA_FPStartDate,0,COLUMN()),INDEX(MO_Common_QEndDate,0,COLUMN())),"N/A")</f>
        <v>N/A</v>
      </c>
      <c r="AM913" s="354" t="str">
        <f ca="1">IFERROR(CIQLO(MO.Ticker.CapIQ,"IQ_LASTSALEPRICE",INDEX(MO_SNA_FPStartDate,0,COLUMN()),INDEX(MO_Common_QEndDate,0,COLUMN())),"N/A")</f>
        <v>N/A</v>
      </c>
      <c r="AN913" s="354" t="str">
        <f ca="1">IFERROR(CIQLO(MO.Ticker.CapIQ,"IQ_LASTSALEPRICE",INDEX(MO_SNA_FPStartDate,0,COLUMN()),INDEX(MO_Common_QEndDate,0,COLUMN())),"N/A")</f>
        <v>N/A</v>
      </c>
      <c r="AO913" s="354" t="str">
        <f ca="1">IFERROR(CIQLO(MO.Ticker.CapIQ,"IQ_LASTSALEPRICE",INDEX(MO_SNA_FPStartDate,0,COLUMN()),INDEX(MO_Common_QEndDate,0,COLUMN())),"N/A")</f>
        <v>N/A</v>
      </c>
      <c r="AP913" s="354" t="str">
        <f ca="1">IFERROR(CIQLO(MO.Ticker.CapIQ,"IQ_LASTSALEPRICE",INDEX(MO_SNA_FPStartDate,0,COLUMN()),INDEX(MO_Common_QEndDate,0,COLUMN())),"N/A")</f>
        <v>N/A</v>
      </c>
      <c r="AQ913" s="354" t="str">
        <f ca="1">IFERROR(CIQLO(MO.Ticker.CapIQ,"IQ_LASTSALEPRICE",INDEX(MO_SNA_FPStartDate,0,COLUMN()),INDEX(MO_Common_QEndDate,0,COLUMN())),"N/A")</f>
        <v>N/A</v>
      </c>
      <c r="AR913" s="354" t="str">
        <f ca="1">IFERROR(CIQLO(MO.Ticker.CapIQ,"IQ_LASTSALEPRICE",INDEX(MO_SNA_FPStartDate,0,COLUMN()),INDEX(MO_Common_QEndDate,0,COLUMN())),"N/A")</f>
        <v>N/A</v>
      </c>
      <c r="AS913" s="354" t="str">
        <f ca="1">IFERROR(CIQLO(MO.Ticker.CapIQ,"IQ_LASTSALEPRICE",INDEX(MO_SNA_FPStartDate,0,COLUMN()),INDEX(MO_Common_QEndDate,0,COLUMN())),"N/A")</f>
        <v>N/A</v>
      </c>
      <c r="AT913" s="354" t="str">
        <f ca="1">IFERROR(CIQLO(MO.Ticker.CapIQ,"IQ_LASTSALEPRICE",INDEX(MO_SNA_FPStartDate,0,COLUMN()),INDEX(MO_Common_QEndDate,0,COLUMN())),"N/A")</f>
        <v>N/A</v>
      </c>
      <c r="AU913" s="354" t="str">
        <f ca="1">IFERROR(CIQLO(MO.Ticker.CapIQ,"IQ_LASTSALEPRICE",INDEX(MO_SNA_FPStartDate,0,COLUMN()),INDEX(MO_Common_QEndDate,0,COLUMN())),"N/A")</f>
        <v>N/A</v>
      </c>
      <c r="AV913" s="354" t="str">
        <f ca="1">IFERROR(CIQLO(MO.Ticker.CapIQ,"IQ_LASTSALEPRICE",INDEX(MO_SNA_FPStartDate,0,COLUMN()),INDEX(MO_Common_QEndDate,0,COLUMN())),"N/A")</f>
        <v>N/A</v>
      </c>
      <c r="AW913" s="354" t="str">
        <f ca="1">IFERROR(CIQLO(MO.Ticker.CapIQ,"IQ_LASTSALEPRICE",INDEX(MO_SNA_FPStartDate,0,COLUMN()),INDEX(MO_Common_QEndDate,0,COLUMN())),"N/A")</f>
        <v>N/A</v>
      </c>
      <c r="AX913" s="354" t="str">
        <f ca="1">IFERROR(CIQLO(MO.Ticker.CapIQ,"IQ_LASTSALEPRICE",INDEX(MO_SNA_FPStartDate,0,COLUMN()),INDEX(MO_Common_QEndDate,0,COLUMN())),"N/A")</f>
        <v>N/A</v>
      </c>
      <c r="AY913" s="354" t="str">
        <f ca="1">IFERROR(CIQLO(MO.Ticker.CapIQ,"IQ_LASTSALEPRICE",INDEX(MO_SNA_FPStartDate,0,COLUMN()),INDEX(MO_Common_QEndDate,0,COLUMN())),"N/A")</f>
        <v>N/A</v>
      </c>
      <c r="AZ913" s="354" t="str">
        <f ca="1">IFERROR(CIQLO(MO.Ticker.CapIQ,"IQ_LASTSALEPRICE",INDEX(MO_SNA_FPStartDate,0,COLUMN()),INDEX(MO_Common_QEndDate,0,COLUMN())),"N/A")</f>
        <v>N/A</v>
      </c>
      <c r="BA913" s="354" t="str">
        <f ca="1">IFERROR(CIQLO(MO.Ticker.CapIQ,"IQ_LASTSALEPRICE",INDEX(MO_SNA_FPStartDate,0,COLUMN()),INDEX(MO_Common_QEndDate,0,COLUMN())),"N/A")</f>
        <v>N/A</v>
      </c>
      <c r="BB913" s="354" t="str">
        <f ca="1">IFERROR(CIQLO(MO.Ticker.CapIQ,"IQ_LASTSALEPRICE",INDEX(MO_SNA_FPStartDate,0,COLUMN()),INDEX(MO_Common_QEndDate,0,COLUMN())),"N/A")</f>
        <v>N/A</v>
      </c>
      <c r="BC913" s="354" t="str">
        <f ca="1">IFERROR(CIQLO(MO.Ticker.CapIQ,"IQ_LASTSALEPRICE",INDEX(MO_SNA_FPStartDate,0,COLUMN()),INDEX(MO_Common_QEndDate,0,COLUMN())),"N/A")</f>
        <v>N/A</v>
      </c>
      <c r="BD913" s="354" t="str">
        <f ca="1">IFERROR(CIQLO(MO.Ticker.CapIQ,"IQ_LASTSALEPRICE",INDEX(MO_SNA_FPStartDate,0,COLUMN()),INDEX(MO_Common_QEndDate,0,COLUMN())),"N/A")</f>
        <v>N/A</v>
      </c>
      <c r="BE913" s="354" t="str">
        <f ca="1">IFERROR(CIQLO(MO.Ticker.CapIQ,"IQ_LASTSALEPRICE",INDEX(MO_SNA_FPStartDate,0,COLUMN()),INDEX(MO_Common_QEndDate,0,COLUMN())),"N/A")</f>
        <v>N/A</v>
      </c>
      <c r="BF913" s="354" t="str">
        <f ca="1">IFERROR(CIQLO(MO.Ticker.CapIQ,"IQ_LASTSALEPRICE",INDEX(MO_SNA_FPStartDate,0,COLUMN()),INDEX(MO_Common_QEndDate,0,COLUMN())),"N/A")</f>
        <v>N/A</v>
      </c>
      <c r="BG913" s="354" t="str">
        <f ca="1">IFERROR(CIQLO(MO.Ticker.CapIQ,"IQ_LASTSALEPRICE",INDEX(MO_SNA_FPStartDate,0,COLUMN()),INDEX(MO_Common_QEndDate,0,COLUMN())),"N/A")</f>
        <v>N/A</v>
      </c>
      <c r="BH913" s="354" t="str">
        <f ca="1">IFERROR(CIQLO(MO.Ticker.CapIQ,"IQ_LASTSALEPRICE",INDEX(MO_SNA_FPStartDate,0,COLUMN()),INDEX(MO_Common_QEndDate,0,COLUMN())),"N/A")</f>
        <v>N/A</v>
      </c>
      <c r="BI913" s="354" t="str">
        <f ca="1">IFERROR(CIQLO(MO.Ticker.CapIQ,"IQ_LASTSALEPRICE",INDEX(MO_SNA_FPStartDate,0,COLUMN()),INDEX(MO_Common_QEndDate,0,COLUMN())),"N/A")</f>
        <v>N/A</v>
      </c>
      <c r="BJ913" s="354" t="str">
        <f ca="1">IFERROR(CIQLO(MO.Ticker.CapIQ,"IQ_LASTSALEPRICE",INDEX(MO_SNA_FPStartDate,0,COLUMN()),INDEX(MO_Common_QEndDate,0,COLUMN())),"N/A")</f>
        <v>N/A</v>
      </c>
      <c r="BK913" s="354" t="str">
        <f ca="1">IFERROR(CIQLO(MO.Ticker.CapIQ,"IQ_LASTSALEPRICE",INDEX(MO_SNA_FPStartDate,0,COLUMN()),INDEX(MO_Common_QEndDate,0,COLUMN())),"N/A")</f>
        <v>N/A</v>
      </c>
      <c r="BL913" s="354" t="str">
        <f ca="1">IFERROR(CIQLO(MO.Ticker.CapIQ,"IQ_LASTSALEPRICE",INDEX(MO_SNA_FPStartDate,0,COLUMN()),INDEX(MO_Common_QEndDate,0,COLUMN())),"N/A")</f>
        <v>N/A</v>
      </c>
      <c r="BM913" s="354" t="str">
        <f ca="1">IFERROR(CIQLO(MO.Ticker.CapIQ,"IQ_LASTSALEPRICE",INDEX(MO_SNA_FPStartDate,0,COLUMN()),INDEX(MO_Common_QEndDate,0,COLUMN())),"N/A")</f>
        <v>N/A</v>
      </c>
      <c r="BN913" s="354" t="str">
        <f ca="1">IFERROR(CIQLO(MO.Ticker.CapIQ,"IQ_LASTSALEPRICE",INDEX(MO_SNA_FPStartDate,0,COLUMN()),INDEX(MO_Common_QEndDate,0,COLUMN())),"N/A")</f>
        <v>N/A</v>
      </c>
      <c r="BO913" s="354" t="str">
        <f ca="1">IFERROR(CIQLO(MO.Ticker.CapIQ,"IQ_LASTSALEPRICE",INDEX(MO_SNA_FPStartDate,0,COLUMN()),INDEX(MO_Common_QEndDate,0,COLUMN())),"N/A")</f>
        <v>N/A</v>
      </c>
      <c r="BP913" s="354" t="str">
        <f ca="1">IFERROR(CIQLO(MO.Ticker.CapIQ,"IQ_LASTSALEPRICE",INDEX(MO_SNA_FPStartDate,0,COLUMN()),INDEX(MO_Common_QEndDate,0,COLUMN())),"N/A")</f>
        <v>N/A</v>
      </c>
      <c r="BQ913" s="354" t="str">
        <f ca="1">IFERROR(CIQLO(MO.Ticker.CapIQ,"IQ_LASTSALEPRICE",INDEX(MO_SNA_FPStartDate,0,COLUMN()),INDEX(MO_Common_QEndDate,0,COLUMN())),"N/A")</f>
        <v>N/A</v>
      </c>
      <c r="BR913" s="354" t="str">
        <f ca="1">IFERROR(CIQLO(MO.Ticker.CapIQ,"IQ_LASTSALEPRICE",INDEX(MO_SNA_FPStartDate,0,COLUMN()),INDEX(MO_Common_QEndDate,0,COLUMN())),"N/A")</f>
        <v>N/A</v>
      </c>
      <c r="BS913" s="661" t="str">
        <f ca="1">IFERROR(CIQLO(MO.Ticker.CapIQ,"IQ_LASTSALEPRICE",INDEX(MO_SNA_FPStartDate,0,COLUMN()),INDEX(MO_Common_QEndDate,0,COLUMN())),"N/A")</f>
        <v>N/A</v>
      </c>
      <c r="BT913" s="354" t="str">
        <f ca="1">IFERROR(CIQLO(MO.Ticker.CapIQ,"IQ_LASTSALEPRICE",INDEX(MO_SNA_FPStartDate,0,COLUMN()),INDEX(MO_Common_QEndDate,0,COLUMN())),"N/A")</f>
        <v>N/A</v>
      </c>
      <c r="BU913" s="354" t="str">
        <f ca="1">IFERROR(CIQLO(MO.Ticker.CapIQ,"IQ_LASTSALEPRICE",INDEX(MO_SNA_FPStartDate,0,COLUMN()),INDEX(MO_Common_QEndDate,0,COLUMN())),"N/A")</f>
        <v>N/A</v>
      </c>
      <c r="BV913" s="354" t="str">
        <f ca="1">IFERROR(CIQLO(MO.Ticker.CapIQ,"IQ_LASTSALEPRICE",INDEX(MO_SNA_FPStartDate,0,COLUMN()),INDEX(MO_Common_QEndDate,0,COLUMN())),"N/A")</f>
        <v>N/A</v>
      </c>
      <c r="BW913" s="354" t="str">
        <f ca="1">IFERROR(CIQLO(MO.Ticker.CapIQ,"IQ_LASTSALEPRICE",INDEX(MO_SNA_FPStartDate,0,COLUMN()),INDEX(MO_Common_QEndDate,0,COLUMN())),"N/A")</f>
        <v>N/A</v>
      </c>
      <c r="BX913" s="354" t="str">
        <f ca="1">IFERROR(CIQLO(MO.Ticker.CapIQ,"IQ_LASTSALEPRICE",INDEX(MO_SNA_FPStartDate,0,COLUMN()),INDEX(MO_Common_QEndDate,0,COLUMN())),"N/A")</f>
        <v>N/A</v>
      </c>
      <c r="BY913" s="354" t="str">
        <f ca="1">IFERROR(CIQLO(MO.Ticker.CapIQ,"IQ_LASTSALEPRICE",INDEX(MO_SNA_FPStartDate,0,COLUMN()),INDEX(MO_Common_QEndDate,0,COLUMN())),"N/A")</f>
        <v>N/A</v>
      </c>
      <c r="BZ913" s="354" t="str">
        <f ca="1">IFERROR(CIQLO(MO.Ticker.CapIQ,"IQ_LASTSALEPRICE",INDEX(MO_SNA_FPStartDate,0,COLUMN()),INDEX(MO_Common_QEndDate,0,COLUMN())),"N/A")</f>
        <v>N/A</v>
      </c>
      <c r="CA913" s="354" t="str">
        <f ca="1">IFERROR(CIQLO(MO.Ticker.CapIQ,"IQ_LASTSALEPRICE",INDEX(MO_SNA_FPStartDate,0,COLUMN()),INDEX(MO_Common_QEndDate,0,COLUMN())),"N/A")</f>
        <v>N/A</v>
      </c>
      <c r="CB913" s="354" t="str">
        <f ca="1">IFERROR(CIQLO(MO.Ticker.CapIQ,"IQ_LASTSALEPRICE",INDEX(MO_SNA_FPStartDate,0,COLUMN()),INDEX(MO_Common_QEndDate,0,COLUMN())),"N/A")</f>
        <v>N/A</v>
      </c>
      <c r="CC913" s="354" t="str">
        <f ca="1">IFERROR(CIQLO(MO.Ticker.CapIQ,"IQ_LASTSALEPRICE",INDEX(MO_SNA_FPStartDate,0,COLUMN()),INDEX(MO_Common_QEndDate,0,COLUMN())),"N/A")</f>
        <v>N/A</v>
      </c>
      <c r="CD913" s="354" t="str">
        <f ca="1">IFERROR(CIQLO(MO.Ticker.CapIQ,"IQ_LASTSALEPRICE",INDEX(MO_SNA_FPStartDate,0,COLUMN()),INDEX(MO_Common_QEndDate,0,COLUMN())),"N/A")</f>
        <v>N/A</v>
      </c>
      <c r="CE913" s="354" t="str">
        <f ca="1">IFERROR(CIQLO(MO.Ticker.CapIQ,"IQ_LASTSALEPRICE",INDEX(MO_SNA_FPStartDate,0,COLUMN()),INDEX(MO_Common_QEndDate,0,COLUMN())),"N/A")</f>
        <v>N/A</v>
      </c>
      <c r="CF913" s="662" t="str">
        <f ca="1">IFERROR(CIQLO(MO.Ticker.CapIQ,"IQ_LASTSALEPRICE",INDEX(MO_SNA_FPStartDate,0,COLUMN()),INDEX(MO_Common_QEndDate,0,COLUMN())),"N/A")</f>
        <v>N/A</v>
      </c>
      <c r="CG913" s="663"/>
    </row>
    <row r="914" spans="1:85" ht="14.45" hidden="1" customHeight="1" x14ac:dyDescent="0.25">
      <c r="A914" s="355" t="s">
        <v>804</v>
      </c>
      <c r="B914" s="354"/>
      <c r="C914" s="290" t="str">
        <f ca="1">IFERROR(_xll.FDS(MO.Ticker.FactSet,"P_PRICE_LOW"&amp;"("&amp;INDEX(MO_SNA_FPStartDate,0,COLUMN())&amp;","&amp;INDEX(MO_Common_QEndDate,0,COLUMN())&amp;",,,,""PRICE"",""CLOSE"")"),"N/A")</f>
        <v>N/A</v>
      </c>
      <c r="D914" s="290" t="str">
        <f ca="1">IFERROR(_xll.FDS(MO.Ticker.FactSet,"P_PRICE_LOW"&amp;"("&amp;INDEX(MO_SNA_FPStartDate,0,COLUMN())&amp;","&amp;INDEX(MO_Common_QEndDate,0,COLUMN())&amp;",,,,""PRICE"",""CLOSE"")"),"N/A")</f>
        <v>N/A</v>
      </c>
      <c r="E914" s="290" t="str">
        <f ca="1">IFERROR(_xll.FDS(MO.Ticker.FactSet,"P_PRICE_LOW"&amp;"("&amp;INDEX(MO_SNA_FPStartDate,0,COLUMN())&amp;","&amp;INDEX(MO_Common_QEndDate,0,COLUMN())&amp;",,,,""PRICE"",""CLOSE"")"),"N/A")</f>
        <v>N/A</v>
      </c>
      <c r="F914" s="290" t="str">
        <f ca="1">IFERROR(_xll.FDS(MO.Ticker.FactSet,"P_PRICE_LOW"&amp;"("&amp;INDEX(MO_SNA_FPStartDate,0,COLUMN())&amp;","&amp;INDEX(MO_Common_QEndDate,0,COLUMN())&amp;",,,,""PRICE"",""CLOSE"")"),"N/A")</f>
        <v>N/A</v>
      </c>
      <c r="G914" s="290" t="str">
        <f ca="1">IFERROR(_xll.FDS(MO.Ticker.FactSet,"P_PRICE_LOW"&amp;"("&amp;INDEX(MO_SNA_FPStartDate,0,COLUMN())&amp;","&amp;INDEX(MO_Common_QEndDate,0,COLUMN())&amp;",,,,""PRICE"",""CLOSE"")"),"N/A")</f>
        <v>N/A</v>
      </c>
      <c r="H914" s="354" t="str">
        <f ca="1">IFERROR(_xll.FDS(MO.Ticker.FactSet,"P_PRICE_LOW"&amp;"("&amp;INDEX(MO_SNA_FPStartDate,0,COLUMN())&amp;","&amp;INDEX(MO_Common_QEndDate,0,COLUMN())&amp;",,,,""PRICE"",""CLOSE"")"),"N/A")</f>
        <v>N/A</v>
      </c>
      <c r="I914" s="354" t="str">
        <f ca="1">IFERROR(_xll.FDS(MO.Ticker.FactSet,"P_PRICE_LOW"&amp;"("&amp;INDEX(MO_SNA_FPStartDate,0,COLUMN())&amp;","&amp;INDEX(MO_Common_QEndDate,0,COLUMN())&amp;",,,,""PRICE"",""CLOSE"")"),"N/A")</f>
        <v>N/A</v>
      </c>
      <c r="J914" s="354" t="str">
        <f ca="1">IFERROR(_xll.FDS(MO.Ticker.FactSet,"P_PRICE_LOW"&amp;"("&amp;INDEX(MO_SNA_FPStartDate,0,COLUMN())&amp;","&amp;INDEX(MO_Common_QEndDate,0,COLUMN())&amp;",,,,""PRICE"",""CLOSE"")"),"N/A")</f>
        <v>N/A</v>
      </c>
      <c r="K914" s="354" t="str">
        <f ca="1">IFERROR(_xll.FDS(MO.Ticker.FactSet,"P_PRICE_LOW"&amp;"("&amp;INDEX(MO_SNA_FPStartDate,0,COLUMN())&amp;","&amp;INDEX(MO_Common_QEndDate,0,COLUMN())&amp;",,,,""PRICE"",""CLOSE"")"),"N/A")</f>
        <v>N/A</v>
      </c>
      <c r="L914" s="354" t="str">
        <f ca="1">IFERROR(_xll.FDS(MO.Ticker.FactSet,"P_PRICE_LOW"&amp;"("&amp;INDEX(MO_SNA_FPStartDate,0,COLUMN())&amp;","&amp;INDEX(MO_Common_QEndDate,0,COLUMN())&amp;",,,,""PRICE"",""CLOSE"")"),"N/A")</f>
        <v>N/A</v>
      </c>
      <c r="M914" s="354" t="str">
        <f ca="1">IFERROR(_xll.FDS(MO.Ticker.FactSet,"P_PRICE_LOW"&amp;"("&amp;INDEX(MO_SNA_FPStartDate,0,COLUMN())&amp;","&amp;INDEX(MO_Common_QEndDate,0,COLUMN())&amp;",,,,""PRICE"",""CLOSE"")"),"N/A")</f>
        <v>N/A</v>
      </c>
      <c r="N914" s="354" t="str">
        <f ca="1">IFERROR(_xll.FDS(MO.Ticker.FactSet,"P_PRICE_LOW"&amp;"("&amp;INDEX(MO_SNA_FPStartDate,0,COLUMN())&amp;","&amp;INDEX(MO_Common_QEndDate,0,COLUMN())&amp;",,,,""PRICE"",""CLOSE"")"),"N/A")</f>
        <v>N/A</v>
      </c>
      <c r="O914" s="354" t="str">
        <f ca="1">IFERROR(_xll.FDS(MO.Ticker.FactSet,"P_PRICE_LOW"&amp;"("&amp;INDEX(MO_SNA_FPStartDate,0,COLUMN())&amp;","&amp;INDEX(MO_Common_QEndDate,0,COLUMN())&amp;",,,,""PRICE"",""CLOSE"")"),"N/A")</f>
        <v>N/A</v>
      </c>
      <c r="P914" s="354" t="str">
        <f ca="1">IFERROR(_xll.FDS(MO.Ticker.FactSet,"P_PRICE_LOW"&amp;"("&amp;INDEX(MO_SNA_FPStartDate,0,COLUMN())&amp;","&amp;INDEX(MO_Common_QEndDate,0,COLUMN())&amp;",,,,""PRICE"",""CLOSE"")"),"N/A")</f>
        <v>N/A</v>
      </c>
      <c r="Q914" s="354" t="str">
        <f ca="1">IFERROR(_xll.FDS(MO.Ticker.FactSet,"P_PRICE_LOW"&amp;"("&amp;INDEX(MO_SNA_FPStartDate,0,COLUMN())&amp;","&amp;INDEX(MO_Common_QEndDate,0,COLUMN())&amp;",,,,""PRICE"",""CLOSE"")"),"N/A")</f>
        <v>N/A</v>
      </c>
      <c r="R914" s="354" t="str">
        <f ca="1">IFERROR(_xll.FDS(MO.Ticker.FactSet,"P_PRICE_LOW"&amp;"("&amp;INDEX(MO_SNA_FPStartDate,0,COLUMN())&amp;","&amp;INDEX(MO_Common_QEndDate,0,COLUMN())&amp;",,,,""PRICE"",""CLOSE"")"),"N/A")</f>
        <v>N/A</v>
      </c>
      <c r="S914" s="354" t="str">
        <f ca="1">IFERROR(_xll.FDS(MO.Ticker.FactSet,"P_PRICE_LOW"&amp;"("&amp;INDEX(MO_SNA_FPStartDate,0,COLUMN())&amp;","&amp;INDEX(MO_Common_QEndDate,0,COLUMN())&amp;",,,,""PRICE"",""CLOSE"")"),"N/A")</f>
        <v>N/A</v>
      </c>
      <c r="T914" s="354" t="str">
        <f ca="1">IFERROR(_xll.FDS(MO.Ticker.FactSet,"P_PRICE_LOW"&amp;"("&amp;INDEX(MO_SNA_FPStartDate,0,COLUMN())&amp;","&amp;INDEX(MO_Common_QEndDate,0,COLUMN())&amp;",,,,""PRICE"",""CLOSE"")"),"N/A")</f>
        <v>N/A</v>
      </c>
      <c r="U914" s="354" t="str">
        <f ca="1">IFERROR(_xll.FDS(MO.Ticker.FactSet,"P_PRICE_LOW"&amp;"("&amp;INDEX(MO_SNA_FPStartDate,0,COLUMN())&amp;","&amp;INDEX(MO_Common_QEndDate,0,COLUMN())&amp;",,,,""PRICE"",""CLOSE"")"),"N/A")</f>
        <v>N/A</v>
      </c>
      <c r="V914" s="354" t="str">
        <f ca="1">IFERROR(_xll.FDS(MO.Ticker.FactSet,"P_PRICE_LOW"&amp;"("&amp;INDEX(MO_SNA_FPStartDate,0,COLUMN())&amp;","&amp;INDEX(MO_Common_QEndDate,0,COLUMN())&amp;",,,,""PRICE"",""CLOSE"")"),"N/A")</f>
        <v>N/A</v>
      </c>
      <c r="W914" s="354" t="str">
        <f ca="1">IFERROR(_xll.FDS(MO.Ticker.FactSet,"P_PRICE_LOW"&amp;"("&amp;INDEX(MO_SNA_FPStartDate,0,COLUMN())&amp;","&amp;INDEX(MO_Common_QEndDate,0,COLUMN())&amp;",,,,""PRICE"",""CLOSE"")"),"N/A")</f>
        <v>N/A</v>
      </c>
      <c r="X914" s="354" t="str">
        <f ca="1">IFERROR(_xll.FDS(MO.Ticker.FactSet,"P_PRICE_LOW"&amp;"("&amp;INDEX(MO_SNA_FPStartDate,0,COLUMN())&amp;","&amp;INDEX(MO_Common_QEndDate,0,COLUMN())&amp;",,,,""PRICE"",""CLOSE"")"),"N/A")</f>
        <v>N/A</v>
      </c>
      <c r="Y914" s="354" t="str">
        <f ca="1">IFERROR(_xll.FDS(MO.Ticker.FactSet,"P_PRICE_LOW"&amp;"("&amp;INDEX(MO_SNA_FPStartDate,0,COLUMN())&amp;","&amp;INDEX(MO_Common_QEndDate,0,COLUMN())&amp;",,,,""PRICE"",""CLOSE"")"),"N/A")</f>
        <v>N/A</v>
      </c>
      <c r="Z914" s="354" t="str">
        <f ca="1">IFERROR(_xll.FDS(MO.Ticker.FactSet,"P_PRICE_LOW"&amp;"("&amp;INDEX(MO_SNA_FPStartDate,0,COLUMN())&amp;","&amp;INDEX(MO_Common_QEndDate,0,COLUMN())&amp;",,,,""PRICE"",""CLOSE"")"),"N/A")</f>
        <v>N/A</v>
      </c>
      <c r="AA914" s="354" t="str">
        <f ca="1">IFERROR(_xll.FDS(MO.Ticker.FactSet,"P_PRICE_LOW"&amp;"("&amp;INDEX(MO_SNA_FPStartDate,0,COLUMN())&amp;","&amp;INDEX(MO_Common_QEndDate,0,COLUMN())&amp;",,,,""PRICE"",""CLOSE"")"),"N/A")</f>
        <v>N/A</v>
      </c>
      <c r="AB914" s="354" t="str">
        <f ca="1">IFERROR(_xll.FDS(MO.Ticker.FactSet,"P_PRICE_LOW"&amp;"("&amp;INDEX(MO_SNA_FPStartDate,0,COLUMN())&amp;","&amp;INDEX(MO_Common_QEndDate,0,COLUMN())&amp;",,,,""PRICE"",""CLOSE"")"),"N/A")</f>
        <v>N/A</v>
      </c>
      <c r="AC914" s="354" t="str">
        <f ca="1">IFERROR(_xll.FDS(MO.Ticker.FactSet,"P_PRICE_LOW"&amp;"("&amp;INDEX(MO_SNA_FPStartDate,0,COLUMN())&amp;","&amp;INDEX(MO_Common_QEndDate,0,COLUMN())&amp;",,,,""PRICE"",""CLOSE"")"),"N/A")</f>
        <v>N/A</v>
      </c>
      <c r="AD914" s="354" t="str">
        <f ca="1">IFERROR(_xll.FDS(MO.Ticker.FactSet,"P_PRICE_LOW"&amp;"("&amp;INDEX(MO_SNA_FPStartDate,0,COLUMN())&amp;","&amp;INDEX(MO_Common_QEndDate,0,COLUMN())&amp;",,,,""PRICE"",""CLOSE"")"),"N/A")</f>
        <v>N/A</v>
      </c>
      <c r="AE914" s="354" t="str">
        <f ca="1">IFERROR(_xll.FDS(MO.Ticker.FactSet,"P_PRICE_LOW"&amp;"("&amp;INDEX(MO_SNA_FPStartDate,0,COLUMN())&amp;","&amp;INDEX(MO_Common_QEndDate,0,COLUMN())&amp;",,,,""PRICE"",""CLOSE"")"),"N/A")</f>
        <v>N/A</v>
      </c>
      <c r="AF914" s="354" t="str">
        <f ca="1">IFERROR(_xll.FDS(MO.Ticker.FactSet,"P_PRICE_LOW"&amp;"("&amp;INDEX(MO_SNA_FPStartDate,0,COLUMN())&amp;","&amp;INDEX(MO_Common_QEndDate,0,COLUMN())&amp;",,,,""PRICE"",""CLOSE"")"),"N/A")</f>
        <v>N/A</v>
      </c>
      <c r="AG914" s="354" t="str">
        <f ca="1">IFERROR(_xll.FDS(MO.Ticker.FactSet,"P_PRICE_LOW"&amp;"("&amp;INDEX(MO_SNA_FPStartDate,0,COLUMN())&amp;","&amp;INDEX(MO_Common_QEndDate,0,COLUMN())&amp;",,,,""PRICE"",""CLOSE"")"),"N/A")</f>
        <v>N/A</v>
      </c>
      <c r="AH914" s="354" t="str">
        <f ca="1">IFERROR(_xll.FDS(MO.Ticker.FactSet,"P_PRICE_LOW"&amp;"("&amp;INDEX(MO_SNA_FPStartDate,0,COLUMN())&amp;","&amp;INDEX(MO_Common_QEndDate,0,COLUMN())&amp;",,,,""PRICE"",""CLOSE"")"),"N/A")</f>
        <v>N/A</v>
      </c>
      <c r="AI914" s="354" t="str">
        <f ca="1">IFERROR(_xll.FDS(MO.Ticker.FactSet,"P_PRICE_LOW"&amp;"("&amp;INDEX(MO_SNA_FPStartDate,0,COLUMN())&amp;","&amp;INDEX(MO_Common_QEndDate,0,COLUMN())&amp;",,,,""PRICE"",""CLOSE"")"),"N/A")</f>
        <v>N/A</v>
      </c>
      <c r="AJ914" s="354" t="str">
        <f ca="1">IFERROR(_xll.FDS(MO.Ticker.FactSet,"P_PRICE_LOW"&amp;"("&amp;INDEX(MO_SNA_FPStartDate,0,COLUMN())&amp;","&amp;INDEX(MO_Common_QEndDate,0,COLUMN())&amp;",,,,""PRICE"",""CLOSE"")"),"N/A")</f>
        <v>N/A</v>
      </c>
      <c r="AK914" s="354" t="str">
        <f ca="1">IFERROR(_xll.FDS(MO.Ticker.FactSet,"P_PRICE_LOW"&amp;"("&amp;INDEX(MO_SNA_FPStartDate,0,COLUMN())&amp;","&amp;INDEX(MO_Common_QEndDate,0,COLUMN())&amp;",,,,""PRICE"",""CLOSE"")"),"N/A")</f>
        <v>N/A</v>
      </c>
      <c r="AL914" s="354" t="str">
        <f ca="1">IFERROR(_xll.FDS(MO.Ticker.FactSet,"P_PRICE_LOW"&amp;"("&amp;INDEX(MO_SNA_FPStartDate,0,COLUMN())&amp;","&amp;INDEX(MO_Common_QEndDate,0,COLUMN())&amp;",,,,""PRICE"",""CLOSE"")"),"N/A")</f>
        <v>N/A</v>
      </c>
      <c r="AM914" s="354" t="str">
        <f ca="1">IFERROR(_xll.FDS(MO.Ticker.FactSet,"P_PRICE_LOW"&amp;"("&amp;INDEX(MO_SNA_FPStartDate,0,COLUMN())&amp;","&amp;INDEX(MO_Common_QEndDate,0,COLUMN())&amp;",,,,""PRICE"",""CLOSE"")"),"N/A")</f>
        <v>N/A</v>
      </c>
      <c r="AN914" s="354" t="str">
        <f ca="1">IFERROR(_xll.FDS(MO.Ticker.FactSet,"P_PRICE_LOW"&amp;"("&amp;INDEX(MO_SNA_FPStartDate,0,COLUMN())&amp;","&amp;INDEX(MO_Common_QEndDate,0,COLUMN())&amp;",,,,""PRICE"",""CLOSE"")"),"N/A")</f>
        <v>N/A</v>
      </c>
      <c r="AO914" s="354" t="str">
        <f ca="1">IFERROR(_xll.FDS(MO.Ticker.FactSet,"P_PRICE_LOW"&amp;"("&amp;INDEX(MO_SNA_FPStartDate,0,COLUMN())&amp;","&amp;INDEX(MO_Common_QEndDate,0,COLUMN())&amp;",,,,""PRICE"",""CLOSE"")"),"N/A")</f>
        <v>N/A</v>
      </c>
      <c r="AP914" s="354" t="str">
        <f ca="1">IFERROR(_xll.FDS(MO.Ticker.FactSet,"P_PRICE_LOW"&amp;"("&amp;INDEX(MO_SNA_FPStartDate,0,COLUMN())&amp;","&amp;INDEX(MO_Common_QEndDate,0,COLUMN())&amp;",,,,""PRICE"",""CLOSE"")"),"N/A")</f>
        <v>N/A</v>
      </c>
      <c r="AQ914" s="354" t="str">
        <f ca="1">IFERROR(_xll.FDS(MO.Ticker.FactSet,"P_PRICE_LOW"&amp;"("&amp;INDEX(MO_SNA_FPStartDate,0,COLUMN())&amp;","&amp;INDEX(MO_Common_QEndDate,0,COLUMN())&amp;",,,,""PRICE"",""CLOSE"")"),"N/A")</f>
        <v>N/A</v>
      </c>
      <c r="AR914" s="354" t="str">
        <f ca="1">IFERROR(_xll.FDS(MO.Ticker.FactSet,"P_PRICE_LOW"&amp;"("&amp;INDEX(MO_SNA_FPStartDate,0,COLUMN())&amp;","&amp;INDEX(MO_Common_QEndDate,0,COLUMN())&amp;",,,,""PRICE"",""CLOSE"")"),"N/A")</f>
        <v>N/A</v>
      </c>
      <c r="AS914" s="354" t="str">
        <f ca="1">IFERROR(_xll.FDS(MO.Ticker.FactSet,"P_PRICE_LOW"&amp;"("&amp;INDEX(MO_SNA_FPStartDate,0,COLUMN())&amp;","&amp;INDEX(MO_Common_QEndDate,0,COLUMN())&amp;",,,,""PRICE"",""CLOSE"")"),"N/A")</f>
        <v>N/A</v>
      </c>
      <c r="AT914" s="354" t="str">
        <f ca="1">IFERROR(_xll.FDS(MO.Ticker.FactSet,"P_PRICE_LOW"&amp;"("&amp;INDEX(MO_SNA_FPStartDate,0,COLUMN())&amp;","&amp;INDEX(MO_Common_QEndDate,0,COLUMN())&amp;",,,,""PRICE"",""CLOSE"")"),"N/A")</f>
        <v>N/A</v>
      </c>
      <c r="AU914" s="354" t="str">
        <f ca="1">IFERROR(_xll.FDS(MO.Ticker.FactSet,"P_PRICE_LOW"&amp;"("&amp;INDEX(MO_SNA_FPStartDate,0,COLUMN())&amp;","&amp;INDEX(MO_Common_QEndDate,0,COLUMN())&amp;",,,,""PRICE"",""CLOSE"")"),"N/A")</f>
        <v>N/A</v>
      </c>
      <c r="AV914" s="354" t="str">
        <f ca="1">IFERROR(_xll.FDS(MO.Ticker.FactSet,"P_PRICE_LOW"&amp;"("&amp;INDEX(MO_SNA_FPStartDate,0,COLUMN())&amp;","&amp;INDEX(MO_Common_QEndDate,0,COLUMN())&amp;",,,,""PRICE"",""CLOSE"")"),"N/A")</f>
        <v>N/A</v>
      </c>
      <c r="AW914" s="354" t="str">
        <f ca="1">IFERROR(_xll.FDS(MO.Ticker.FactSet,"P_PRICE_LOW"&amp;"("&amp;INDEX(MO_SNA_FPStartDate,0,COLUMN())&amp;","&amp;INDEX(MO_Common_QEndDate,0,COLUMN())&amp;",,,,""PRICE"",""CLOSE"")"),"N/A")</f>
        <v>N/A</v>
      </c>
      <c r="AX914" s="354" t="str">
        <f ca="1">IFERROR(_xll.FDS(MO.Ticker.FactSet,"P_PRICE_LOW"&amp;"("&amp;INDEX(MO_SNA_FPStartDate,0,COLUMN())&amp;","&amp;INDEX(MO_Common_QEndDate,0,COLUMN())&amp;",,,,""PRICE"",""CLOSE"")"),"N/A")</f>
        <v>N/A</v>
      </c>
      <c r="AY914" s="354" t="str">
        <f ca="1">IFERROR(_xll.FDS(MO.Ticker.FactSet,"P_PRICE_LOW"&amp;"("&amp;INDEX(MO_SNA_FPStartDate,0,COLUMN())&amp;","&amp;INDEX(MO_Common_QEndDate,0,COLUMN())&amp;",,,,""PRICE"",""CLOSE"")"),"N/A")</f>
        <v>N/A</v>
      </c>
      <c r="AZ914" s="354" t="str">
        <f ca="1">IFERROR(_xll.FDS(MO.Ticker.FactSet,"P_PRICE_LOW"&amp;"("&amp;INDEX(MO_SNA_FPStartDate,0,COLUMN())&amp;","&amp;INDEX(MO_Common_QEndDate,0,COLUMN())&amp;",,,,""PRICE"",""CLOSE"")"),"N/A")</f>
        <v>N/A</v>
      </c>
      <c r="BA914" s="354" t="str">
        <f ca="1">IFERROR(_xll.FDS(MO.Ticker.FactSet,"P_PRICE_LOW"&amp;"("&amp;INDEX(MO_SNA_FPStartDate,0,COLUMN())&amp;","&amp;INDEX(MO_Common_QEndDate,0,COLUMN())&amp;",,,,""PRICE"",""CLOSE"")"),"N/A")</f>
        <v>N/A</v>
      </c>
      <c r="BB914" s="354" t="str">
        <f ca="1">IFERROR(_xll.FDS(MO.Ticker.FactSet,"P_PRICE_LOW"&amp;"("&amp;INDEX(MO_SNA_FPStartDate,0,COLUMN())&amp;","&amp;INDEX(MO_Common_QEndDate,0,COLUMN())&amp;",,,,""PRICE"",""CLOSE"")"),"N/A")</f>
        <v>N/A</v>
      </c>
      <c r="BC914" s="354" t="str">
        <f ca="1">IFERROR(_xll.FDS(MO.Ticker.FactSet,"P_PRICE_LOW"&amp;"("&amp;INDEX(MO_SNA_FPStartDate,0,COLUMN())&amp;","&amp;INDEX(MO_Common_QEndDate,0,COLUMN())&amp;",,,,""PRICE"",""CLOSE"")"),"N/A")</f>
        <v>N/A</v>
      </c>
      <c r="BD914" s="354" t="str">
        <f ca="1">IFERROR(_xll.FDS(MO.Ticker.FactSet,"P_PRICE_LOW"&amp;"("&amp;INDEX(MO_SNA_FPStartDate,0,COLUMN())&amp;","&amp;INDEX(MO_Common_QEndDate,0,COLUMN())&amp;",,,,""PRICE"",""CLOSE"")"),"N/A")</f>
        <v>N/A</v>
      </c>
      <c r="BE914" s="354" t="str">
        <f ca="1">IFERROR(_xll.FDS(MO.Ticker.FactSet,"P_PRICE_LOW"&amp;"("&amp;INDEX(MO_SNA_FPStartDate,0,COLUMN())&amp;","&amp;INDEX(MO_Common_QEndDate,0,COLUMN())&amp;",,,,""PRICE"",""CLOSE"")"),"N/A")</f>
        <v>N/A</v>
      </c>
      <c r="BF914" s="354" t="str">
        <f ca="1">IFERROR(_xll.FDS(MO.Ticker.FactSet,"P_PRICE_LOW"&amp;"("&amp;INDEX(MO_SNA_FPStartDate,0,COLUMN())&amp;","&amp;INDEX(MO_Common_QEndDate,0,COLUMN())&amp;",,,,""PRICE"",""CLOSE"")"),"N/A")</f>
        <v>N/A</v>
      </c>
      <c r="BG914" s="354" t="str">
        <f ca="1">IFERROR(_xll.FDS(MO.Ticker.FactSet,"P_PRICE_LOW"&amp;"("&amp;INDEX(MO_SNA_FPStartDate,0,COLUMN())&amp;","&amp;INDEX(MO_Common_QEndDate,0,COLUMN())&amp;",,,,""PRICE"",""CLOSE"")"),"N/A")</f>
        <v>N/A</v>
      </c>
      <c r="BH914" s="354" t="str">
        <f ca="1">IFERROR(_xll.FDS(MO.Ticker.FactSet,"P_PRICE_LOW"&amp;"("&amp;INDEX(MO_SNA_FPStartDate,0,COLUMN())&amp;","&amp;INDEX(MO_Common_QEndDate,0,COLUMN())&amp;",,,,""PRICE"",""CLOSE"")"),"N/A")</f>
        <v>N/A</v>
      </c>
      <c r="BI914" s="354" t="str">
        <f ca="1">IFERROR(_xll.FDS(MO.Ticker.FactSet,"P_PRICE_LOW"&amp;"("&amp;INDEX(MO_SNA_FPStartDate,0,COLUMN())&amp;","&amp;INDEX(MO_Common_QEndDate,0,COLUMN())&amp;",,,,""PRICE"",""CLOSE"")"),"N/A")</f>
        <v>N/A</v>
      </c>
      <c r="BJ914" s="354" t="str">
        <f ca="1">IFERROR(_xll.FDS(MO.Ticker.FactSet,"P_PRICE_LOW"&amp;"("&amp;INDEX(MO_SNA_FPStartDate,0,COLUMN())&amp;","&amp;INDEX(MO_Common_QEndDate,0,COLUMN())&amp;",,,,""PRICE"",""CLOSE"")"),"N/A")</f>
        <v>N/A</v>
      </c>
      <c r="BK914" s="354" t="str">
        <f ca="1">IFERROR(_xll.FDS(MO.Ticker.FactSet,"P_PRICE_LOW"&amp;"("&amp;INDEX(MO_SNA_FPStartDate,0,COLUMN())&amp;","&amp;INDEX(MO_Common_QEndDate,0,COLUMN())&amp;",,,,""PRICE"",""CLOSE"")"),"N/A")</f>
        <v>N/A</v>
      </c>
      <c r="BL914" s="354" t="str">
        <f ca="1">IFERROR(_xll.FDS(MO.Ticker.FactSet,"P_PRICE_LOW"&amp;"("&amp;INDEX(MO_SNA_FPStartDate,0,COLUMN())&amp;","&amp;INDEX(MO_Common_QEndDate,0,COLUMN())&amp;",,,,""PRICE"",""CLOSE"")"),"N/A")</f>
        <v>N/A</v>
      </c>
      <c r="BM914" s="354" t="str">
        <f ca="1">IFERROR(_xll.FDS(MO.Ticker.FactSet,"P_PRICE_LOW"&amp;"("&amp;INDEX(MO_SNA_FPStartDate,0,COLUMN())&amp;","&amp;INDEX(MO_Common_QEndDate,0,COLUMN())&amp;",,,,""PRICE"",""CLOSE"")"),"N/A")</f>
        <v>N/A</v>
      </c>
      <c r="BN914" s="354" t="str">
        <f ca="1">IFERROR(_xll.FDS(MO.Ticker.FactSet,"P_PRICE_LOW"&amp;"("&amp;INDEX(MO_SNA_FPStartDate,0,COLUMN())&amp;","&amp;INDEX(MO_Common_QEndDate,0,COLUMN())&amp;",,,,""PRICE"",""CLOSE"")"),"N/A")</f>
        <v>N/A</v>
      </c>
      <c r="BO914" s="354" t="str">
        <f ca="1">IFERROR(_xll.FDS(MO.Ticker.FactSet,"P_PRICE_LOW"&amp;"("&amp;INDEX(MO_SNA_FPStartDate,0,COLUMN())&amp;","&amp;INDEX(MO_Common_QEndDate,0,COLUMN())&amp;",,,,""PRICE"",""CLOSE"")"),"N/A")</f>
        <v>N/A</v>
      </c>
      <c r="BP914" s="354" t="str">
        <f ca="1">IFERROR(_xll.FDS(MO.Ticker.FactSet,"P_PRICE_LOW"&amp;"("&amp;INDEX(MO_SNA_FPStartDate,0,COLUMN())&amp;","&amp;INDEX(MO_Common_QEndDate,0,COLUMN())&amp;",,,,""PRICE"",""CLOSE"")"),"N/A")</f>
        <v>N/A</v>
      </c>
      <c r="BQ914" s="354" t="str">
        <f ca="1">IFERROR(_xll.FDS(MO.Ticker.FactSet,"P_PRICE_LOW"&amp;"("&amp;INDEX(MO_SNA_FPStartDate,0,COLUMN())&amp;","&amp;INDEX(MO_Common_QEndDate,0,COLUMN())&amp;",,,,""PRICE"",""CLOSE"")"),"N/A")</f>
        <v>N/A</v>
      </c>
      <c r="BR914" s="354" t="str">
        <f ca="1">IFERROR(_xll.FDS(MO.Ticker.FactSet,"P_PRICE_LOW"&amp;"("&amp;INDEX(MO_SNA_FPStartDate,0,COLUMN())&amp;","&amp;INDEX(MO_Common_QEndDate,0,COLUMN())&amp;",,,,""PRICE"",""CLOSE"")"),"N/A")</f>
        <v>N/A</v>
      </c>
      <c r="BS914" s="661" t="str">
        <f ca="1">IFERROR(_xll.FDS(MO.Ticker.FactSet,"P_PRICE_LOW"&amp;"("&amp;INDEX(MO_SNA_FPStartDate,0,COLUMN())&amp;","&amp;INDEX(MO_Common_QEndDate,0,COLUMN())&amp;",,,,""PRICE"",""CLOSE"")"),"N/A")</f>
        <v>N/A</v>
      </c>
      <c r="BT914" s="354" t="str">
        <f ca="1">IFERROR(_xll.FDS(MO.Ticker.FactSet,"P_PRICE_LOW"&amp;"("&amp;INDEX(MO_SNA_FPStartDate,0,COLUMN())&amp;","&amp;INDEX(MO_Common_QEndDate,0,COLUMN())&amp;",,,,""PRICE"",""CLOSE"")"),"N/A")</f>
        <v>N/A</v>
      </c>
      <c r="BU914" s="354" t="str">
        <f ca="1">IFERROR(_xll.FDS(MO.Ticker.FactSet,"P_PRICE_LOW"&amp;"("&amp;INDEX(MO_SNA_FPStartDate,0,COLUMN())&amp;","&amp;INDEX(MO_Common_QEndDate,0,COLUMN())&amp;",,,,""PRICE"",""CLOSE"")"),"N/A")</f>
        <v>N/A</v>
      </c>
      <c r="BV914" s="354" t="str">
        <f ca="1">IFERROR(_xll.FDS(MO.Ticker.FactSet,"P_PRICE_LOW"&amp;"("&amp;INDEX(MO_SNA_FPStartDate,0,COLUMN())&amp;","&amp;INDEX(MO_Common_QEndDate,0,COLUMN())&amp;",,,,""PRICE"",""CLOSE"")"),"N/A")</f>
        <v>N/A</v>
      </c>
      <c r="BW914" s="354" t="str">
        <f ca="1">IFERROR(_xll.FDS(MO.Ticker.FactSet,"P_PRICE_LOW"&amp;"("&amp;INDEX(MO_SNA_FPStartDate,0,COLUMN())&amp;","&amp;INDEX(MO_Common_QEndDate,0,COLUMN())&amp;",,,,""PRICE"",""CLOSE"")"),"N/A")</f>
        <v>N/A</v>
      </c>
      <c r="BX914" s="354" t="str">
        <f ca="1">IFERROR(_xll.FDS(MO.Ticker.FactSet,"P_PRICE_LOW"&amp;"("&amp;INDEX(MO_SNA_FPStartDate,0,COLUMN())&amp;","&amp;INDEX(MO_Common_QEndDate,0,COLUMN())&amp;",,,,""PRICE"",""CLOSE"")"),"N/A")</f>
        <v>N/A</v>
      </c>
      <c r="BY914" s="354" t="str">
        <f ca="1">IFERROR(_xll.FDS(MO.Ticker.FactSet,"P_PRICE_LOW"&amp;"("&amp;INDEX(MO_SNA_FPStartDate,0,COLUMN())&amp;","&amp;INDEX(MO_Common_QEndDate,0,COLUMN())&amp;",,,,""PRICE"",""CLOSE"")"),"N/A")</f>
        <v>N/A</v>
      </c>
      <c r="BZ914" s="354" t="str">
        <f ca="1">IFERROR(_xll.FDS(MO.Ticker.FactSet,"P_PRICE_LOW"&amp;"("&amp;INDEX(MO_SNA_FPStartDate,0,COLUMN())&amp;","&amp;INDEX(MO_Common_QEndDate,0,COLUMN())&amp;",,,,""PRICE"",""CLOSE"")"),"N/A")</f>
        <v>N/A</v>
      </c>
      <c r="CA914" s="354" t="str">
        <f ca="1">IFERROR(_xll.FDS(MO.Ticker.FactSet,"P_PRICE_LOW"&amp;"("&amp;INDEX(MO_SNA_FPStartDate,0,COLUMN())&amp;","&amp;INDEX(MO_Common_QEndDate,0,COLUMN())&amp;",,,,""PRICE"",""CLOSE"")"),"N/A")</f>
        <v>N/A</v>
      </c>
      <c r="CB914" s="354" t="str">
        <f ca="1">IFERROR(_xll.FDS(MO.Ticker.FactSet,"P_PRICE_LOW"&amp;"("&amp;INDEX(MO_SNA_FPStartDate,0,COLUMN())&amp;","&amp;INDEX(MO_Common_QEndDate,0,COLUMN())&amp;",,,,""PRICE"",""CLOSE"")"),"N/A")</f>
        <v>N/A</v>
      </c>
      <c r="CC914" s="354" t="str">
        <f ca="1">IFERROR(_xll.FDS(MO.Ticker.FactSet,"P_PRICE_LOW"&amp;"("&amp;INDEX(MO_SNA_FPStartDate,0,COLUMN())&amp;","&amp;INDEX(MO_Common_QEndDate,0,COLUMN())&amp;",,,,""PRICE"",""CLOSE"")"),"N/A")</f>
        <v>N/A</v>
      </c>
      <c r="CD914" s="354" t="str">
        <f ca="1">IFERROR(_xll.FDS(MO.Ticker.FactSet,"P_PRICE_LOW"&amp;"("&amp;INDEX(MO_SNA_FPStartDate,0,COLUMN())&amp;","&amp;INDEX(MO_Common_QEndDate,0,COLUMN())&amp;",,,,""PRICE"",""CLOSE"")"),"N/A")</f>
        <v>N/A</v>
      </c>
      <c r="CE914" s="354" t="str">
        <f ca="1">IFERROR(_xll.FDS(MO.Ticker.FactSet,"P_PRICE_LOW"&amp;"("&amp;INDEX(MO_SNA_FPStartDate,0,COLUMN())&amp;","&amp;INDEX(MO_Common_QEndDate,0,COLUMN())&amp;",,,,""PRICE"",""CLOSE"")"),"N/A")</f>
        <v>N/A</v>
      </c>
      <c r="CF914" s="662" t="str">
        <f ca="1">IFERROR(_xll.FDS(MO.Ticker.FactSet,"P_PRICE_LOW"&amp;"("&amp;INDEX(MO_SNA_FPStartDate,0,COLUMN())&amp;","&amp;INDEX(MO_Common_QEndDate,0,COLUMN())&amp;",,,,""PRICE"",""CLOSE"")"),"N/A")</f>
        <v>N/A</v>
      </c>
      <c r="CG914" s="663"/>
    </row>
    <row r="915" spans="1:85" ht="14.45" hidden="1" customHeight="1" x14ac:dyDescent="0.25">
      <c r="A915" s="355" t="s">
        <v>805</v>
      </c>
      <c r="B915" s="354"/>
      <c r="C915" s="290" t="str">
        <f ca="1">IFERROR(_xll.TR(MO.Ticker.Thomson,"Min(TR.PriceLow)","sdate:#1 edate:#2",,INDEX(MO_SNA_FPStartDate,0,COLUMN()),INDEX(MO_Common_QEndDate,0,COLUMN())),"N/A")</f>
        <v>N/A</v>
      </c>
      <c r="D915" s="290" t="str">
        <f ca="1">IFERROR(_xll.TR(MO.Ticker.Thomson,"Min(TR.PriceLow)","sdate:#1 edate:#2",,INDEX(MO_SNA_FPStartDate,0,COLUMN()),INDEX(MO_Common_QEndDate,0,COLUMN())),"N/A")</f>
        <v>N/A</v>
      </c>
      <c r="E915" s="290" t="str">
        <f ca="1">IFERROR(_xll.TR(MO.Ticker.Thomson,"Min(TR.PriceLow)","sdate:#1 edate:#2",,INDEX(MO_SNA_FPStartDate,0,COLUMN()),INDEX(MO_Common_QEndDate,0,COLUMN())),"N/A")</f>
        <v>N/A</v>
      </c>
      <c r="F915" s="290" t="str">
        <f ca="1">IFERROR(_xll.TR(MO.Ticker.Thomson,"Min(TR.PriceLow)","sdate:#1 edate:#2",,INDEX(MO_SNA_FPStartDate,0,COLUMN()),INDEX(MO_Common_QEndDate,0,COLUMN())),"N/A")</f>
        <v>N/A</v>
      </c>
      <c r="G915" s="290" t="str">
        <f ca="1">IFERROR(_xll.TR(MO.Ticker.Thomson,"Min(TR.PriceLow)","sdate:#1 edate:#2",,INDEX(MO_SNA_FPStartDate,0,COLUMN()),INDEX(MO_Common_QEndDate,0,COLUMN())),"N/A")</f>
        <v>N/A</v>
      </c>
      <c r="H915" s="354" t="str">
        <f ca="1">IFERROR(_xll.TR(MO.Ticker.Thomson,"Min(TR.PriceLow)","sdate:#1 edate:#2",,INDEX(MO_SNA_FPStartDate,0,COLUMN()),INDEX(MO_Common_QEndDate,0,COLUMN())),"N/A")</f>
        <v>N/A</v>
      </c>
      <c r="I915" s="354" t="str">
        <f ca="1">IFERROR(_xll.TR(MO.Ticker.Thomson,"Min(TR.PriceLow)","sdate:#1 edate:#2",,INDEX(MO_SNA_FPStartDate,0,COLUMN()),INDEX(MO_Common_QEndDate,0,COLUMN())),"N/A")</f>
        <v>N/A</v>
      </c>
      <c r="J915" s="354" t="str">
        <f ca="1">IFERROR(_xll.TR(MO.Ticker.Thomson,"Min(TR.PriceLow)","sdate:#1 edate:#2",,INDEX(MO_SNA_FPStartDate,0,COLUMN()),INDEX(MO_Common_QEndDate,0,COLUMN())),"N/A")</f>
        <v>N/A</v>
      </c>
      <c r="K915" s="354" t="str">
        <f ca="1">IFERROR(_xll.TR(MO.Ticker.Thomson,"Min(TR.PriceLow)","sdate:#1 edate:#2",,INDEX(MO_SNA_FPStartDate,0,COLUMN()),INDEX(MO_Common_QEndDate,0,COLUMN())),"N/A")</f>
        <v>N/A</v>
      </c>
      <c r="L915" s="354" t="str">
        <f ca="1">IFERROR(_xll.TR(MO.Ticker.Thomson,"Min(TR.PriceLow)","sdate:#1 edate:#2",,INDEX(MO_SNA_FPStartDate,0,COLUMN()),INDEX(MO_Common_QEndDate,0,COLUMN())),"N/A")</f>
        <v>N/A</v>
      </c>
      <c r="M915" s="354" t="str">
        <f ca="1">IFERROR(_xll.TR(MO.Ticker.Thomson,"Min(TR.PriceLow)","sdate:#1 edate:#2",,INDEX(MO_SNA_FPStartDate,0,COLUMN()),INDEX(MO_Common_QEndDate,0,COLUMN())),"N/A")</f>
        <v>N/A</v>
      </c>
      <c r="N915" s="354" t="str">
        <f ca="1">IFERROR(_xll.TR(MO.Ticker.Thomson,"Min(TR.PriceLow)","sdate:#1 edate:#2",,INDEX(MO_SNA_FPStartDate,0,COLUMN()),INDEX(MO_Common_QEndDate,0,COLUMN())),"N/A")</f>
        <v>N/A</v>
      </c>
      <c r="O915" s="354" t="str">
        <f ca="1">IFERROR(_xll.TR(MO.Ticker.Thomson,"Min(TR.PriceLow)","sdate:#1 edate:#2",,INDEX(MO_SNA_FPStartDate,0,COLUMN()),INDEX(MO_Common_QEndDate,0,COLUMN())),"N/A")</f>
        <v>N/A</v>
      </c>
      <c r="P915" s="354" t="str">
        <f ca="1">IFERROR(_xll.TR(MO.Ticker.Thomson,"Min(TR.PriceLow)","sdate:#1 edate:#2",,INDEX(MO_SNA_FPStartDate,0,COLUMN()),INDEX(MO_Common_QEndDate,0,COLUMN())),"N/A")</f>
        <v>N/A</v>
      </c>
      <c r="Q915" s="354" t="str">
        <f ca="1">IFERROR(_xll.TR(MO.Ticker.Thomson,"Min(TR.PriceLow)","sdate:#1 edate:#2",,INDEX(MO_SNA_FPStartDate,0,COLUMN()),INDEX(MO_Common_QEndDate,0,COLUMN())),"N/A")</f>
        <v>N/A</v>
      </c>
      <c r="R915" s="354" t="str">
        <f ca="1">IFERROR(_xll.TR(MO.Ticker.Thomson,"Min(TR.PriceLow)","sdate:#1 edate:#2",,INDEX(MO_SNA_FPStartDate,0,COLUMN()),INDEX(MO_Common_QEndDate,0,COLUMN())),"N/A")</f>
        <v>N/A</v>
      </c>
      <c r="S915" s="354" t="str">
        <f ca="1">IFERROR(_xll.TR(MO.Ticker.Thomson,"Min(TR.PriceLow)","sdate:#1 edate:#2",,INDEX(MO_SNA_FPStartDate,0,COLUMN()),INDEX(MO_Common_QEndDate,0,COLUMN())),"N/A")</f>
        <v>N/A</v>
      </c>
      <c r="T915" s="354" t="str">
        <f ca="1">IFERROR(_xll.TR(MO.Ticker.Thomson,"Min(TR.PriceLow)","sdate:#1 edate:#2",,INDEX(MO_SNA_FPStartDate,0,COLUMN()),INDEX(MO_Common_QEndDate,0,COLUMN())),"N/A")</f>
        <v>N/A</v>
      </c>
      <c r="U915" s="354" t="str">
        <f ca="1">IFERROR(_xll.TR(MO.Ticker.Thomson,"Min(TR.PriceLow)","sdate:#1 edate:#2",,INDEX(MO_SNA_FPStartDate,0,COLUMN()),INDEX(MO_Common_QEndDate,0,COLUMN())),"N/A")</f>
        <v>N/A</v>
      </c>
      <c r="V915" s="354" t="str">
        <f ca="1">IFERROR(_xll.TR(MO.Ticker.Thomson,"Min(TR.PriceLow)","sdate:#1 edate:#2",,INDEX(MO_SNA_FPStartDate,0,COLUMN()),INDEX(MO_Common_QEndDate,0,COLUMN())),"N/A")</f>
        <v>N/A</v>
      </c>
      <c r="W915" s="354" t="str">
        <f ca="1">IFERROR(_xll.TR(MO.Ticker.Thomson,"Min(TR.PriceLow)","sdate:#1 edate:#2",,INDEX(MO_SNA_FPStartDate,0,COLUMN()),INDEX(MO_Common_QEndDate,0,COLUMN())),"N/A")</f>
        <v>N/A</v>
      </c>
      <c r="X915" s="354" t="str">
        <f ca="1">IFERROR(_xll.TR(MO.Ticker.Thomson,"Min(TR.PriceLow)","sdate:#1 edate:#2",,INDEX(MO_SNA_FPStartDate,0,COLUMN()),INDEX(MO_Common_QEndDate,0,COLUMN())),"N/A")</f>
        <v>N/A</v>
      </c>
      <c r="Y915" s="354" t="str">
        <f ca="1">IFERROR(_xll.TR(MO.Ticker.Thomson,"Min(TR.PriceLow)","sdate:#1 edate:#2",,INDEX(MO_SNA_FPStartDate,0,COLUMN()),INDEX(MO_Common_QEndDate,0,COLUMN())),"N/A")</f>
        <v>N/A</v>
      </c>
      <c r="Z915" s="354" t="str">
        <f ca="1">IFERROR(_xll.TR(MO.Ticker.Thomson,"Min(TR.PriceLow)","sdate:#1 edate:#2",,INDEX(MO_SNA_FPStartDate,0,COLUMN()),INDEX(MO_Common_QEndDate,0,COLUMN())),"N/A")</f>
        <v>N/A</v>
      </c>
      <c r="AA915" s="354" t="str">
        <f ca="1">IFERROR(_xll.TR(MO.Ticker.Thomson,"Min(TR.PriceLow)","sdate:#1 edate:#2",,INDEX(MO_SNA_FPStartDate,0,COLUMN()),INDEX(MO_Common_QEndDate,0,COLUMN())),"N/A")</f>
        <v>N/A</v>
      </c>
      <c r="AB915" s="354" t="str">
        <f ca="1">IFERROR(_xll.TR(MO.Ticker.Thomson,"Min(TR.PriceLow)","sdate:#1 edate:#2",,INDEX(MO_SNA_FPStartDate,0,COLUMN()),INDEX(MO_Common_QEndDate,0,COLUMN())),"N/A")</f>
        <v>N/A</v>
      </c>
      <c r="AC915" s="354" t="str">
        <f ca="1">IFERROR(_xll.TR(MO.Ticker.Thomson,"Min(TR.PriceLow)","sdate:#1 edate:#2",,INDEX(MO_SNA_FPStartDate,0,COLUMN()),INDEX(MO_Common_QEndDate,0,COLUMN())),"N/A")</f>
        <v>N/A</v>
      </c>
      <c r="AD915" s="354" t="str">
        <f ca="1">IFERROR(_xll.TR(MO.Ticker.Thomson,"Min(TR.PriceLow)","sdate:#1 edate:#2",,INDEX(MO_SNA_FPStartDate,0,COLUMN()),INDEX(MO_Common_QEndDate,0,COLUMN())),"N/A")</f>
        <v>N/A</v>
      </c>
      <c r="AE915" s="354" t="str">
        <f ca="1">IFERROR(_xll.TR(MO.Ticker.Thomson,"Min(TR.PriceLow)","sdate:#1 edate:#2",,INDEX(MO_SNA_FPStartDate,0,COLUMN()),INDEX(MO_Common_QEndDate,0,COLUMN())),"N/A")</f>
        <v>N/A</v>
      </c>
      <c r="AF915" s="354" t="str">
        <f ca="1">IFERROR(_xll.TR(MO.Ticker.Thomson,"Min(TR.PriceLow)","sdate:#1 edate:#2",,INDEX(MO_SNA_FPStartDate,0,COLUMN()),INDEX(MO_Common_QEndDate,0,COLUMN())),"N/A")</f>
        <v>N/A</v>
      </c>
      <c r="AG915" s="354" t="str">
        <f ca="1">IFERROR(_xll.TR(MO.Ticker.Thomson,"Min(TR.PriceLow)","sdate:#1 edate:#2",,INDEX(MO_SNA_FPStartDate,0,COLUMN()),INDEX(MO_Common_QEndDate,0,COLUMN())),"N/A")</f>
        <v>N/A</v>
      </c>
      <c r="AH915" s="354" t="str">
        <f ca="1">IFERROR(_xll.TR(MO.Ticker.Thomson,"Min(TR.PriceLow)","sdate:#1 edate:#2",,INDEX(MO_SNA_FPStartDate,0,COLUMN()),INDEX(MO_Common_QEndDate,0,COLUMN())),"N/A")</f>
        <v>N/A</v>
      </c>
      <c r="AI915" s="354" t="str">
        <f ca="1">IFERROR(_xll.TR(MO.Ticker.Thomson,"Min(TR.PriceLow)","sdate:#1 edate:#2",,INDEX(MO_SNA_FPStartDate,0,COLUMN()),INDEX(MO_Common_QEndDate,0,COLUMN())),"N/A")</f>
        <v>N/A</v>
      </c>
      <c r="AJ915" s="354" t="str">
        <f ca="1">IFERROR(_xll.TR(MO.Ticker.Thomson,"Min(TR.PriceLow)","sdate:#1 edate:#2",,INDEX(MO_SNA_FPStartDate,0,COLUMN()),INDEX(MO_Common_QEndDate,0,COLUMN())),"N/A")</f>
        <v>N/A</v>
      </c>
      <c r="AK915" s="354" t="str">
        <f ca="1">IFERROR(_xll.TR(MO.Ticker.Thomson,"Min(TR.PriceLow)","sdate:#1 edate:#2",,INDEX(MO_SNA_FPStartDate,0,COLUMN()),INDEX(MO_Common_QEndDate,0,COLUMN())),"N/A")</f>
        <v>N/A</v>
      </c>
      <c r="AL915" s="354" t="str">
        <f ca="1">IFERROR(_xll.TR(MO.Ticker.Thomson,"Min(TR.PriceLow)","sdate:#1 edate:#2",,INDEX(MO_SNA_FPStartDate,0,COLUMN()),INDEX(MO_Common_QEndDate,0,COLUMN())),"N/A")</f>
        <v>N/A</v>
      </c>
      <c r="AM915" s="354" t="str">
        <f ca="1">IFERROR(_xll.TR(MO.Ticker.Thomson,"Min(TR.PriceLow)","sdate:#1 edate:#2",,INDEX(MO_SNA_FPStartDate,0,COLUMN()),INDEX(MO_Common_QEndDate,0,COLUMN())),"N/A")</f>
        <v>N/A</v>
      </c>
      <c r="AN915" s="354" t="str">
        <f ca="1">IFERROR(_xll.TR(MO.Ticker.Thomson,"Min(TR.PriceLow)","sdate:#1 edate:#2",,INDEX(MO_SNA_FPStartDate,0,COLUMN()),INDEX(MO_Common_QEndDate,0,COLUMN())),"N/A")</f>
        <v>N/A</v>
      </c>
      <c r="AO915" s="354" t="str">
        <f ca="1">IFERROR(_xll.TR(MO.Ticker.Thomson,"Min(TR.PriceLow)","sdate:#1 edate:#2",,INDEX(MO_SNA_FPStartDate,0,COLUMN()),INDEX(MO_Common_QEndDate,0,COLUMN())),"N/A")</f>
        <v>N/A</v>
      </c>
      <c r="AP915" s="354" t="str">
        <f ca="1">IFERROR(_xll.TR(MO.Ticker.Thomson,"Min(TR.PriceLow)","sdate:#1 edate:#2",,INDEX(MO_SNA_FPStartDate,0,COLUMN()),INDEX(MO_Common_QEndDate,0,COLUMN())),"N/A")</f>
        <v>N/A</v>
      </c>
      <c r="AQ915" s="354" t="str">
        <f ca="1">IFERROR(_xll.TR(MO.Ticker.Thomson,"Min(TR.PriceLow)","sdate:#1 edate:#2",,INDEX(MO_SNA_FPStartDate,0,COLUMN()),INDEX(MO_Common_QEndDate,0,COLUMN())),"N/A")</f>
        <v>N/A</v>
      </c>
      <c r="AR915" s="354" t="str">
        <f ca="1">IFERROR(_xll.TR(MO.Ticker.Thomson,"Min(TR.PriceLow)","sdate:#1 edate:#2",,INDEX(MO_SNA_FPStartDate,0,COLUMN()),INDEX(MO_Common_QEndDate,0,COLUMN())),"N/A")</f>
        <v>N/A</v>
      </c>
      <c r="AS915" s="354" t="str">
        <f ca="1">IFERROR(_xll.TR(MO.Ticker.Thomson,"Min(TR.PriceLow)","sdate:#1 edate:#2",,INDEX(MO_SNA_FPStartDate,0,COLUMN()),INDEX(MO_Common_QEndDate,0,COLUMN())),"N/A")</f>
        <v>N/A</v>
      </c>
      <c r="AT915" s="354" t="str">
        <f ca="1">IFERROR(_xll.TR(MO.Ticker.Thomson,"Min(TR.PriceLow)","sdate:#1 edate:#2",,INDEX(MO_SNA_FPStartDate,0,COLUMN()),INDEX(MO_Common_QEndDate,0,COLUMN())),"N/A")</f>
        <v>N/A</v>
      </c>
      <c r="AU915" s="354" t="str">
        <f ca="1">IFERROR(_xll.TR(MO.Ticker.Thomson,"Min(TR.PriceLow)","sdate:#1 edate:#2",,INDEX(MO_SNA_FPStartDate,0,COLUMN()),INDEX(MO_Common_QEndDate,0,COLUMN())),"N/A")</f>
        <v>N/A</v>
      </c>
      <c r="AV915" s="354" t="str">
        <f ca="1">IFERROR(_xll.TR(MO.Ticker.Thomson,"Min(TR.PriceLow)","sdate:#1 edate:#2",,INDEX(MO_SNA_FPStartDate,0,COLUMN()),INDEX(MO_Common_QEndDate,0,COLUMN())),"N/A")</f>
        <v>N/A</v>
      </c>
      <c r="AW915" s="354" t="str">
        <f ca="1">IFERROR(_xll.TR(MO.Ticker.Thomson,"Min(TR.PriceLow)","sdate:#1 edate:#2",,INDEX(MO_SNA_FPStartDate,0,COLUMN()),INDEX(MO_Common_QEndDate,0,COLUMN())),"N/A")</f>
        <v>N/A</v>
      </c>
      <c r="AX915" s="354" t="str">
        <f ca="1">IFERROR(_xll.TR(MO.Ticker.Thomson,"Min(TR.PriceLow)","sdate:#1 edate:#2",,INDEX(MO_SNA_FPStartDate,0,COLUMN()),INDEX(MO_Common_QEndDate,0,COLUMN())),"N/A")</f>
        <v>N/A</v>
      </c>
      <c r="AY915" s="354" t="str">
        <f ca="1">IFERROR(_xll.TR(MO.Ticker.Thomson,"Min(TR.PriceLow)","sdate:#1 edate:#2",,INDEX(MO_SNA_FPStartDate,0,COLUMN()),INDEX(MO_Common_QEndDate,0,COLUMN())),"N/A")</f>
        <v>N/A</v>
      </c>
      <c r="AZ915" s="354" t="str">
        <f ca="1">IFERROR(_xll.TR(MO.Ticker.Thomson,"Min(TR.PriceLow)","sdate:#1 edate:#2",,INDEX(MO_SNA_FPStartDate,0,COLUMN()),INDEX(MO_Common_QEndDate,0,COLUMN())),"N/A")</f>
        <v>N/A</v>
      </c>
      <c r="BA915" s="354" t="str">
        <f ca="1">IFERROR(_xll.TR(MO.Ticker.Thomson,"Min(TR.PriceLow)","sdate:#1 edate:#2",,INDEX(MO_SNA_FPStartDate,0,COLUMN()),INDEX(MO_Common_QEndDate,0,COLUMN())),"N/A")</f>
        <v>N/A</v>
      </c>
      <c r="BB915" s="354" t="str">
        <f ca="1">IFERROR(_xll.TR(MO.Ticker.Thomson,"Min(TR.PriceLow)","sdate:#1 edate:#2",,INDEX(MO_SNA_FPStartDate,0,COLUMN()),INDEX(MO_Common_QEndDate,0,COLUMN())),"N/A")</f>
        <v>N/A</v>
      </c>
      <c r="BC915" s="354" t="str">
        <f ca="1">IFERROR(_xll.TR(MO.Ticker.Thomson,"Min(TR.PriceLow)","sdate:#1 edate:#2",,INDEX(MO_SNA_FPStartDate,0,COLUMN()),INDEX(MO_Common_QEndDate,0,COLUMN())),"N/A")</f>
        <v>N/A</v>
      </c>
      <c r="BD915" s="354" t="str">
        <f ca="1">IFERROR(_xll.TR(MO.Ticker.Thomson,"Min(TR.PriceLow)","sdate:#1 edate:#2",,INDEX(MO_SNA_FPStartDate,0,COLUMN()),INDEX(MO_Common_QEndDate,0,COLUMN())),"N/A")</f>
        <v>N/A</v>
      </c>
      <c r="BE915" s="354" t="str">
        <f ca="1">IFERROR(_xll.TR(MO.Ticker.Thomson,"Min(TR.PriceLow)","sdate:#1 edate:#2",,INDEX(MO_SNA_FPStartDate,0,COLUMN()),INDEX(MO_Common_QEndDate,0,COLUMN())),"N/A")</f>
        <v>N/A</v>
      </c>
      <c r="BF915" s="354" t="str">
        <f ca="1">IFERROR(_xll.TR(MO.Ticker.Thomson,"Min(TR.PriceLow)","sdate:#1 edate:#2",,INDEX(MO_SNA_FPStartDate,0,COLUMN()),INDEX(MO_Common_QEndDate,0,COLUMN())),"N/A")</f>
        <v>N/A</v>
      </c>
      <c r="BG915" s="354" t="str">
        <f ca="1">IFERROR(_xll.TR(MO.Ticker.Thomson,"Min(TR.PriceLow)","sdate:#1 edate:#2",,INDEX(MO_SNA_FPStartDate,0,COLUMN()),INDEX(MO_Common_QEndDate,0,COLUMN())),"N/A")</f>
        <v>N/A</v>
      </c>
      <c r="BH915" s="354" t="str">
        <f ca="1">IFERROR(_xll.TR(MO.Ticker.Thomson,"Min(TR.PriceLow)","sdate:#1 edate:#2",,INDEX(MO_SNA_FPStartDate,0,COLUMN()),INDEX(MO_Common_QEndDate,0,COLUMN())),"N/A")</f>
        <v>N/A</v>
      </c>
      <c r="BI915" s="354" t="str">
        <f ca="1">IFERROR(_xll.TR(MO.Ticker.Thomson,"Min(TR.PriceLow)","sdate:#1 edate:#2",,INDEX(MO_SNA_FPStartDate,0,COLUMN()),INDEX(MO_Common_QEndDate,0,COLUMN())),"N/A")</f>
        <v>N/A</v>
      </c>
      <c r="BJ915" s="354" t="str">
        <f ca="1">IFERROR(_xll.TR(MO.Ticker.Thomson,"Min(TR.PriceLow)","sdate:#1 edate:#2",,INDEX(MO_SNA_FPStartDate,0,COLUMN()),INDEX(MO_Common_QEndDate,0,COLUMN())),"N/A")</f>
        <v>N/A</v>
      </c>
      <c r="BK915" s="354" t="str">
        <f ca="1">IFERROR(_xll.TR(MO.Ticker.Thomson,"Min(TR.PriceLow)","sdate:#1 edate:#2",,INDEX(MO_SNA_FPStartDate,0,COLUMN()),INDEX(MO_Common_QEndDate,0,COLUMN())),"N/A")</f>
        <v>N/A</v>
      </c>
      <c r="BL915" s="354" t="str">
        <f ca="1">IFERROR(_xll.TR(MO.Ticker.Thomson,"Min(TR.PriceLow)","sdate:#1 edate:#2",,INDEX(MO_SNA_FPStartDate,0,COLUMN()),INDEX(MO_Common_QEndDate,0,COLUMN())),"N/A")</f>
        <v>N/A</v>
      </c>
      <c r="BM915" s="354" t="str">
        <f ca="1">IFERROR(_xll.TR(MO.Ticker.Thomson,"Min(TR.PriceLow)","sdate:#1 edate:#2",,INDEX(MO_SNA_FPStartDate,0,COLUMN()),INDEX(MO_Common_QEndDate,0,COLUMN())),"N/A")</f>
        <v>N/A</v>
      </c>
      <c r="BN915" s="354" t="str">
        <f ca="1">IFERROR(_xll.TR(MO.Ticker.Thomson,"Min(TR.PriceLow)","sdate:#1 edate:#2",,INDEX(MO_SNA_FPStartDate,0,COLUMN()),INDEX(MO_Common_QEndDate,0,COLUMN())),"N/A")</f>
        <v>N/A</v>
      </c>
      <c r="BO915" s="354" t="str">
        <f ca="1">IFERROR(_xll.TR(MO.Ticker.Thomson,"Min(TR.PriceLow)","sdate:#1 edate:#2",,INDEX(MO_SNA_FPStartDate,0,COLUMN()),INDEX(MO_Common_QEndDate,0,COLUMN())),"N/A")</f>
        <v>N/A</v>
      </c>
      <c r="BP915" s="354" t="str">
        <f ca="1">IFERROR(_xll.TR(MO.Ticker.Thomson,"Min(TR.PriceLow)","sdate:#1 edate:#2",,INDEX(MO_SNA_FPStartDate,0,COLUMN()),INDEX(MO_Common_QEndDate,0,COLUMN())),"N/A")</f>
        <v>N/A</v>
      </c>
      <c r="BQ915" s="354" t="str">
        <f ca="1">IFERROR(_xll.TR(MO.Ticker.Thomson,"Min(TR.PriceLow)","sdate:#1 edate:#2",,INDEX(MO_SNA_FPStartDate,0,COLUMN()),INDEX(MO_Common_QEndDate,0,COLUMN())),"N/A")</f>
        <v>N/A</v>
      </c>
      <c r="BR915" s="354" t="str">
        <f ca="1">IFERROR(_xll.TR(MO.Ticker.Thomson,"Min(TR.PriceLow)","sdate:#1 edate:#2",,INDEX(MO_SNA_FPStartDate,0,COLUMN()),INDEX(MO_Common_QEndDate,0,COLUMN())),"N/A")</f>
        <v>N/A</v>
      </c>
      <c r="BS915" s="661" t="str">
        <f ca="1">IFERROR(_xll.TR(MO.Ticker.Thomson,"Min(TR.PriceLow)","sdate:#1 edate:#2",,INDEX(MO_SNA_FPStartDate,0,COLUMN()),INDEX(MO_Common_QEndDate,0,COLUMN())),"N/A")</f>
        <v>N/A</v>
      </c>
      <c r="BT915" s="354" t="str">
        <f ca="1">IFERROR(_xll.TR(MO.Ticker.Thomson,"Min(TR.PriceLow)","sdate:#1 edate:#2",,INDEX(MO_SNA_FPStartDate,0,COLUMN()),INDEX(MO_Common_QEndDate,0,COLUMN())),"N/A")</f>
        <v>N/A</v>
      </c>
      <c r="BU915" s="354" t="str">
        <f ca="1">IFERROR(_xll.TR(MO.Ticker.Thomson,"Min(TR.PriceLow)","sdate:#1 edate:#2",,INDEX(MO_SNA_FPStartDate,0,COLUMN()),INDEX(MO_Common_QEndDate,0,COLUMN())),"N/A")</f>
        <v>N/A</v>
      </c>
      <c r="BV915" s="354" t="str">
        <f ca="1">IFERROR(_xll.TR(MO.Ticker.Thomson,"Min(TR.PriceLow)","sdate:#1 edate:#2",,INDEX(MO_SNA_FPStartDate,0,COLUMN()),INDEX(MO_Common_QEndDate,0,COLUMN())),"N/A")</f>
        <v>N/A</v>
      </c>
      <c r="BW915" s="354" t="str">
        <f ca="1">IFERROR(_xll.TR(MO.Ticker.Thomson,"Min(TR.PriceLow)","sdate:#1 edate:#2",,INDEX(MO_SNA_FPStartDate,0,COLUMN()),INDEX(MO_Common_QEndDate,0,COLUMN())),"N/A")</f>
        <v>N/A</v>
      </c>
      <c r="BX915" s="354" t="str">
        <f ca="1">IFERROR(_xll.TR(MO.Ticker.Thomson,"Min(TR.PriceLow)","sdate:#1 edate:#2",,INDEX(MO_SNA_FPStartDate,0,COLUMN()),INDEX(MO_Common_QEndDate,0,COLUMN())),"N/A")</f>
        <v>N/A</v>
      </c>
      <c r="BY915" s="354" t="str">
        <f ca="1">IFERROR(_xll.TR(MO.Ticker.Thomson,"Min(TR.PriceLow)","sdate:#1 edate:#2",,INDEX(MO_SNA_FPStartDate,0,COLUMN()),INDEX(MO_Common_QEndDate,0,COLUMN())),"N/A")</f>
        <v>N/A</v>
      </c>
      <c r="BZ915" s="354" t="str">
        <f ca="1">IFERROR(_xll.TR(MO.Ticker.Thomson,"Min(TR.PriceLow)","sdate:#1 edate:#2",,INDEX(MO_SNA_FPStartDate,0,COLUMN()),INDEX(MO_Common_QEndDate,0,COLUMN())),"N/A")</f>
        <v>N/A</v>
      </c>
      <c r="CA915" s="354" t="str">
        <f ca="1">IFERROR(_xll.TR(MO.Ticker.Thomson,"Min(TR.PriceLow)","sdate:#1 edate:#2",,INDEX(MO_SNA_FPStartDate,0,COLUMN()),INDEX(MO_Common_QEndDate,0,COLUMN())),"N/A")</f>
        <v>N/A</v>
      </c>
      <c r="CB915" s="354" t="str">
        <f ca="1">IFERROR(_xll.TR(MO.Ticker.Thomson,"Min(TR.PriceLow)","sdate:#1 edate:#2",,INDEX(MO_SNA_FPStartDate,0,COLUMN()),INDEX(MO_Common_QEndDate,0,COLUMN())),"N/A")</f>
        <v>N/A</v>
      </c>
      <c r="CC915" s="354" t="str">
        <f ca="1">IFERROR(_xll.TR(MO.Ticker.Thomson,"Min(TR.PriceLow)","sdate:#1 edate:#2",,INDEX(MO_SNA_FPStartDate,0,COLUMN()),INDEX(MO_Common_QEndDate,0,COLUMN())),"N/A")</f>
        <v>N/A</v>
      </c>
      <c r="CD915" s="354" t="str">
        <f ca="1">IFERROR(_xll.TR(MO.Ticker.Thomson,"Min(TR.PriceLow)","sdate:#1 edate:#2",,INDEX(MO_SNA_FPStartDate,0,COLUMN()),INDEX(MO_Common_QEndDate,0,COLUMN())),"N/A")</f>
        <v>N/A</v>
      </c>
      <c r="CE915" s="354" t="str">
        <f ca="1">IFERROR(_xll.TR(MO.Ticker.Thomson,"Min(TR.PriceLow)","sdate:#1 edate:#2",,INDEX(MO_SNA_FPStartDate,0,COLUMN()),INDEX(MO_Common_QEndDate,0,COLUMN())),"N/A")</f>
        <v>N/A</v>
      </c>
      <c r="CF915" s="662" t="str">
        <f ca="1">IFERROR(_xll.TR(MO.Ticker.Thomson,"Min(TR.PriceLow)","sdate:#1 edate:#2",,INDEX(MO_SNA_FPStartDate,0,COLUMN()),INDEX(MO_Common_QEndDate,0,COLUMN())),"N/A")</f>
        <v>N/A</v>
      </c>
      <c r="CG915" s="663"/>
    </row>
    <row r="916" spans="1:85" ht="14.45" hidden="1" customHeight="1" x14ac:dyDescent="0.25">
      <c r="A916" s="357"/>
      <c r="B916" s="63"/>
      <c r="C916" s="126"/>
      <c r="D916" s="126"/>
      <c r="E916" s="126"/>
      <c r="F916" s="126"/>
      <c r="G916" s="126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376"/>
      <c r="BT916" s="63"/>
      <c r="BU916" s="63"/>
      <c r="BV916" s="63"/>
      <c r="BW916" s="63"/>
      <c r="BX916" s="63"/>
      <c r="BY916" s="63"/>
      <c r="BZ916" s="63"/>
      <c r="CA916" s="63"/>
      <c r="CB916" s="63"/>
      <c r="CC916" s="63"/>
      <c r="CD916" s="63"/>
      <c r="CE916" s="63"/>
      <c r="CF916" s="666"/>
      <c r="CG916" s="649"/>
    </row>
    <row r="917" spans="1:85" ht="14.45" customHeight="1" x14ac:dyDescent="0.25">
      <c r="A917" s="353" t="e">
        <f>"Stock Average: "&amp;IF(OR(MO.RealTimeStockPriceToggle=FALSE,VLOOKUP(MO.DataSourceName,MO_SPT_StockAverage_Sources,COLUMN()+2,FALSE)="N/A"),"Real-Time Off Source",MO.DataSourceName)</f>
        <v>#NAME?</v>
      </c>
      <c r="B917" s="354"/>
      <c r="C917" s="290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D917" s="290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E917" s="290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F917" s="290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G917" s="290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H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I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J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K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L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M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N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O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P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Q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R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S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T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U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V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W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X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Y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Z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A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B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C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D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E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F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G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H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I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J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K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L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M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N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O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P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Q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R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S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T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U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V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W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X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Y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AZ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A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B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C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D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E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F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G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H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I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J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K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L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M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N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O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P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Q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R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S917" s="661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T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U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V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W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X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Y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BZ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A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B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C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D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E917" s="354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F917" s="662" t="e">
        <f>IF(OR(MO.RealTimeStockPriceToggle=FALSE,VLOOKUP(MO.DataSourceName,MO_SPT_StockAverage_Sources,COLUMN(),FALSE)="N/A"),VLOOKUP("Real-Time Off Source",MO_SPT_StockAverage_Sources,COLUMN(),FALSE),VLOOKUP(MO.DataSourceName,MO_SPT_StockAverage_Sources,COLUMN(),FALSE))</f>
        <v>#NAME?</v>
      </c>
      <c r="CG917" s="663"/>
    </row>
    <row r="918" spans="1:85" ht="14.45" hidden="1" customHeight="1" x14ac:dyDescent="0.25">
      <c r="A918" s="355" t="s">
        <v>801</v>
      </c>
      <c r="B918" s="354"/>
      <c r="C918" s="664">
        <v>4.8893954784313696</v>
      </c>
      <c r="D918" s="664">
        <v>5.2114278928571496</v>
      </c>
      <c r="E918" s="664">
        <v>5.9180147261904796</v>
      </c>
      <c r="F918" s="664">
        <v>6.3092752369477898</v>
      </c>
      <c r="G918" s="664">
        <v>6.2688639508196697</v>
      </c>
      <c r="H918" s="356">
        <v>5.9465138749999999</v>
      </c>
      <c r="I918" s="356">
        <v>6.2094419206349203</v>
      </c>
      <c r="J918" s="356">
        <v>6.41552704761905</v>
      </c>
      <c r="K918" s="356">
        <v>6.2085682629482104</v>
      </c>
      <c r="L918" s="356">
        <v>7.4541118387096699</v>
      </c>
      <c r="M918" s="356">
        <v>7.6341009523809502</v>
      </c>
      <c r="N918" s="356">
        <v>7.2124358095238099</v>
      </c>
      <c r="O918" s="356">
        <v>8.3719490634920604</v>
      </c>
      <c r="P918" s="356">
        <v>7.6690021553784904</v>
      </c>
      <c r="Q918" s="356">
        <v>9.7975571451612904</v>
      </c>
      <c r="R918" s="356">
        <v>11.604828507936499</v>
      </c>
      <c r="S918" s="356">
        <v>15.718212507936499</v>
      </c>
      <c r="T918" s="356">
        <v>19.020604313432798</v>
      </c>
      <c r="U918" s="356">
        <v>14.1301200627451</v>
      </c>
      <c r="V918" s="356">
        <v>16.5839838709677</v>
      </c>
      <c r="W918" s="356">
        <v>14.240673546875</v>
      </c>
      <c r="X918" s="356">
        <v>14.438269904761899</v>
      </c>
      <c r="Y918" s="356">
        <v>15.3046946984127</v>
      </c>
      <c r="Z918" s="356">
        <v>15.132606654761901</v>
      </c>
      <c r="AA918" s="356">
        <v>17.3983733225806</v>
      </c>
      <c r="AB918" s="356">
        <v>21.077245523809498</v>
      </c>
      <c r="AC918" s="356">
        <v>21.5454946984127</v>
      </c>
      <c r="AD918" s="356">
        <v>21.247031507936502</v>
      </c>
      <c r="AE918" s="356">
        <v>20.328664402390402</v>
      </c>
      <c r="AF918" s="356">
        <v>18.6431011311475</v>
      </c>
      <c r="AG918" s="356">
        <v>14.391766437499999</v>
      </c>
      <c r="AH918" s="356">
        <v>15.6329128412698</v>
      </c>
      <c r="AI918" s="356">
        <v>18.080554177419401</v>
      </c>
      <c r="AJ918" s="356">
        <v>16.656680355999999</v>
      </c>
      <c r="AK918" s="356">
        <v>22.2207935967742</v>
      </c>
      <c r="AL918" s="356">
        <v>30.567645682539698</v>
      </c>
      <c r="AM918" s="356">
        <v>30.528117015873001</v>
      </c>
      <c r="AN918" s="356">
        <v>27.3193543968254</v>
      </c>
      <c r="AO918" s="356">
        <v>27.6806437450199</v>
      </c>
      <c r="AP918" s="356">
        <v>24.5656082096774</v>
      </c>
      <c r="AQ918" s="356">
        <v>22.7812695079365</v>
      </c>
      <c r="AR918" s="356">
        <v>24.441489666666701</v>
      </c>
      <c r="AS918" s="356">
        <v>24.750317567164199</v>
      </c>
      <c r="AT918" s="356">
        <v>24.1426384862745</v>
      </c>
      <c r="AU918" s="356">
        <v>26.840966000000002</v>
      </c>
      <c r="AV918" s="356">
        <v>34.62371228125</v>
      </c>
      <c r="AW918" s="356">
        <v>38.820807396825401</v>
      </c>
      <c r="AX918" s="356">
        <v>48.329221603174602</v>
      </c>
      <c r="AY918" s="356">
        <v>37.184560734126997</v>
      </c>
      <c r="AZ918" s="356">
        <v>52.521074206349198</v>
      </c>
      <c r="BA918" s="356">
        <v>51.068749677419397</v>
      </c>
      <c r="BB918" s="356">
        <v>47.883640888888898</v>
      </c>
      <c r="BC918" s="356">
        <v>46.661427063491999</v>
      </c>
      <c r="BD918" s="356">
        <v>49.527607314740997</v>
      </c>
      <c r="BE918" s="356">
        <v>50.623219499999998</v>
      </c>
      <c r="BF918" s="356">
        <v>60.7168809516129</v>
      </c>
      <c r="BG918" s="356">
        <v>65.258637301587299</v>
      </c>
      <c r="BH918" s="356">
        <v>71.078933952380893</v>
      </c>
      <c r="BI918" s="356">
        <v>61.969412867999999</v>
      </c>
      <c r="BJ918" s="356">
        <v>85.751637131147504</v>
      </c>
      <c r="BK918" s="356">
        <v>92.554817460317494</v>
      </c>
      <c r="BL918" s="356">
        <v>122.383746031746</v>
      </c>
      <c r="BM918" s="356">
        <v>125.294461538462</v>
      </c>
      <c r="BN918" s="356">
        <v>106.809997480159</v>
      </c>
      <c r="BO918" s="356">
        <v>134.40906779661</v>
      </c>
      <c r="BP918" s="356">
        <v>121.137</v>
      </c>
      <c r="BQ918" s="356">
        <v>115.77412698412699</v>
      </c>
      <c r="BR918" s="356">
        <v>145.79303030303001</v>
      </c>
      <c r="BS918" s="665">
        <v>129.42695599999999</v>
      </c>
      <c r="BT918" s="354"/>
      <c r="BU918" s="354"/>
      <c r="BV918" s="354"/>
      <c r="BW918" s="354"/>
      <c r="BX918" s="354"/>
      <c r="BY918" s="354"/>
      <c r="BZ918" s="354"/>
      <c r="CA918" s="354"/>
      <c r="CB918" s="354"/>
      <c r="CC918" s="354"/>
      <c r="CD918" s="354"/>
      <c r="CE918" s="354"/>
      <c r="CF918" s="662"/>
      <c r="CG918" s="663"/>
    </row>
    <row r="919" spans="1:85" ht="14.45" hidden="1" customHeight="1" x14ac:dyDescent="0.25">
      <c r="A919" s="355" t="s">
        <v>123</v>
      </c>
      <c r="B919" s="354"/>
      <c r="C919" s="290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D919" s="290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E919" s="290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F919" s="290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G919" s="290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H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I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J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K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L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M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N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O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P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Q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R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S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T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U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V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W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X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Y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Z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A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B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C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D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E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F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G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H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I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J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K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L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M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N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O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P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Q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R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S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T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U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V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W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X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Y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Z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A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B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C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D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E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F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G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H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I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J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K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L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M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N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O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P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Q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R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S919" s="661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T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U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V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W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X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Y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Z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A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B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C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D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E919" s="354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F919" s="662" t="str">
        <f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CG919" s="663"/>
    </row>
    <row r="920" spans="1:85" ht="14.45" hidden="1" customHeight="1" x14ac:dyDescent="0.25">
      <c r="A920" s="355" t="s">
        <v>802</v>
      </c>
      <c r="B920" s="354"/>
      <c r="C920" s="290" t="str">
        <f ca="1">IFERROR(_xll.CIQAVG(MO.Ticker.CapIQ,"IQ_LASTSALEPRICE",INDEX(MO_SNA_FPStartDate,0,COLUMN()),INDEX(MO_Common_QEndDate,0,COLUMN())),"N/A")</f>
        <v>N/A</v>
      </c>
      <c r="D920" s="290" t="str">
        <f ca="1">IFERROR(_xll.CIQAVG(MO.Ticker.CapIQ,"IQ_LASTSALEPRICE",INDEX(MO_SNA_FPStartDate,0,COLUMN()),INDEX(MO_Common_QEndDate,0,COLUMN())),"N/A")</f>
        <v>N/A</v>
      </c>
      <c r="E920" s="290" t="str">
        <f ca="1">IFERROR(_xll.CIQAVG(MO.Ticker.CapIQ,"IQ_LASTSALEPRICE",INDEX(MO_SNA_FPStartDate,0,COLUMN()),INDEX(MO_Common_QEndDate,0,COLUMN())),"N/A")</f>
        <v>N/A</v>
      </c>
      <c r="F920" s="290" t="str">
        <f ca="1">IFERROR(_xll.CIQAVG(MO.Ticker.CapIQ,"IQ_LASTSALEPRICE",INDEX(MO_SNA_FPStartDate,0,COLUMN()),INDEX(MO_Common_QEndDate,0,COLUMN())),"N/A")</f>
        <v>N/A</v>
      </c>
      <c r="G920" s="290" t="str">
        <f ca="1">IFERROR(_xll.CIQAVG(MO.Ticker.CapIQ,"IQ_LASTSALEPRICE",INDEX(MO_SNA_FPStartDate,0,COLUMN()),INDEX(MO_Common_QEndDate,0,COLUMN())),"N/A")</f>
        <v>N/A</v>
      </c>
      <c r="H920" s="354" t="str">
        <f ca="1">IFERROR(_xll.CIQAVG(MO.Ticker.CapIQ,"IQ_LASTSALEPRICE",INDEX(MO_SNA_FPStartDate,0,COLUMN()),INDEX(MO_Common_QEndDate,0,COLUMN())),"N/A")</f>
        <v>N/A</v>
      </c>
      <c r="I920" s="354" t="str">
        <f ca="1">IFERROR(_xll.CIQAVG(MO.Ticker.CapIQ,"IQ_LASTSALEPRICE",INDEX(MO_SNA_FPStartDate,0,COLUMN()),INDEX(MO_Common_QEndDate,0,COLUMN())),"N/A")</f>
        <v>N/A</v>
      </c>
      <c r="J920" s="354" t="str">
        <f ca="1">IFERROR(_xll.CIQAVG(MO.Ticker.CapIQ,"IQ_LASTSALEPRICE",INDEX(MO_SNA_FPStartDate,0,COLUMN()),INDEX(MO_Common_QEndDate,0,COLUMN())),"N/A")</f>
        <v>N/A</v>
      </c>
      <c r="K920" s="354" t="str">
        <f ca="1">IFERROR(_xll.CIQAVG(MO.Ticker.CapIQ,"IQ_LASTSALEPRICE",INDEX(MO_SNA_FPStartDate,0,COLUMN()),INDEX(MO_Common_QEndDate,0,COLUMN())),"N/A")</f>
        <v>N/A</v>
      </c>
      <c r="L920" s="354" t="str">
        <f ca="1">IFERROR(_xll.CIQAVG(MO.Ticker.CapIQ,"IQ_LASTSALEPRICE",INDEX(MO_SNA_FPStartDate,0,COLUMN()),INDEX(MO_Common_QEndDate,0,COLUMN())),"N/A")</f>
        <v>N/A</v>
      </c>
      <c r="M920" s="354" t="str">
        <f ca="1">IFERROR(_xll.CIQAVG(MO.Ticker.CapIQ,"IQ_LASTSALEPRICE",INDEX(MO_SNA_FPStartDate,0,COLUMN()),INDEX(MO_Common_QEndDate,0,COLUMN())),"N/A")</f>
        <v>N/A</v>
      </c>
      <c r="N920" s="354" t="str">
        <f ca="1">IFERROR(_xll.CIQAVG(MO.Ticker.CapIQ,"IQ_LASTSALEPRICE",INDEX(MO_SNA_FPStartDate,0,COLUMN()),INDEX(MO_Common_QEndDate,0,COLUMN())),"N/A")</f>
        <v>N/A</v>
      </c>
      <c r="O920" s="354" t="str">
        <f ca="1">IFERROR(_xll.CIQAVG(MO.Ticker.CapIQ,"IQ_LASTSALEPRICE",INDEX(MO_SNA_FPStartDate,0,COLUMN()),INDEX(MO_Common_QEndDate,0,COLUMN())),"N/A")</f>
        <v>N/A</v>
      </c>
      <c r="P920" s="354" t="str">
        <f ca="1">IFERROR(_xll.CIQAVG(MO.Ticker.CapIQ,"IQ_LASTSALEPRICE",INDEX(MO_SNA_FPStartDate,0,COLUMN()),INDEX(MO_Common_QEndDate,0,COLUMN())),"N/A")</f>
        <v>N/A</v>
      </c>
      <c r="Q920" s="354" t="str">
        <f ca="1">IFERROR(_xll.CIQAVG(MO.Ticker.CapIQ,"IQ_LASTSALEPRICE",INDEX(MO_SNA_FPStartDate,0,COLUMN()),INDEX(MO_Common_QEndDate,0,COLUMN())),"N/A")</f>
        <v>N/A</v>
      </c>
      <c r="R920" s="354" t="str">
        <f ca="1">IFERROR(_xll.CIQAVG(MO.Ticker.CapIQ,"IQ_LASTSALEPRICE",INDEX(MO_SNA_FPStartDate,0,COLUMN()),INDEX(MO_Common_QEndDate,0,COLUMN())),"N/A")</f>
        <v>N/A</v>
      </c>
      <c r="S920" s="354" t="str">
        <f ca="1">IFERROR(_xll.CIQAVG(MO.Ticker.CapIQ,"IQ_LASTSALEPRICE",INDEX(MO_SNA_FPStartDate,0,COLUMN()),INDEX(MO_Common_QEndDate,0,COLUMN())),"N/A")</f>
        <v>N/A</v>
      </c>
      <c r="T920" s="354" t="str">
        <f ca="1">IFERROR(_xll.CIQAVG(MO.Ticker.CapIQ,"IQ_LASTSALEPRICE",INDEX(MO_SNA_FPStartDate,0,COLUMN()),INDEX(MO_Common_QEndDate,0,COLUMN())),"N/A")</f>
        <v>N/A</v>
      </c>
      <c r="U920" s="354" t="str">
        <f ca="1">IFERROR(_xll.CIQAVG(MO.Ticker.CapIQ,"IQ_LASTSALEPRICE",INDEX(MO_SNA_FPStartDate,0,COLUMN()),INDEX(MO_Common_QEndDate,0,COLUMN())),"N/A")</f>
        <v>N/A</v>
      </c>
      <c r="V920" s="354" t="str">
        <f ca="1">IFERROR(_xll.CIQAVG(MO.Ticker.CapIQ,"IQ_LASTSALEPRICE",INDEX(MO_SNA_FPStartDate,0,COLUMN()),INDEX(MO_Common_QEndDate,0,COLUMN())),"N/A")</f>
        <v>N/A</v>
      </c>
      <c r="W920" s="354" t="str">
        <f ca="1">IFERROR(_xll.CIQAVG(MO.Ticker.CapIQ,"IQ_LASTSALEPRICE",INDEX(MO_SNA_FPStartDate,0,COLUMN()),INDEX(MO_Common_QEndDate,0,COLUMN())),"N/A")</f>
        <v>N/A</v>
      </c>
      <c r="X920" s="354" t="str">
        <f ca="1">IFERROR(_xll.CIQAVG(MO.Ticker.CapIQ,"IQ_LASTSALEPRICE",INDEX(MO_SNA_FPStartDate,0,COLUMN()),INDEX(MO_Common_QEndDate,0,COLUMN())),"N/A")</f>
        <v>N/A</v>
      </c>
      <c r="Y920" s="354" t="str">
        <f ca="1">IFERROR(_xll.CIQAVG(MO.Ticker.CapIQ,"IQ_LASTSALEPRICE",INDEX(MO_SNA_FPStartDate,0,COLUMN()),INDEX(MO_Common_QEndDate,0,COLUMN())),"N/A")</f>
        <v>N/A</v>
      </c>
      <c r="Z920" s="354" t="str">
        <f ca="1">IFERROR(_xll.CIQAVG(MO.Ticker.CapIQ,"IQ_LASTSALEPRICE",INDEX(MO_SNA_FPStartDate,0,COLUMN()),INDEX(MO_Common_QEndDate,0,COLUMN())),"N/A")</f>
        <v>N/A</v>
      </c>
      <c r="AA920" s="354" t="str">
        <f ca="1">IFERROR(_xll.CIQAVG(MO.Ticker.CapIQ,"IQ_LASTSALEPRICE",INDEX(MO_SNA_FPStartDate,0,COLUMN()),INDEX(MO_Common_QEndDate,0,COLUMN())),"N/A")</f>
        <v>N/A</v>
      </c>
      <c r="AB920" s="354" t="str">
        <f ca="1">IFERROR(_xll.CIQAVG(MO.Ticker.CapIQ,"IQ_LASTSALEPRICE",INDEX(MO_SNA_FPStartDate,0,COLUMN()),INDEX(MO_Common_QEndDate,0,COLUMN())),"N/A")</f>
        <v>N/A</v>
      </c>
      <c r="AC920" s="354" t="str">
        <f ca="1">IFERROR(_xll.CIQAVG(MO.Ticker.CapIQ,"IQ_LASTSALEPRICE",INDEX(MO_SNA_FPStartDate,0,COLUMN()),INDEX(MO_Common_QEndDate,0,COLUMN())),"N/A")</f>
        <v>N/A</v>
      </c>
      <c r="AD920" s="354" t="str">
        <f ca="1">IFERROR(_xll.CIQAVG(MO.Ticker.CapIQ,"IQ_LASTSALEPRICE",INDEX(MO_SNA_FPStartDate,0,COLUMN()),INDEX(MO_Common_QEndDate,0,COLUMN())),"N/A")</f>
        <v>N/A</v>
      </c>
      <c r="AE920" s="354" t="str">
        <f ca="1">IFERROR(_xll.CIQAVG(MO.Ticker.CapIQ,"IQ_LASTSALEPRICE",INDEX(MO_SNA_FPStartDate,0,COLUMN()),INDEX(MO_Common_QEndDate,0,COLUMN())),"N/A")</f>
        <v>N/A</v>
      </c>
      <c r="AF920" s="354" t="str">
        <f ca="1">IFERROR(_xll.CIQAVG(MO.Ticker.CapIQ,"IQ_LASTSALEPRICE",INDEX(MO_SNA_FPStartDate,0,COLUMN()),INDEX(MO_Common_QEndDate,0,COLUMN())),"N/A")</f>
        <v>N/A</v>
      </c>
      <c r="AG920" s="354" t="str">
        <f ca="1">IFERROR(_xll.CIQAVG(MO.Ticker.CapIQ,"IQ_LASTSALEPRICE",INDEX(MO_SNA_FPStartDate,0,COLUMN()),INDEX(MO_Common_QEndDate,0,COLUMN())),"N/A")</f>
        <v>N/A</v>
      </c>
      <c r="AH920" s="354" t="str">
        <f ca="1">IFERROR(_xll.CIQAVG(MO.Ticker.CapIQ,"IQ_LASTSALEPRICE",INDEX(MO_SNA_FPStartDate,0,COLUMN()),INDEX(MO_Common_QEndDate,0,COLUMN())),"N/A")</f>
        <v>N/A</v>
      </c>
      <c r="AI920" s="354" t="str">
        <f ca="1">IFERROR(_xll.CIQAVG(MO.Ticker.CapIQ,"IQ_LASTSALEPRICE",INDEX(MO_SNA_FPStartDate,0,COLUMN()),INDEX(MO_Common_QEndDate,0,COLUMN())),"N/A")</f>
        <v>N/A</v>
      </c>
      <c r="AJ920" s="354" t="str">
        <f ca="1">IFERROR(_xll.CIQAVG(MO.Ticker.CapIQ,"IQ_LASTSALEPRICE",INDEX(MO_SNA_FPStartDate,0,COLUMN()),INDEX(MO_Common_QEndDate,0,COLUMN())),"N/A")</f>
        <v>N/A</v>
      </c>
      <c r="AK920" s="354" t="str">
        <f ca="1">IFERROR(_xll.CIQAVG(MO.Ticker.CapIQ,"IQ_LASTSALEPRICE",INDEX(MO_SNA_FPStartDate,0,COLUMN()),INDEX(MO_Common_QEndDate,0,COLUMN())),"N/A")</f>
        <v>N/A</v>
      </c>
      <c r="AL920" s="354" t="str">
        <f ca="1">IFERROR(_xll.CIQAVG(MO.Ticker.CapIQ,"IQ_LASTSALEPRICE",INDEX(MO_SNA_FPStartDate,0,COLUMN()),INDEX(MO_Common_QEndDate,0,COLUMN())),"N/A")</f>
        <v>N/A</v>
      </c>
      <c r="AM920" s="354" t="str">
        <f ca="1">IFERROR(_xll.CIQAVG(MO.Ticker.CapIQ,"IQ_LASTSALEPRICE",INDEX(MO_SNA_FPStartDate,0,COLUMN()),INDEX(MO_Common_QEndDate,0,COLUMN())),"N/A")</f>
        <v>N/A</v>
      </c>
      <c r="AN920" s="354" t="str">
        <f ca="1">IFERROR(_xll.CIQAVG(MO.Ticker.CapIQ,"IQ_LASTSALEPRICE",INDEX(MO_SNA_FPStartDate,0,COLUMN()),INDEX(MO_Common_QEndDate,0,COLUMN())),"N/A")</f>
        <v>N/A</v>
      </c>
      <c r="AO920" s="354" t="str">
        <f ca="1">IFERROR(_xll.CIQAVG(MO.Ticker.CapIQ,"IQ_LASTSALEPRICE",INDEX(MO_SNA_FPStartDate,0,COLUMN()),INDEX(MO_Common_QEndDate,0,COLUMN())),"N/A")</f>
        <v>N/A</v>
      </c>
      <c r="AP920" s="354" t="str">
        <f ca="1">IFERROR(_xll.CIQAVG(MO.Ticker.CapIQ,"IQ_LASTSALEPRICE",INDEX(MO_SNA_FPStartDate,0,COLUMN()),INDEX(MO_Common_QEndDate,0,COLUMN())),"N/A")</f>
        <v>N/A</v>
      </c>
      <c r="AQ920" s="354" t="str">
        <f ca="1">IFERROR(_xll.CIQAVG(MO.Ticker.CapIQ,"IQ_LASTSALEPRICE",INDEX(MO_SNA_FPStartDate,0,COLUMN()),INDEX(MO_Common_QEndDate,0,COLUMN())),"N/A")</f>
        <v>N/A</v>
      </c>
      <c r="AR920" s="354" t="str">
        <f ca="1">IFERROR(_xll.CIQAVG(MO.Ticker.CapIQ,"IQ_LASTSALEPRICE",INDEX(MO_SNA_FPStartDate,0,COLUMN()),INDEX(MO_Common_QEndDate,0,COLUMN())),"N/A")</f>
        <v>N/A</v>
      </c>
      <c r="AS920" s="354" t="str">
        <f ca="1">IFERROR(_xll.CIQAVG(MO.Ticker.CapIQ,"IQ_LASTSALEPRICE",INDEX(MO_SNA_FPStartDate,0,COLUMN()),INDEX(MO_Common_QEndDate,0,COLUMN())),"N/A")</f>
        <v>N/A</v>
      </c>
      <c r="AT920" s="354" t="str">
        <f ca="1">IFERROR(_xll.CIQAVG(MO.Ticker.CapIQ,"IQ_LASTSALEPRICE",INDEX(MO_SNA_FPStartDate,0,COLUMN()),INDEX(MO_Common_QEndDate,0,COLUMN())),"N/A")</f>
        <v>N/A</v>
      </c>
      <c r="AU920" s="354" t="str">
        <f ca="1">IFERROR(_xll.CIQAVG(MO.Ticker.CapIQ,"IQ_LASTSALEPRICE",INDEX(MO_SNA_FPStartDate,0,COLUMN()),INDEX(MO_Common_QEndDate,0,COLUMN())),"N/A")</f>
        <v>N/A</v>
      </c>
      <c r="AV920" s="354" t="str">
        <f ca="1">IFERROR(_xll.CIQAVG(MO.Ticker.CapIQ,"IQ_LASTSALEPRICE",INDEX(MO_SNA_FPStartDate,0,COLUMN()),INDEX(MO_Common_QEndDate,0,COLUMN())),"N/A")</f>
        <v>N/A</v>
      </c>
      <c r="AW920" s="354" t="str">
        <f ca="1">IFERROR(_xll.CIQAVG(MO.Ticker.CapIQ,"IQ_LASTSALEPRICE",INDEX(MO_SNA_FPStartDate,0,COLUMN()),INDEX(MO_Common_QEndDate,0,COLUMN())),"N/A")</f>
        <v>N/A</v>
      </c>
      <c r="AX920" s="354" t="str">
        <f ca="1">IFERROR(_xll.CIQAVG(MO.Ticker.CapIQ,"IQ_LASTSALEPRICE",INDEX(MO_SNA_FPStartDate,0,COLUMN()),INDEX(MO_Common_QEndDate,0,COLUMN())),"N/A")</f>
        <v>N/A</v>
      </c>
      <c r="AY920" s="354" t="str">
        <f ca="1">IFERROR(_xll.CIQAVG(MO.Ticker.CapIQ,"IQ_LASTSALEPRICE",INDEX(MO_SNA_FPStartDate,0,COLUMN()),INDEX(MO_Common_QEndDate,0,COLUMN())),"N/A")</f>
        <v>N/A</v>
      </c>
      <c r="AZ920" s="354" t="str">
        <f ca="1">IFERROR(_xll.CIQAVG(MO.Ticker.CapIQ,"IQ_LASTSALEPRICE",INDEX(MO_SNA_FPStartDate,0,COLUMN()),INDEX(MO_Common_QEndDate,0,COLUMN())),"N/A")</f>
        <v>N/A</v>
      </c>
      <c r="BA920" s="354" t="str">
        <f ca="1">IFERROR(_xll.CIQAVG(MO.Ticker.CapIQ,"IQ_LASTSALEPRICE",INDEX(MO_SNA_FPStartDate,0,COLUMN()),INDEX(MO_Common_QEndDate,0,COLUMN())),"N/A")</f>
        <v>N/A</v>
      </c>
      <c r="BB920" s="354" t="str">
        <f ca="1">IFERROR(_xll.CIQAVG(MO.Ticker.CapIQ,"IQ_LASTSALEPRICE",INDEX(MO_SNA_FPStartDate,0,COLUMN()),INDEX(MO_Common_QEndDate,0,COLUMN())),"N/A")</f>
        <v>N/A</v>
      </c>
      <c r="BC920" s="354" t="str">
        <f ca="1">IFERROR(_xll.CIQAVG(MO.Ticker.CapIQ,"IQ_LASTSALEPRICE",INDEX(MO_SNA_FPStartDate,0,COLUMN()),INDEX(MO_Common_QEndDate,0,COLUMN())),"N/A")</f>
        <v>N/A</v>
      </c>
      <c r="BD920" s="354" t="str">
        <f ca="1">IFERROR(_xll.CIQAVG(MO.Ticker.CapIQ,"IQ_LASTSALEPRICE",INDEX(MO_SNA_FPStartDate,0,COLUMN()),INDEX(MO_Common_QEndDate,0,COLUMN())),"N/A")</f>
        <v>N/A</v>
      </c>
      <c r="BE920" s="354" t="str">
        <f ca="1">IFERROR(_xll.CIQAVG(MO.Ticker.CapIQ,"IQ_LASTSALEPRICE",INDEX(MO_SNA_FPStartDate,0,COLUMN()),INDEX(MO_Common_QEndDate,0,COLUMN())),"N/A")</f>
        <v>N/A</v>
      </c>
      <c r="BF920" s="354" t="str">
        <f ca="1">IFERROR(_xll.CIQAVG(MO.Ticker.CapIQ,"IQ_LASTSALEPRICE",INDEX(MO_SNA_FPStartDate,0,COLUMN()),INDEX(MO_Common_QEndDate,0,COLUMN())),"N/A")</f>
        <v>N/A</v>
      </c>
      <c r="BG920" s="354" t="str">
        <f ca="1">IFERROR(_xll.CIQAVG(MO.Ticker.CapIQ,"IQ_LASTSALEPRICE",INDEX(MO_SNA_FPStartDate,0,COLUMN()),INDEX(MO_Common_QEndDate,0,COLUMN())),"N/A")</f>
        <v>N/A</v>
      </c>
      <c r="BH920" s="354" t="str">
        <f ca="1">IFERROR(_xll.CIQAVG(MO.Ticker.CapIQ,"IQ_LASTSALEPRICE",INDEX(MO_SNA_FPStartDate,0,COLUMN()),INDEX(MO_Common_QEndDate,0,COLUMN())),"N/A")</f>
        <v>N/A</v>
      </c>
      <c r="BI920" s="354" t="str">
        <f ca="1">IFERROR(_xll.CIQAVG(MO.Ticker.CapIQ,"IQ_LASTSALEPRICE",INDEX(MO_SNA_FPStartDate,0,COLUMN()),INDEX(MO_Common_QEndDate,0,COLUMN())),"N/A")</f>
        <v>N/A</v>
      </c>
      <c r="BJ920" s="354" t="str">
        <f ca="1">IFERROR(_xll.CIQAVG(MO.Ticker.CapIQ,"IQ_LASTSALEPRICE",INDEX(MO_SNA_FPStartDate,0,COLUMN()),INDEX(MO_Common_QEndDate,0,COLUMN())),"N/A")</f>
        <v>N/A</v>
      </c>
      <c r="BK920" s="354" t="str">
        <f ca="1">IFERROR(_xll.CIQAVG(MO.Ticker.CapIQ,"IQ_LASTSALEPRICE",INDEX(MO_SNA_FPStartDate,0,COLUMN()),INDEX(MO_Common_QEndDate,0,COLUMN())),"N/A")</f>
        <v>N/A</v>
      </c>
      <c r="BL920" s="354" t="str">
        <f ca="1">IFERROR(_xll.CIQAVG(MO.Ticker.CapIQ,"IQ_LASTSALEPRICE",INDEX(MO_SNA_FPStartDate,0,COLUMN()),INDEX(MO_Common_QEndDate,0,COLUMN())),"N/A")</f>
        <v>N/A</v>
      </c>
      <c r="BM920" s="354" t="str">
        <f ca="1">IFERROR(_xll.CIQAVG(MO.Ticker.CapIQ,"IQ_LASTSALEPRICE",INDEX(MO_SNA_FPStartDate,0,COLUMN()),INDEX(MO_Common_QEndDate,0,COLUMN())),"N/A")</f>
        <v>N/A</v>
      </c>
      <c r="BN920" s="354" t="str">
        <f ca="1">IFERROR(_xll.CIQAVG(MO.Ticker.CapIQ,"IQ_LASTSALEPRICE",INDEX(MO_SNA_FPStartDate,0,COLUMN()),INDEX(MO_Common_QEndDate,0,COLUMN())),"N/A")</f>
        <v>N/A</v>
      </c>
      <c r="BO920" s="354" t="str">
        <f ca="1">IFERROR(_xll.CIQAVG(MO.Ticker.CapIQ,"IQ_LASTSALEPRICE",INDEX(MO_SNA_FPStartDate,0,COLUMN()),INDEX(MO_Common_QEndDate,0,COLUMN())),"N/A")</f>
        <v>N/A</v>
      </c>
      <c r="BP920" s="354" t="str">
        <f ca="1">IFERROR(_xll.CIQAVG(MO.Ticker.CapIQ,"IQ_LASTSALEPRICE",INDEX(MO_SNA_FPStartDate,0,COLUMN()),INDEX(MO_Common_QEndDate,0,COLUMN())),"N/A")</f>
        <v>N/A</v>
      </c>
      <c r="BQ920" s="354" t="str">
        <f ca="1">IFERROR(_xll.CIQAVG(MO.Ticker.CapIQ,"IQ_LASTSALEPRICE",INDEX(MO_SNA_FPStartDate,0,COLUMN()),INDEX(MO_Common_QEndDate,0,COLUMN())),"N/A")</f>
        <v>N/A</v>
      </c>
      <c r="BR920" s="354" t="str">
        <f ca="1">IFERROR(_xll.CIQAVG(MO.Ticker.CapIQ,"IQ_LASTSALEPRICE",INDEX(MO_SNA_FPStartDate,0,COLUMN()),INDEX(MO_Common_QEndDate,0,COLUMN())),"N/A")</f>
        <v>N/A</v>
      </c>
      <c r="BS920" s="661" t="str">
        <f ca="1">IFERROR(_xll.CIQAVG(MO.Ticker.CapIQ,"IQ_LASTSALEPRICE",INDEX(MO_SNA_FPStartDate,0,COLUMN()),INDEX(MO_Common_QEndDate,0,COLUMN())),"N/A")</f>
        <v>N/A</v>
      </c>
      <c r="BT920" s="354" t="str">
        <f ca="1">IFERROR(_xll.CIQAVG(MO.Ticker.CapIQ,"IQ_LASTSALEPRICE",INDEX(MO_SNA_FPStartDate,0,COLUMN()),INDEX(MO_Common_QEndDate,0,COLUMN())),"N/A")</f>
        <v>N/A</v>
      </c>
      <c r="BU920" s="354" t="str">
        <f ca="1">IFERROR(_xll.CIQAVG(MO.Ticker.CapIQ,"IQ_LASTSALEPRICE",INDEX(MO_SNA_FPStartDate,0,COLUMN()),INDEX(MO_Common_QEndDate,0,COLUMN())),"N/A")</f>
        <v>N/A</v>
      </c>
      <c r="BV920" s="354" t="str">
        <f ca="1">IFERROR(_xll.CIQAVG(MO.Ticker.CapIQ,"IQ_LASTSALEPRICE",INDEX(MO_SNA_FPStartDate,0,COLUMN()),INDEX(MO_Common_QEndDate,0,COLUMN())),"N/A")</f>
        <v>N/A</v>
      </c>
      <c r="BW920" s="354" t="str">
        <f ca="1">IFERROR(_xll.CIQAVG(MO.Ticker.CapIQ,"IQ_LASTSALEPRICE",INDEX(MO_SNA_FPStartDate,0,COLUMN()),INDEX(MO_Common_QEndDate,0,COLUMN())),"N/A")</f>
        <v>N/A</v>
      </c>
      <c r="BX920" s="354" t="str">
        <f ca="1">IFERROR(_xll.CIQAVG(MO.Ticker.CapIQ,"IQ_LASTSALEPRICE",INDEX(MO_SNA_FPStartDate,0,COLUMN()),INDEX(MO_Common_QEndDate,0,COLUMN())),"N/A")</f>
        <v>N/A</v>
      </c>
      <c r="BY920" s="354" t="str">
        <f ca="1">IFERROR(_xll.CIQAVG(MO.Ticker.CapIQ,"IQ_LASTSALEPRICE",INDEX(MO_SNA_FPStartDate,0,COLUMN()),INDEX(MO_Common_QEndDate,0,COLUMN())),"N/A")</f>
        <v>N/A</v>
      </c>
      <c r="BZ920" s="354" t="str">
        <f ca="1">IFERROR(_xll.CIQAVG(MO.Ticker.CapIQ,"IQ_LASTSALEPRICE",INDEX(MO_SNA_FPStartDate,0,COLUMN()),INDEX(MO_Common_QEndDate,0,COLUMN())),"N/A")</f>
        <v>N/A</v>
      </c>
      <c r="CA920" s="354" t="str">
        <f ca="1">IFERROR(_xll.CIQAVG(MO.Ticker.CapIQ,"IQ_LASTSALEPRICE",INDEX(MO_SNA_FPStartDate,0,COLUMN()),INDEX(MO_Common_QEndDate,0,COLUMN())),"N/A")</f>
        <v>N/A</v>
      </c>
      <c r="CB920" s="354" t="str">
        <f ca="1">IFERROR(_xll.CIQAVG(MO.Ticker.CapIQ,"IQ_LASTSALEPRICE",INDEX(MO_SNA_FPStartDate,0,COLUMN()),INDEX(MO_Common_QEndDate,0,COLUMN())),"N/A")</f>
        <v>N/A</v>
      </c>
      <c r="CC920" s="354" t="str">
        <f ca="1">IFERROR(_xll.CIQAVG(MO.Ticker.CapIQ,"IQ_LASTSALEPRICE",INDEX(MO_SNA_FPStartDate,0,COLUMN()),INDEX(MO_Common_QEndDate,0,COLUMN())),"N/A")</f>
        <v>N/A</v>
      </c>
      <c r="CD920" s="354" t="str">
        <f ca="1">IFERROR(_xll.CIQAVG(MO.Ticker.CapIQ,"IQ_LASTSALEPRICE",INDEX(MO_SNA_FPStartDate,0,COLUMN()),INDEX(MO_Common_QEndDate,0,COLUMN())),"N/A")</f>
        <v>N/A</v>
      </c>
      <c r="CE920" s="354" t="str">
        <f ca="1">IFERROR(_xll.CIQAVG(MO.Ticker.CapIQ,"IQ_LASTSALEPRICE",INDEX(MO_SNA_FPStartDate,0,COLUMN()),INDEX(MO_Common_QEndDate,0,COLUMN())),"N/A")</f>
        <v>N/A</v>
      </c>
      <c r="CF920" s="662" t="str">
        <f ca="1">IFERROR(_xll.CIQAVG(MO.Ticker.CapIQ,"IQ_LASTSALEPRICE",INDEX(MO_SNA_FPStartDate,0,COLUMN()),INDEX(MO_Common_QEndDate,0,COLUMN())),"N/A")</f>
        <v>N/A</v>
      </c>
      <c r="CG920" s="663"/>
    </row>
    <row r="921" spans="1:85" ht="14.45" hidden="1" customHeight="1" x14ac:dyDescent="0.25">
      <c r="A921" s="355" t="s">
        <v>804</v>
      </c>
      <c r="B921" s="354"/>
      <c r="C921" s="290" t="str">
        <f ca="1">IFERROR(_xll.FDS(MO.Ticker.FactSet,"P_PRICE_AVG"&amp;"("&amp;INDEX(MO_SNA_FPStartDate,0,COLUMN())&amp;","&amp;INDEX(MO_Common_QEndDate,0,COLUMN())&amp;",,,,""PRICE"",""CLOSE"")"),"N/A")</f>
        <v>N/A</v>
      </c>
      <c r="D921" s="290" t="str">
        <f ca="1">IFERROR(_xll.FDS(MO.Ticker.FactSet,"P_PRICE_AVG"&amp;"("&amp;INDEX(MO_SNA_FPStartDate,0,COLUMN())&amp;","&amp;INDEX(MO_Common_QEndDate,0,COLUMN())&amp;",,,,""PRICE"",""CLOSE"")"),"N/A")</f>
        <v>N/A</v>
      </c>
      <c r="E921" s="290" t="str">
        <f ca="1">IFERROR(_xll.FDS(MO.Ticker.FactSet,"P_PRICE_AVG"&amp;"("&amp;INDEX(MO_SNA_FPStartDate,0,COLUMN())&amp;","&amp;INDEX(MO_Common_QEndDate,0,COLUMN())&amp;",,,,""PRICE"",""CLOSE"")"),"N/A")</f>
        <v>N/A</v>
      </c>
      <c r="F921" s="290" t="str">
        <f ca="1">IFERROR(_xll.FDS(MO.Ticker.FactSet,"P_PRICE_AVG"&amp;"("&amp;INDEX(MO_SNA_FPStartDate,0,COLUMN())&amp;","&amp;INDEX(MO_Common_QEndDate,0,COLUMN())&amp;",,,,""PRICE"",""CLOSE"")"),"N/A")</f>
        <v>N/A</v>
      </c>
      <c r="G921" s="290" t="str">
        <f ca="1">IFERROR(_xll.FDS(MO.Ticker.FactSet,"P_PRICE_AVG"&amp;"("&amp;INDEX(MO_SNA_FPStartDate,0,COLUMN())&amp;","&amp;INDEX(MO_Common_QEndDate,0,COLUMN())&amp;",,,,""PRICE"",""CLOSE"")"),"N/A")</f>
        <v>N/A</v>
      </c>
      <c r="H921" s="354" t="str">
        <f ca="1">IFERROR(_xll.FDS(MO.Ticker.FactSet,"P_PRICE_AVG"&amp;"("&amp;INDEX(MO_SNA_FPStartDate,0,COLUMN())&amp;","&amp;INDEX(MO_Common_QEndDate,0,COLUMN())&amp;",,,,""PRICE"",""CLOSE"")"),"N/A")</f>
        <v>N/A</v>
      </c>
      <c r="I921" s="354" t="str">
        <f ca="1">IFERROR(_xll.FDS(MO.Ticker.FactSet,"P_PRICE_AVG"&amp;"("&amp;INDEX(MO_SNA_FPStartDate,0,COLUMN())&amp;","&amp;INDEX(MO_Common_QEndDate,0,COLUMN())&amp;",,,,""PRICE"",""CLOSE"")"),"N/A")</f>
        <v>N/A</v>
      </c>
      <c r="J921" s="354" t="str">
        <f ca="1">IFERROR(_xll.FDS(MO.Ticker.FactSet,"P_PRICE_AVG"&amp;"("&amp;INDEX(MO_SNA_FPStartDate,0,COLUMN())&amp;","&amp;INDEX(MO_Common_QEndDate,0,COLUMN())&amp;",,,,""PRICE"",""CLOSE"")"),"N/A")</f>
        <v>N/A</v>
      </c>
      <c r="K921" s="354" t="str">
        <f ca="1">IFERROR(_xll.FDS(MO.Ticker.FactSet,"P_PRICE_AVG"&amp;"("&amp;INDEX(MO_SNA_FPStartDate,0,COLUMN())&amp;","&amp;INDEX(MO_Common_QEndDate,0,COLUMN())&amp;",,,,""PRICE"",""CLOSE"")"),"N/A")</f>
        <v>N/A</v>
      </c>
      <c r="L921" s="354" t="str">
        <f ca="1">IFERROR(_xll.FDS(MO.Ticker.FactSet,"P_PRICE_AVG"&amp;"("&amp;INDEX(MO_SNA_FPStartDate,0,COLUMN())&amp;","&amp;INDEX(MO_Common_QEndDate,0,COLUMN())&amp;",,,,""PRICE"",""CLOSE"")"),"N/A")</f>
        <v>N/A</v>
      </c>
      <c r="M921" s="354" t="str">
        <f ca="1">IFERROR(_xll.FDS(MO.Ticker.FactSet,"P_PRICE_AVG"&amp;"("&amp;INDEX(MO_SNA_FPStartDate,0,COLUMN())&amp;","&amp;INDEX(MO_Common_QEndDate,0,COLUMN())&amp;",,,,""PRICE"",""CLOSE"")"),"N/A")</f>
        <v>N/A</v>
      </c>
      <c r="N921" s="354" t="str">
        <f ca="1">IFERROR(_xll.FDS(MO.Ticker.FactSet,"P_PRICE_AVG"&amp;"("&amp;INDEX(MO_SNA_FPStartDate,0,COLUMN())&amp;","&amp;INDEX(MO_Common_QEndDate,0,COLUMN())&amp;",,,,""PRICE"",""CLOSE"")"),"N/A")</f>
        <v>N/A</v>
      </c>
      <c r="O921" s="354" t="str">
        <f ca="1">IFERROR(_xll.FDS(MO.Ticker.FactSet,"P_PRICE_AVG"&amp;"("&amp;INDEX(MO_SNA_FPStartDate,0,COLUMN())&amp;","&amp;INDEX(MO_Common_QEndDate,0,COLUMN())&amp;",,,,""PRICE"",""CLOSE"")"),"N/A")</f>
        <v>N/A</v>
      </c>
      <c r="P921" s="354" t="str">
        <f ca="1">IFERROR(_xll.FDS(MO.Ticker.FactSet,"P_PRICE_AVG"&amp;"("&amp;INDEX(MO_SNA_FPStartDate,0,COLUMN())&amp;","&amp;INDEX(MO_Common_QEndDate,0,COLUMN())&amp;",,,,""PRICE"",""CLOSE"")"),"N/A")</f>
        <v>N/A</v>
      </c>
      <c r="Q921" s="354" t="str">
        <f ca="1">IFERROR(_xll.FDS(MO.Ticker.FactSet,"P_PRICE_AVG"&amp;"("&amp;INDEX(MO_SNA_FPStartDate,0,COLUMN())&amp;","&amp;INDEX(MO_Common_QEndDate,0,COLUMN())&amp;",,,,""PRICE"",""CLOSE"")"),"N/A")</f>
        <v>N/A</v>
      </c>
      <c r="R921" s="354" t="str">
        <f ca="1">IFERROR(_xll.FDS(MO.Ticker.FactSet,"P_PRICE_AVG"&amp;"("&amp;INDEX(MO_SNA_FPStartDate,0,COLUMN())&amp;","&amp;INDEX(MO_Common_QEndDate,0,COLUMN())&amp;",,,,""PRICE"",""CLOSE"")"),"N/A")</f>
        <v>N/A</v>
      </c>
      <c r="S921" s="354" t="str">
        <f ca="1">IFERROR(_xll.FDS(MO.Ticker.FactSet,"P_PRICE_AVG"&amp;"("&amp;INDEX(MO_SNA_FPStartDate,0,COLUMN())&amp;","&amp;INDEX(MO_Common_QEndDate,0,COLUMN())&amp;",,,,""PRICE"",""CLOSE"")"),"N/A")</f>
        <v>N/A</v>
      </c>
      <c r="T921" s="354" t="str">
        <f ca="1">IFERROR(_xll.FDS(MO.Ticker.FactSet,"P_PRICE_AVG"&amp;"("&amp;INDEX(MO_SNA_FPStartDate,0,COLUMN())&amp;","&amp;INDEX(MO_Common_QEndDate,0,COLUMN())&amp;",,,,""PRICE"",""CLOSE"")"),"N/A")</f>
        <v>N/A</v>
      </c>
      <c r="U921" s="354" t="str">
        <f ca="1">IFERROR(_xll.FDS(MO.Ticker.FactSet,"P_PRICE_AVG"&amp;"("&amp;INDEX(MO_SNA_FPStartDate,0,COLUMN())&amp;","&amp;INDEX(MO_Common_QEndDate,0,COLUMN())&amp;",,,,""PRICE"",""CLOSE"")"),"N/A")</f>
        <v>N/A</v>
      </c>
      <c r="V921" s="354" t="str">
        <f ca="1">IFERROR(_xll.FDS(MO.Ticker.FactSet,"P_PRICE_AVG"&amp;"("&amp;INDEX(MO_SNA_FPStartDate,0,COLUMN())&amp;","&amp;INDEX(MO_Common_QEndDate,0,COLUMN())&amp;",,,,""PRICE"",""CLOSE"")"),"N/A")</f>
        <v>N/A</v>
      </c>
      <c r="W921" s="354" t="str">
        <f ca="1">IFERROR(_xll.FDS(MO.Ticker.FactSet,"P_PRICE_AVG"&amp;"("&amp;INDEX(MO_SNA_FPStartDate,0,COLUMN())&amp;","&amp;INDEX(MO_Common_QEndDate,0,COLUMN())&amp;",,,,""PRICE"",""CLOSE"")"),"N/A")</f>
        <v>N/A</v>
      </c>
      <c r="X921" s="354" t="str">
        <f ca="1">IFERROR(_xll.FDS(MO.Ticker.FactSet,"P_PRICE_AVG"&amp;"("&amp;INDEX(MO_SNA_FPStartDate,0,COLUMN())&amp;","&amp;INDEX(MO_Common_QEndDate,0,COLUMN())&amp;",,,,""PRICE"",""CLOSE"")"),"N/A")</f>
        <v>N/A</v>
      </c>
      <c r="Y921" s="354" t="str">
        <f ca="1">IFERROR(_xll.FDS(MO.Ticker.FactSet,"P_PRICE_AVG"&amp;"("&amp;INDEX(MO_SNA_FPStartDate,0,COLUMN())&amp;","&amp;INDEX(MO_Common_QEndDate,0,COLUMN())&amp;",,,,""PRICE"",""CLOSE"")"),"N/A")</f>
        <v>N/A</v>
      </c>
      <c r="Z921" s="354" t="str">
        <f ca="1">IFERROR(_xll.FDS(MO.Ticker.FactSet,"P_PRICE_AVG"&amp;"("&amp;INDEX(MO_SNA_FPStartDate,0,COLUMN())&amp;","&amp;INDEX(MO_Common_QEndDate,0,COLUMN())&amp;",,,,""PRICE"",""CLOSE"")"),"N/A")</f>
        <v>N/A</v>
      </c>
      <c r="AA921" s="354" t="str">
        <f ca="1">IFERROR(_xll.FDS(MO.Ticker.FactSet,"P_PRICE_AVG"&amp;"("&amp;INDEX(MO_SNA_FPStartDate,0,COLUMN())&amp;","&amp;INDEX(MO_Common_QEndDate,0,COLUMN())&amp;",,,,""PRICE"",""CLOSE"")"),"N/A")</f>
        <v>N/A</v>
      </c>
      <c r="AB921" s="354" t="str">
        <f ca="1">IFERROR(_xll.FDS(MO.Ticker.FactSet,"P_PRICE_AVG"&amp;"("&amp;INDEX(MO_SNA_FPStartDate,0,COLUMN())&amp;","&amp;INDEX(MO_Common_QEndDate,0,COLUMN())&amp;",,,,""PRICE"",""CLOSE"")"),"N/A")</f>
        <v>N/A</v>
      </c>
      <c r="AC921" s="354" t="str">
        <f ca="1">IFERROR(_xll.FDS(MO.Ticker.FactSet,"P_PRICE_AVG"&amp;"("&amp;INDEX(MO_SNA_FPStartDate,0,COLUMN())&amp;","&amp;INDEX(MO_Common_QEndDate,0,COLUMN())&amp;",,,,""PRICE"",""CLOSE"")"),"N/A")</f>
        <v>N/A</v>
      </c>
      <c r="AD921" s="354" t="str">
        <f ca="1">IFERROR(_xll.FDS(MO.Ticker.FactSet,"P_PRICE_AVG"&amp;"("&amp;INDEX(MO_SNA_FPStartDate,0,COLUMN())&amp;","&amp;INDEX(MO_Common_QEndDate,0,COLUMN())&amp;",,,,""PRICE"",""CLOSE"")"),"N/A")</f>
        <v>N/A</v>
      </c>
      <c r="AE921" s="354" t="str">
        <f ca="1">IFERROR(_xll.FDS(MO.Ticker.FactSet,"P_PRICE_AVG"&amp;"("&amp;INDEX(MO_SNA_FPStartDate,0,COLUMN())&amp;","&amp;INDEX(MO_Common_QEndDate,0,COLUMN())&amp;",,,,""PRICE"",""CLOSE"")"),"N/A")</f>
        <v>N/A</v>
      </c>
      <c r="AF921" s="354" t="str">
        <f ca="1">IFERROR(_xll.FDS(MO.Ticker.FactSet,"P_PRICE_AVG"&amp;"("&amp;INDEX(MO_SNA_FPStartDate,0,COLUMN())&amp;","&amp;INDEX(MO_Common_QEndDate,0,COLUMN())&amp;",,,,""PRICE"",""CLOSE"")"),"N/A")</f>
        <v>N/A</v>
      </c>
      <c r="AG921" s="354" t="str">
        <f ca="1">IFERROR(_xll.FDS(MO.Ticker.FactSet,"P_PRICE_AVG"&amp;"("&amp;INDEX(MO_SNA_FPStartDate,0,COLUMN())&amp;","&amp;INDEX(MO_Common_QEndDate,0,COLUMN())&amp;",,,,""PRICE"",""CLOSE"")"),"N/A")</f>
        <v>N/A</v>
      </c>
      <c r="AH921" s="354" t="str">
        <f ca="1">IFERROR(_xll.FDS(MO.Ticker.FactSet,"P_PRICE_AVG"&amp;"("&amp;INDEX(MO_SNA_FPStartDate,0,COLUMN())&amp;","&amp;INDEX(MO_Common_QEndDate,0,COLUMN())&amp;",,,,""PRICE"",""CLOSE"")"),"N/A")</f>
        <v>N/A</v>
      </c>
      <c r="AI921" s="354" t="str">
        <f ca="1">IFERROR(_xll.FDS(MO.Ticker.FactSet,"P_PRICE_AVG"&amp;"("&amp;INDEX(MO_SNA_FPStartDate,0,COLUMN())&amp;","&amp;INDEX(MO_Common_QEndDate,0,COLUMN())&amp;",,,,""PRICE"",""CLOSE"")"),"N/A")</f>
        <v>N/A</v>
      </c>
      <c r="AJ921" s="354" t="str">
        <f ca="1">IFERROR(_xll.FDS(MO.Ticker.FactSet,"P_PRICE_AVG"&amp;"("&amp;INDEX(MO_SNA_FPStartDate,0,COLUMN())&amp;","&amp;INDEX(MO_Common_QEndDate,0,COLUMN())&amp;",,,,""PRICE"",""CLOSE"")"),"N/A")</f>
        <v>N/A</v>
      </c>
      <c r="AK921" s="354" t="str">
        <f ca="1">IFERROR(_xll.FDS(MO.Ticker.FactSet,"P_PRICE_AVG"&amp;"("&amp;INDEX(MO_SNA_FPStartDate,0,COLUMN())&amp;","&amp;INDEX(MO_Common_QEndDate,0,COLUMN())&amp;",,,,""PRICE"",""CLOSE"")"),"N/A")</f>
        <v>N/A</v>
      </c>
      <c r="AL921" s="354" t="str">
        <f ca="1">IFERROR(_xll.FDS(MO.Ticker.FactSet,"P_PRICE_AVG"&amp;"("&amp;INDEX(MO_SNA_FPStartDate,0,COLUMN())&amp;","&amp;INDEX(MO_Common_QEndDate,0,COLUMN())&amp;",,,,""PRICE"",""CLOSE"")"),"N/A")</f>
        <v>N/A</v>
      </c>
      <c r="AM921" s="354" t="str">
        <f ca="1">IFERROR(_xll.FDS(MO.Ticker.FactSet,"P_PRICE_AVG"&amp;"("&amp;INDEX(MO_SNA_FPStartDate,0,COLUMN())&amp;","&amp;INDEX(MO_Common_QEndDate,0,COLUMN())&amp;",,,,""PRICE"",""CLOSE"")"),"N/A")</f>
        <v>N/A</v>
      </c>
      <c r="AN921" s="354" t="str">
        <f ca="1">IFERROR(_xll.FDS(MO.Ticker.FactSet,"P_PRICE_AVG"&amp;"("&amp;INDEX(MO_SNA_FPStartDate,0,COLUMN())&amp;","&amp;INDEX(MO_Common_QEndDate,0,COLUMN())&amp;",,,,""PRICE"",""CLOSE"")"),"N/A")</f>
        <v>N/A</v>
      </c>
      <c r="AO921" s="354" t="str">
        <f ca="1">IFERROR(_xll.FDS(MO.Ticker.FactSet,"P_PRICE_AVG"&amp;"("&amp;INDEX(MO_SNA_FPStartDate,0,COLUMN())&amp;","&amp;INDEX(MO_Common_QEndDate,0,COLUMN())&amp;",,,,""PRICE"",""CLOSE"")"),"N/A")</f>
        <v>N/A</v>
      </c>
      <c r="AP921" s="354" t="str">
        <f ca="1">IFERROR(_xll.FDS(MO.Ticker.FactSet,"P_PRICE_AVG"&amp;"("&amp;INDEX(MO_SNA_FPStartDate,0,COLUMN())&amp;","&amp;INDEX(MO_Common_QEndDate,0,COLUMN())&amp;",,,,""PRICE"",""CLOSE"")"),"N/A")</f>
        <v>N/A</v>
      </c>
      <c r="AQ921" s="354" t="str">
        <f ca="1">IFERROR(_xll.FDS(MO.Ticker.FactSet,"P_PRICE_AVG"&amp;"("&amp;INDEX(MO_SNA_FPStartDate,0,COLUMN())&amp;","&amp;INDEX(MO_Common_QEndDate,0,COLUMN())&amp;",,,,""PRICE"",""CLOSE"")"),"N/A")</f>
        <v>N/A</v>
      </c>
      <c r="AR921" s="354" t="str">
        <f ca="1">IFERROR(_xll.FDS(MO.Ticker.FactSet,"P_PRICE_AVG"&amp;"("&amp;INDEX(MO_SNA_FPStartDate,0,COLUMN())&amp;","&amp;INDEX(MO_Common_QEndDate,0,COLUMN())&amp;",,,,""PRICE"",""CLOSE"")"),"N/A")</f>
        <v>N/A</v>
      </c>
      <c r="AS921" s="354" t="str">
        <f ca="1">IFERROR(_xll.FDS(MO.Ticker.FactSet,"P_PRICE_AVG"&amp;"("&amp;INDEX(MO_SNA_FPStartDate,0,COLUMN())&amp;","&amp;INDEX(MO_Common_QEndDate,0,COLUMN())&amp;",,,,""PRICE"",""CLOSE"")"),"N/A")</f>
        <v>N/A</v>
      </c>
      <c r="AT921" s="354" t="str">
        <f ca="1">IFERROR(_xll.FDS(MO.Ticker.FactSet,"P_PRICE_AVG"&amp;"("&amp;INDEX(MO_SNA_FPStartDate,0,COLUMN())&amp;","&amp;INDEX(MO_Common_QEndDate,0,COLUMN())&amp;",,,,""PRICE"",""CLOSE"")"),"N/A")</f>
        <v>N/A</v>
      </c>
      <c r="AU921" s="354" t="str">
        <f ca="1">IFERROR(_xll.FDS(MO.Ticker.FactSet,"P_PRICE_AVG"&amp;"("&amp;INDEX(MO_SNA_FPStartDate,0,COLUMN())&amp;","&amp;INDEX(MO_Common_QEndDate,0,COLUMN())&amp;",,,,""PRICE"",""CLOSE"")"),"N/A")</f>
        <v>N/A</v>
      </c>
      <c r="AV921" s="354" t="str">
        <f ca="1">IFERROR(_xll.FDS(MO.Ticker.FactSet,"P_PRICE_AVG"&amp;"("&amp;INDEX(MO_SNA_FPStartDate,0,COLUMN())&amp;","&amp;INDEX(MO_Common_QEndDate,0,COLUMN())&amp;",,,,""PRICE"",""CLOSE"")"),"N/A")</f>
        <v>N/A</v>
      </c>
      <c r="AW921" s="354" t="str">
        <f ca="1">IFERROR(_xll.FDS(MO.Ticker.FactSet,"P_PRICE_AVG"&amp;"("&amp;INDEX(MO_SNA_FPStartDate,0,COLUMN())&amp;","&amp;INDEX(MO_Common_QEndDate,0,COLUMN())&amp;",,,,""PRICE"",""CLOSE"")"),"N/A")</f>
        <v>N/A</v>
      </c>
      <c r="AX921" s="354" t="str">
        <f ca="1">IFERROR(_xll.FDS(MO.Ticker.FactSet,"P_PRICE_AVG"&amp;"("&amp;INDEX(MO_SNA_FPStartDate,0,COLUMN())&amp;","&amp;INDEX(MO_Common_QEndDate,0,COLUMN())&amp;",,,,""PRICE"",""CLOSE"")"),"N/A")</f>
        <v>N/A</v>
      </c>
      <c r="AY921" s="354" t="str">
        <f ca="1">IFERROR(_xll.FDS(MO.Ticker.FactSet,"P_PRICE_AVG"&amp;"("&amp;INDEX(MO_SNA_FPStartDate,0,COLUMN())&amp;","&amp;INDEX(MO_Common_QEndDate,0,COLUMN())&amp;",,,,""PRICE"",""CLOSE"")"),"N/A")</f>
        <v>N/A</v>
      </c>
      <c r="AZ921" s="354" t="str">
        <f ca="1">IFERROR(_xll.FDS(MO.Ticker.FactSet,"P_PRICE_AVG"&amp;"("&amp;INDEX(MO_SNA_FPStartDate,0,COLUMN())&amp;","&amp;INDEX(MO_Common_QEndDate,0,COLUMN())&amp;",,,,""PRICE"",""CLOSE"")"),"N/A")</f>
        <v>N/A</v>
      </c>
      <c r="BA921" s="354" t="str">
        <f ca="1">IFERROR(_xll.FDS(MO.Ticker.FactSet,"P_PRICE_AVG"&amp;"("&amp;INDEX(MO_SNA_FPStartDate,0,COLUMN())&amp;","&amp;INDEX(MO_Common_QEndDate,0,COLUMN())&amp;",,,,""PRICE"",""CLOSE"")"),"N/A")</f>
        <v>N/A</v>
      </c>
      <c r="BB921" s="354" t="str">
        <f ca="1">IFERROR(_xll.FDS(MO.Ticker.FactSet,"P_PRICE_AVG"&amp;"("&amp;INDEX(MO_SNA_FPStartDate,0,COLUMN())&amp;","&amp;INDEX(MO_Common_QEndDate,0,COLUMN())&amp;",,,,""PRICE"",""CLOSE"")"),"N/A")</f>
        <v>N/A</v>
      </c>
      <c r="BC921" s="354" t="str">
        <f ca="1">IFERROR(_xll.FDS(MO.Ticker.FactSet,"P_PRICE_AVG"&amp;"("&amp;INDEX(MO_SNA_FPStartDate,0,COLUMN())&amp;","&amp;INDEX(MO_Common_QEndDate,0,COLUMN())&amp;",,,,""PRICE"",""CLOSE"")"),"N/A")</f>
        <v>N/A</v>
      </c>
      <c r="BD921" s="354" t="str">
        <f ca="1">IFERROR(_xll.FDS(MO.Ticker.FactSet,"P_PRICE_AVG"&amp;"("&amp;INDEX(MO_SNA_FPStartDate,0,COLUMN())&amp;","&amp;INDEX(MO_Common_QEndDate,0,COLUMN())&amp;",,,,""PRICE"",""CLOSE"")"),"N/A")</f>
        <v>N/A</v>
      </c>
      <c r="BE921" s="354" t="str">
        <f ca="1">IFERROR(_xll.FDS(MO.Ticker.FactSet,"P_PRICE_AVG"&amp;"("&amp;INDEX(MO_SNA_FPStartDate,0,COLUMN())&amp;","&amp;INDEX(MO_Common_QEndDate,0,COLUMN())&amp;",,,,""PRICE"",""CLOSE"")"),"N/A")</f>
        <v>N/A</v>
      </c>
      <c r="BF921" s="354" t="str">
        <f ca="1">IFERROR(_xll.FDS(MO.Ticker.FactSet,"P_PRICE_AVG"&amp;"("&amp;INDEX(MO_SNA_FPStartDate,0,COLUMN())&amp;","&amp;INDEX(MO_Common_QEndDate,0,COLUMN())&amp;",,,,""PRICE"",""CLOSE"")"),"N/A")</f>
        <v>N/A</v>
      </c>
      <c r="BG921" s="354" t="str">
        <f ca="1">IFERROR(_xll.FDS(MO.Ticker.FactSet,"P_PRICE_AVG"&amp;"("&amp;INDEX(MO_SNA_FPStartDate,0,COLUMN())&amp;","&amp;INDEX(MO_Common_QEndDate,0,COLUMN())&amp;",,,,""PRICE"",""CLOSE"")"),"N/A")</f>
        <v>N/A</v>
      </c>
      <c r="BH921" s="354" t="str">
        <f ca="1">IFERROR(_xll.FDS(MO.Ticker.FactSet,"P_PRICE_AVG"&amp;"("&amp;INDEX(MO_SNA_FPStartDate,0,COLUMN())&amp;","&amp;INDEX(MO_Common_QEndDate,0,COLUMN())&amp;",,,,""PRICE"",""CLOSE"")"),"N/A")</f>
        <v>N/A</v>
      </c>
      <c r="BI921" s="354" t="str">
        <f ca="1">IFERROR(_xll.FDS(MO.Ticker.FactSet,"P_PRICE_AVG"&amp;"("&amp;INDEX(MO_SNA_FPStartDate,0,COLUMN())&amp;","&amp;INDEX(MO_Common_QEndDate,0,COLUMN())&amp;",,,,""PRICE"",""CLOSE"")"),"N/A")</f>
        <v>N/A</v>
      </c>
      <c r="BJ921" s="354" t="str">
        <f ca="1">IFERROR(_xll.FDS(MO.Ticker.FactSet,"P_PRICE_AVG"&amp;"("&amp;INDEX(MO_SNA_FPStartDate,0,COLUMN())&amp;","&amp;INDEX(MO_Common_QEndDate,0,COLUMN())&amp;",,,,""PRICE"",""CLOSE"")"),"N/A")</f>
        <v>N/A</v>
      </c>
      <c r="BK921" s="354" t="str">
        <f ca="1">IFERROR(_xll.FDS(MO.Ticker.FactSet,"P_PRICE_AVG"&amp;"("&amp;INDEX(MO_SNA_FPStartDate,0,COLUMN())&amp;","&amp;INDEX(MO_Common_QEndDate,0,COLUMN())&amp;",,,,""PRICE"",""CLOSE"")"),"N/A")</f>
        <v>N/A</v>
      </c>
      <c r="BL921" s="354" t="str">
        <f ca="1">IFERROR(_xll.FDS(MO.Ticker.FactSet,"P_PRICE_AVG"&amp;"("&amp;INDEX(MO_SNA_FPStartDate,0,COLUMN())&amp;","&amp;INDEX(MO_Common_QEndDate,0,COLUMN())&amp;",,,,""PRICE"",""CLOSE"")"),"N/A")</f>
        <v>N/A</v>
      </c>
      <c r="BM921" s="354" t="str">
        <f ca="1">IFERROR(_xll.FDS(MO.Ticker.FactSet,"P_PRICE_AVG"&amp;"("&amp;INDEX(MO_SNA_FPStartDate,0,COLUMN())&amp;","&amp;INDEX(MO_Common_QEndDate,0,COLUMN())&amp;",,,,""PRICE"",""CLOSE"")"),"N/A")</f>
        <v>N/A</v>
      </c>
      <c r="BN921" s="354" t="str">
        <f ca="1">IFERROR(_xll.FDS(MO.Ticker.FactSet,"P_PRICE_AVG"&amp;"("&amp;INDEX(MO_SNA_FPStartDate,0,COLUMN())&amp;","&amp;INDEX(MO_Common_QEndDate,0,COLUMN())&amp;",,,,""PRICE"",""CLOSE"")"),"N/A")</f>
        <v>N/A</v>
      </c>
      <c r="BO921" s="354" t="str">
        <f ca="1">IFERROR(_xll.FDS(MO.Ticker.FactSet,"P_PRICE_AVG"&amp;"("&amp;INDEX(MO_SNA_FPStartDate,0,COLUMN())&amp;","&amp;INDEX(MO_Common_QEndDate,0,COLUMN())&amp;",,,,""PRICE"",""CLOSE"")"),"N/A")</f>
        <v>N/A</v>
      </c>
      <c r="BP921" s="354" t="str">
        <f ca="1">IFERROR(_xll.FDS(MO.Ticker.FactSet,"P_PRICE_AVG"&amp;"("&amp;INDEX(MO_SNA_FPStartDate,0,COLUMN())&amp;","&amp;INDEX(MO_Common_QEndDate,0,COLUMN())&amp;",,,,""PRICE"",""CLOSE"")"),"N/A")</f>
        <v>N/A</v>
      </c>
      <c r="BQ921" s="354" t="str">
        <f ca="1">IFERROR(_xll.FDS(MO.Ticker.FactSet,"P_PRICE_AVG"&amp;"("&amp;INDEX(MO_SNA_FPStartDate,0,COLUMN())&amp;","&amp;INDEX(MO_Common_QEndDate,0,COLUMN())&amp;",,,,""PRICE"",""CLOSE"")"),"N/A")</f>
        <v>N/A</v>
      </c>
      <c r="BR921" s="354" t="str">
        <f ca="1">IFERROR(_xll.FDS(MO.Ticker.FactSet,"P_PRICE_AVG"&amp;"("&amp;INDEX(MO_SNA_FPStartDate,0,COLUMN())&amp;","&amp;INDEX(MO_Common_QEndDate,0,COLUMN())&amp;",,,,""PRICE"",""CLOSE"")"),"N/A")</f>
        <v>N/A</v>
      </c>
      <c r="BS921" s="661" t="str">
        <f ca="1">IFERROR(_xll.FDS(MO.Ticker.FactSet,"P_PRICE_AVG"&amp;"("&amp;INDEX(MO_SNA_FPStartDate,0,COLUMN())&amp;","&amp;INDEX(MO_Common_QEndDate,0,COLUMN())&amp;",,,,""PRICE"",""CLOSE"")"),"N/A")</f>
        <v>N/A</v>
      </c>
      <c r="BT921" s="354" t="str">
        <f ca="1">IFERROR(_xll.FDS(MO.Ticker.FactSet,"P_PRICE_AVG"&amp;"("&amp;INDEX(MO_SNA_FPStartDate,0,COLUMN())&amp;","&amp;INDEX(MO_Common_QEndDate,0,COLUMN())&amp;",,,,""PRICE"",""CLOSE"")"),"N/A")</f>
        <v>N/A</v>
      </c>
      <c r="BU921" s="354" t="str">
        <f ca="1">IFERROR(_xll.FDS(MO.Ticker.FactSet,"P_PRICE_AVG"&amp;"("&amp;INDEX(MO_SNA_FPStartDate,0,COLUMN())&amp;","&amp;INDEX(MO_Common_QEndDate,0,COLUMN())&amp;",,,,""PRICE"",""CLOSE"")"),"N/A")</f>
        <v>N/A</v>
      </c>
      <c r="BV921" s="354" t="str">
        <f ca="1">IFERROR(_xll.FDS(MO.Ticker.FactSet,"P_PRICE_AVG"&amp;"("&amp;INDEX(MO_SNA_FPStartDate,0,COLUMN())&amp;","&amp;INDEX(MO_Common_QEndDate,0,COLUMN())&amp;",,,,""PRICE"",""CLOSE"")"),"N/A")</f>
        <v>N/A</v>
      </c>
      <c r="BW921" s="354" t="str">
        <f ca="1">IFERROR(_xll.FDS(MO.Ticker.FactSet,"P_PRICE_AVG"&amp;"("&amp;INDEX(MO_SNA_FPStartDate,0,COLUMN())&amp;","&amp;INDEX(MO_Common_QEndDate,0,COLUMN())&amp;",,,,""PRICE"",""CLOSE"")"),"N/A")</f>
        <v>N/A</v>
      </c>
      <c r="BX921" s="354" t="str">
        <f ca="1">IFERROR(_xll.FDS(MO.Ticker.FactSet,"P_PRICE_AVG"&amp;"("&amp;INDEX(MO_SNA_FPStartDate,0,COLUMN())&amp;","&amp;INDEX(MO_Common_QEndDate,0,COLUMN())&amp;",,,,""PRICE"",""CLOSE"")"),"N/A")</f>
        <v>N/A</v>
      </c>
      <c r="BY921" s="354" t="str">
        <f ca="1">IFERROR(_xll.FDS(MO.Ticker.FactSet,"P_PRICE_AVG"&amp;"("&amp;INDEX(MO_SNA_FPStartDate,0,COLUMN())&amp;","&amp;INDEX(MO_Common_QEndDate,0,COLUMN())&amp;",,,,""PRICE"",""CLOSE"")"),"N/A")</f>
        <v>N/A</v>
      </c>
      <c r="BZ921" s="354" t="str">
        <f ca="1">IFERROR(_xll.FDS(MO.Ticker.FactSet,"P_PRICE_AVG"&amp;"("&amp;INDEX(MO_SNA_FPStartDate,0,COLUMN())&amp;","&amp;INDEX(MO_Common_QEndDate,0,COLUMN())&amp;",,,,""PRICE"",""CLOSE"")"),"N/A")</f>
        <v>N/A</v>
      </c>
      <c r="CA921" s="354" t="str">
        <f ca="1">IFERROR(_xll.FDS(MO.Ticker.FactSet,"P_PRICE_AVG"&amp;"("&amp;INDEX(MO_SNA_FPStartDate,0,COLUMN())&amp;","&amp;INDEX(MO_Common_QEndDate,0,COLUMN())&amp;",,,,""PRICE"",""CLOSE"")"),"N/A")</f>
        <v>N/A</v>
      </c>
      <c r="CB921" s="354" t="str">
        <f ca="1">IFERROR(_xll.FDS(MO.Ticker.FactSet,"P_PRICE_AVG"&amp;"("&amp;INDEX(MO_SNA_FPStartDate,0,COLUMN())&amp;","&amp;INDEX(MO_Common_QEndDate,0,COLUMN())&amp;",,,,""PRICE"",""CLOSE"")"),"N/A")</f>
        <v>N/A</v>
      </c>
      <c r="CC921" s="354" t="str">
        <f ca="1">IFERROR(_xll.FDS(MO.Ticker.FactSet,"P_PRICE_AVG"&amp;"("&amp;INDEX(MO_SNA_FPStartDate,0,COLUMN())&amp;","&amp;INDEX(MO_Common_QEndDate,0,COLUMN())&amp;",,,,""PRICE"",""CLOSE"")"),"N/A")</f>
        <v>N/A</v>
      </c>
      <c r="CD921" s="354" t="str">
        <f ca="1">IFERROR(_xll.FDS(MO.Ticker.FactSet,"P_PRICE_AVG"&amp;"("&amp;INDEX(MO_SNA_FPStartDate,0,COLUMN())&amp;","&amp;INDEX(MO_Common_QEndDate,0,COLUMN())&amp;",,,,""PRICE"",""CLOSE"")"),"N/A")</f>
        <v>N/A</v>
      </c>
      <c r="CE921" s="354" t="str">
        <f ca="1">IFERROR(_xll.FDS(MO.Ticker.FactSet,"P_PRICE_AVG"&amp;"("&amp;INDEX(MO_SNA_FPStartDate,0,COLUMN())&amp;","&amp;INDEX(MO_Common_QEndDate,0,COLUMN())&amp;",,,,""PRICE"",""CLOSE"")"),"N/A")</f>
        <v>N/A</v>
      </c>
      <c r="CF921" s="662" t="str">
        <f ca="1">IFERROR(_xll.FDS(MO.Ticker.FactSet,"P_PRICE_AVG"&amp;"("&amp;INDEX(MO_SNA_FPStartDate,0,COLUMN())&amp;","&amp;INDEX(MO_Common_QEndDate,0,COLUMN())&amp;",,,,""PRICE"",""CLOSE"")"),"N/A")</f>
        <v>N/A</v>
      </c>
      <c r="CG921" s="663"/>
    </row>
    <row r="922" spans="1:85" ht="14.45" hidden="1" customHeight="1" x14ac:dyDescent="0.25">
      <c r="A922" s="355" t="s">
        <v>805</v>
      </c>
      <c r="B922" s="354"/>
      <c r="C922" s="290" t="str">
        <f ca="1">IFERROR(_xll.TR(MO.Ticker.Thomson,"AVG(TR.Priceclose)","sdate:#1 edate:#2",,INDEX(MO_SNA_FPStartDate,0,COLUMN()),INDEX(MO_Common_QEndDate,0,COLUMN())),"N/A")</f>
        <v>N/A</v>
      </c>
      <c r="D922" s="290" t="str">
        <f ca="1">IFERROR(_xll.TR(MO.Ticker.Thomson,"AVG(TR.Priceclose)","sdate:#1 edate:#2",,INDEX(MO_SNA_FPStartDate,0,COLUMN()),INDEX(MO_Common_QEndDate,0,COLUMN())),"N/A")</f>
        <v>N/A</v>
      </c>
      <c r="E922" s="290" t="str">
        <f ca="1">IFERROR(_xll.TR(MO.Ticker.Thomson,"AVG(TR.Priceclose)","sdate:#1 edate:#2",,INDEX(MO_SNA_FPStartDate,0,COLUMN()),INDEX(MO_Common_QEndDate,0,COLUMN())),"N/A")</f>
        <v>N/A</v>
      </c>
      <c r="F922" s="290" t="str">
        <f ca="1">IFERROR(_xll.TR(MO.Ticker.Thomson,"AVG(TR.Priceclose)","sdate:#1 edate:#2",,INDEX(MO_SNA_FPStartDate,0,COLUMN()),INDEX(MO_Common_QEndDate,0,COLUMN())),"N/A")</f>
        <v>N/A</v>
      </c>
      <c r="G922" s="290" t="str">
        <f ca="1">IFERROR(_xll.TR(MO.Ticker.Thomson,"AVG(TR.Priceclose)","sdate:#1 edate:#2",,INDEX(MO_SNA_FPStartDate,0,COLUMN()),INDEX(MO_Common_QEndDate,0,COLUMN())),"N/A")</f>
        <v>N/A</v>
      </c>
      <c r="H922" s="354" t="str">
        <f ca="1">IFERROR(_xll.TR(MO.Ticker.Thomson,"AVG(TR.Priceclose)","sdate:#1 edate:#2",,INDEX(MO_SNA_FPStartDate,0,COLUMN()),INDEX(MO_Common_QEndDate,0,COLUMN())),"N/A")</f>
        <v>N/A</v>
      </c>
      <c r="I922" s="354" t="str">
        <f ca="1">IFERROR(_xll.TR(MO.Ticker.Thomson,"AVG(TR.Priceclose)","sdate:#1 edate:#2",,INDEX(MO_SNA_FPStartDate,0,COLUMN()),INDEX(MO_Common_QEndDate,0,COLUMN())),"N/A")</f>
        <v>N/A</v>
      </c>
      <c r="J922" s="354" t="str">
        <f ca="1">IFERROR(_xll.TR(MO.Ticker.Thomson,"AVG(TR.Priceclose)","sdate:#1 edate:#2",,INDEX(MO_SNA_FPStartDate,0,COLUMN()),INDEX(MO_Common_QEndDate,0,COLUMN())),"N/A")</f>
        <v>N/A</v>
      </c>
      <c r="K922" s="354" t="str">
        <f ca="1">IFERROR(_xll.TR(MO.Ticker.Thomson,"AVG(TR.Priceclose)","sdate:#1 edate:#2",,INDEX(MO_SNA_FPStartDate,0,COLUMN()),INDEX(MO_Common_QEndDate,0,COLUMN())),"N/A")</f>
        <v>N/A</v>
      </c>
      <c r="L922" s="354" t="str">
        <f ca="1">IFERROR(_xll.TR(MO.Ticker.Thomson,"AVG(TR.Priceclose)","sdate:#1 edate:#2",,INDEX(MO_SNA_FPStartDate,0,COLUMN()),INDEX(MO_Common_QEndDate,0,COLUMN())),"N/A")</f>
        <v>N/A</v>
      </c>
      <c r="M922" s="354" t="str">
        <f ca="1">IFERROR(_xll.TR(MO.Ticker.Thomson,"AVG(TR.Priceclose)","sdate:#1 edate:#2",,INDEX(MO_SNA_FPStartDate,0,COLUMN()),INDEX(MO_Common_QEndDate,0,COLUMN())),"N/A")</f>
        <v>N/A</v>
      </c>
      <c r="N922" s="354" t="str">
        <f ca="1">IFERROR(_xll.TR(MO.Ticker.Thomson,"AVG(TR.Priceclose)","sdate:#1 edate:#2",,INDEX(MO_SNA_FPStartDate,0,COLUMN()),INDEX(MO_Common_QEndDate,0,COLUMN())),"N/A")</f>
        <v>N/A</v>
      </c>
      <c r="O922" s="354" t="str">
        <f ca="1">IFERROR(_xll.TR(MO.Ticker.Thomson,"AVG(TR.Priceclose)","sdate:#1 edate:#2",,INDEX(MO_SNA_FPStartDate,0,COLUMN()),INDEX(MO_Common_QEndDate,0,COLUMN())),"N/A")</f>
        <v>N/A</v>
      </c>
      <c r="P922" s="354" t="str">
        <f ca="1">IFERROR(_xll.TR(MO.Ticker.Thomson,"AVG(TR.Priceclose)","sdate:#1 edate:#2",,INDEX(MO_SNA_FPStartDate,0,COLUMN()),INDEX(MO_Common_QEndDate,0,COLUMN())),"N/A")</f>
        <v>N/A</v>
      </c>
      <c r="Q922" s="354" t="str">
        <f ca="1">IFERROR(_xll.TR(MO.Ticker.Thomson,"AVG(TR.Priceclose)","sdate:#1 edate:#2",,INDEX(MO_SNA_FPStartDate,0,COLUMN()),INDEX(MO_Common_QEndDate,0,COLUMN())),"N/A")</f>
        <v>N/A</v>
      </c>
      <c r="R922" s="354" t="str">
        <f ca="1">IFERROR(_xll.TR(MO.Ticker.Thomson,"AVG(TR.Priceclose)","sdate:#1 edate:#2",,INDEX(MO_SNA_FPStartDate,0,COLUMN()),INDEX(MO_Common_QEndDate,0,COLUMN())),"N/A")</f>
        <v>N/A</v>
      </c>
      <c r="S922" s="354" t="str">
        <f ca="1">IFERROR(_xll.TR(MO.Ticker.Thomson,"AVG(TR.Priceclose)","sdate:#1 edate:#2",,INDEX(MO_SNA_FPStartDate,0,COLUMN()),INDEX(MO_Common_QEndDate,0,COLUMN())),"N/A")</f>
        <v>N/A</v>
      </c>
      <c r="T922" s="354" t="str">
        <f ca="1">IFERROR(_xll.TR(MO.Ticker.Thomson,"AVG(TR.Priceclose)","sdate:#1 edate:#2",,INDEX(MO_SNA_FPStartDate,0,COLUMN()),INDEX(MO_Common_QEndDate,0,COLUMN())),"N/A")</f>
        <v>N/A</v>
      </c>
      <c r="U922" s="354" t="str">
        <f ca="1">IFERROR(_xll.TR(MO.Ticker.Thomson,"AVG(TR.Priceclose)","sdate:#1 edate:#2",,INDEX(MO_SNA_FPStartDate,0,COLUMN()),INDEX(MO_Common_QEndDate,0,COLUMN())),"N/A")</f>
        <v>N/A</v>
      </c>
      <c r="V922" s="354" t="str">
        <f ca="1">IFERROR(_xll.TR(MO.Ticker.Thomson,"AVG(TR.Priceclose)","sdate:#1 edate:#2",,INDEX(MO_SNA_FPStartDate,0,COLUMN()),INDEX(MO_Common_QEndDate,0,COLUMN())),"N/A")</f>
        <v>N/A</v>
      </c>
      <c r="W922" s="354" t="str">
        <f ca="1">IFERROR(_xll.TR(MO.Ticker.Thomson,"AVG(TR.Priceclose)","sdate:#1 edate:#2",,INDEX(MO_SNA_FPStartDate,0,COLUMN()),INDEX(MO_Common_QEndDate,0,COLUMN())),"N/A")</f>
        <v>N/A</v>
      </c>
      <c r="X922" s="354" t="str">
        <f ca="1">IFERROR(_xll.TR(MO.Ticker.Thomson,"AVG(TR.Priceclose)","sdate:#1 edate:#2",,INDEX(MO_SNA_FPStartDate,0,COLUMN()),INDEX(MO_Common_QEndDate,0,COLUMN())),"N/A")</f>
        <v>N/A</v>
      </c>
      <c r="Y922" s="354" t="str">
        <f ca="1">IFERROR(_xll.TR(MO.Ticker.Thomson,"AVG(TR.Priceclose)","sdate:#1 edate:#2",,INDEX(MO_SNA_FPStartDate,0,COLUMN()),INDEX(MO_Common_QEndDate,0,COLUMN())),"N/A")</f>
        <v>N/A</v>
      </c>
      <c r="Z922" s="354" t="str">
        <f ca="1">IFERROR(_xll.TR(MO.Ticker.Thomson,"AVG(TR.Priceclose)","sdate:#1 edate:#2",,INDEX(MO_SNA_FPStartDate,0,COLUMN()),INDEX(MO_Common_QEndDate,0,COLUMN())),"N/A")</f>
        <v>N/A</v>
      </c>
      <c r="AA922" s="354" t="str">
        <f ca="1">IFERROR(_xll.TR(MO.Ticker.Thomson,"AVG(TR.Priceclose)","sdate:#1 edate:#2",,INDEX(MO_SNA_FPStartDate,0,COLUMN()),INDEX(MO_Common_QEndDate,0,COLUMN())),"N/A")</f>
        <v>N/A</v>
      </c>
      <c r="AB922" s="354" t="str">
        <f ca="1">IFERROR(_xll.TR(MO.Ticker.Thomson,"AVG(TR.Priceclose)","sdate:#1 edate:#2",,INDEX(MO_SNA_FPStartDate,0,COLUMN()),INDEX(MO_Common_QEndDate,0,COLUMN())),"N/A")</f>
        <v>N/A</v>
      </c>
      <c r="AC922" s="354" t="str">
        <f ca="1">IFERROR(_xll.TR(MO.Ticker.Thomson,"AVG(TR.Priceclose)","sdate:#1 edate:#2",,INDEX(MO_SNA_FPStartDate,0,COLUMN()),INDEX(MO_Common_QEndDate,0,COLUMN())),"N/A")</f>
        <v>N/A</v>
      </c>
      <c r="AD922" s="354" t="str">
        <f ca="1">IFERROR(_xll.TR(MO.Ticker.Thomson,"AVG(TR.Priceclose)","sdate:#1 edate:#2",,INDEX(MO_SNA_FPStartDate,0,COLUMN()),INDEX(MO_Common_QEndDate,0,COLUMN())),"N/A")</f>
        <v>N/A</v>
      </c>
      <c r="AE922" s="354" t="str">
        <f ca="1">IFERROR(_xll.TR(MO.Ticker.Thomson,"AVG(TR.Priceclose)","sdate:#1 edate:#2",,INDEX(MO_SNA_FPStartDate,0,COLUMN()),INDEX(MO_Common_QEndDate,0,COLUMN())),"N/A")</f>
        <v>N/A</v>
      </c>
      <c r="AF922" s="354" t="str">
        <f ca="1">IFERROR(_xll.TR(MO.Ticker.Thomson,"AVG(TR.Priceclose)","sdate:#1 edate:#2",,INDEX(MO_SNA_FPStartDate,0,COLUMN()),INDEX(MO_Common_QEndDate,0,COLUMN())),"N/A")</f>
        <v>N/A</v>
      </c>
      <c r="AG922" s="354" t="str">
        <f ca="1">IFERROR(_xll.TR(MO.Ticker.Thomson,"AVG(TR.Priceclose)","sdate:#1 edate:#2",,INDEX(MO_SNA_FPStartDate,0,COLUMN()),INDEX(MO_Common_QEndDate,0,COLUMN())),"N/A")</f>
        <v>N/A</v>
      </c>
      <c r="AH922" s="354" t="str">
        <f ca="1">IFERROR(_xll.TR(MO.Ticker.Thomson,"AVG(TR.Priceclose)","sdate:#1 edate:#2",,INDEX(MO_SNA_FPStartDate,0,COLUMN()),INDEX(MO_Common_QEndDate,0,COLUMN())),"N/A")</f>
        <v>N/A</v>
      </c>
      <c r="AI922" s="354" t="str">
        <f ca="1">IFERROR(_xll.TR(MO.Ticker.Thomson,"AVG(TR.Priceclose)","sdate:#1 edate:#2",,INDEX(MO_SNA_FPStartDate,0,COLUMN()),INDEX(MO_Common_QEndDate,0,COLUMN())),"N/A")</f>
        <v>N/A</v>
      </c>
      <c r="AJ922" s="354" t="str">
        <f ca="1">IFERROR(_xll.TR(MO.Ticker.Thomson,"AVG(TR.Priceclose)","sdate:#1 edate:#2",,INDEX(MO_SNA_FPStartDate,0,COLUMN()),INDEX(MO_Common_QEndDate,0,COLUMN())),"N/A")</f>
        <v>N/A</v>
      </c>
      <c r="AK922" s="354" t="str">
        <f ca="1">IFERROR(_xll.TR(MO.Ticker.Thomson,"AVG(TR.Priceclose)","sdate:#1 edate:#2",,INDEX(MO_SNA_FPStartDate,0,COLUMN()),INDEX(MO_Common_QEndDate,0,COLUMN())),"N/A")</f>
        <v>N/A</v>
      </c>
      <c r="AL922" s="354" t="str">
        <f ca="1">IFERROR(_xll.TR(MO.Ticker.Thomson,"AVG(TR.Priceclose)","sdate:#1 edate:#2",,INDEX(MO_SNA_FPStartDate,0,COLUMN()),INDEX(MO_Common_QEndDate,0,COLUMN())),"N/A")</f>
        <v>N/A</v>
      </c>
      <c r="AM922" s="354" t="str">
        <f ca="1">IFERROR(_xll.TR(MO.Ticker.Thomson,"AVG(TR.Priceclose)","sdate:#1 edate:#2",,INDEX(MO_SNA_FPStartDate,0,COLUMN()),INDEX(MO_Common_QEndDate,0,COLUMN())),"N/A")</f>
        <v>N/A</v>
      </c>
      <c r="AN922" s="354" t="str">
        <f ca="1">IFERROR(_xll.TR(MO.Ticker.Thomson,"AVG(TR.Priceclose)","sdate:#1 edate:#2",,INDEX(MO_SNA_FPStartDate,0,COLUMN()),INDEX(MO_Common_QEndDate,0,COLUMN())),"N/A")</f>
        <v>N/A</v>
      </c>
      <c r="AO922" s="354" t="str">
        <f ca="1">IFERROR(_xll.TR(MO.Ticker.Thomson,"AVG(TR.Priceclose)","sdate:#1 edate:#2",,INDEX(MO_SNA_FPStartDate,0,COLUMN()),INDEX(MO_Common_QEndDate,0,COLUMN())),"N/A")</f>
        <v>N/A</v>
      </c>
      <c r="AP922" s="354" t="str">
        <f ca="1">IFERROR(_xll.TR(MO.Ticker.Thomson,"AVG(TR.Priceclose)","sdate:#1 edate:#2",,INDEX(MO_SNA_FPStartDate,0,COLUMN()),INDEX(MO_Common_QEndDate,0,COLUMN())),"N/A")</f>
        <v>N/A</v>
      </c>
      <c r="AQ922" s="354" t="str">
        <f ca="1">IFERROR(_xll.TR(MO.Ticker.Thomson,"AVG(TR.Priceclose)","sdate:#1 edate:#2",,INDEX(MO_SNA_FPStartDate,0,COLUMN()),INDEX(MO_Common_QEndDate,0,COLUMN())),"N/A")</f>
        <v>N/A</v>
      </c>
      <c r="AR922" s="354" t="str">
        <f ca="1">IFERROR(_xll.TR(MO.Ticker.Thomson,"AVG(TR.Priceclose)","sdate:#1 edate:#2",,INDEX(MO_SNA_FPStartDate,0,COLUMN()),INDEX(MO_Common_QEndDate,0,COLUMN())),"N/A")</f>
        <v>N/A</v>
      </c>
      <c r="AS922" s="354" t="str">
        <f ca="1">IFERROR(_xll.TR(MO.Ticker.Thomson,"AVG(TR.Priceclose)","sdate:#1 edate:#2",,INDEX(MO_SNA_FPStartDate,0,COLUMN()),INDEX(MO_Common_QEndDate,0,COLUMN())),"N/A")</f>
        <v>N/A</v>
      </c>
      <c r="AT922" s="354" t="str">
        <f ca="1">IFERROR(_xll.TR(MO.Ticker.Thomson,"AVG(TR.Priceclose)","sdate:#1 edate:#2",,INDEX(MO_SNA_FPStartDate,0,COLUMN()),INDEX(MO_Common_QEndDate,0,COLUMN())),"N/A")</f>
        <v>N/A</v>
      </c>
      <c r="AU922" s="354" t="str">
        <f ca="1">IFERROR(_xll.TR(MO.Ticker.Thomson,"AVG(TR.Priceclose)","sdate:#1 edate:#2",,INDEX(MO_SNA_FPStartDate,0,COLUMN()),INDEX(MO_Common_QEndDate,0,COLUMN())),"N/A")</f>
        <v>N/A</v>
      </c>
      <c r="AV922" s="354" t="str">
        <f ca="1">IFERROR(_xll.TR(MO.Ticker.Thomson,"AVG(TR.Priceclose)","sdate:#1 edate:#2",,INDEX(MO_SNA_FPStartDate,0,COLUMN()),INDEX(MO_Common_QEndDate,0,COLUMN())),"N/A")</f>
        <v>N/A</v>
      </c>
      <c r="AW922" s="354" t="str">
        <f ca="1">IFERROR(_xll.TR(MO.Ticker.Thomson,"AVG(TR.Priceclose)","sdate:#1 edate:#2",,INDEX(MO_SNA_FPStartDate,0,COLUMN()),INDEX(MO_Common_QEndDate,0,COLUMN())),"N/A")</f>
        <v>N/A</v>
      </c>
      <c r="AX922" s="354" t="str">
        <f ca="1">IFERROR(_xll.TR(MO.Ticker.Thomson,"AVG(TR.Priceclose)","sdate:#1 edate:#2",,INDEX(MO_SNA_FPStartDate,0,COLUMN()),INDEX(MO_Common_QEndDate,0,COLUMN())),"N/A")</f>
        <v>N/A</v>
      </c>
      <c r="AY922" s="354" t="str">
        <f ca="1">IFERROR(_xll.TR(MO.Ticker.Thomson,"AVG(TR.Priceclose)","sdate:#1 edate:#2",,INDEX(MO_SNA_FPStartDate,0,COLUMN()),INDEX(MO_Common_QEndDate,0,COLUMN())),"N/A")</f>
        <v>N/A</v>
      </c>
      <c r="AZ922" s="354" t="str">
        <f ca="1">IFERROR(_xll.TR(MO.Ticker.Thomson,"AVG(TR.Priceclose)","sdate:#1 edate:#2",,INDEX(MO_SNA_FPStartDate,0,COLUMN()),INDEX(MO_Common_QEndDate,0,COLUMN())),"N/A")</f>
        <v>N/A</v>
      </c>
      <c r="BA922" s="354" t="str">
        <f ca="1">IFERROR(_xll.TR(MO.Ticker.Thomson,"AVG(TR.Priceclose)","sdate:#1 edate:#2",,INDEX(MO_SNA_FPStartDate,0,COLUMN()),INDEX(MO_Common_QEndDate,0,COLUMN())),"N/A")</f>
        <v>N/A</v>
      </c>
      <c r="BB922" s="354" t="str">
        <f ca="1">IFERROR(_xll.TR(MO.Ticker.Thomson,"AVG(TR.Priceclose)","sdate:#1 edate:#2",,INDEX(MO_SNA_FPStartDate,0,COLUMN()),INDEX(MO_Common_QEndDate,0,COLUMN())),"N/A")</f>
        <v>N/A</v>
      </c>
      <c r="BC922" s="354" t="str">
        <f ca="1">IFERROR(_xll.TR(MO.Ticker.Thomson,"AVG(TR.Priceclose)","sdate:#1 edate:#2",,INDEX(MO_SNA_FPStartDate,0,COLUMN()),INDEX(MO_Common_QEndDate,0,COLUMN())),"N/A")</f>
        <v>N/A</v>
      </c>
      <c r="BD922" s="354" t="str">
        <f ca="1">IFERROR(_xll.TR(MO.Ticker.Thomson,"AVG(TR.Priceclose)","sdate:#1 edate:#2",,INDEX(MO_SNA_FPStartDate,0,COLUMN()),INDEX(MO_Common_QEndDate,0,COLUMN())),"N/A")</f>
        <v>N/A</v>
      </c>
      <c r="BE922" s="354" t="str">
        <f ca="1">IFERROR(_xll.TR(MO.Ticker.Thomson,"AVG(TR.Priceclose)","sdate:#1 edate:#2",,INDEX(MO_SNA_FPStartDate,0,COLUMN()),INDEX(MO_Common_QEndDate,0,COLUMN())),"N/A")</f>
        <v>N/A</v>
      </c>
      <c r="BF922" s="354" t="str">
        <f ca="1">IFERROR(_xll.TR(MO.Ticker.Thomson,"AVG(TR.Priceclose)","sdate:#1 edate:#2",,INDEX(MO_SNA_FPStartDate,0,COLUMN()),INDEX(MO_Common_QEndDate,0,COLUMN())),"N/A")</f>
        <v>N/A</v>
      </c>
      <c r="BG922" s="354" t="str">
        <f ca="1">IFERROR(_xll.TR(MO.Ticker.Thomson,"AVG(TR.Priceclose)","sdate:#1 edate:#2",,INDEX(MO_SNA_FPStartDate,0,COLUMN()),INDEX(MO_Common_QEndDate,0,COLUMN())),"N/A")</f>
        <v>N/A</v>
      </c>
      <c r="BH922" s="354" t="str">
        <f ca="1">IFERROR(_xll.TR(MO.Ticker.Thomson,"AVG(TR.Priceclose)","sdate:#1 edate:#2",,INDEX(MO_SNA_FPStartDate,0,COLUMN()),INDEX(MO_Common_QEndDate,0,COLUMN())),"N/A")</f>
        <v>N/A</v>
      </c>
      <c r="BI922" s="354" t="str">
        <f ca="1">IFERROR(_xll.TR(MO.Ticker.Thomson,"AVG(TR.Priceclose)","sdate:#1 edate:#2",,INDEX(MO_SNA_FPStartDate,0,COLUMN()),INDEX(MO_Common_QEndDate,0,COLUMN())),"N/A")</f>
        <v>N/A</v>
      </c>
      <c r="BJ922" s="354" t="str">
        <f ca="1">IFERROR(_xll.TR(MO.Ticker.Thomson,"AVG(TR.Priceclose)","sdate:#1 edate:#2",,INDEX(MO_SNA_FPStartDate,0,COLUMN()),INDEX(MO_Common_QEndDate,0,COLUMN())),"N/A")</f>
        <v>N/A</v>
      </c>
      <c r="BK922" s="354" t="str">
        <f ca="1">IFERROR(_xll.TR(MO.Ticker.Thomson,"AVG(TR.Priceclose)","sdate:#1 edate:#2",,INDEX(MO_SNA_FPStartDate,0,COLUMN()),INDEX(MO_Common_QEndDate,0,COLUMN())),"N/A")</f>
        <v>N/A</v>
      </c>
      <c r="BL922" s="354" t="str">
        <f ca="1">IFERROR(_xll.TR(MO.Ticker.Thomson,"AVG(TR.Priceclose)","sdate:#1 edate:#2",,INDEX(MO_SNA_FPStartDate,0,COLUMN()),INDEX(MO_Common_QEndDate,0,COLUMN())),"N/A")</f>
        <v>N/A</v>
      </c>
      <c r="BM922" s="354" t="str">
        <f ca="1">IFERROR(_xll.TR(MO.Ticker.Thomson,"AVG(TR.Priceclose)","sdate:#1 edate:#2",,INDEX(MO_SNA_FPStartDate,0,COLUMN()),INDEX(MO_Common_QEndDate,0,COLUMN())),"N/A")</f>
        <v>N/A</v>
      </c>
      <c r="BN922" s="354" t="str">
        <f ca="1">IFERROR(_xll.TR(MO.Ticker.Thomson,"AVG(TR.Priceclose)","sdate:#1 edate:#2",,INDEX(MO_SNA_FPStartDate,0,COLUMN()),INDEX(MO_Common_QEndDate,0,COLUMN())),"N/A")</f>
        <v>N/A</v>
      </c>
      <c r="BO922" s="354" t="str">
        <f ca="1">IFERROR(_xll.TR(MO.Ticker.Thomson,"AVG(TR.Priceclose)","sdate:#1 edate:#2",,INDEX(MO_SNA_FPStartDate,0,COLUMN()),INDEX(MO_Common_QEndDate,0,COLUMN())),"N/A")</f>
        <v>N/A</v>
      </c>
      <c r="BP922" s="354" t="str">
        <f ca="1">IFERROR(_xll.TR(MO.Ticker.Thomson,"AVG(TR.Priceclose)","sdate:#1 edate:#2",,INDEX(MO_SNA_FPStartDate,0,COLUMN()),INDEX(MO_Common_QEndDate,0,COLUMN())),"N/A")</f>
        <v>N/A</v>
      </c>
      <c r="BQ922" s="354" t="str">
        <f ca="1">IFERROR(_xll.TR(MO.Ticker.Thomson,"AVG(TR.Priceclose)","sdate:#1 edate:#2",,INDEX(MO_SNA_FPStartDate,0,COLUMN()),INDEX(MO_Common_QEndDate,0,COLUMN())),"N/A")</f>
        <v>N/A</v>
      </c>
      <c r="BR922" s="354" t="str">
        <f ca="1">IFERROR(_xll.TR(MO.Ticker.Thomson,"AVG(TR.Priceclose)","sdate:#1 edate:#2",,INDEX(MO_SNA_FPStartDate,0,COLUMN()),INDEX(MO_Common_QEndDate,0,COLUMN())),"N/A")</f>
        <v>N/A</v>
      </c>
      <c r="BS922" s="661" t="str">
        <f ca="1">IFERROR(_xll.TR(MO.Ticker.Thomson,"AVG(TR.Priceclose)","sdate:#1 edate:#2",,INDEX(MO_SNA_FPStartDate,0,COLUMN()),INDEX(MO_Common_QEndDate,0,COLUMN())),"N/A")</f>
        <v>N/A</v>
      </c>
      <c r="BT922" s="354" t="str">
        <f ca="1">IFERROR(_xll.TR(MO.Ticker.Thomson,"AVG(TR.Priceclose)","sdate:#1 edate:#2",,INDEX(MO_SNA_FPStartDate,0,COLUMN()),INDEX(MO_Common_QEndDate,0,COLUMN())),"N/A")</f>
        <v>N/A</v>
      </c>
      <c r="BU922" s="354" t="str">
        <f ca="1">IFERROR(_xll.TR(MO.Ticker.Thomson,"AVG(TR.Priceclose)","sdate:#1 edate:#2",,INDEX(MO_SNA_FPStartDate,0,COLUMN()),INDEX(MO_Common_QEndDate,0,COLUMN())),"N/A")</f>
        <v>N/A</v>
      </c>
      <c r="BV922" s="354" t="str">
        <f ca="1">IFERROR(_xll.TR(MO.Ticker.Thomson,"AVG(TR.Priceclose)","sdate:#1 edate:#2",,INDEX(MO_SNA_FPStartDate,0,COLUMN()),INDEX(MO_Common_QEndDate,0,COLUMN())),"N/A")</f>
        <v>N/A</v>
      </c>
      <c r="BW922" s="354" t="str">
        <f ca="1">IFERROR(_xll.TR(MO.Ticker.Thomson,"AVG(TR.Priceclose)","sdate:#1 edate:#2",,INDEX(MO_SNA_FPStartDate,0,COLUMN()),INDEX(MO_Common_QEndDate,0,COLUMN())),"N/A")</f>
        <v>N/A</v>
      </c>
      <c r="BX922" s="354" t="str">
        <f ca="1">IFERROR(_xll.TR(MO.Ticker.Thomson,"AVG(TR.Priceclose)","sdate:#1 edate:#2",,INDEX(MO_SNA_FPStartDate,0,COLUMN()),INDEX(MO_Common_QEndDate,0,COLUMN())),"N/A")</f>
        <v>N/A</v>
      </c>
      <c r="BY922" s="354" t="str">
        <f ca="1">IFERROR(_xll.TR(MO.Ticker.Thomson,"AVG(TR.Priceclose)","sdate:#1 edate:#2",,INDEX(MO_SNA_FPStartDate,0,COLUMN()),INDEX(MO_Common_QEndDate,0,COLUMN())),"N/A")</f>
        <v>N/A</v>
      </c>
      <c r="BZ922" s="354" t="str">
        <f ca="1">IFERROR(_xll.TR(MO.Ticker.Thomson,"AVG(TR.Priceclose)","sdate:#1 edate:#2",,INDEX(MO_SNA_FPStartDate,0,COLUMN()),INDEX(MO_Common_QEndDate,0,COLUMN())),"N/A")</f>
        <v>N/A</v>
      </c>
      <c r="CA922" s="354" t="str">
        <f ca="1">IFERROR(_xll.TR(MO.Ticker.Thomson,"AVG(TR.Priceclose)","sdate:#1 edate:#2",,INDEX(MO_SNA_FPStartDate,0,COLUMN()),INDEX(MO_Common_QEndDate,0,COLUMN())),"N/A")</f>
        <v>N/A</v>
      </c>
      <c r="CB922" s="354" t="str">
        <f ca="1">IFERROR(_xll.TR(MO.Ticker.Thomson,"AVG(TR.Priceclose)","sdate:#1 edate:#2",,INDEX(MO_SNA_FPStartDate,0,COLUMN()),INDEX(MO_Common_QEndDate,0,COLUMN())),"N/A")</f>
        <v>N/A</v>
      </c>
      <c r="CC922" s="354" t="str">
        <f ca="1">IFERROR(_xll.TR(MO.Ticker.Thomson,"AVG(TR.Priceclose)","sdate:#1 edate:#2",,INDEX(MO_SNA_FPStartDate,0,COLUMN()),INDEX(MO_Common_QEndDate,0,COLUMN())),"N/A")</f>
        <v>N/A</v>
      </c>
      <c r="CD922" s="354" t="str">
        <f ca="1">IFERROR(_xll.TR(MO.Ticker.Thomson,"AVG(TR.Priceclose)","sdate:#1 edate:#2",,INDEX(MO_SNA_FPStartDate,0,COLUMN()),INDEX(MO_Common_QEndDate,0,COLUMN())),"N/A")</f>
        <v>N/A</v>
      </c>
      <c r="CE922" s="354" t="str">
        <f ca="1">IFERROR(_xll.TR(MO.Ticker.Thomson,"AVG(TR.Priceclose)","sdate:#1 edate:#2",,INDEX(MO_SNA_FPStartDate,0,COLUMN()),INDEX(MO_Common_QEndDate,0,COLUMN())),"N/A")</f>
        <v>N/A</v>
      </c>
      <c r="CF922" s="662" t="str">
        <f ca="1">IFERROR(_xll.TR(MO.Ticker.Thomson,"AVG(TR.Priceclose)","sdate:#1 edate:#2",,INDEX(MO_SNA_FPStartDate,0,COLUMN()),INDEX(MO_Common_QEndDate,0,COLUMN())),"N/A")</f>
        <v>N/A</v>
      </c>
      <c r="CG922" s="663"/>
    </row>
    <row r="923" spans="1:85" ht="14.45" hidden="1" customHeight="1" x14ac:dyDescent="0.25">
      <c r="A923" s="357"/>
      <c r="B923" s="63"/>
      <c r="C923" s="126"/>
      <c r="D923" s="126"/>
      <c r="E923" s="126"/>
      <c r="F923" s="126"/>
      <c r="G923" s="126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376"/>
      <c r="BT923" s="63"/>
      <c r="BU923" s="63"/>
      <c r="BV923" s="63"/>
      <c r="BW923" s="63"/>
      <c r="BX923" s="63"/>
      <c r="BY923" s="63"/>
      <c r="BZ923" s="63"/>
      <c r="CA923" s="63"/>
      <c r="CB923" s="63"/>
      <c r="CC923" s="63"/>
      <c r="CD923" s="63"/>
      <c r="CE923" s="63"/>
      <c r="CF923" s="666"/>
      <c r="CG923" s="649"/>
    </row>
    <row r="924" spans="1:85" ht="14.45" customHeight="1" x14ac:dyDescent="0.25">
      <c r="A924" s="358" t="e">
        <f>"FX Average: "&amp;IF(OR(MO.RealTimeStockPriceToggle=FALSE,VLOOKUP(MO.DataSourceName,MO_SPT_FXAverage_Sources,COLUMN()+2,FALSE)="N/A"),"Real-Time Off Source",MO.DataSourceName)</f>
        <v>#NAME?</v>
      </c>
      <c r="B924" s="359"/>
      <c r="C924" s="294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D924" s="294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E924" s="294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F924" s="294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G924" s="294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H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I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J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K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L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M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N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O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P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Q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R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S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T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U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V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W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X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Y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Z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A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B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C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D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E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F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G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H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I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J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K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L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M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N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O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P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Q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R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S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T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U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V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W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X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Y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AZ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A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B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C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D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E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F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G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H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I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J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K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L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M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N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O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P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Q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R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S924" s="667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T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U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V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W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X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Y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BZ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A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B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C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D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E924" s="359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F924" s="668" t="e">
        <f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#NAME?</v>
      </c>
      <c r="CG924" s="669"/>
    </row>
    <row r="925" spans="1:85" ht="14.45" hidden="1" customHeight="1" x14ac:dyDescent="0.25">
      <c r="A925" s="360" t="s">
        <v>801</v>
      </c>
      <c r="B925" s="359"/>
      <c r="C925" s="670">
        <v>1</v>
      </c>
      <c r="D925" s="670">
        <v>1</v>
      </c>
      <c r="E925" s="670">
        <v>1</v>
      </c>
      <c r="F925" s="670">
        <v>1</v>
      </c>
      <c r="G925" s="670">
        <v>1</v>
      </c>
      <c r="H925" s="361">
        <v>1</v>
      </c>
      <c r="I925" s="361">
        <v>1</v>
      </c>
      <c r="J925" s="361">
        <v>1</v>
      </c>
      <c r="K925" s="361">
        <v>1</v>
      </c>
      <c r="L925" s="361">
        <v>1</v>
      </c>
      <c r="M925" s="361">
        <v>1</v>
      </c>
      <c r="N925" s="361">
        <v>1</v>
      </c>
      <c r="O925" s="361">
        <v>1</v>
      </c>
      <c r="P925" s="361">
        <v>1</v>
      </c>
      <c r="Q925" s="361">
        <v>1</v>
      </c>
      <c r="R925" s="361">
        <v>1</v>
      </c>
      <c r="S925" s="361">
        <v>1</v>
      </c>
      <c r="T925" s="361">
        <v>1</v>
      </c>
      <c r="U925" s="361">
        <v>1</v>
      </c>
      <c r="V925" s="361">
        <v>1</v>
      </c>
      <c r="W925" s="361">
        <v>1</v>
      </c>
      <c r="X925" s="361">
        <v>1</v>
      </c>
      <c r="Y925" s="361">
        <v>1</v>
      </c>
      <c r="Z925" s="361">
        <v>1</v>
      </c>
      <c r="AA925" s="361">
        <v>1</v>
      </c>
      <c r="AB925" s="361">
        <v>1</v>
      </c>
      <c r="AC925" s="361">
        <v>1</v>
      </c>
      <c r="AD925" s="361">
        <v>1</v>
      </c>
      <c r="AE925" s="361">
        <v>1</v>
      </c>
      <c r="AF925" s="361">
        <v>1</v>
      </c>
      <c r="AG925" s="361">
        <v>1</v>
      </c>
      <c r="AH925" s="361">
        <v>1</v>
      </c>
      <c r="AI925" s="361">
        <v>1</v>
      </c>
      <c r="AJ925" s="361">
        <v>1</v>
      </c>
      <c r="AK925" s="361">
        <v>1</v>
      </c>
      <c r="AL925" s="361">
        <v>1</v>
      </c>
      <c r="AM925" s="361">
        <v>1</v>
      </c>
      <c r="AN925" s="361">
        <v>1</v>
      </c>
      <c r="AO925" s="361">
        <v>1</v>
      </c>
      <c r="AP925" s="361">
        <v>1</v>
      </c>
      <c r="AQ925" s="361">
        <v>1</v>
      </c>
      <c r="AR925" s="361">
        <v>1</v>
      </c>
      <c r="AS925" s="361">
        <v>1</v>
      </c>
      <c r="AT925" s="361">
        <v>1</v>
      </c>
      <c r="AU925" s="361">
        <v>1</v>
      </c>
      <c r="AV925" s="361">
        <v>1</v>
      </c>
      <c r="AW925" s="361">
        <v>1</v>
      </c>
      <c r="AX925" s="361">
        <v>1</v>
      </c>
      <c r="AY925" s="361">
        <v>1</v>
      </c>
      <c r="AZ925" s="361">
        <v>1</v>
      </c>
      <c r="BA925" s="361">
        <v>1</v>
      </c>
      <c r="BB925" s="361">
        <v>1</v>
      </c>
      <c r="BC925" s="361">
        <v>1</v>
      </c>
      <c r="BD925" s="361">
        <v>1</v>
      </c>
      <c r="BE925" s="361">
        <v>1</v>
      </c>
      <c r="BF925" s="361">
        <v>1</v>
      </c>
      <c r="BG925" s="361">
        <v>1</v>
      </c>
      <c r="BH925" s="361">
        <v>1</v>
      </c>
      <c r="BI925" s="361">
        <v>1</v>
      </c>
      <c r="BJ925" s="361">
        <v>1</v>
      </c>
      <c r="BK925" s="361">
        <v>1</v>
      </c>
      <c r="BL925" s="361">
        <v>1</v>
      </c>
      <c r="BM925" s="361">
        <v>1</v>
      </c>
      <c r="BN925" s="361">
        <v>1</v>
      </c>
      <c r="BO925" s="361">
        <v>1</v>
      </c>
      <c r="BP925" s="361">
        <v>1</v>
      </c>
      <c r="BQ925" s="361">
        <v>1</v>
      </c>
      <c r="BR925" s="361">
        <v>1</v>
      </c>
      <c r="BS925" s="671">
        <v>1</v>
      </c>
      <c r="BT925" s="359" t="e">
        <f t="shared" ref="BT925:CF925" si="806">MO.MRFX.Hardcoded</f>
        <v>#NAME?</v>
      </c>
      <c r="BU925" s="359" t="e">
        <f t="shared" si="806"/>
        <v>#NAME?</v>
      </c>
      <c r="BV925" s="359" t="e">
        <f t="shared" si="806"/>
        <v>#NAME?</v>
      </c>
      <c r="BW925" s="359" t="e">
        <f t="shared" si="806"/>
        <v>#NAME?</v>
      </c>
      <c r="BX925" s="359" t="e">
        <f t="shared" si="806"/>
        <v>#NAME?</v>
      </c>
      <c r="BY925" s="359" t="e">
        <f t="shared" si="806"/>
        <v>#NAME?</v>
      </c>
      <c r="BZ925" s="359" t="e">
        <f t="shared" si="806"/>
        <v>#NAME?</v>
      </c>
      <c r="CA925" s="359" t="e">
        <f t="shared" si="806"/>
        <v>#NAME?</v>
      </c>
      <c r="CB925" s="359" t="e">
        <f t="shared" si="806"/>
        <v>#NAME?</v>
      </c>
      <c r="CC925" s="359" t="e">
        <f t="shared" si="806"/>
        <v>#NAME?</v>
      </c>
      <c r="CD925" s="359" t="e">
        <f t="shared" si="806"/>
        <v>#NAME?</v>
      </c>
      <c r="CE925" s="359" t="e">
        <f t="shared" si="806"/>
        <v>#NAME?</v>
      </c>
      <c r="CF925" s="668" t="e">
        <f t="shared" si="806"/>
        <v>#NAME?</v>
      </c>
      <c r="CG925" s="669"/>
    </row>
    <row r="926" spans="1:85" ht="14.45" hidden="1" customHeight="1" x14ac:dyDescent="0.25">
      <c r="A926" s="360" t="s">
        <v>123</v>
      </c>
      <c r="B926" s="359"/>
      <c r="C926" s="29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D926" s="29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E926" s="29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F926" s="29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G926" s="29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H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I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J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K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L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M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N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O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P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Q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R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S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T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U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V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W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X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Y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Z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A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B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C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D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E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F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G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H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I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J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K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L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M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N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O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P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Q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R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S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T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U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V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W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X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Y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Z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A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B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C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D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E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F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G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H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I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J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K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L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M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N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O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P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Q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R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S926" s="667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T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U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V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W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X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Y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Z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A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B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C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D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E926" s="359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F926" s="668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CG926" s="669"/>
    </row>
    <row r="927" spans="1:85" ht="14.45" hidden="1" customHeight="1" x14ac:dyDescent="0.25">
      <c r="A927" s="360" t="s">
        <v>802</v>
      </c>
      <c r="B927" s="359"/>
      <c r="C927" s="29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D927" s="29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E927" s="29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F927" s="29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G927" s="29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H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I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J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K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L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M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N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O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P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Q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R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S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T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U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V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W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X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Y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Z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A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B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C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D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E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F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G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H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I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J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K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L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M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N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O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P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Q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R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S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T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U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V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W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X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Y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Z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A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B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C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D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E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F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G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H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I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J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K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L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M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N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O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P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Q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R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S927" s="667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T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U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V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W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X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Y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Z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A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B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C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D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E927" s="359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F927" s="668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CG927" s="669"/>
    </row>
    <row r="928" spans="1:85" ht="14.45" hidden="1" customHeight="1" x14ac:dyDescent="0.25">
      <c r="A928" s="360" t="s">
        <v>804</v>
      </c>
      <c r="B928" s="359"/>
      <c r="C928" s="29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D928" s="29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E928" s="29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F928" s="29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G928" s="29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H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I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J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K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L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M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N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O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P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Q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R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S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T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U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V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W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X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Y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Z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A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B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C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D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E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F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G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H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I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J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K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L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M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N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O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P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Q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R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S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T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U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V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W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X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Y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Z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A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B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C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D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E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F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G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H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I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J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K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L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M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N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O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P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Q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R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S928" s="667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T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U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V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W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X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Y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Z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A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B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C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D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E928" s="359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F928" s="668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CG928" s="669"/>
    </row>
    <row r="929" spans="1:85" ht="14.45" hidden="1" customHeight="1" x14ac:dyDescent="0.25">
      <c r="A929" s="360" t="s">
        <v>805</v>
      </c>
      <c r="B929" s="359"/>
      <c r="C929" s="294" t="str">
        <f t="shared" ref="C929:AH929" si="807">"N/A"</f>
        <v>N/A</v>
      </c>
      <c r="D929" s="294" t="str">
        <f t="shared" si="807"/>
        <v>N/A</v>
      </c>
      <c r="E929" s="294" t="str">
        <f t="shared" si="807"/>
        <v>N/A</v>
      </c>
      <c r="F929" s="294" t="str">
        <f t="shared" si="807"/>
        <v>N/A</v>
      </c>
      <c r="G929" s="294" t="str">
        <f t="shared" si="807"/>
        <v>N/A</v>
      </c>
      <c r="H929" s="359" t="str">
        <f t="shared" si="807"/>
        <v>N/A</v>
      </c>
      <c r="I929" s="359" t="str">
        <f t="shared" si="807"/>
        <v>N/A</v>
      </c>
      <c r="J929" s="359" t="str">
        <f t="shared" si="807"/>
        <v>N/A</v>
      </c>
      <c r="K929" s="359" t="str">
        <f t="shared" si="807"/>
        <v>N/A</v>
      </c>
      <c r="L929" s="359" t="str">
        <f t="shared" si="807"/>
        <v>N/A</v>
      </c>
      <c r="M929" s="359" t="str">
        <f t="shared" si="807"/>
        <v>N/A</v>
      </c>
      <c r="N929" s="359" t="str">
        <f t="shared" si="807"/>
        <v>N/A</v>
      </c>
      <c r="O929" s="359" t="str">
        <f t="shared" si="807"/>
        <v>N/A</v>
      </c>
      <c r="P929" s="359" t="str">
        <f t="shared" si="807"/>
        <v>N/A</v>
      </c>
      <c r="Q929" s="359" t="str">
        <f t="shared" si="807"/>
        <v>N/A</v>
      </c>
      <c r="R929" s="359" t="str">
        <f t="shared" si="807"/>
        <v>N/A</v>
      </c>
      <c r="S929" s="359" t="str">
        <f t="shared" si="807"/>
        <v>N/A</v>
      </c>
      <c r="T929" s="359" t="str">
        <f t="shared" si="807"/>
        <v>N/A</v>
      </c>
      <c r="U929" s="359" t="str">
        <f t="shared" si="807"/>
        <v>N/A</v>
      </c>
      <c r="V929" s="359" t="str">
        <f t="shared" si="807"/>
        <v>N/A</v>
      </c>
      <c r="W929" s="359" t="str">
        <f t="shared" si="807"/>
        <v>N/A</v>
      </c>
      <c r="X929" s="359" t="str">
        <f t="shared" si="807"/>
        <v>N/A</v>
      </c>
      <c r="Y929" s="359" t="str">
        <f t="shared" si="807"/>
        <v>N/A</v>
      </c>
      <c r="Z929" s="359" t="str">
        <f t="shared" si="807"/>
        <v>N/A</v>
      </c>
      <c r="AA929" s="359" t="str">
        <f t="shared" si="807"/>
        <v>N/A</v>
      </c>
      <c r="AB929" s="359" t="str">
        <f t="shared" si="807"/>
        <v>N/A</v>
      </c>
      <c r="AC929" s="359" t="str">
        <f t="shared" si="807"/>
        <v>N/A</v>
      </c>
      <c r="AD929" s="359" t="str">
        <f t="shared" si="807"/>
        <v>N/A</v>
      </c>
      <c r="AE929" s="359" t="str">
        <f t="shared" si="807"/>
        <v>N/A</v>
      </c>
      <c r="AF929" s="359" t="str">
        <f t="shared" si="807"/>
        <v>N/A</v>
      </c>
      <c r="AG929" s="359" t="str">
        <f t="shared" si="807"/>
        <v>N/A</v>
      </c>
      <c r="AH929" s="359" t="str">
        <f t="shared" si="807"/>
        <v>N/A</v>
      </c>
      <c r="AI929" s="359" t="str">
        <f t="shared" ref="AI929:BN929" si="808">"N/A"</f>
        <v>N/A</v>
      </c>
      <c r="AJ929" s="359" t="str">
        <f t="shared" si="808"/>
        <v>N/A</v>
      </c>
      <c r="AK929" s="359" t="str">
        <f t="shared" si="808"/>
        <v>N/A</v>
      </c>
      <c r="AL929" s="359" t="str">
        <f t="shared" si="808"/>
        <v>N/A</v>
      </c>
      <c r="AM929" s="359" t="str">
        <f t="shared" si="808"/>
        <v>N/A</v>
      </c>
      <c r="AN929" s="359" t="str">
        <f t="shared" si="808"/>
        <v>N/A</v>
      </c>
      <c r="AO929" s="359" t="str">
        <f t="shared" si="808"/>
        <v>N/A</v>
      </c>
      <c r="AP929" s="359" t="str">
        <f t="shared" si="808"/>
        <v>N/A</v>
      </c>
      <c r="AQ929" s="359" t="str">
        <f t="shared" si="808"/>
        <v>N/A</v>
      </c>
      <c r="AR929" s="359" t="str">
        <f t="shared" si="808"/>
        <v>N/A</v>
      </c>
      <c r="AS929" s="359" t="str">
        <f t="shared" si="808"/>
        <v>N/A</v>
      </c>
      <c r="AT929" s="359" t="str">
        <f t="shared" si="808"/>
        <v>N/A</v>
      </c>
      <c r="AU929" s="359" t="str">
        <f t="shared" si="808"/>
        <v>N/A</v>
      </c>
      <c r="AV929" s="359" t="str">
        <f t="shared" si="808"/>
        <v>N/A</v>
      </c>
      <c r="AW929" s="359" t="str">
        <f t="shared" si="808"/>
        <v>N/A</v>
      </c>
      <c r="AX929" s="359" t="str">
        <f t="shared" si="808"/>
        <v>N/A</v>
      </c>
      <c r="AY929" s="359" t="str">
        <f t="shared" si="808"/>
        <v>N/A</v>
      </c>
      <c r="AZ929" s="359" t="str">
        <f t="shared" si="808"/>
        <v>N/A</v>
      </c>
      <c r="BA929" s="359" t="str">
        <f t="shared" si="808"/>
        <v>N/A</v>
      </c>
      <c r="BB929" s="359" t="str">
        <f t="shared" si="808"/>
        <v>N/A</v>
      </c>
      <c r="BC929" s="359" t="str">
        <f t="shared" si="808"/>
        <v>N/A</v>
      </c>
      <c r="BD929" s="359" t="str">
        <f t="shared" si="808"/>
        <v>N/A</v>
      </c>
      <c r="BE929" s="359" t="str">
        <f t="shared" si="808"/>
        <v>N/A</v>
      </c>
      <c r="BF929" s="359" t="str">
        <f t="shared" si="808"/>
        <v>N/A</v>
      </c>
      <c r="BG929" s="359" t="str">
        <f t="shared" si="808"/>
        <v>N/A</v>
      </c>
      <c r="BH929" s="359" t="str">
        <f t="shared" si="808"/>
        <v>N/A</v>
      </c>
      <c r="BI929" s="359" t="str">
        <f t="shared" si="808"/>
        <v>N/A</v>
      </c>
      <c r="BJ929" s="359" t="str">
        <f t="shared" si="808"/>
        <v>N/A</v>
      </c>
      <c r="BK929" s="359" t="str">
        <f t="shared" si="808"/>
        <v>N/A</v>
      </c>
      <c r="BL929" s="359" t="str">
        <f t="shared" si="808"/>
        <v>N/A</v>
      </c>
      <c r="BM929" s="359" t="str">
        <f t="shared" si="808"/>
        <v>N/A</v>
      </c>
      <c r="BN929" s="359" t="str">
        <f t="shared" si="808"/>
        <v>N/A</v>
      </c>
      <c r="BO929" s="359" t="str">
        <f t="shared" ref="BO929:CF929" si="809">"N/A"</f>
        <v>N/A</v>
      </c>
      <c r="BP929" s="359" t="str">
        <f t="shared" si="809"/>
        <v>N/A</v>
      </c>
      <c r="BQ929" s="359" t="str">
        <f t="shared" si="809"/>
        <v>N/A</v>
      </c>
      <c r="BR929" s="359" t="str">
        <f t="shared" si="809"/>
        <v>N/A</v>
      </c>
      <c r="BS929" s="667" t="str">
        <f t="shared" si="809"/>
        <v>N/A</v>
      </c>
      <c r="BT929" s="359" t="str">
        <f t="shared" si="809"/>
        <v>N/A</v>
      </c>
      <c r="BU929" s="359" t="str">
        <f t="shared" si="809"/>
        <v>N/A</v>
      </c>
      <c r="BV929" s="359" t="str">
        <f t="shared" si="809"/>
        <v>N/A</v>
      </c>
      <c r="BW929" s="359" t="str">
        <f t="shared" si="809"/>
        <v>N/A</v>
      </c>
      <c r="BX929" s="359" t="str">
        <f t="shared" si="809"/>
        <v>N/A</v>
      </c>
      <c r="BY929" s="359" t="str">
        <f t="shared" si="809"/>
        <v>N/A</v>
      </c>
      <c r="BZ929" s="359" t="str">
        <f t="shared" si="809"/>
        <v>N/A</v>
      </c>
      <c r="CA929" s="359" t="str">
        <f t="shared" si="809"/>
        <v>N/A</v>
      </c>
      <c r="CB929" s="359" t="str">
        <f t="shared" si="809"/>
        <v>N/A</v>
      </c>
      <c r="CC929" s="359" t="str">
        <f t="shared" si="809"/>
        <v>N/A</v>
      </c>
      <c r="CD929" s="359" t="str">
        <f t="shared" si="809"/>
        <v>N/A</v>
      </c>
      <c r="CE929" s="359" t="str">
        <f t="shared" si="809"/>
        <v>N/A</v>
      </c>
      <c r="CF929" s="668" t="str">
        <f t="shared" si="809"/>
        <v>N/A</v>
      </c>
      <c r="CG929" s="669"/>
    </row>
    <row r="930" spans="1:85" ht="14.45" hidden="1" customHeight="1" x14ac:dyDescent="0.25">
      <c r="A930" s="357"/>
      <c r="B930" s="63"/>
      <c r="C930" s="126"/>
      <c r="D930" s="126"/>
      <c r="E930" s="126"/>
      <c r="F930" s="126"/>
      <c r="G930" s="126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376"/>
      <c r="BT930" s="63"/>
      <c r="BU930" s="63"/>
      <c r="BV930" s="63"/>
      <c r="BW930" s="63"/>
      <c r="BX930" s="63"/>
      <c r="BY930" s="63"/>
      <c r="BZ930" s="63"/>
      <c r="CA930" s="63"/>
      <c r="CB930" s="63"/>
      <c r="CC930" s="63"/>
      <c r="CD930" s="63"/>
      <c r="CE930" s="63"/>
      <c r="CF930" s="666"/>
      <c r="CG930" s="649"/>
    </row>
    <row r="931" spans="1:85" ht="14.45" customHeight="1" x14ac:dyDescent="0.25">
      <c r="A931" s="357" t="s">
        <v>810</v>
      </c>
      <c r="B931" s="63"/>
      <c r="C931" s="658" t="e">
        <f>WORKDAY(INDEX(MO_Common_QEndDate,0,COLUMN()),-1)</f>
        <v>#NAME?</v>
      </c>
      <c r="D931" s="658" t="e">
        <f>WORKDAY(INDEX(MO_Common_QEndDate,0,COLUMN()),-1)</f>
        <v>#NAME?</v>
      </c>
      <c r="E931" s="658" t="e">
        <f>WORKDAY(INDEX(MO_Common_QEndDate,0,COLUMN()),-1)</f>
        <v>#NAME?</v>
      </c>
      <c r="F931" s="658" t="e">
        <f>WORKDAY(INDEX(MO_Common_QEndDate,0,COLUMN()),-1)</f>
        <v>#NAME?</v>
      </c>
      <c r="G931" s="658" t="e">
        <f>WORKDAY(INDEX(MO_Common_QEndDate,0,COLUMN()),-1)</f>
        <v>#NAME?</v>
      </c>
      <c r="H931" s="352" t="e">
        <f>WORKDAY(INDEX(MO_Common_QEndDate,0,COLUMN()),-1)</f>
        <v>#NAME?</v>
      </c>
      <c r="I931" s="352" t="e">
        <f>WORKDAY(INDEX(MO_Common_QEndDate,0,COLUMN()),-1)</f>
        <v>#NAME?</v>
      </c>
      <c r="J931" s="352" t="e">
        <f>WORKDAY(INDEX(MO_Common_QEndDate,0,COLUMN()),-1)</f>
        <v>#NAME?</v>
      </c>
      <c r="K931" s="352" t="e">
        <f>WORKDAY(INDEX(MO_Common_QEndDate,0,COLUMN()),-1)</f>
        <v>#NAME?</v>
      </c>
      <c r="L931" s="352" t="e">
        <f>WORKDAY(INDEX(MO_Common_QEndDate,0,COLUMN()),-1)</f>
        <v>#NAME?</v>
      </c>
      <c r="M931" s="352" t="e">
        <f>WORKDAY(INDEX(MO_Common_QEndDate,0,COLUMN()),-1)</f>
        <v>#NAME?</v>
      </c>
      <c r="N931" s="352" t="e">
        <f>WORKDAY(INDEX(MO_Common_QEndDate,0,COLUMN()),-1)</f>
        <v>#NAME?</v>
      </c>
      <c r="O931" s="352" t="e">
        <f>WORKDAY(INDEX(MO_Common_QEndDate,0,COLUMN()),-1)</f>
        <v>#NAME?</v>
      </c>
      <c r="P931" s="352" t="e">
        <f>WORKDAY(INDEX(MO_Common_QEndDate,0,COLUMN()),-1)</f>
        <v>#NAME?</v>
      </c>
      <c r="Q931" s="352" t="e">
        <f>WORKDAY(INDEX(MO_Common_QEndDate,0,COLUMN()),-1)</f>
        <v>#NAME?</v>
      </c>
      <c r="R931" s="352" t="e">
        <f>WORKDAY(INDEX(MO_Common_QEndDate,0,COLUMN()),-1)</f>
        <v>#NAME?</v>
      </c>
      <c r="S931" s="352" t="e">
        <f>WORKDAY(INDEX(MO_Common_QEndDate,0,COLUMN()),-1)</f>
        <v>#NAME?</v>
      </c>
      <c r="T931" s="352" t="e">
        <f>WORKDAY(INDEX(MO_Common_QEndDate,0,COLUMN()),-1)</f>
        <v>#NAME?</v>
      </c>
      <c r="U931" s="352" t="e">
        <f>WORKDAY(INDEX(MO_Common_QEndDate,0,COLUMN()),-1)</f>
        <v>#NAME?</v>
      </c>
      <c r="V931" s="352" t="e">
        <f>WORKDAY(INDEX(MO_Common_QEndDate,0,COLUMN()),-1)</f>
        <v>#NAME?</v>
      </c>
      <c r="W931" s="352" t="e">
        <f>WORKDAY(INDEX(MO_Common_QEndDate,0,COLUMN()),-1)</f>
        <v>#NAME?</v>
      </c>
      <c r="X931" s="352" t="e">
        <f>WORKDAY(INDEX(MO_Common_QEndDate,0,COLUMN()),-1)</f>
        <v>#NAME?</v>
      </c>
      <c r="Y931" s="352" t="e">
        <f>WORKDAY(INDEX(MO_Common_QEndDate,0,COLUMN()),-1)</f>
        <v>#NAME?</v>
      </c>
      <c r="Z931" s="352" t="e">
        <f>WORKDAY(INDEX(MO_Common_QEndDate,0,COLUMN()),-1)</f>
        <v>#NAME?</v>
      </c>
      <c r="AA931" s="352" t="e">
        <f>WORKDAY(INDEX(MO_Common_QEndDate,0,COLUMN()),-1)</f>
        <v>#NAME?</v>
      </c>
      <c r="AB931" s="352" t="e">
        <f>WORKDAY(INDEX(MO_Common_QEndDate,0,COLUMN()),-1)</f>
        <v>#NAME?</v>
      </c>
      <c r="AC931" s="352" t="e">
        <f>WORKDAY(INDEX(MO_Common_QEndDate,0,COLUMN()),-1)</f>
        <v>#NAME?</v>
      </c>
      <c r="AD931" s="352" t="e">
        <f>WORKDAY(INDEX(MO_Common_QEndDate,0,COLUMN()),-1)</f>
        <v>#NAME?</v>
      </c>
      <c r="AE931" s="352" t="e">
        <f>WORKDAY(INDEX(MO_Common_QEndDate,0,COLUMN()),-1)</f>
        <v>#NAME?</v>
      </c>
      <c r="AF931" s="352" t="e">
        <f>WORKDAY(INDEX(MO_Common_QEndDate,0,COLUMN()),-1)</f>
        <v>#NAME?</v>
      </c>
      <c r="AG931" s="352" t="e">
        <f>WORKDAY(INDEX(MO_Common_QEndDate,0,COLUMN()),-1)</f>
        <v>#NAME?</v>
      </c>
      <c r="AH931" s="352" t="e">
        <f>WORKDAY(INDEX(MO_Common_QEndDate,0,COLUMN()),-1)</f>
        <v>#NAME?</v>
      </c>
      <c r="AI931" s="352" t="e">
        <f>WORKDAY(INDEX(MO_Common_QEndDate,0,COLUMN()),-1)</f>
        <v>#NAME?</v>
      </c>
      <c r="AJ931" s="352" t="e">
        <f>WORKDAY(INDEX(MO_Common_QEndDate,0,COLUMN()),-1)</f>
        <v>#NAME?</v>
      </c>
      <c r="AK931" s="352" t="e">
        <f>WORKDAY(INDEX(MO_Common_QEndDate,0,COLUMN()),-1)</f>
        <v>#NAME?</v>
      </c>
      <c r="AL931" s="352" t="e">
        <f>WORKDAY(INDEX(MO_Common_QEndDate,0,COLUMN()),-1)</f>
        <v>#NAME?</v>
      </c>
      <c r="AM931" s="352" t="e">
        <f>WORKDAY(INDEX(MO_Common_QEndDate,0,COLUMN()),-1)</f>
        <v>#NAME?</v>
      </c>
      <c r="AN931" s="352" t="e">
        <f>WORKDAY(INDEX(MO_Common_QEndDate,0,COLUMN()),-1)</f>
        <v>#NAME?</v>
      </c>
      <c r="AO931" s="352" t="e">
        <f>WORKDAY(INDEX(MO_Common_QEndDate,0,COLUMN()),-1)</f>
        <v>#NAME?</v>
      </c>
      <c r="AP931" s="352" t="e">
        <f>WORKDAY(INDEX(MO_Common_QEndDate,0,COLUMN()),-1)</f>
        <v>#NAME?</v>
      </c>
      <c r="AQ931" s="352" t="e">
        <f>WORKDAY(INDEX(MO_Common_QEndDate,0,COLUMN()),-1)</f>
        <v>#NAME?</v>
      </c>
      <c r="AR931" s="352" t="e">
        <f>WORKDAY(INDEX(MO_Common_QEndDate,0,COLUMN()),-1)</f>
        <v>#NAME?</v>
      </c>
      <c r="AS931" s="352" t="e">
        <f>WORKDAY(INDEX(MO_Common_QEndDate,0,COLUMN()),-1)</f>
        <v>#NAME?</v>
      </c>
      <c r="AT931" s="352" t="e">
        <f>WORKDAY(INDEX(MO_Common_QEndDate,0,COLUMN()),-1)</f>
        <v>#NAME?</v>
      </c>
      <c r="AU931" s="352" t="e">
        <f>WORKDAY(INDEX(MO_Common_QEndDate,0,COLUMN()),-1)</f>
        <v>#NAME?</v>
      </c>
      <c r="AV931" s="352" t="e">
        <f>WORKDAY(INDEX(MO_Common_QEndDate,0,COLUMN()),-1)</f>
        <v>#NAME?</v>
      </c>
      <c r="AW931" s="352" t="e">
        <f>WORKDAY(INDEX(MO_Common_QEndDate,0,COLUMN()),-1)</f>
        <v>#NAME?</v>
      </c>
      <c r="AX931" s="352" t="e">
        <f>WORKDAY(INDEX(MO_Common_QEndDate,0,COLUMN()),-1)</f>
        <v>#NAME?</v>
      </c>
      <c r="AY931" s="352" t="e">
        <f>WORKDAY(INDEX(MO_Common_QEndDate,0,COLUMN()),-1)</f>
        <v>#NAME?</v>
      </c>
      <c r="AZ931" s="352" t="e">
        <f>WORKDAY(INDEX(MO_Common_QEndDate,0,COLUMN()),-1)</f>
        <v>#NAME?</v>
      </c>
      <c r="BA931" s="352" t="e">
        <f>WORKDAY(INDEX(MO_Common_QEndDate,0,COLUMN()),-1)</f>
        <v>#NAME?</v>
      </c>
      <c r="BB931" s="352" t="e">
        <f>WORKDAY(INDEX(MO_Common_QEndDate,0,COLUMN()),-1)</f>
        <v>#NAME?</v>
      </c>
      <c r="BC931" s="352" t="e">
        <f>WORKDAY(INDEX(MO_Common_QEndDate,0,COLUMN()),-1)</f>
        <v>#NAME?</v>
      </c>
      <c r="BD931" s="352" t="e">
        <f>WORKDAY(INDEX(MO_Common_QEndDate,0,COLUMN()),-1)</f>
        <v>#NAME?</v>
      </c>
      <c r="BE931" s="352" t="e">
        <f>WORKDAY(INDEX(MO_Common_QEndDate,0,COLUMN()),-1)</f>
        <v>#NAME?</v>
      </c>
      <c r="BF931" s="352" t="e">
        <f>WORKDAY(INDEX(MO_Common_QEndDate,0,COLUMN()),-1)</f>
        <v>#NAME?</v>
      </c>
      <c r="BG931" s="352" t="e">
        <f>WORKDAY(INDEX(MO_Common_QEndDate,0,COLUMN()),-1)</f>
        <v>#NAME?</v>
      </c>
      <c r="BH931" s="352" t="e">
        <f>WORKDAY(INDEX(MO_Common_QEndDate,0,COLUMN()),-1)</f>
        <v>#NAME?</v>
      </c>
      <c r="BI931" s="352" t="e">
        <f>WORKDAY(INDEX(MO_Common_QEndDate,0,COLUMN()),-1)</f>
        <v>#NAME?</v>
      </c>
      <c r="BJ931" s="352" t="e">
        <f>WORKDAY(INDEX(MO_Common_QEndDate,0,COLUMN()),-1)</f>
        <v>#NAME?</v>
      </c>
      <c r="BK931" s="352" t="e">
        <f>WORKDAY(INDEX(MO_Common_QEndDate,0,COLUMN()),-1)</f>
        <v>#NAME?</v>
      </c>
      <c r="BL931" s="352" t="e">
        <f>WORKDAY(INDEX(MO_Common_QEndDate,0,COLUMN()),-1)</f>
        <v>#NAME?</v>
      </c>
      <c r="BM931" s="352" t="e">
        <f>WORKDAY(INDEX(MO_Common_QEndDate,0,COLUMN()),-1)</f>
        <v>#NAME?</v>
      </c>
      <c r="BN931" s="352" t="e">
        <f>WORKDAY(INDEX(MO_Common_QEndDate,0,COLUMN()),-1)</f>
        <v>#NAME?</v>
      </c>
      <c r="BO931" s="352" t="e">
        <f>WORKDAY(INDEX(MO_Common_QEndDate,0,COLUMN()),-1)</f>
        <v>#NAME?</v>
      </c>
      <c r="BP931" s="352" t="e">
        <f>WORKDAY(INDEX(MO_Common_QEndDate,0,COLUMN()),-1)</f>
        <v>#NAME?</v>
      </c>
      <c r="BQ931" s="352" t="e">
        <f>WORKDAY(INDEX(MO_Common_QEndDate,0,COLUMN()),-1)</f>
        <v>#NAME?</v>
      </c>
      <c r="BR931" s="352" t="e">
        <f>WORKDAY(INDEX(MO_Common_QEndDate,0,COLUMN()),-1)</f>
        <v>#NAME?</v>
      </c>
      <c r="BS931" s="659" t="e">
        <f>WORKDAY(INDEX(MO_Common_QEndDate,0,COLUMN()),-1)</f>
        <v>#NAME?</v>
      </c>
      <c r="BT931" s="352" t="e">
        <f>WORKDAY(INDEX(MO_Common_QEndDate,0,COLUMN()),-1)</f>
        <v>#NAME?</v>
      </c>
      <c r="BU931" s="352" t="e">
        <f>WORKDAY(INDEX(MO_Common_QEndDate,0,COLUMN()),-1)</f>
        <v>#NAME?</v>
      </c>
      <c r="BV931" s="352" t="e">
        <f>WORKDAY(INDEX(MO_Common_QEndDate,0,COLUMN()),-1)</f>
        <v>#NAME?</v>
      </c>
      <c r="BW931" s="352" t="e">
        <f>WORKDAY(INDEX(MO_Common_QEndDate,0,COLUMN()),-1)</f>
        <v>#NAME?</v>
      </c>
      <c r="BX931" s="352" t="e">
        <f>WORKDAY(INDEX(MO_Common_QEndDate,0,COLUMN()),-1)</f>
        <v>#NAME?</v>
      </c>
      <c r="BY931" s="352" t="e">
        <f>WORKDAY(INDEX(MO_Common_QEndDate,0,COLUMN()),-1)</f>
        <v>#NAME?</v>
      </c>
      <c r="BZ931" s="352" t="e">
        <f>WORKDAY(INDEX(MO_Common_QEndDate,0,COLUMN()),-1)</f>
        <v>#NAME?</v>
      </c>
      <c r="CA931" s="352" t="e">
        <f>WORKDAY(INDEX(MO_Common_QEndDate,0,COLUMN()),-1)</f>
        <v>#NAME?</v>
      </c>
      <c r="CB931" s="352" t="e">
        <f>WORKDAY(INDEX(MO_Common_QEndDate,0,COLUMN()),-1)</f>
        <v>#NAME?</v>
      </c>
      <c r="CC931" s="352" t="e">
        <f>WORKDAY(INDEX(MO_Common_QEndDate,0,COLUMN()),-1)</f>
        <v>#NAME?</v>
      </c>
      <c r="CD931" s="352" t="e">
        <f>WORKDAY(INDEX(MO_Common_QEndDate,0,COLUMN()),-1)</f>
        <v>#NAME?</v>
      </c>
      <c r="CE931" s="352" t="e">
        <f>WORKDAY(INDEX(MO_Common_QEndDate,0,COLUMN()),-1)</f>
        <v>#NAME?</v>
      </c>
      <c r="CF931" s="660" t="e">
        <f>WORKDAY(INDEX(MO_Common_QEndDate,0,COLUMN()),-1)</f>
        <v>#NAME?</v>
      </c>
      <c r="CG931" s="649"/>
    </row>
    <row r="932" spans="1:85" ht="14.45" customHeight="1" x14ac:dyDescent="0.25">
      <c r="A932" s="357" t="s">
        <v>811</v>
      </c>
      <c r="B932" s="63"/>
      <c r="C932" s="672">
        <v>5.2714100000000004</v>
      </c>
      <c r="D932" s="672">
        <v>5.4236389999999997</v>
      </c>
      <c r="E932" s="672">
        <v>5.7134590000000003</v>
      </c>
      <c r="F932" s="672">
        <v>6.3994650000000002</v>
      </c>
      <c r="G932" s="672">
        <v>5.8861800000000004</v>
      </c>
      <c r="H932" s="362">
        <v>5.967174</v>
      </c>
      <c r="I932" s="362">
        <v>6.1828310000000002</v>
      </c>
      <c r="J932" s="362">
        <v>7.1215760000000001</v>
      </c>
      <c r="K932" s="362">
        <v>7.1215760000000001</v>
      </c>
      <c r="L932" s="362">
        <v>8.3189139999999995</v>
      </c>
      <c r="M932" s="362">
        <v>7.2757560000000003</v>
      </c>
      <c r="N932" s="362">
        <v>7.3909039999999999</v>
      </c>
      <c r="O932" s="362">
        <v>8.640936</v>
      </c>
      <c r="P932" s="362">
        <v>8.640936</v>
      </c>
      <c r="Q932" s="362">
        <v>10.887287000000001</v>
      </c>
      <c r="R932" s="362">
        <v>14.537851</v>
      </c>
      <c r="S932" s="362">
        <v>18.455791000000001</v>
      </c>
      <c r="T932" s="362">
        <v>17.809794</v>
      </c>
      <c r="U932" s="362">
        <v>17.809794</v>
      </c>
      <c r="V932" s="362">
        <v>15.875707999999999</v>
      </c>
      <c r="W932" s="362">
        <v>14.131907</v>
      </c>
      <c r="X932" s="362">
        <v>14.457833000000001</v>
      </c>
      <c r="Y932" s="362">
        <v>17.452642000000001</v>
      </c>
      <c r="Z932" s="362">
        <v>17.452642000000001</v>
      </c>
      <c r="AA932" s="362">
        <v>20.103960000000001</v>
      </c>
      <c r="AB932" s="362">
        <v>22.333722000000002</v>
      </c>
      <c r="AC932" s="362">
        <v>21.053439000000001</v>
      </c>
      <c r="AD932" s="362">
        <v>21.005623</v>
      </c>
      <c r="AE932" s="362">
        <v>21.005623</v>
      </c>
      <c r="AF932" s="362">
        <v>16.849582000000002</v>
      </c>
      <c r="AG932" s="362">
        <v>13.186332</v>
      </c>
      <c r="AH932" s="362">
        <v>17.78735</v>
      </c>
      <c r="AI932" s="362">
        <v>17.520949999999999</v>
      </c>
      <c r="AJ932" s="362">
        <v>17.520949999999999</v>
      </c>
      <c r="AK932" s="362">
        <v>28.08719</v>
      </c>
      <c r="AL932" s="362">
        <v>29.201582999999999</v>
      </c>
      <c r="AM932" s="362">
        <v>29.387965000000001</v>
      </c>
      <c r="AN932" s="362">
        <v>28.65512</v>
      </c>
      <c r="AO932" s="362">
        <v>28.65512</v>
      </c>
      <c r="AP932" s="362">
        <v>19.625806000000001</v>
      </c>
      <c r="AQ932" s="362">
        <v>21.592093999999999</v>
      </c>
      <c r="AR932" s="362">
        <v>23.435428999999999</v>
      </c>
      <c r="AS932" s="362">
        <v>26.005754</v>
      </c>
      <c r="AT932" s="362">
        <v>26.005754</v>
      </c>
      <c r="AU932" s="362">
        <v>28.217949999999998</v>
      </c>
      <c r="AV932" s="362">
        <v>38.755892000000003</v>
      </c>
      <c r="AW932" s="362">
        <v>38.465096000000003</v>
      </c>
      <c r="AX932" s="362">
        <v>60.198684999999998</v>
      </c>
      <c r="AY932" s="362">
        <v>60.198684999999998</v>
      </c>
      <c r="AZ932" s="362">
        <v>48.483898000000003</v>
      </c>
      <c r="BA932" s="362">
        <v>56.115830000000003</v>
      </c>
      <c r="BB932" s="362">
        <v>40.881239999999998</v>
      </c>
      <c r="BC932" s="362">
        <v>49.997402999999998</v>
      </c>
      <c r="BD932" s="362">
        <v>49.997402999999998</v>
      </c>
      <c r="BE932" s="362">
        <v>52.341859999999997</v>
      </c>
      <c r="BF932" s="362">
        <v>62.766447999999997</v>
      </c>
      <c r="BG932" s="362">
        <v>63.165014999999997</v>
      </c>
      <c r="BH932" s="362">
        <v>91.140294999999995</v>
      </c>
      <c r="BI932" s="362">
        <v>91.140294999999995</v>
      </c>
      <c r="BJ932" s="362">
        <v>84.641000000000005</v>
      </c>
      <c r="BK932" s="362">
        <v>107.08799999999999</v>
      </c>
      <c r="BL932" s="362">
        <v>128.64099999999999</v>
      </c>
      <c r="BM932" s="362">
        <v>124</v>
      </c>
      <c r="BN932" s="362">
        <v>124</v>
      </c>
      <c r="BO932" s="362">
        <v>131.5</v>
      </c>
      <c r="BP932" s="362">
        <v>110.88</v>
      </c>
      <c r="BQ932" s="362">
        <v>113.93</v>
      </c>
      <c r="BR932" s="362">
        <v>154.66</v>
      </c>
      <c r="BS932" s="673">
        <v>154.66</v>
      </c>
      <c r="BT932" s="674"/>
      <c r="BU932" s="674"/>
      <c r="BV932" s="674"/>
      <c r="BW932" s="674"/>
      <c r="BX932" s="674"/>
      <c r="BY932" s="674"/>
      <c r="BZ932" s="674"/>
      <c r="CA932" s="674"/>
      <c r="CB932" s="674"/>
      <c r="CC932" s="674"/>
      <c r="CD932" s="674"/>
      <c r="CE932" s="674"/>
      <c r="CF932" s="675"/>
      <c r="CG932" s="649"/>
    </row>
    <row r="933" spans="1:85" ht="14.45" customHeight="1" x14ac:dyDescent="0.25">
      <c r="A933" s="357" t="s">
        <v>812</v>
      </c>
      <c r="B933" s="63"/>
      <c r="C933" s="670">
        <v>1</v>
      </c>
      <c r="D933" s="670">
        <v>1</v>
      </c>
      <c r="E933" s="670">
        <v>1</v>
      </c>
      <c r="F933" s="670">
        <v>1</v>
      </c>
      <c r="G933" s="670">
        <v>1</v>
      </c>
      <c r="H933" s="361">
        <v>1</v>
      </c>
      <c r="I933" s="361">
        <v>1</v>
      </c>
      <c r="J933" s="361">
        <v>1</v>
      </c>
      <c r="K933" s="361">
        <v>1</v>
      </c>
      <c r="L933" s="361">
        <v>1</v>
      </c>
      <c r="M933" s="361">
        <v>1</v>
      </c>
      <c r="N933" s="361">
        <v>1</v>
      </c>
      <c r="O933" s="361">
        <v>1</v>
      </c>
      <c r="P933" s="361">
        <v>1</v>
      </c>
      <c r="Q933" s="361">
        <v>1</v>
      </c>
      <c r="R933" s="361">
        <v>1</v>
      </c>
      <c r="S933" s="361">
        <v>1</v>
      </c>
      <c r="T933" s="361">
        <v>1</v>
      </c>
      <c r="U933" s="361">
        <v>1</v>
      </c>
      <c r="V933" s="361">
        <v>1</v>
      </c>
      <c r="W933" s="361">
        <v>1</v>
      </c>
      <c r="X933" s="361">
        <v>1</v>
      </c>
      <c r="Y933" s="361">
        <v>1</v>
      </c>
      <c r="Z933" s="361">
        <v>1</v>
      </c>
      <c r="AA933" s="361">
        <v>1</v>
      </c>
      <c r="AB933" s="361">
        <v>1</v>
      </c>
      <c r="AC933" s="361">
        <v>1</v>
      </c>
      <c r="AD933" s="361">
        <v>1</v>
      </c>
      <c r="AE933" s="361">
        <v>1</v>
      </c>
      <c r="AF933" s="361">
        <v>1</v>
      </c>
      <c r="AG933" s="361">
        <v>1</v>
      </c>
      <c r="AH933" s="361">
        <v>1</v>
      </c>
      <c r="AI933" s="361">
        <v>1</v>
      </c>
      <c r="AJ933" s="361">
        <v>1</v>
      </c>
      <c r="AK933" s="361">
        <v>1</v>
      </c>
      <c r="AL933" s="361">
        <v>1</v>
      </c>
      <c r="AM933" s="361">
        <v>1</v>
      </c>
      <c r="AN933" s="361">
        <v>1</v>
      </c>
      <c r="AO933" s="361">
        <v>1</v>
      </c>
      <c r="AP933" s="361">
        <v>1</v>
      </c>
      <c r="AQ933" s="361">
        <v>1</v>
      </c>
      <c r="AR933" s="361">
        <v>1</v>
      </c>
      <c r="AS933" s="361">
        <v>1</v>
      </c>
      <c r="AT933" s="361">
        <v>1</v>
      </c>
      <c r="AU933" s="361">
        <v>1</v>
      </c>
      <c r="AV933" s="361">
        <v>1</v>
      </c>
      <c r="AW933" s="361">
        <v>1</v>
      </c>
      <c r="AX933" s="361">
        <v>1</v>
      </c>
      <c r="AY933" s="361">
        <v>1</v>
      </c>
      <c r="AZ933" s="361">
        <v>1</v>
      </c>
      <c r="BA933" s="361">
        <v>1</v>
      </c>
      <c r="BB933" s="361">
        <v>1</v>
      </c>
      <c r="BC933" s="361">
        <v>1</v>
      </c>
      <c r="BD933" s="361">
        <v>1</v>
      </c>
      <c r="BE933" s="361">
        <v>1</v>
      </c>
      <c r="BF933" s="361">
        <v>1</v>
      </c>
      <c r="BG933" s="361">
        <v>1</v>
      </c>
      <c r="BH933" s="361">
        <v>1</v>
      </c>
      <c r="BI933" s="361">
        <v>1</v>
      </c>
      <c r="BJ933" s="361">
        <v>1</v>
      </c>
      <c r="BK933" s="361">
        <v>1</v>
      </c>
      <c r="BL933" s="361">
        <v>1</v>
      </c>
      <c r="BM933" s="361">
        <v>1</v>
      </c>
      <c r="BN933" s="361">
        <v>1</v>
      </c>
      <c r="BO933" s="361">
        <v>1</v>
      </c>
      <c r="BP933" s="361">
        <v>1</v>
      </c>
      <c r="BQ933" s="361">
        <v>1</v>
      </c>
      <c r="BR933" s="361">
        <v>1</v>
      </c>
      <c r="BS933" s="671">
        <v>1</v>
      </c>
      <c r="BT933" s="359"/>
      <c r="BU933" s="359"/>
      <c r="BV933" s="359"/>
      <c r="BW933" s="359"/>
      <c r="BX933" s="359"/>
      <c r="BY933" s="359"/>
      <c r="BZ933" s="359"/>
      <c r="CA933" s="359"/>
      <c r="CB933" s="359"/>
      <c r="CC933" s="359"/>
      <c r="CD933" s="359"/>
      <c r="CE933" s="359"/>
      <c r="CF933" s="668"/>
      <c r="CG933" s="649"/>
    </row>
    <row r="934" spans="1:85" ht="14.45" customHeight="1" x14ac:dyDescent="0.25">
      <c r="A934" s="363"/>
      <c r="B934" s="158"/>
      <c r="C934" s="676"/>
      <c r="D934" s="676"/>
      <c r="E934" s="676"/>
      <c r="F934" s="676"/>
      <c r="G934" s="676"/>
      <c r="H934" s="364"/>
      <c r="I934" s="364"/>
      <c r="J934" s="364"/>
      <c r="K934" s="364"/>
      <c r="L934" s="364"/>
      <c r="M934" s="364"/>
      <c r="N934" s="364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  <c r="AA934" s="364"/>
      <c r="AB934" s="364"/>
      <c r="AC934" s="364"/>
      <c r="AD934" s="364"/>
      <c r="AE934" s="364"/>
      <c r="AF934" s="364"/>
      <c r="AG934" s="364"/>
      <c r="AH934" s="364"/>
      <c r="AI934" s="364"/>
      <c r="AJ934" s="364"/>
      <c r="AK934" s="364"/>
      <c r="AL934" s="364"/>
      <c r="AM934" s="364"/>
      <c r="AN934" s="364"/>
      <c r="AO934" s="364"/>
      <c r="AP934" s="364"/>
      <c r="AQ934" s="364"/>
      <c r="AR934" s="364"/>
      <c r="AS934" s="364"/>
      <c r="AT934" s="364"/>
      <c r="AU934" s="364"/>
      <c r="AV934" s="364"/>
      <c r="AW934" s="364"/>
      <c r="AX934" s="364"/>
      <c r="AY934" s="364"/>
      <c r="AZ934" s="364"/>
      <c r="BA934" s="364"/>
      <c r="BB934" s="364"/>
      <c r="BC934" s="364"/>
      <c r="BD934" s="364"/>
      <c r="BE934" s="364"/>
      <c r="BF934" s="364"/>
      <c r="BG934" s="364"/>
      <c r="BH934" s="364"/>
      <c r="BI934" s="364"/>
      <c r="BJ934" s="364"/>
      <c r="BK934" s="364"/>
      <c r="BL934" s="364"/>
      <c r="BM934" s="364"/>
      <c r="BN934" s="364"/>
      <c r="BO934" s="364"/>
      <c r="BP934" s="364"/>
      <c r="BQ934" s="364"/>
      <c r="BR934" s="364"/>
      <c r="BS934" s="677"/>
      <c r="BT934" s="364"/>
      <c r="BU934" s="364"/>
      <c r="BV934" s="364"/>
      <c r="BW934" s="364"/>
      <c r="BX934" s="364"/>
      <c r="BY934" s="364"/>
      <c r="BZ934" s="364"/>
      <c r="CA934" s="364"/>
      <c r="CB934" s="364"/>
      <c r="CC934" s="364"/>
      <c r="CD934" s="364"/>
      <c r="CE934" s="364"/>
      <c r="CF934" s="678"/>
      <c r="CG934" s="649"/>
    </row>
    <row r="935" spans="1:85" ht="14.45" customHeight="1" x14ac:dyDescent="0.25">
      <c r="A935" s="323"/>
      <c r="B935" s="349"/>
      <c r="C935" s="655"/>
      <c r="D935" s="655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4"/>
      <c r="AD935" s="254"/>
      <c r="AE935" s="254"/>
      <c r="AF935" s="254"/>
      <c r="AG935" s="254"/>
      <c r="AH935" s="254"/>
      <c r="AI935" s="254"/>
      <c r="AJ935" s="254"/>
      <c r="AK935" s="254"/>
      <c r="AL935" s="254"/>
      <c r="AM935" s="254"/>
      <c r="AN935" s="254"/>
      <c r="AO935" s="254"/>
      <c r="AP935" s="254"/>
      <c r="AQ935" s="254"/>
      <c r="AR935" s="254"/>
      <c r="AS935" s="254"/>
      <c r="AT935" s="254"/>
      <c r="AU935" s="254"/>
      <c r="AV935" s="254"/>
      <c r="AW935" s="254"/>
      <c r="AX935" s="254"/>
      <c r="AY935" s="254"/>
      <c r="AZ935" s="254"/>
      <c r="BA935" s="254"/>
      <c r="BB935" s="254"/>
      <c r="BC935" s="254"/>
      <c r="BD935" s="254"/>
      <c r="BE935" s="254"/>
      <c r="BF935" s="254"/>
      <c r="BG935" s="254"/>
      <c r="BH935" s="254"/>
      <c r="BI935" s="254"/>
      <c r="BJ935" s="254"/>
      <c r="BK935" s="254"/>
      <c r="BL935" s="254"/>
      <c r="BM935" s="254"/>
      <c r="BN935" s="254"/>
      <c r="BO935" s="254"/>
      <c r="BP935" s="254"/>
      <c r="BQ935" s="254"/>
      <c r="BR935" s="254"/>
      <c r="BS935" s="656"/>
      <c r="BT935" s="254"/>
      <c r="BU935" s="254"/>
      <c r="BV935" s="254"/>
      <c r="BW935" s="254"/>
      <c r="BX935" s="254"/>
      <c r="BY935" s="254"/>
      <c r="BZ935" s="254"/>
      <c r="CA935" s="254"/>
      <c r="CB935" s="254"/>
      <c r="CC935" s="254"/>
      <c r="CD935" s="254"/>
      <c r="CE935" s="254"/>
      <c r="CF935" s="254"/>
      <c r="CG935" s="99"/>
    </row>
    <row r="936" spans="1:85" ht="14.45" customHeight="1" x14ac:dyDescent="0.25">
      <c r="A936" s="365" t="s">
        <v>813</v>
      </c>
      <c r="B936" s="25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376"/>
      <c r="BT936" s="63"/>
      <c r="BU936" s="63"/>
      <c r="BV936" s="63"/>
      <c r="BW936" s="63"/>
      <c r="BX936" s="63"/>
      <c r="BY936" s="63"/>
      <c r="BZ936" s="63"/>
      <c r="CA936" s="63"/>
      <c r="CB936" s="63"/>
      <c r="CC936" s="63"/>
      <c r="CD936" s="63"/>
      <c r="CE936" s="63"/>
      <c r="CF936" s="63"/>
      <c r="CG936" s="99"/>
    </row>
    <row r="937" spans="1:85" ht="14.45" customHeight="1" x14ac:dyDescent="0.25">
      <c r="A937" s="289" t="s">
        <v>814</v>
      </c>
      <c r="B937" s="354" t="e">
        <f>FP.LastPrice</f>
        <v>#NAME?</v>
      </c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  <c r="AB937" s="354"/>
      <c r="AC937" s="354"/>
      <c r="AD937" s="354"/>
      <c r="AE937" s="354"/>
      <c r="AF937" s="354"/>
      <c r="AG937" s="354"/>
      <c r="AH937" s="354"/>
      <c r="AI937" s="354"/>
      <c r="AJ937" s="354"/>
      <c r="AK937" s="354"/>
      <c r="AL937" s="354"/>
      <c r="AM937" s="354"/>
      <c r="AN937" s="354"/>
      <c r="AO937" s="354"/>
      <c r="AP937" s="354"/>
      <c r="AQ937" s="354"/>
      <c r="AR937" s="354"/>
      <c r="AS937" s="354"/>
      <c r="AT937" s="354"/>
      <c r="AU937" s="354"/>
      <c r="AV937" s="354"/>
      <c r="AW937" s="354"/>
      <c r="AX937" s="354"/>
      <c r="AY937" s="354"/>
      <c r="AZ937" s="354"/>
      <c r="BA937" s="354"/>
      <c r="BB937" s="354"/>
      <c r="BC937" s="354"/>
      <c r="BD937" s="354"/>
      <c r="BE937" s="354"/>
      <c r="BF937" s="354"/>
      <c r="BG937" s="354"/>
      <c r="BH937" s="354"/>
      <c r="BI937" s="354"/>
      <c r="BJ937" s="354"/>
      <c r="BK937" s="354"/>
      <c r="BL937" s="354"/>
      <c r="BM937" s="354"/>
      <c r="BN937" s="354"/>
      <c r="BO937" s="354"/>
      <c r="BP937" s="354"/>
      <c r="BQ937" s="354"/>
      <c r="BR937" s="354"/>
      <c r="BS937" s="661"/>
      <c r="BT937" s="354"/>
      <c r="BU937" s="354"/>
      <c r="BV937" s="354"/>
      <c r="BW937" s="354"/>
      <c r="BX937" s="354"/>
      <c r="BY937" s="354"/>
      <c r="BZ937" s="354"/>
      <c r="CA937" s="354"/>
      <c r="CB937" s="354"/>
      <c r="CC937" s="354"/>
      <c r="CD937" s="354"/>
      <c r="CE937" s="354"/>
      <c r="CF937" s="354"/>
      <c r="CG937" s="368"/>
    </row>
    <row r="938" spans="1:85" ht="14.45" customHeight="1" x14ac:dyDescent="0.25">
      <c r="A938" s="125" t="s">
        <v>815</v>
      </c>
      <c r="B938" s="366" t="e">
        <f>FP.LastPriceDate</f>
        <v>#NAME?</v>
      </c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79"/>
      <c r="BT938" s="66"/>
      <c r="BU938" s="66"/>
      <c r="BV938" s="66"/>
      <c r="BW938" s="66"/>
      <c r="BX938" s="66"/>
      <c r="BY938" s="66"/>
      <c r="BZ938" s="66"/>
      <c r="CA938" s="66"/>
      <c r="CB938" s="66"/>
      <c r="CC938" s="66"/>
      <c r="CD938" s="66"/>
      <c r="CE938" s="66"/>
      <c r="CF938" s="66"/>
      <c r="CG938" s="367"/>
    </row>
    <row r="939" spans="1:85" ht="14.45" customHeight="1" x14ac:dyDescent="0.25">
      <c r="A939" s="125" t="s">
        <v>816</v>
      </c>
      <c r="B939" s="367" t="e">
        <f>IF(FP.RealTimeToggle="ON",TRUE,FALSE)</f>
        <v>#NAME?</v>
      </c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/>
      <c r="BJ939" s="66"/>
      <c r="BK939" s="66"/>
      <c r="BL939" s="66"/>
      <c r="BM939" s="66"/>
      <c r="BN939" s="66"/>
      <c r="BO939" s="66"/>
      <c r="BP939" s="66"/>
      <c r="BQ939" s="66"/>
      <c r="BR939" s="66"/>
      <c r="BS939" s="679"/>
      <c r="BT939" s="66"/>
      <c r="BU939" s="66"/>
      <c r="BV939" s="66"/>
      <c r="BW939" s="66"/>
      <c r="BX939" s="66"/>
      <c r="BY939" s="66"/>
      <c r="BZ939" s="66"/>
      <c r="CA939" s="66"/>
      <c r="CB939" s="66"/>
      <c r="CC939" s="66"/>
      <c r="CD939" s="66"/>
      <c r="CE939" s="66"/>
      <c r="CF939" s="66"/>
      <c r="CG939" s="367"/>
    </row>
    <row r="940" spans="1:85" ht="14.45" customHeight="1" x14ac:dyDescent="0.25">
      <c r="A940" s="289" t="s">
        <v>817</v>
      </c>
      <c r="B940" s="368" t="str">
        <f>IFERROR(CHOOSE(MO.DataSourceIndex,_xll.BDP(MO.Ticker.Bloomberg&amp;" EQUITY","PX_LAST"),_xll.CIQ(MO.Ticker.CapIQ,"IQ_LASTSALEPRICE"),_xll.FDS(MO.Ticker.FactSet,"FG_PRICE(NOW)"),_xll.TR(MO.Ticker.Thomson,"TRDPRC_1")),"N/A")</f>
        <v>N/A</v>
      </c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  <c r="AB940" s="354"/>
      <c r="AC940" s="354"/>
      <c r="AD940" s="354"/>
      <c r="AE940" s="354"/>
      <c r="AF940" s="354"/>
      <c r="AG940" s="354"/>
      <c r="AH940" s="354"/>
      <c r="AI940" s="354"/>
      <c r="AJ940" s="354"/>
      <c r="AK940" s="354"/>
      <c r="AL940" s="354"/>
      <c r="AM940" s="354"/>
      <c r="AN940" s="354"/>
      <c r="AO940" s="354"/>
      <c r="AP940" s="354"/>
      <c r="AQ940" s="354"/>
      <c r="AR940" s="354"/>
      <c r="AS940" s="354"/>
      <c r="AT940" s="354"/>
      <c r="AU940" s="354"/>
      <c r="AV940" s="354"/>
      <c r="AW940" s="354"/>
      <c r="AX940" s="354"/>
      <c r="AY940" s="354"/>
      <c r="AZ940" s="354"/>
      <c r="BA940" s="354"/>
      <c r="BB940" s="354"/>
      <c r="BC940" s="354"/>
      <c r="BD940" s="354"/>
      <c r="BE940" s="354"/>
      <c r="BF940" s="354"/>
      <c r="BG940" s="354"/>
      <c r="BH940" s="354"/>
      <c r="BI940" s="354"/>
      <c r="BJ940" s="354"/>
      <c r="BK940" s="354"/>
      <c r="BL940" s="354"/>
      <c r="BM940" s="354"/>
      <c r="BN940" s="354"/>
      <c r="BO940" s="354"/>
      <c r="BP940" s="354"/>
      <c r="BQ940" s="354"/>
      <c r="BR940" s="354"/>
      <c r="BS940" s="661"/>
      <c r="BT940" s="354"/>
      <c r="BU940" s="354"/>
      <c r="BV940" s="354"/>
      <c r="BW940" s="354"/>
      <c r="BX940" s="354"/>
      <c r="BY940" s="354"/>
      <c r="BZ940" s="354"/>
      <c r="CA940" s="354"/>
      <c r="CB940" s="354"/>
      <c r="CC940" s="354"/>
      <c r="CD940" s="354"/>
      <c r="CE940" s="354"/>
      <c r="CF940" s="354"/>
      <c r="CG940" s="368"/>
    </row>
    <row r="941" spans="1:85" ht="14.45" customHeight="1" x14ac:dyDescent="0.25">
      <c r="A941" s="289" t="s">
        <v>818</v>
      </c>
      <c r="B941" s="368" t="e">
        <f>OR(AND(OR(EXACT(HP.TradeCurrency.HardCoded,"GBp"),EXACT(HP.TradeCurrency.HardCoded,"GBX")),EXACT(HP.ReportCurrency,"GBP")),AND(OR(EXACT(HP.TradeCurrency.HardCoded,"ZAc"),EXACT(HP.TradeCurrency.HardCoded,"ZAC")),EXACT(HP.ReportCurrency,"ZAR")))</f>
        <v>#NAME?</v>
      </c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  <c r="AB941" s="354"/>
      <c r="AC941" s="354"/>
      <c r="AD941" s="354"/>
      <c r="AE941" s="354"/>
      <c r="AF941" s="354"/>
      <c r="AG941" s="354"/>
      <c r="AH941" s="354"/>
      <c r="AI941" s="354"/>
      <c r="AJ941" s="354"/>
      <c r="AK941" s="354"/>
      <c r="AL941" s="354"/>
      <c r="AM941" s="354"/>
      <c r="AN941" s="354"/>
      <c r="AO941" s="354"/>
      <c r="AP941" s="354"/>
      <c r="AQ941" s="354"/>
      <c r="AR941" s="354"/>
      <c r="AS941" s="354"/>
      <c r="AT941" s="354"/>
      <c r="AU941" s="354"/>
      <c r="AV941" s="354"/>
      <c r="AW941" s="354"/>
      <c r="AX941" s="354"/>
      <c r="AY941" s="354"/>
      <c r="AZ941" s="354"/>
      <c r="BA941" s="354"/>
      <c r="BB941" s="354"/>
      <c r="BC941" s="354"/>
      <c r="BD941" s="354"/>
      <c r="BE941" s="354"/>
      <c r="BF941" s="354"/>
      <c r="BG941" s="354"/>
      <c r="BH941" s="354"/>
      <c r="BI941" s="354"/>
      <c r="BJ941" s="354"/>
      <c r="BK941" s="354"/>
      <c r="BL941" s="354"/>
      <c r="BM941" s="354"/>
      <c r="BN941" s="354"/>
      <c r="BO941" s="354"/>
      <c r="BP941" s="354"/>
      <c r="BQ941" s="354"/>
      <c r="BR941" s="354"/>
      <c r="BS941" s="661"/>
      <c r="BT941" s="354"/>
      <c r="BU941" s="354"/>
      <c r="BV941" s="354"/>
      <c r="BW941" s="354"/>
      <c r="BX941" s="354"/>
      <c r="BY941" s="354"/>
      <c r="BZ941" s="354"/>
      <c r="CA941" s="354"/>
      <c r="CB941" s="354"/>
      <c r="CC941" s="354"/>
      <c r="CD941" s="354"/>
      <c r="CE941" s="354"/>
      <c r="CF941" s="354"/>
      <c r="CG941" s="368"/>
    </row>
    <row r="942" spans="1:85" ht="14.45" customHeight="1" x14ac:dyDescent="0.25">
      <c r="A942" s="289" t="s">
        <v>819</v>
      </c>
      <c r="B942" s="368" t="e">
        <f>IFERROR(CHOOSE(MO.DataSourceIndex,_xll.BDP(HP.Ticker&amp;" Equity","CRNCY"),_xll.CIQ(HP.Ticker,"IQ_TRADING_CURRENCY"),_xll.FDS(HP.Ticker,"P_CURRENCY(""ISO"")"),_xll.TR(HP.Ticker,"Currency")),HP.TradeCurrency.HardCoded)</f>
        <v>#NAME?</v>
      </c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  <c r="AB942" s="354"/>
      <c r="AC942" s="354"/>
      <c r="AD942" s="354"/>
      <c r="AE942" s="354"/>
      <c r="AF942" s="354"/>
      <c r="AG942" s="354"/>
      <c r="AH942" s="354"/>
      <c r="AI942" s="354"/>
      <c r="AJ942" s="354"/>
      <c r="AK942" s="354"/>
      <c r="AL942" s="354"/>
      <c r="AM942" s="354"/>
      <c r="AN942" s="354"/>
      <c r="AO942" s="354"/>
      <c r="AP942" s="354"/>
      <c r="AQ942" s="354"/>
      <c r="AR942" s="354"/>
      <c r="AS942" s="354"/>
      <c r="AT942" s="354"/>
      <c r="AU942" s="354"/>
      <c r="AV942" s="354"/>
      <c r="AW942" s="354"/>
      <c r="AX942" s="354"/>
      <c r="AY942" s="354"/>
      <c r="AZ942" s="354"/>
      <c r="BA942" s="354"/>
      <c r="BB942" s="354"/>
      <c r="BC942" s="354"/>
      <c r="BD942" s="354"/>
      <c r="BE942" s="354"/>
      <c r="BF942" s="354"/>
      <c r="BG942" s="354"/>
      <c r="BH942" s="354"/>
      <c r="BI942" s="354"/>
      <c r="BJ942" s="354"/>
      <c r="BK942" s="354"/>
      <c r="BL942" s="354"/>
      <c r="BM942" s="354"/>
      <c r="BN942" s="354"/>
      <c r="BO942" s="354"/>
      <c r="BP942" s="354"/>
      <c r="BQ942" s="354"/>
      <c r="BR942" s="354"/>
      <c r="BS942" s="661"/>
      <c r="BT942" s="354"/>
      <c r="BU942" s="354"/>
      <c r="BV942" s="354"/>
      <c r="BW942" s="354"/>
      <c r="BX942" s="354"/>
      <c r="BY942" s="354"/>
      <c r="BZ942" s="354"/>
      <c r="CA942" s="354"/>
      <c r="CB942" s="354"/>
      <c r="CC942" s="354"/>
      <c r="CD942" s="354"/>
      <c r="CE942" s="354"/>
      <c r="CF942" s="354"/>
      <c r="CG942" s="368"/>
    </row>
    <row r="943" spans="1:85" ht="14.45" customHeight="1" x14ac:dyDescent="0.25">
      <c r="A943" s="289" t="s">
        <v>820</v>
      </c>
      <c r="B943" s="356" t="s">
        <v>122</v>
      </c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  <c r="AB943" s="354"/>
      <c r="AC943" s="354"/>
      <c r="AD943" s="354"/>
      <c r="AE943" s="354"/>
      <c r="AF943" s="354"/>
      <c r="AG943" s="354"/>
      <c r="AH943" s="354"/>
      <c r="AI943" s="354"/>
      <c r="AJ943" s="354"/>
      <c r="AK943" s="354"/>
      <c r="AL943" s="354"/>
      <c r="AM943" s="354"/>
      <c r="AN943" s="354"/>
      <c r="AO943" s="354"/>
      <c r="AP943" s="354"/>
      <c r="AQ943" s="354"/>
      <c r="AR943" s="354"/>
      <c r="AS943" s="354"/>
      <c r="AT943" s="354"/>
      <c r="AU943" s="354"/>
      <c r="AV943" s="354"/>
      <c r="AW943" s="354"/>
      <c r="AX943" s="354"/>
      <c r="AY943" s="354"/>
      <c r="AZ943" s="354"/>
      <c r="BA943" s="354"/>
      <c r="BB943" s="354"/>
      <c r="BC943" s="354"/>
      <c r="BD943" s="354"/>
      <c r="BE943" s="354"/>
      <c r="BF943" s="354"/>
      <c r="BG943" s="354"/>
      <c r="BH943" s="354"/>
      <c r="BI943" s="354"/>
      <c r="BJ943" s="354"/>
      <c r="BK943" s="354"/>
      <c r="BL943" s="354"/>
      <c r="BM943" s="354"/>
      <c r="BN943" s="354"/>
      <c r="BO943" s="354"/>
      <c r="BP943" s="354"/>
      <c r="BQ943" s="354"/>
      <c r="BR943" s="354"/>
      <c r="BS943" s="661"/>
      <c r="BT943" s="354"/>
      <c r="BU943" s="354"/>
      <c r="BV943" s="354"/>
      <c r="BW943" s="354"/>
      <c r="BX943" s="354"/>
      <c r="BY943" s="354"/>
      <c r="BZ943" s="354"/>
      <c r="CA943" s="354"/>
      <c r="CB943" s="354"/>
      <c r="CC943" s="354"/>
      <c r="CD943" s="354"/>
      <c r="CE943" s="354"/>
      <c r="CF943" s="354"/>
      <c r="CG943" s="368"/>
    </row>
    <row r="944" spans="1:85" ht="14.45" customHeight="1" x14ac:dyDescent="0.25">
      <c r="A944" s="289" t="s">
        <v>821</v>
      </c>
      <c r="B944" s="356" t="s">
        <v>122</v>
      </c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  <c r="AB944" s="354"/>
      <c r="AC944" s="354"/>
      <c r="AD944" s="354"/>
      <c r="AE944" s="354"/>
      <c r="AF944" s="354"/>
      <c r="AG944" s="354"/>
      <c r="AH944" s="354"/>
      <c r="AI944" s="354"/>
      <c r="AJ944" s="354"/>
      <c r="AK944" s="354"/>
      <c r="AL944" s="354"/>
      <c r="AM944" s="354"/>
      <c r="AN944" s="354"/>
      <c r="AO944" s="354"/>
      <c r="AP944" s="354"/>
      <c r="AQ944" s="354"/>
      <c r="AR944" s="354"/>
      <c r="AS944" s="354"/>
      <c r="AT944" s="354"/>
      <c r="AU944" s="354"/>
      <c r="AV944" s="354"/>
      <c r="AW944" s="354"/>
      <c r="AX944" s="354"/>
      <c r="AY944" s="354"/>
      <c r="AZ944" s="354"/>
      <c r="BA944" s="354"/>
      <c r="BB944" s="354"/>
      <c r="BC944" s="354"/>
      <c r="BD944" s="354"/>
      <c r="BE944" s="354"/>
      <c r="BF944" s="354"/>
      <c r="BG944" s="354"/>
      <c r="BH944" s="354"/>
      <c r="BI944" s="354"/>
      <c r="BJ944" s="354"/>
      <c r="BK944" s="354"/>
      <c r="BL944" s="354"/>
      <c r="BM944" s="354"/>
      <c r="BN944" s="354"/>
      <c r="BO944" s="354"/>
      <c r="BP944" s="354"/>
      <c r="BQ944" s="354"/>
      <c r="BR944" s="354"/>
      <c r="BS944" s="661"/>
      <c r="BT944" s="354"/>
      <c r="BU944" s="354"/>
      <c r="BV944" s="354"/>
      <c r="BW944" s="354"/>
      <c r="BX944" s="354"/>
      <c r="BY944" s="354"/>
      <c r="BZ944" s="354"/>
      <c r="CA944" s="354"/>
      <c r="CB944" s="354"/>
      <c r="CC944" s="354"/>
      <c r="CD944" s="354"/>
      <c r="CE944" s="354"/>
      <c r="CF944" s="354"/>
      <c r="CG944" s="368"/>
    </row>
    <row r="945" spans="1:85" ht="14.45" customHeight="1" x14ac:dyDescent="0.25">
      <c r="A945" s="289" t="s">
        <v>822</v>
      </c>
      <c r="B945" s="369" t="e">
        <f>IF(EXACT(MO.ReportFX,HP.TradeCurrency),1,IF(OR(INDEX(MO_SPT_FXAverage,1,MO.MRFPColumnNumber+1)="N/A",ISERROR(INDEX(MO_SPT_FXAverage,1,MO.MRFPColumnNumber+1))),MO.MRFX.Hardcoded,INDEX(MO_SPT_FXAverage,1,MO.MRFPColumnNumber+1)))</f>
        <v>#NAME?</v>
      </c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  <c r="AB945" s="354"/>
      <c r="AC945" s="354"/>
      <c r="AD945" s="354"/>
      <c r="AE945" s="354"/>
      <c r="AF945" s="354"/>
      <c r="AG945" s="354"/>
      <c r="AH945" s="354"/>
      <c r="AI945" s="354"/>
      <c r="AJ945" s="354"/>
      <c r="AK945" s="354"/>
      <c r="AL945" s="354"/>
      <c r="AM945" s="354"/>
      <c r="AN945" s="354"/>
      <c r="AO945" s="354"/>
      <c r="AP945" s="354"/>
      <c r="AQ945" s="354"/>
      <c r="AR945" s="354"/>
      <c r="AS945" s="354"/>
      <c r="AT945" s="354"/>
      <c r="AU945" s="354"/>
      <c r="AV945" s="354"/>
      <c r="AW945" s="354"/>
      <c r="AX945" s="354"/>
      <c r="AY945" s="354"/>
      <c r="AZ945" s="354"/>
      <c r="BA945" s="354"/>
      <c r="BB945" s="354"/>
      <c r="BC945" s="354"/>
      <c r="BD945" s="354"/>
      <c r="BE945" s="354"/>
      <c r="BF945" s="354"/>
      <c r="BG945" s="354"/>
      <c r="BH945" s="354"/>
      <c r="BI945" s="354"/>
      <c r="BJ945" s="354"/>
      <c r="BK945" s="354"/>
      <c r="BL945" s="354"/>
      <c r="BM945" s="354"/>
      <c r="BN945" s="354"/>
      <c r="BO945" s="354"/>
      <c r="BP945" s="354"/>
      <c r="BQ945" s="354"/>
      <c r="BR945" s="354"/>
      <c r="BS945" s="661"/>
      <c r="BT945" s="354"/>
      <c r="BU945" s="354"/>
      <c r="BV945" s="354"/>
      <c r="BW945" s="354"/>
      <c r="BX945" s="354"/>
      <c r="BY945" s="354"/>
      <c r="BZ945" s="354"/>
      <c r="CA945" s="354"/>
      <c r="CB945" s="354"/>
      <c r="CC945" s="354"/>
      <c r="CD945" s="354"/>
      <c r="CE945" s="354"/>
      <c r="CF945" s="354"/>
      <c r="CG945" s="368"/>
    </row>
    <row r="946" spans="1:85" ht="14.45" customHeight="1" x14ac:dyDescent="0.25">
      <c r="A946" s="289" t="s">
        <v>823</v>
      </c>
      <c r="B946" s="361">
        <v>1</v>
      </c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  <c r="AB946" s="354"/>
      <c r="AC946" s="354"/>
      <c r="AD946" s="354"/>
      <c r="AE946" s="354"/>
      <c r="AF946" s="354"/>
      <c r="AG946" s="354"/>
      <c r="AH946" s="354"/>
      <c r="AI946" s="354"/>
      <c r="AJ946" s="354"/>
      <c r="AK946" s="354"/>
      <c r="AL946" s="354"/>
      <c r="AM946" s="354"/>
      <c r="AN946" s="354"/>
      <c r="AO946" s="354"/>
      <c r="AP946" s="354"/>
      <c r="AQ946" s="354"/>
      <c r="AR946" s="354"/>
      <c r="AS946" s="354"/>
      <c r="AT946" s="354"/>
      <c r="AU946" s="354"/>
      <c r="AV946" s="354"/>
      <c r="AW946" s="354"/>
      <c r="AX946" s="354"/>
      <c r="AY946" s="354"/>
      <c r="AZ946" s="354"/>
      <c r="BA946" s="354"/>
      <c r="BB946" s="354"/>
      <c r="BC946" s="354"/>
      <c r="BD946" s="354"/>
      <c r="BE946" s="354"/>
      <c r="BF946" s="354"/>
      <c r="BG946" s="354"/>
      <c r="BH946" s="354"/>
      <c r="BI946" s="354"/>
      <c r="BJ946" s="354"/>
      <c r="BK946" s="354"/>
      <c r="BL946" s="354"/>
      <c r="BM946" s="354"/>
      <c r="BN946" s="354"/>
      <c r="BO946" s="354"/>
      <c r="BP946" s="354"/>
      <c r="BQ946" s="354"/>
      <c r="BR946" s="354"/>
      <c r="BS946" s="661"/>
      <c r="BT946" s="354"/>
      <c r="BU946" s="354"/>
      <c r="BV946" s="354"/>
      <c r="BW946" s="354"/>
      <c r="BX946" s="354"/>
      <c r="BY946" s="354"/>
      <c r="BZ946" s="354"/>
      <c r="CA946" s="354"/>
      <c r="CB946" s="354"/>
      <c r="CC946" s="354"/>
      <c r="CD946" s="354"/>
      <c r="CE946" s="354"/>
      <c r="CF946" s="354"/>
      <c r="CG946" s="368"/>
    </row>
    <row r="947" spans="1:85" ht="14.45" customHeight="1" x14ac:dyDescent="0.25">
      <c r="A947" s="171" t="s">
        <v>824</v>
      </c>
      <c r="B947" s="370" t="e">
        <f>MATCH(MO.MRFP,MO_Common_ColumnHeader,0)</f>
        <v>#NAME?</v>
      </c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  <c r="AQ947" s="173"/>
      <c r="AR947" s="173"/>
      <c r="AS947" s="173"/>
      <c r="AT947" s="173"/>
      <c r="AU947" s="173"/>
      <c r="AV947" s="173"/>
      <c r="AW947" s="173"/>
      <c r="AX947" s="173"/>
      <c r="AY947" s="173"/>
      <c r="AZ947" s="173"/>
      <c r="BA947" s="173"/>
      <c r="BB947" s="173"/>
      <c r="BC947" s="173"/>
      <c r="BD947" s="173"/>
      <c r="BE947" s="173"/>
      <c r="BF947" s="173"/>
      <c r="BG947" s="173"/>
      <c r="BH947" s="173"/>
      <c r="BI947" s="173"/>
      <c r="BJ947" s="173"/>
      <c r="BK947" s="173"/>
      <c r="BL947" s="173"/>
      <c r="BM947" s="173"/>
      <c r="BN947" s="173"/>
      <c r="BO947" s="173"/>
      <c r="BP947" s="173"/>
      <c r="BQ947" s="173"/>
      <c r="BR947" s="173"/>
      <c r="BS947" s="625"/>
      <c r="BT947" s="173"/>
      <c r="BU947" s="173"/>
      <c r="BV947" s="173"/>
      <c r="BW947" s="173"/>
      <c r="BX947" s="173"/>
      <c r="BY947" s="173"/>
      <c r="BZ947" s="173"/>
      <c r="CA947" s="173"/>
      <c r="CB947" s="173"/>
      <c r="CC947" s="173"/>
      <c r="CD947" s="173"/>
      <c r="CE947" s="173"/>
      <c r="CF947" s="173"/>
      <c r="CG947" s="370"/>
    </row>
    <row r="948" spans="1:85" ht="14.45" customHeight="1" x14ac:dyDescent="0.25">
      <c r="A948" s="171" t="s">
        <v>825</v>
      </c>
      <c r="B948" s="371" t="s">
        <v>792</v>
      </c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  <c r="AQ948" s="173"/>
      <c r="AR948" s="173"/>
      <c r="AS948" s="173"/>
      <c r="AT948" s="173"/>
      <c r="AU948" s="173"/>
      <c r="AV948" s="173"/>
      <c r="AW948" s="173"/>
      <c r="AX948" s="173"/>
      <c r="AY948" s="173"/>
      <c r="AZ948" s="173"/>
      <c r="BA948" s="173"/>
      <c r="BB948" s="173"/>
      <c r="BC948" s="173"/>
      <c r="BD948" s="173"/>
      <c r="BE948" s="173"/>
      <c r="BF948" s="173"/>
      <c r="BG948" s="173"/>
      <c r="BH948" s="173"/>
      <c r="BI948" s="173"/>
      <c r="BJ948" s="173"/>
      <c r="BK948" s="173"/>
      <c r="BL948" s="173"/>
      <c r="BM948" s="173"/>
      <c r="BN948" s="173"/>
      <c r="BO948" s="173"/>
      <c r="BP948" s="173"/>
      <c r="BQ948" s="173"/>
      <c r="BR948" s="173"/>
      <c r="BS948" s="625"/>
      <c r="BT948" s="173"/>
      <c r="BU948" s="173"/>
      <c r="BV948" s="173"/>
      <c r="BW948" s="173"/>
      <c r="BX948" s="173"/>
      <c r="BY948" s="173"/>
      <c r="BZ948" s="173"/>
      <c r="CA948" s="173"/>
      <c r="CB948" s="173"/>
      <c r="CC948" s="173"/>
      <c r="CD948" s="173"/>
      <c r="CE948" s="173"/>
      <c r="CF948" s="173"/>
      <c r="CG948" s="370"/>
    </row>
    <row r="949" spans="1:85" ht="14.45" customHeight="1" x14ac:dyDescent="0.25">
      <c r="A949" s="171" t="s">
        <v>826</v>
      </c>
      <c r="B949" s="370" t="e">
        <f>"FY"&amp;RIGHT(MO.MRFP,4)</f>
        <v>#NAME?</v>
      </c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  <c r="AQ949" s="173"/>
      <c r="AR949" s="173"/>
      <c r="AS949" s="173"/>
      <c r="AT949" s="173"/>
      <c r="AU949" s="173"/>
      <c r="AV949" s="173"/>
      <c r="AW949" s="173"/>
      <c r="AX949" s="173"/>
      <c r="AY949" s="173"/>
      <c r="AZ949" s="173"/>
      <c r="BA949" s="173"/>
      <c r="BB949" s="173"/>
      <c r="BC949" s="173"/>
      <c r="BD949" s="173"/>
      <c r="BE949" s="173"/>
      <c r="BF949" s="173"/>
      <c r="BG949" s="173"/>
      <c r="BH949" s="173"/>
      <c r="BI949" s="173"/>
      <c r="BJ949" s="173"/>
      <c r="BK949" s="173"/>
      <c r="BL949" s="173"/>
      <c r="BM949" s="173"/>
      <c r="BN949" s="173"/>
      <c r="BO949" s="173"/>
      <c r="BP949" s="173"/>
      <c r="BQ949" s="173"/>
      <c r="BR949" s="173"/>
      <c r="BS949" s="625"/>
      <c r="BT949" s="173"/>
      <c r="BU949" s="173"/>
      <c r="BV949" s="173"/>
      <c r="BW949" s="173"/>
      <c r="BX949" s="173"/>
      <c r="BY949" s="173"/>
      <c r="BZ949" s="173"/>
      <c r="CA949" s="173"/>
      <c r="CB949" s="173"/>
      <c r="CC949" s="173"/>
      <c r="CD949" s="173"/>
      <c r="CE949" s="173"/>
      <c r="CF949" s="173"/>
      <c r="CG949" s="370"/>
    </row>
    <row r="950" spans="1:85" ht="14.45" customHeight="1" x14ac:dyDescent="0.25">
      <c r="A950" s="171" t="s">
        <v>827</v>
      </c>
      <c r="B950" s="370" t="e">
        <f>"FY"&amp;RIGHT(MO.MRFP,4)+IF(LEFT(MO.MRFP,2)="FY",1,0)</f>
        <v>#NAME?</v>
      </c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  <c r="AQ950" s="173"/>
      <c r="AR950" s="173"/>
      <c r="AS950" s="173"/>
      <c r="AT950" s="173"/>
      <c r="AU950" s="173"/>
      <c r="AV950" s="173"/>
      <c r="AW950" s="173"/>
      <c r="AX950" s="173"/>
      <c r="AY950" s="173"/>
      <c r="AZ950" s="173"/>
      <c r="BA950" s="173"/>
      <c r="BB950" s="173"/>
      <c r="BC950" s="173"/>
      <c r="BD950" s="173"/>
      <c r="BE950" s="173"/>
      <c r="BF950" s="173"/>
      <c r="BG950" s="173"/>
      <c r="BH950" s="173"/>
      <c r="BI950" s="173"/>
      <c r="BJ950" s="173"/>
      <c r="BK950" s="173"/>
      <c r="BL950" s="173"/>
      <c r="BM950" s="173"/>
      <c r="BN950" s="173"/>
      <c r="BO950" s="173"/>
      <c r="BP950" s="173"/>
      <c r="BQ950" s="173"/>
      <c r="BR950" s="173"/>
      <c r="BS950" s="625"/>
      <c r="BT950" s="173"/>
      <c r="BU950" s="173"/>
      <c r="BV950" s="173"/>
      <c r="BW950" s="173"/>
      <c r="BX950" s="173"/>
      <c r="BY950" s="173"/>
      <c r="BZ950" s="173"/>
      <c r="CA950" s="173"/>
      <c r="CB950" s="173"/>
      <c r="CC950" s="173"/>
      <c r="CD950" s="173"/>
      <c r="CE950" s="173"/>
      <c r="CF950" s="173"/>
      <c r="CG950" s="370"/>
    </row>
    <row r="951" spans="1:85" ht="14.45" customHeight="1" x14ac:dyDescent="0.25">
      <c r="A951" s="171" t="s">
        <v>828</v>
      </c>
      <c r="B951" s="370">
        <f>COUNTA(tb_KPIs)-1</f>
        <v>0</v>
      </c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  <c r="AQ951" s="173"/>
      <c r="AR951" s="173"/>
      <c r="AS951" s="173"/>
      <c r="AT951" s="173"/>
      <c r="AU951" s="173"/>
      <c r="AV951" s="173"/>
      <c r="AW951" s="173"/>
      <c r="AX951" s="173"/>
      <c r="AY951" s="173"/>
      <c r="AZ951" s="173"/>
      <c r="BA951" s="173"/>
      <c r="BB951" s="173"/>
      <c r="BC951" s="173"/>
      <c r="BD951" s="173"/>
      <c r="BE951" s="173"/>
      <c r="BF951" s="173"/>
      <c r="BG951" s="173"/>
      <c r="BH951" s="173"/>
      <c r="BI951" s="173"/>
      <c r="BJ951" s="173"/>
      <c r="BK951" s="173"/>
      <c r="BL951" s="173"/>
      <c r="BM951" s="173"/>
      <c r="BN951" s="173"/>
      <c r="BO951" s="173"/>
      <c r="BP951" s="173"/>
      <c r="BQ951" s="173"/>
      <c r="BR951" s="173"/>
      <c r="BS951" s="625"/>
      <c r="BT951" s="173"/>
      <c r="BU951" s="173"/>
      <c r="BV951" s="173"/>
      <c r="BW951" s="173"/>
      <c r="BX951" s="173"/>
      <c r="BY951" s="173"/>
      <c r="BZ951" s="173"/>
      <c r="CA951" s="173"/>
      <c r="CB951" s="173"/>
      <c r="CC951" s="173"/>
      <c r="CD951" s="173"/>
      <c r="CE951" s="173"/>
      <c r="CF951" s="173"/>
      <c r="CG951" s="370"/>
    </row>
    <row r="952" spans="1:85" ht="14.45" customHeight="1" x14ac:dyDescent="0.25">
      <c r="A952" s="372" t="s">
        <v>829</v>
      </c>
      <c r="B952" s="373" t="e">
        <f>IF(MO.DataSourceName="Bloomberg",1,IF(MO.DataSourceName="Capital IQ",2,IF(MO.DataSourceName="FactSet",3,IF(MO.DataSourceName="Refinitiv",4,1))))</f>
        <v>#NAME?</v>
      </c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  <c r="AQ952" s="173"/>
      <c r="AR952" s="173"/>
      <c r="AS952" s="173"/>
      <c r="AT952" s="173"/>
      <c r="AU952" s="173"/>
      <c r="AV952" s="173"/>
      <c r="AW952" s="173"/>
      <c r="AX952" s="173"/>
      <c r="AY952" s="173"/>
      <c r="AZ952" s="173"/>
      <c r="BA952" s="173"/>
      <c r="BB952" s="173"/>
      <c r="BC952" s="173"/>
      <c r="BD952" s="173"/>
      <c r="BE952" s="173"/>
      <c r="BF952" s="173"/>
      <c r="BG952" s="173"/>
      <c r="BH952" s="173"/>
      <c r="BI952" s="173"/>
      <c r="BJ952" s="173"/>
      <c r="BK952" s="173"/>
      <c r="BL952" s="173"/>
      <c r="BM952" s="173"/>
      <c r="BN952" s="173"/>
      <c r="BO952" s="173"/>
      <c r="BP952" s="173"/>
      <c r="BQ952" s="173"/>
      <c r="BR952" s="173"/>
      <c r="BS952" s="625"/>
      <c r="BT952" s="173"/>
      <c r="BU952" s="173"/>
      <c r="BV952" s="173"/>
      <c r="BW952" s="173"/>
      <c r="BX952" s="173"/>
      <c r="BY952" s="173"/>
      <c r="BZ952" s="173"/>
      <c r="CA952" s="173"/>
      <c r="CB952" s="173"/>
      <c r="CC952" s="173"/>
      <c r="CD952" s="173"/>
      <c r="CE952" s="173"/>
      <c r="CF952" s="173"/>
      <c r="CG952" s="370"/>
    </row>
    <row r="953" spans="1:85" ht="14.45" customHeight="1" x14ac:dyDescent="0.25">
      <c r="A953" s="374"/>
      <c r="B953" s="374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/>
      <c r="BJ953" s="66"/>
      <c r="BK953" s="66"/>
      <c r="BL953" s="66"/>
      <c r="BM953" s="66"/>
      <c r="BN953" s="66"/>
      <c r="BO953" s="66"/>
      <c r="BP953" s="66"/>
      <c r="BQ953" s="66"/>
      <c r="BR953" s="66"/>
      <c r="BS953" s="679"/>
      <c r="BT953" s="66"/>
      <c r="BU953" s="66"/>
      <c r="BV953" s="66"/>
      <c r="BW953" s="66"/>
      <c r="BX953" s="66"/>
      <c r="BY953" s="66"/>
      <c r="BZ953" s="66"/>
      <c r="CA953" s="66"/>
      <c r="CB953" s="66"/>
      <c r="CC953" s="66"/>
      <c r="CD953" s="66"/>
      <c r="CE953" s="66"/>
      <c r="CF953" s="66"/>
      <c r="CG953" s="367"/>
    </row>
    <row r="954" spans="1:85" ht="14.45" customHeight="1" x14ac:dyDescent="0.25">
      <c r="A954" s="243" t="s">
        <v>830</v>
      </c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  <c r="AA954" s="375"/>
      <c r="AB954" s="375"/>
      <c r="AC954" s="375"/>
      <c r="AD954" s="375"/>
      <c r="AE954" s="375"/>
      <c r="AF954" s="375"/>
      <c r="AG954" s="375"/>
      <c r="AH954" s="375"/>
      <c r="AI954" s="375"/>
      <c r="AJ954" s="375"/>
      <c r="AK954" s="375"/>
      <c r="AL954" s="375"/>
      <c r="AM954" s="375"/>
      <c r="AN954" s="375"/>
      <c r="AO954" s="375"/>
      <c r="AP954" s="375"/>
      <c r="AQ954" s="375"/>
      <c r="AR954" s="375"/>
      <c r="AS954" s="375"/>
      <c r="AT954" s="375"/>
      <c r="AU954" s="375"/>
      <c r="AV954" s="375"/>
      <c r="AW954" s="375"/>
      <c r="AX954" s="375"/>
      <c r="AY954" s="375"/>
      <c r="AZ954" s="375"/>
      <c r="BA954" s="375"/>
      <c r="BB954" s="375"/>
      <c r="BC954" s="375"/>
      <c r="BD954" s="375"/>
      <c r="BE954" s="375"/>
      <c r="BF954" s="375"/>
      <c r="BG954" s="375"/>
      <c r="BH954" s="375"/>
      <c r="BI954" s="375"/>
      <c r="BJ954" s="375"/>
      <c r="BK954" s="375"/>
      <c r="BL954" s="375"/>
      <c r="BM954" s="375"/>
      <c r="BN954" s="375"/>
      <c r="BO954" s="375"/>
      <c r="BP954" s="375"/>
      <c r="BQ954" s="375"/>
      <c r="BR954" s="375"/>
      <c r="BS954" s="375"/>
      <c r="BT954" s="375"/>
      <c r="BU954" s="375"/>
      <c r="BV954" s="375"/>
      <c r="BW954" s="375"/>
      <c r="BX954" s="375"/>
      <c r="BY954" s="375"/>
      <c r="BZ954" s="375"/>
      <c r="CA954" s="375"/>
      <c r="CB954" s="375"/>
      <c r="CC954" s="375"/>
      <c r="CD954" s="375"/>
      <c r="CE954" s="375"/>
      <c r="CF954" s="375"/>
      <c r="CG954" s="367"/>
    </row>
    <row r="955" spans="1:85" ht="14.45" customHeight="1" x14ac:dyDescent="0.25">
      <c r="A955" s="367"/>
      <c r="B955" s="367"/>
      <c r="C955" s="367"/>
      <c r="D955" s="367"/>
      <c r="E955" s="367"/>
      <c r="F955" s="367"/>
      <c r="G955" s="367"/>
      <c r="H955" s="367"/>
      <c r="I955" s="367"/>
      <c r="J955" s="367"/>
      <c r="K955" s="367"/>
      <c r="L955" s="367"/>
      <c r="M955" s="367"/>
      <c r="N955" s="367"/>
      <c r="O955" s="367"/>
      <c r="P955" s="367"/>
      <c r="Q955" s="367"/>
      <c r="R955" s="367"/>
      <c r="S955" s="367"/>
      <c r="T955" s="367"/>
      <c r="U955" s="367"/>
      <c r="V955" s="367"/>
      <c r="W955" s="367"/>
      <c r="X955" s="367"/>
      <c r="Y955" s="367"/>
      <c r="Z955" s="367"/>
      <c r="AA955" s="367"/>
      <c r="AB955" s="367"/>
      <c r="AC955" s="367"/>
      <c r="AD955" s="367"/>
      <c r="AE955" s="367"/>
      <c r="AF955" s="367"/>
      <c r="AG955" s="367"/>
      <c r="AH955" s="367"/>
      <c r="AI955" s="367"/>
      <c r="AJ955" s="367"/>
      <c r="AK955" s="367"/>
      <c r="AL955" s="367"/>
      <c r="AM955" s="367"/>
      <c r="AN955" s="367"/>
      <c r="AO955" s="367"/>
      <c r="AP955" s="367"/>
      <c r="AQ955" s="367"/>
      <c r="AR955" s="367"/>
      <c r="AS955" s="367"/>
      <c r="AT955" s="367"/>
      <c r="AU955" s="367"/>
      <c r="AV955" s="367"/>
      <c r="AW955" s="367"/>
      <c r="AX955" s="367"/>
      <c r="AY955" s="367"/>
      <c r="AZ955" s="367"/>
      <c r="BA955" s="367"/>
      <c r="BB955" s="367"/>
      <c r="BC955" s="367"/>
      <c r="BD955" s="367"/>
      <c r="BE955" s="367"/>
      <c r="BF955" s="367"/>
      <c r="BG955" s="367"/>
      <c r="BH955" s="367"/>
      <c r="BI955" s="367"/>
      <c r="BJ955" s="367"/>
      <c r="BK955" s="367"/>
      <c r="BL955" s="367"/>
      <c r="BM955" s="367"/>
      <c r="BN955" s="367"/>
      <c r="BO955" s="367"/>
      <c r="BP955" s="367"/>
      <c r="BQ955" s="367"/>
      <c r="BR955" s="367"/>
      <c r="BS955" s="367"/>
      <c r="BT955" s="367"/>
      <c r="BU955" s="367"/>
      <c r="BV955" s="367"/>
      <c r="BW955" s="367"/>
      <c r="BX955" s="367"/>
      <c r="BY955" s="367"/>
      <c r="BZ955" s="367"/>
      <c r="CA955" s="367"/>
      <c r="CB955" s="367"/>
      <c r="CC955" s="367"/>
      <c r="CD955" s="367"/>
      <c r="CE955" s="367"/>
      <c r="CF955" s="367"/>
      <c r="CG955" s="36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696e37-2ac1-4408-9929-ba99ebfb842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7d67ecc9-4ef9-4b26-91ab-2806cf4e8e9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EF5C91EABDB47B825220666B4FCE8" ma:contentTypeVersion="22" ma:contentTypeDescription="Create a new document." ma:contentTypeScope="" ma:versionID="7922b7f66e26bf23837c1c033dc1fc66">
  <xsd:schema xmlns:xsd="http://www.w3.org/2001/XMLSchema" xmlns:xs="http://www.w3.org/2001/XMLSchema" xmlns:p="http://schemas.microsoft.com/office/2006/metadata/properties" xmlns:ns1="http://schemas.microsoft.com/sharepoint/v3" xmlns:ns2="58696e37-2ac1-4408-9929-ba99ebfb8422" xmlns:ns3="7d67ecc9-4ef9-4b26-91ab-2806cf4e8e9f" targetNamespace="http://schemas.microsoft.com/office/2006/metadata/properties" ma:root="true" ma:fieldsID="bf486b15bfed3824d77eb2e5676f5769" ns1:_="" ns2:_="" ns3:_="">
    <xsd:import namespace="http://schemas.microsoft.com/sharepoint/v3"/>
    <xsd:import namespace="58696e37-2ac1-4408-9929-ba99ebfb8422"/>
    <xsd:import namespace="7d67ecc9-4ef9-4b26-91ab-2806cf4e8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96e37-2ac1-4408-9929-ba99ebfb8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722d287-a2fd-4291-a0a7-c8f8dfc72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7ecc9-4ef9-4b26-91ab-2806cf4e8e9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9b09f8-3db8-4a15-a810-f94ebe8dbce4}" ma:internalName="TaxCatchAll" ma:showField="CatchAllData" ma:web="7d67ecc9-4ef9-4b26-91ab-2806cf4e8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581E8-911A-41FE-AABB-7C5C940409FB}">
  <ds:schemaRefs>
    <ds:schemaRef ds:uri="7d67ecc9-4ef9-4b26-91ab-2806cf4e8e9f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58696e37-2ac1-4408-9929-ba99ebfb842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942021-5188-4121-A8A0-FA02E0CC3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A8147-6AC0-4E36-B540-D81CE57B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8696e37-2ac1-4408-9929-ba99ebfb8422"/>
    <ds:schemaRef ds:uri="7d67ecc9-4ef9-4b26-91ab-2806cf4e8e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WH Model</vt:lpstr>
      <vt:lpstr>Segment Build</vt:lpstr>
      <vt:lpstr>COGS Sensitivity</vt:lpstr>
      <vt:lpstr>Canalyst HC - Q</vt:lpstr>
      <vt:lpstr>Canalyst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Lehrman</cp:lastModifiedBy>
  <dcterms:created xsi:type="dcterms:W3CDTF">2026-04-29T19:53:13Z</dcterms:created>
  <dcterms:modified xsi:type="dcterms:W3CDTF">2026-05-06T12:40:00Z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0x01010065AEF5C91EABDB47B825220666B4FCE8</vt:lpwstr>
  </property>
  <property fmtid="{D5CDD505-2E9C-101B-9397-08002B2CF9AE}" pid="3" name="MediaServiceImageTags">
    <vt:lpwstr/>
  </property>
</Properties>
</file>