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justin_macintosh/Downloads/Excel Repo/"/>
    </mc:Choice>
  </mc:AlternateContent>
  <xr:revisionPtr revIDLastSave="0" documentId="13_ncr:1_{0DF654C7-02AC-404A-B1CD-E16850CA40E1}" xr6:coauthVersionLast="36" xr6:coauthVersionMax="36" xr10:uidLastSave="{00000000-0000-0000-0000-000000000000}"/>
  <bookViews>
    <workbookView xWindow="0" yWindow="500" windowWidth="25600" windowHeight="15040" tabRatio="500" activeTab="10" xr2:uid="{00000000-000D-0000-FFFF-FFFF00000000}"/>
  </bookViews>
  <sheets>
    <sheet name="T(c)" sheetId="1" r:id="rId1"/>
    <sheet name="R(d)" sheetId="2" r:id="rId2"/>
    <sheet name="YLD" sheetId="3" r:id="rId3"/>
    <sheet name="R(e) —&gt; Gordon Model" sheetId="4" r:id="rId4"/>
    <sheet name="B" sheetId="5" r:id="rId5"/>
    <sheet name="R(e) —&gt; CAPM Method" sheetId="6" r:id="rId6"/>
    <sheet name="R(e)  —&gt; tax adj" sheetId="7" r:id="rId7"/>
    <sheet name="R(m)" sheetId="8" r:id="rId8"/>
    <sheet name="Exp R(m)-R(f)" sheetId="9" r:id="rId9"/>
    <sheet name="Exp R(m)" sheetId="10" r:id="rId10"/>
    <sheet name="WACC" sheetId="11" r:id="rId11"/>
  </sheets>
  <calcPr calcId="181029" calcMode="autoNoTable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5" l="1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B15" i="11"/>
  <c r="B4" i="11"/>
  <c r="D5" i="1"/>
  <c r="B3" i="7"/>
  <c r="B6" i="11" s="1"/>
  <c r="B9" i="11"/>
  <c r="B5" i="10"/>
  <c r="B8" i="11" s="1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B3" i="8" s="1"/>
  <c r="B6" i="8" s="1"/>
  <c r="B2" i="8"/>
  <c r="B5" i="8" s="1"/>
  <c r="F70" i="5"/>
  <c r="E70" i="5"/>
  <c r="F69" i="5"/>
  <c r="E69" i="5"/>
  <c r="F68" i="5"/>
  <c r="E68" i="5"/>
  <c r="F67" i="5"/>
  <c r="E67" i="5"/>
  <c r="F66" i="5"/>
  <c r="E66" i="5"/>
  <c r="F65" i="5"/>
  <c r="E65" i="5"/>
  <c r="F64" i="5"/>
  <c r="E64" i="5"/>
  <c r="F63" i="5"/>
  <c r="E63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B4" i="5"/>
  <c r="B2" i="5"/>
  <c r="B5" i="4"/>
  <c r="B12" i="4" s="1"/>
  <c r="B3" i="3"/>
  <c r="C9" i="2"/>
  <c r="D9" i="2"/>
  <c r="D18" i="2"/>
  <c r="B9" i="2"/>
  <c r="B11" i="2" s="1"/>
  <c r="C15" i="2" s="1"/>
  <c r="C18" i="2"/>
  <c r="C5" i="2"/>
  <c r="D5" i="2"/>
  <c r="D17" i="2"/>
  <c r="B5" i="2"/>
  <c r="C17" i="2"/>
  <c r="D14" i="2"/>
  <c r="D15" i="2" s="1"/>
  <c r="C11" i="2"/>
  <c r="D11" i="2"/>
  <c r="C14" i="2"/>
  <c r="B14" i="2"/>
  <c r="C5" i="1"/>
  <c r="B5" i="1"/>
  <c r="B3" i="5"/>
  <c r="B2" i="6" s="1"/>
  <c r="B22" i="11" l="1"/>
  <c r="B16" i="11"/>
  <c r="B2" i="9"/>
  <c r="B7" i="9" s="1"/>
  <c r="B5" i="6"/>
  <c r="B2" i="7"/>
  <c r="B6" i="7" s="1"/>
  <c r="B10" i="11"/>
  <c r="B25" i="11" s="1"/>
  <c r="B26" i="11" s="1"/>
  <c r="B4" i="9"/>
  <c r="B11" i="4"/>
  <c r="B8" i="9" l="1"/>
  <c r="B29" i="11"/>
  <c r="B30" i="11" s="1"/>
  <c r="B32" i="11" s="1"/>
</calcChain>
</file>

<file path=xl/sharedStrings.xml><?xml version="1.0" encoding="utf-8"?>
<sst xmlns="http://schemas.openxmlformats.org/spreadsheetml/2006/main" count="103" uniqueCount="90">
  <si>
    <t>MERCK TAX RATE</t>
  </si>
  <si>
    <t>Income before taxes</t>
  </si>
  <si>
    <t>Income tax expense</t>
  </si>
  <si>
    <r>
      <t>Tax rate, T</t>
    </r>
    <r>
      <rPr>
        <b/>
        <vertAlign val="subscript"/>
        <sz val="11"/>
        <color indexed="8"/>
        <rFont val="Arial"/>
        <family val="2"/>
      </rPr>
      <t>C</t>
    </r>
  </si>
  <si>
    <r>
      <t>MERCK, COST OF DEBT r</t>
    </r>
    <r>
      <rPr>
        <b/>
        <vertAlign val="subscript"/>
        <sz val="14"/>
        <color indexed="8"/>
        <rFont val="Arial"/>
        <family val="2"/>
      </rPr>
      <t>D</t>
    </r>
  </si>
  <si>
    <t>Cash</t>
  </si>
  <si>
    <t>Short-term investments</t>
  </si>
  <si>
    <t>Total liquid assets</t>
  </si>
  <si>
    <t>Short-term debt and current portion of long-term debt</t>
  </si>
  <si>
    <t>Long-term debt</t>
  </si>
  <si>
    <t>Total financial debt</t>
  </si>
  <si>
    <t>Net debt</t>
  </si>
  <si>
    <t>Interest income</t>
  </si>
  <si>
    <t>Interest expense</t>
  </si>
  <si>
    <t>Net interest</t>
  </si>
  <si>
    <r>
      <t>Implied cost of debt, r</t>
    </r>
    <r>
      <rPr>
        <vertAlign val="subscript"/>
        <sz val="11"/>
        <color indexed="8"/>
        <rFont val="Arial"/>
        <family val="2"/>
      </rPr>
      <t>D</t>
    </r>
  </si>
  <si>
    <t>Interest rate earned</t>
  </si>
  <si>
    <t>Interest rate paid</t>
  </si>
  <si>
    <r>
      <t>COMPUTING MERCK'S r</t>
    </r>
    <r>
      <rPr>
        <b/>
        <vertAlign val="subscript"/>
        <sz val="14"/>
        <color indexed="8"/>
        <rFont val="Arial"/>
        <family val="2"/>
      </rPr>
      <t>D</t>
    </r>
    <r>
      <rPr>
        <b/>
        <sz val="14"/>
        <color indexed="8"/>
        <rFont val="Arial"/>
        <family val="2"/>
      </rPr>
      <t xml:space="preserve"> FROM THE A YIELD CURVE</t>
    </r>
  </si>
  <si>
    <t>Average time to maturity (years)</t>
  </si>
  <si>
    <t>Yield</t>
  </si>
  <si>
    <r>
      <t>COMPUTING MERCK'S r</t>
    </r>
    <r>
      <rPr>
        <b/>
        <vertAlign val="subscript"/>
        <sz val="14"/>
        <color indexed="8"/>
        <rFont val="Arial"/>
        <family val="2"/>
      </rPr>
      <t>E</t>
    </r>
    <r>
      <rPr>
        <b/>
        <sz val="14"/>
        <color indexed="8"/>
        <rFont val="Arial"/>
        <family val="2"/>
      </rPr>
      <t xml:space="preserve"> 
WITH THE GORDON MODEL</t>
    </r>
  </si>
  <si>
    <r>
      <t>Merck stock price P</t>
    </r>
    <r>
      <rPr>
        <vertAlign val="subscript"/>
        <sz val="11"/>
        <color indexed="8"/>
        <rFont val="Arial"/>
        <family val="2"/>
      </rPr>
      <t>0</t>
    </r>
    <r>
      <rPr>
        <sz val="11"/>
        <color theme="1"/>
        <rFont val="Arial"/>
        <family val="2"/>
      </rPr>
      <t>, 29 June 2012</t>
    </r>
  </si>
  <si>
    <t>Current dividend</t>
  </si>
  <si>
    <t>Quarterly</t>
  </si>
  <si>
    <r>
      <t>Annualized dividend, Div</t>
    </r>
    <r>
      <rPr>
        <vertAlign val="subscript"/>
        <sz val="11"/>
        <color indexed="8"/>
        <rFont val="Arial"/>
        <family val="2"/>
      </rPr>
      <t>0</t>
    </r>
  </si>
  <si>
    <t>Dividend growth rate, g</t>
  </si>
  <si>
    <t>Last 5 years</t>
  </si>
  <si>
    <t>Last 10 years</t>
  </si>
  <si>
    <r>
      <t>Gordon model cost of equity, r</t>
    </r>
    <r>
      <rPr>
        <vertAlign val="subscript"/>
        <sz val="11"/>
        <color indexed="8"/>
        <rFont val="Arial"/>
        <family val="2"/>
      </rPr>
      <t>E</t>
    </r>
  </si>
  <si>
    <t>Using last 5 years' growth</t>
  </si>
  <si>
    <t>Using last 10 years' growth</t>
  </si>
  <si>
    <r>
      <t xml:space="preserve">COMPUTING THE BETA FOR MERCK
</t>
    </r>
    <r>
      <rPr>
        <b/>
        <sz val="12"/>
        <rFont val="Arial"/>
        <family val="2"/>
      </rPr>
      <t>monthly returns for Merck and SP500, 2007-2012</t>
    </r>
  </si>
  <si>
    <t>Alpha</t>
  </si>
  <si>
    <t>Beta</t>
  </si>
  <si>
    <t>R-squared</t>
  </si>
  <si>
    <t>Prices</t>
  </si>
  <si>
    <t>Returns</t>
  </si>
  <si>
    <t>Date</t>
  </si>
  <si>
    <t>Merck</t>
  </si>
  <si>
    <t>SP500</t>
  </si>
  <si>
    <r>
      <t>COMPUTING THE COST OF EQUITY FOR MERCK
Classic CAPM:  r</t>
    </r>
    <r>
      <rPr>
        <b/>
        <vertAlign val="subscript"/>
        <sz val="14"/>
        <color indexed="8"/>
        <rFont val="Arial"/>
        <family val="2"/>
      </rPr>
      <t>E</t>
    </r>
    <r>
      <rPr>
        <b/>
        <sz val="14"/>
        <color indexed="8"/>
        <rFont val="Arial"/>
        <family val="2"/>
      </rPr>
      <t xml:space="preserve"> = r</t>
    </r>
    <r>
      <rPr>
        <b/>
        <vertAlign val="subscript"/>
        <sz val="14"/>
        <color indexed="8"/>
        <rFont val="Arial"/>
        <family val="2"/>
      </rPr>
      <t>f</t>
    </r>
    <r>
      <rPr>
        <b/>
        <sz val="14"/>
        <color indexed="8"/>
        <rFont val="Arial"/>
        <family val="2"/>
      </rPr>
      <t xml:space="preserve"> + </t>
    </r>
    <r>
      <rPr>
        <b/>
        <sz val="14"/>
        <color indexed="8"/>
        <rFont val="Symbol"/>
        <family val="1"/>
        <charset val="2"/>
      </rPr>
      <t>b</t>
    </r>
    <r>
      <rPr>
        <b/>
        <sz val="14"/>
        <color indexed="8"/>
        <rFont val="Arial"/>
        <family val="2"/>
      </rPr>
      <t>*[E(r</t>
    </r>
    <r>
      <rPr>
        <b/>
        <vertAlign val="subscript"/>
        <sz val="14"/>
        <color indexed="8"/>
        <rFont val="Arial"/>
        <family val="2"/>
      </rPr>
      <t>M</t>
    </r>
    <r>
      <rPr>
        <b/>
        <sz val="14"/>
        <color indexed="8"/>
        <rFont val="Arial"/>
        <family val="2"/>
      </rPr>
      <t>) - r</t>
    </r>
    <r>
      <rPr>
        <b/>
        <vertAlign val="subscript"/>
        <sz val="14"/>
        <color indexed="8"/>
        <rFont val="Arial"/>
        <family val="2"/>
      </rPr>
      <t xml:space="preserve">f </t>
    </r>
    <r>
      <rPr>
        <b/>
        <sz val="14"/>
        <color indexed="8"/>
        <rFont val="Arial"/>
        <family val="2"/>
      </rPr>
      <t>]</t>
    </r>
  </si>
  <si>
    <r>
      <t xml:space="preserve">Merck beta, </t>
    </r>
    <r>
      <rPr>
        <sz val="11"/>
        <color indexed="8"/>
        <rFont val="Symbol"/>
        <family val="1"/>
        <charset val="2"/>
      </rPr>
      <t>b</t>
    </r>
  </si>
  <si>
    <r>
      <t>Risk-free rate, r</t>
    </r>
    <r>
      <rPr>
        <vertAlign val="subscript"/>
        <sz val="11"/>
        <color indexed="8"/>
        <rFont val="Arial"/>
        <family val="2"/>
      </rPr>
      <t>f</t>
    </r>
  </si>
  <si>
    <r>
      <t>Expected market return, E(r</t>
    </r>
    <r>
      <rPr>
        <vertAlign val="subscript"/>
        <sz val="11"/>
        <color indexed="8"/>
        <rFont val="Arial"/>
        <family val="2"/>
      </rPr>
      <t>M</t>
    </r>
    <r>
      <rPr>
        <sz val="11"/>
        <color theme="1"/>
        <rFont val="Arial"/>
        <family val="2"/>
      </rPr>
      <t>)</t>
    </r>
  </si>
  <si>
    <r>
      <t>Merck cost of equity, r</t>
    </r>
    <r>
      <rPr>
        <vertAlign val="subscript"/>
        <sz val="11"/>
        <color indexed="8"/>
        <rFont val="Arial"/>
        <family val="2"/>
      </rPr>
      <t>E</t>
    </r>
  </si>
  <si>
    <r>
      <t>COMPUTING THE COST OF EQUITY FOR MERCK
Tax-adjusted CAPM:  r</t>
    </r>
    <r>
      <rPr>
        <b/>
        <vertAlign val="subscript"/>
        <sz val="14"/>
        <color indexed="8"/>
        <rFont val="Arial"/>
        <family val="2"/>
      </rPr>
      <t>E</t>
    </r>
    <r>
      <rPr>
        <b/>
        <sz val="14"/>
        <color indexed="8"/>
        <rFont val="Arial"/>
        <family val="2"/>
      </rPr>
      <t xml:space="preserve"> = r</t>
    </r>
    <r>
      <rPr>
        <b/>
        <vertAlign val="subscript"/>
        <sz val="14"/>
        <color indexed="8"/>
        <rFont val="Arial"/>
        <family val="2"/>
      </rPr>
      <t>f</t>
    </r>
    <r>
      <rPr>
        <b/>
        <sz val="14"/>
        <color indexed="8"/>
        <rFont val="Arial"/>
        <family val="2"/>
      </rPr>
      <t>*(1-T</t>
    </r>
    <r>
      <rPr>
        <b/>
        <vertAlign val="subscript"/>
        <sz val="14"/>
        <color indexed="8"/>
        <rFont val="Arial"/>
        <family val="2"/>
      </rPr>
      <t>C</t>
    </r>
    <r>
      <rPr>
        <b/>
        <sz val="14"/>
        <color indexed="8"/>
        <rFont val="Arial"/>
        <family val="2"/>
      </rPr>
      <t xml:space="preserve">) + </t>
    </r>
    <r>
      <rPr>
        <b/>
        <sz val="14"/>
        <color indexed="8"/>
        <rFont val="Symbol"/>
        <family val="1"/>
        <charset val="2"/>
      </rPr>
      <t>b</t>
    </r>
    <r>
      <rPr>
        <b/>
        <sz val="14"/>
        <color indexed="8"/>
        <rFont val="Arial"/>
        <family val="2"/>
      </rPr>
      <t>*[E(r</t>
    </r>
    <r>
      <rPr>
        <b/>
        <vertAlign val="subscript"/>
        <sz val="14"/>
        <color indexed="8"/>
        <rFont val="Arial"/>
        <family val="2"/>
      </rPr>
      <t>M</t>
    </r>
    <r>
      <rPr>
        <b/>
        <sz val="14"/>
        <color indexed="8"/>
        <rFont val="Arial"/>
        <family val="2"/>
      </rPr>
      <t>) - r</t>
    </r>
    <r>
      <rPr>
        <b/>
        <vertAlign val="subscript"/>
        <sz val="14"/>
        <color indexed="8"/>
        <rFont val="Arial"/>
        <family val="2"/>
      </rPr>
      <t>f</t>
    </r>
    <r>
      <rPr>
        <b/>
        <sz val="14"/>
        <color indexed="8"/>
        <rFont val="Arial"/>
        <family val="2"/>
      </rPr>
      <t>*(1-T</t>
    </r>
    <r>
      <rPr>
        <b/>
        <vertAlign val="subscript"/>
        <sz val="14"/>
        <color indexed="8"/>
        <rFont val="Arial"/>
        <family val="2"/>
      </rPr>
      <t>C</t>
    </r>
    <r>
      <rPr>
        <b/>
        <sz val="14"/>
        <color indexed="8"/>
        <rFont val="Arial"/>
        <family val="2"/>
      </rPr>
      <t>)</t>
    </r>
    <r>
      <rPr>
        <b/>
        <vertAlign val="subscript"/>
        <sz val="14"/>
        <color indexed="8"/>
        <rFont val="Arial"/>
        <family val="2"/>
      </rPr>
      <t xml:space="preserve"> </t>
    </r>
    <r>
      <rPr>
        <b/>
        <sz val="14"/>
        <color indexed="8"/>
        <rFont val="Arial"/>
        <family val="2"/>
      </rPr>
      <t>]</t>
    </r>
  </si>
  <si>
    <r>
      <t>Merck tax rate, T</t>
    </r>
    <r>
      <rPr>
        <vertAlign val="subscript"/>
        <sz val="11"/>
        <color indexed="8"/>
        <rFont val="Arial"/>
        <family val="2"/>
      </rPr>
      <t>C</t>
    </r>
  </si>
  <si>
    <r>
      <t>Merck tax-adjusted cost of equity, r</t>
    </r>
    <r>
      <rPr>
        <vertAlign val="subscript"/>
        <sz val="11"/>
        <color indexed="8"/>
        <rFont val="Arial"/>
        <family val="2"/>
      </rPr>
      <t>E</t>
    </r>
  </si>
  <si>
    <r>
      <t>MEASURING E(r</t>
    </r>
    <r>
      <rPr>
        <b/>
        <vertAlign val="subscript"/>
        <sz val="14"/>
        <rFont val="Arial"/>
        <family val="2"/>
      </rPr>
      <t>M</t>
    </r>
    <r>
      <rPr>
        <b/>
        <sz val="14"/>
        <rFont val="Arial"/>
        <family val="2"/>
      </rPr>
      <t>) USING HISTORICAL DATA
D</t>
    </r>
    <r>
      <rPr>
        <b/>
        <sz val="12"/>
        <rFont val="Arial"/>
        <family val="2"/>
      </rPr>
      <t>erived from prices for the Vanguard 500 Index Fund (symbol:  VFINX)
These prices include dividends; April 1987 - June 2012</t>
    </r>
  </si>
  <si>
    <t>Average monthly return</t>
  </si>
  <si>
    <t>Monthly standard deviation</t>
  </si>
  <si>
    <t>Annualized return</t>
  </si>
  <si>
    <t>Annualized standard deviation</t>
  </si>
  <si>
    <t>Price</t>
  </si>
  <si>
    <t>Return</t>
  </si>
  <si>
    <r>
      <t>COMPUTING THE COST OF EQUITY FOR MERCK USING THE MARKET RISK PREMIUM E(r</t>
    </r>
    <r>
      <rPr>
        <b/>
        <vertAlign val="subscript"/>
        <sz val="14"/>
        <rFont val="Arial"/>
        <family val="2"/>
      </rPr>
      <t>M</t>
    </r>
    <r>
      <rPr>
        <b/>
        <sz val="14"/>
        <rFont val="Arial"/>
        <family val="2"/>
      </rPr>
      <t>) - r</t>
    </r>
    <r>
      <rPr>
        <b/>
        <vertAlign val="subscript"/>
        <sz val="14"/>
        <rFont val="Arial"/>
        <family val="2"/>
      </rPr>
      <t>f</t>
    </r>
    <r>
      <rPr>
        <b/>
        <sz val="12"/>
        <rFont val="Arial"/>
        <family val="2"/>
      </rPr>
      <t/>
    </r>
  </si>
  <si>
    <r>
      <t xml:space="preserve">Merck beta, </t>
    </r>
    <r>
      <rPr>
        <sz val="11"/>
        <rFont val="Symbol"/>
        <family val="1"/>
        <charset val="2"/>
      </rPr>
      <t>b</t>
    </r>
  </si>
  <si>
    <r>
      <t>MRP</t>
    </r>
    <r>
      <rPr>
        <sz val="11"/>
        <rFont val="Arial"/>
        <family val="2"/>
      </rPr>
      <t xml:space="preserve"> derived from SP price/earnings</t>
    </r>
  </si>
  <si>
    <r>
      <t>Merck tax rate, T</t>
    </r>
    <r>
      <rPr>
        <vertAlign val="subscript"/>
        <sz val="11"/>
        <rFont val="Arial"/>
        <family val="2"/>
      </rPr>
      <t>C</t>
    </r>
  </si>
  <si>
    <r>
      <t>Risk free rate, r</t>
    </r>
    <r>
      <rPr>
        <vertAlign val="subscript"/>
        <sz val="11"/>
        <rFont val="Arial"/>
        <family val="2"/>
      </rPr>
      <t>f</t>
    </r>
  </si>
  <si>
    <r>
      <t>Intel cost of equity, r</t>
    </r>
    <r>
      <rPr>
        <vertAlign val="subscript"/>
        <sz val="11"/>
        <rFont val="Arial"/>
        <family val="2"/>
      </rPr>
      <t>E,Intel</t>
    </r>
  </si>
  <si>
    <t xml:space="preserve">     Classic CAPM</t>
  </si>
  <si>
    <t xml:space="preserve">     Tax-adjusted CAPM</t>
  </si>
  <si>
    <r>
      <t>Note</t>
    </r>
    <r>
      <rPr>
        <sz val="11"/>
        <rFont val="Arial"/>
        <family val="2"/>
      </rPr>
      <t>:  The tax-adjusted model in cell B8 uses the equivalence:
E(r</t>
    </r>
    <r>
      <rPr>
        <vertAlign val="subscript"/>
        <sz val="11"/>
        <rFont val="Arial"/>
        <family val="2"/>
      </rPr>
      <t>M</t>
    </r>
    <r>
      <rPr>
        <sz val="11"/>
        <rFont val="Arial"/>
        <family val="2"/>
      </rPr>
      <t>) - r</t>
    </r>
    <r>
      <rPr>
        <vertAlign val="subscript"/>
        <sz val="11"/>
        <rFont val="Arial"/>
        <family val="2"/>
      </rPr>
      <t>f</t>
    </r>
    <r>
      <rPr>
        <sz val="11"/>
        <rFont val="Arial"/>
        <family val="2"/>
      </rPr>
      <t xml:space="preserve"> (1-T</t>
    </r>
    <r>
      <rPr>
        <vertAlign val="subscript"/>
        <sz val="11"/>
        <rFont val="Arial"/>
        <family val="2"/>
      </rPr>
      <t>C</t>
    </r>
    <r>
      <rPr>
        <sz val="11"/>
        <rFont val="Arial"/>
        <family val="2"/>
      </rPr>
      <t>) = E(r</t>
    </r>
    <r>
      <rPr>
        <vertAlign val="subscript"/>
        <sz val="11"/>
        <rFont val="Arial"/>
        <family val="2"/>
      </rPr>
      <t>M</t>
    </r>
    <r>
      <rPr>
        <sz val="11"/>
        <rFont val="Arial"/>
        <family val="2"/>
      </rPr>
      <t>) - r</t>
    </r>
    <r>
      <rPr>
        <vertAlign val="subscript"/>
        <sz val="11"/>
        <rFont val="Arial"/>
        <family val="2"/>
      </rPr>
      <t>f</t>
    </r>
    <r>
      <rPr>
        <sz val="11"/>
        <rFont val="Arial"/>
        <family val="2"/>
      </rPr>
      <t xml:space="preserve"> + T</t>
    </r>
    <r>
      <rPr>
        <vertAlign val="subscript"/>
        <sz val="11"/>
        <rFont val="Arial"/>
        <family val="2"/>
      </rPr>
      <t>C</t>
    </r>
    <r>
      <rPr>
        <sz val="11"/>
        <rFont val="Arial"/>
        <family val="2"/>
      </rPr>
      <t>*r</t>
    </r>
    <r>
      <rPr>
        <vertAlign val="subscript"/>
        <sz val="11"/>
        <rFont val="Arial"/>
        <family val="2"/>
      </rPr>
      <t xml:space="preserve">f
</t>
    </r>
    <r>
      <rPr>
        <sz val="11"/>
        <rFont val="Arial"/>
        <family val="2"/>
      </rPr>
      <t>For the low levels of taxes and low r</t>
    </r>
    <r>
      <rPr>
        <vertAlign val="subscript"/>
        <sz val="11"/>
        <rFont val="Arial"/>
        <family val="2"/>
      </rPr>
      <t>f</t>
    </r>
    <r>
      <rPr>
        <sz val="11"/>
        <rFont val="Arial"/>
        <family val="2"/>
      </rPr>
      <t xml:space="preserve"> in this example, there is virtually no difference between the two approaches.</t>
    </r>
  </si>
  <si>
    <r>
      <t>COMPUTING E(r</t>
    </r>
    <r>
      <rPr>
        <b/>
        <vertAlign val="subscript"/>
        <sz val="14"/>
        <rFont val="Arial"/>
        <family val="2"/>
      </rPr>
      <t>M</t>
    </r>
    <r>
      <rPr>
        <b/>
        <sz val="14"/>
        <rFont val="Arial"/>
        <family val="2"/>
      </rPr>
      <t>) USING MARKET MULTIPLE</t>
    </r>
  </si>
  <si>
    <t>Market price/earnings multiple, June 2012</t>
  </si>
  <si>
    <t>Equity cash flow payout ratio</t>
  </si>
  <si>
    <t>Anticipated growth of market equity cash flow</t>
  </si>
  <si>
    <r>
      <t>Expected market return, E(r</t>
    </r>
    <r>
      <rPr>
        <vertAlign val="subscript"/>
        <sz val="10"/>
        <rFont val="Arial"/>
        <family val="2"/>
      </rPr>
      <t>M</t>
    </r>
    <r>
      <rPr>
        <sz val="11"/>
        <color theme="1"/>
        <rFont val="Arial"/>
        <family val="2"/>
      </rPr>
      <t>)</t>
    </r>
  </si>
  <si>
    <t>COMPUTING THE WACC FOR MERCK</t>
  </si>
  <si>
    <t>Shares outstanding</t>
  </si>
  <si>
    <t>Share price, 29 June 2012</t>
  </si>
  <si>
    <t>Equity value, E</t>
  </si>
  <si>
    <t>Net debt, D</t>
  </si>
  <si>
    <r>
      <t>Tax rate, T</t>
    </r>
    <r>
      <rPr>
        <vertAlign val="subscript"/>
        <sz val="10"/>
        <rFont val="Arial"/>
        <family val="2"/>
      </rPr>
      <t>C</t>
    </r>
  </si>
  <si>
    <r>
      <t>Cost of debt, r</t>
    </r>
    <r>
      <rPr>
        <vertAlign val="subscript"/>
        <sz val="10"/>
        <rFont val="Arial"/>
        <family val="2"/>
      </rPr>
      <t>D</t>
    </r>
  </si>
  <si>
    <r>
      <t>Expected market return, E(r</t>
    </r>
    <r>
      <rPr>
        <vertAlign val="subscript"/>
        <sz val="10"/>
        <rFont val="Arial"/>
        <family val="2"/>
      </rPr>
      <t>M</t>
    </r>
    <r>
      <rPr>
        <sz val="10"/>
        <rFont val="Arial"/>
        <family val="2"/>
      </rPr>
      <t>)</t>
    </r>
  </si>
  <si>
    <r>
      <t>Risk-free rate, r</t>
    </r>
    <r>
      <rPr>
        <vertAlign val="subscript"/>
        <sz val="10"/>
        <rFont val="Arial"/>
        <family val="2"/>
      </rPr>
      <t>f</t>
    </r>
  </si>
  <si>
    <r>
      <t xml:space="preserve">Equity beta, </t>
    </r>
    <r>
      <rPr>
        <sz val="10"/>
        <rFont val="Symbol"/>
        <family val="1"/>
        <charset val="2"/>
      </rPr>
      <t>b</t>
    </r>
  </si>
  <si>
    <t>WACC based on Gordon per-share dividends</t>
  </si>
  <si>
    <t>Current dividend/share</t>
  </si>
  <si>
    <t>Growth rate</t>
  </si>
  <si>
    <r>
      <t>Cost of equity, r</t>
    </r>
    <r>
      <rPr>
        <vertAlign val="subscript"/>
        <sz val="10"/>
        <rFont val="Arial"/>
        <family val="2"/>
      </rPr>
      <t>E</t>
    </r>
  </si>
  <si>
    <t>WACC</t>
  </si>
  <si>
    <t>WACC based on Gordon equity payouts</t>
  </si>
  <si>
    <t>Current equity payout</t>
  </si>
  <si>
    <t>WACC based on classic CAPM</t>
  </si>
  <si>
    <t>WACC based on tax-adjusted CAPM</t>
  </si>
  <si>
    <t>Estimated WACC 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</si>
</sst>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/mmm/yy;@"/>
    <numFmt numFmtId="165" formatCode="0.0000"/>
    <numFmt numFmtId="166" formatCode="#,##0.0000"/>
  </numFmts>
  <fonts count="21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4"/>
      <color indexed="8"/>
      <name val="Arial"/>
      <family val="2"/>
    </font>
    <font>
      <b/>
      <sz val="11"/>
      <color indexed="8"/>
      <name val="Arial"/>
      <family val="2"/>
    </font>
    <font>
      <b/>
      <vertAlign val="subscript"/>
      <sz val="11"/>
      <color indexed="8"/>
      <name val="Arial"/>
      <family val="2"/>
    </font>
    <font>
      <sz val="11"/>
      <color indexed="8"/>
      <name val="Arial"/>
      <family val="2"/>
    </font>
    <font>
      <b/>
      <vertAlign val="subscript"/>
      <sz val="14"/>
      <color indexed="8"/>
      <name val="Arial"/>
      <family val="2"/>
    </font>
    <font>
      <vertAlign val="subscript"/>
      <sz val="11"/>
      <color indexed="8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color indexed="8"/>
      <name val="Symbol"/>
      <family val="1"/>
      <charset val="2"/>
    </font>
    <font>
      <sz val="11"/>
      <color indexed="8"/>
      <name val="Symbol"/>
      <family val="1"/>
      <charset val="2"/>
    </font>
    <font>
      <b/>
      <vertAlign val="subscript"/>
      <sz val="14"/>
      <name val="Arial"/>
      <family val="2"/>
    </font>
    <font>
      <sz val="11"/>
      <name val="Arial"/>
      <family val="2"/>
    </font>
    <font>
      <sz val="11"/>
      <name val="Symbol"/>
      <family val="1"/>
      <charset val="2"/>
    </font>
    <font>
      <vertAlign val="subscript"/>
      <sz val="11"/>
      <name val="Arial"/>
      <family val="2"/>
    </font>
    <font>
      <b/>
      <sz val="11"/>
      <name val="Arial"/>
      <family val="2"/>
    </font>
    <font>
      <vertAlign val="subscript"/>
      <sz val="10"/>
      <name val="Arial"/>
      <family val="2"/>
    </font>
    <font>
      <sz val="10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164" fontId="0" fillId="0" borderId="0"/>
    <xf numFmtId="9" fontId="5" fillId="0" borderId="0" applyFont="0" applyFill="0" applyBorder="0" applyAlignment="0" applyProtection="0"/>
    <xf numFmtId="0" fontId="1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43" fontId="8" fillId="0" borderId="0" applyFont="0" applyFill="0" applyBorder="0" applyProtection="0"/>
    <xf numFmtId="0" fontId="8" fillId="0" borderId="0"/>
    <xf numFmtId="0" fontId="8" fillId="0" borderId="0"/>
  </cellStyleXfs>
  <cellXfs count="61">
    <xf numFmtId="164" fontId="0" fillId="0" borderId="0" xfId="0"/>
    <xf numFmtId="0" fontId="0" fillId="0" borderId="0" xfId="0" applyNumberFormat="1"/>
    <xf numFmtId="0" fontId="3" fillId="0" borderId="0" xfId="0" applyNumberFormat="1" applyFont="1" applyAlignment="1">
      <alignment horizontal="center"/>
    </xf>
    <xf numFmtId="3" fontId="0" fillId="0" borderId="0" xfId="0" applyNumberFormat="1"/>
    <xf numFmtId="164" fontId="3" fillId="0" borderId="0" xfId="0" applyFont="1"/>
    <xf numFmtId="10" fontId="3" fillId="0" borderId="0" xfId="1" applyNumberFormat="1" applyFont="1"/>
    <xf numFmtId="164" fontId="0" fillId="0" borderId="0" xfId="0" applyAlignment="1">
      <alignment horizontal="left" wrapText="1"/>
    </xf>
    <xf numFmtId="164" fontId="0" fillId="0" borderId="0" xfId="0" applyFill="1"/>
    <xf numFmtId="10" fontId="0" fillId="0" borderId="0" xfId="1" applyNumberFormat="1" applyFont="1" applyFill="1"/>
    <xf numFmtId="0" fontId="1" fillId="0" borderId="0" xfId="2"/>
    <xf numFmtId="10" fontId="0" fillId="0" borderId="0" xfId="1" applyNumberFormat="1" applyFont="1"/>
    <xf numFmtId="164" fontId="0" fillId="0" borderId="0" xfId="0" applyAlignment="1">
      <alignment horizontal="left" indent="1"/>
    </xf>
    <xf numFmtId="4" fontId="0" fillId="0" borderId="0" xfId="0" applyNumberFormat="1"/>
    <xf numFmtId="10" fontId="0" fillId="0" borderId="0" xfId="0" applyNumberFormat="1"/>
    <xf numFmtId="164" fontId="0" fillId="0" borderId="0" xfId="0" applyFill="1" applyAlignment="1">
      <alignment horizontal="left" indent="1"/>
    </xf>
    <xf numFmtId="10" fontId="0" fillId="0" borderId="0" xfId="0" applyNumberFormat="1" applyFill="1"/>
    <xf numFmtId="164" fontId="9" fillId="0" borderId="0" xfId="3" applyFont="1" applyAlignment="1">
      <alignment horizontal="center" vertical="center"/>
    </xf>
    <xf numFmtId="164" fontId="8" fillId="0" borderId="0" xfId="3"/>
    <xf numFmtId="165" fontId="8" fillId="0" borderId="0" xfId="3" applyNumberFormat="1"/>
    <xf numFmtId="164" fontId="8" fillId="0" borderId="0" xfId="3" applyFill="1"/>
    <xf numFmtId="164" fontId="11" fillId="0" borderId="0" xfId="3" applyFont="1" applyAlignment="1">
      <alignment horizontal="center"/>
    </xf>
    <xf numFmtId="164" fontId="0" fillId="0" borderId="0" xfId="0" applyNumberFormat="1" applyAlignment="1">
      <alignment horizontal="center"/>
    </xf>
    <xf numFmtId="10" fontId="8" fillId="0" borderId="0" xfId="4" applyNumberFormat="1"/>
    <xf numFmtId="164" fontId="8" fillId="0" borderId="0" xfId="3" applyAlignment="1">
      <alignment horizontal="right"/>
    </xf>
    <xf numFmtId="165" fontId="0" fillId="0" borderId="0" xfId="0" applyNumberFormat="1"/>
    <xf numFmtId="164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10" fontId="8" fillId="0" borderId="0" xfId="3" applyNumberFormat="1" applyFill="1"/>
    <xf numFmtId="10" fontId="0" fillId="0" borderId="0" xfId="4" applyNumberFormat="1" applyFont="1" applyFill="1"/>
    <xf numFmtId="10" fontId="0" fillId="0" borderId="0" xfId="4" applyNumberFormat="1" applyFont="1"/>
    <xf numFmtId="164" fontId="8" fillId="0" borderId="0" xfId="3" applyAlignment="1">
      <alignment horizontal="center"/>
    </xf>
    <xf numFmtId="10" fontId="0" fillId="0" borderId="0" xfId="4" applyNumberFormat="1" applyFont="1" applyAlignment="1">
      <alignment horizontal="right"/>
    </xf>
    <xf numFmtId="164" fontId="15" fillId="0" borderId="0" xfId="3" applyFont="1"/>
    <xf numFmtId="165" fontId="15" fillId="0" borderId="0" xfId="3" applyNumberFormat="1" applyFont="1"/>
    <xf numFmtId="10" fontId="5" fillId="0" borderId="0" xfId="4" applyNumberFormat="1" applyFont="1"/>
    <xf numFmtId="10" fontId="15" fillId="0" borderId="0" xfId="4" applyNumberFormat="1" applyFont="1"/>
    <xf numFmtId="10" fontId="15" fillId="0" borderId="0" xfId="3" applyNumberFormat="1" applyFont="1"/>
    <xf numFmtId="164" fontId="15" fillId="0" borderId="0" xfId="3" applyFont="1" applyFill="1"/>
    <xf numFmtId="10" fontId="5" fillId="0" borderId="0" xfId="4" applyNumberFormat="1" applyFont="1" applyFill="1"/>
    <xf numFmtId="2" fontId="15" fillId="0" borderId="0" xfId="3" applyNumberFormat="1" applyFont="1"/>
    <xf numFmtId="2" fontId="8" fillId="0" borderId="0" xfId="3" applyNumberFormat="1"/>
    <xf numFmtId="164" fontId="8" fillId="0" borderId="0" xfId="5"/>
    <xf numFmtId="4" fontId="8" fillId="0" borderId="0" xfId="5" applyNumberFormat="1"/>
    <xf numFmtId="10" fontId="8" fillId="0" borderId="0" xfId="5" applyNumberFormat="1"/>
    <xf numFmtId="164" fontId="8" fillId="0" borderId="0" xfId="5" applyFill="1"/>
    <xf numFmtId="10" fontId="8" fillId="0" borderId="0" xfId="5" applyNumberFormat="1" applyFill="1"/>
    <xf numFmtId="166" fontId="8" fillId="0" borderId="0" xfId="5" applyNumberFormat="1" applyFill="1"/>
    <xf numFmtId="164" fontId="11" fillId="0" borderId="0" xfId="5" applyFont="1" applyFill="1"/>
    <xf numFmtId="164" fontId="8" fillId="0" borderId="0" xfId="5" applyFont="1" applyFill="1"/>
    <xf numFmtId="4" fontId="8" fillId="0" borderId="0" xfId="5" applyNumberFormat="1" applyFont="1" applyFill="1"/>
    <xf numFmtId="10" fontId="8" fillId="0" borderId="0" xfId="5" applyNumberFormat="1" applyFont="1" applyFill="1"/>
    <xf numFmtId="10" fontId="8" fillId="0" borderId="0" xfId="4" applyNumberFormat="1" applyFont="1" applyFill="1"/>
    <xf numFmtId="3" fontId="8" fillId="0" borderId="0" xfId="5" applyNumberFormat="1" applyFill="1"/>
    <xf numFmtId="164" fontId="2" fillId="0" borderId="0" xfId="0" applyFont="1" applyAlignment="1">
      <alignment horizontal="center"/>
    </xf>
    <xf numFmtId="0" fontId="2" fillId="0" borderId="0" xfId="2" applyFont="1" applyAlignment="1">
      <alignment horizontal="center"/>
    </xf>
    <xf numFmtId="164" fontId="2" fillId="0" borderId="0" xfId="0" applyFont="1" applyAlignment="1">
      <alignment horizontal="center" vertical="center" wrapText="1"/>
    </xf>
    <xf numFmtId="164" fontId="9" fillId="0" borderId="0" xfId="3" applyFont="1" applyAlignment="1">
      <alignment horizontal="center" vertical="center" wrapText="1"/>
    </xf>
    <xf numFmtId="164" fontId="9" fillId="0" borderId="0" xfId="3" applyFont="1" applyAlignment="1">
      <alignment horizontal="center" vertical="center"/>
    </xf>
    <xf numFmtId="164" fontId="8" fillId="0" borderId="0" xfId="3" applyFill="1" applyAlignment="1">
      <alignment horizontal="center"/>
    </xf>
    <xf numFmtId="164" fontId="18" fillId="0" borderId="0" xfId="3" applyFont="1" applyAlignment="1">
      <alignment horizontal="left" vertical="center" wrapText="1"/>
    </xf>
    <xf numFmtId="164" fontId="9" fillId="0" borderId="0" xfId="5" applyFont="1" applyAlignment="1">
      <alignment horizontal="center"/>
    </xf>
  </cellXfs>
  <cellStyles count="9">
    <cellStyle name="Comma 2" xfId="6" xr:uid="{00000000-0005-0000-0000-000000000000}"/>
    <cellStyle name="Normal" xfId="0" builtinId="0"/>
    <cellStyle name="Normal 2" xfId="3" xr:uid="{00000000-0005-0000-0000-000002000000}"/>
    <cellStyle name="Normal 2 2" xfId="7" xr:uid="{00000000-0005-0000-0000-000003000000}"/>
    <cellStyle name="Normal 3" xfId="8" xr:uid="{00000000-0005-0000-0000-000004000000}"/>
    <cellStyle name="Normal 4" xfId="2" xr:uid="{00000000-0005-0000-0000-000005000000}"/>
    <cellStyle name="Normal_Tyson" xfId="5" xr:uid="{00000000-0005-0000-0000-000006000000}"/>
    <cellStyle name="Percent" xfId="1" builtinId="5"/>
    <cellStyle name="Percent 2" xfId="4" xr:uid="{00000000-0005-0000-0000-000008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Merck return</a:t>
            </a:r>
            <a:r>
              <a:rPr lang="en-US" baseline="0"/>
              <a:t> vs SP500, 2007-2012</a:t>
            </a:r>
            <a:endParaRPr lang="en-US"/>
          </a:p>
        </c:rich>
      </c:tx>
      <c:layout>
        <c:manualLayout>
          <c:xMode val="edge"/>
          <c:yMode val="edge"/>
          <c:x val="0.12640581264770501"/>
          <c:y val="3.730607541922519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B!$F$11:$F$70</c:f>
              <c:numCache>
                <c:formatCode>0.00%</c:formatCode>
                <c:ptCount val="60"/>
                <c:pt idx="0">
                  <c:v>-3.2504500841186675E-2</c:v>
                </c:pt>
                <c:pt idx="1">
                  <c:v>1.2781559065278813E-2</c:v>
                </c:pt>
                <c:pt idx="2">
                  <c:v>3.5168283637491062E-2</c:v>
                </c:pt>
                <c:pt idx="3">
                  <c:v>1.4713557788708606E-2</c:v>
                </c:pt>
                <c:pt idx="4">
                  <c:v>-4.5042789369416157E-2</c:v>
                </c:pt>
                <c:pt idx="5">
                  <c:v>-8.6659298048018304E-3</c:v>
                </c:pt>
                <c:pt idx="6">
                  <c:v>-6.3113909602276946E-2</c:v>
                </c:pt>
                <c:pt idx="7">
                  <c:v>-3.5379707842082095E-2</c:v>
                </c:pt>
                <c:pt idx="8">
                  <c:v>-5.9774122413739049E-3</c:v>
                </c:pt>
                <c:pt idx="9">
                  <c:v>4.6450939660056381E-2</c:v>
                </c:pt>
                <c:pt idx="10">
                  <c:v>1.0617586652650165E-2</c:v>
                </c:pt>
                <c:pt idx="11">
                  <c:v>-8.98835504310454E-2</c:v>
                </c:pt>
                <c:pt idx="12">
                  <c:v>-9.9083004864562122E-3</c:v>
                </c:pt>
                <c:pt idx="13">
                  <c:v>1.2116797460712942E-2</c:v>
                </c:pt>
                <c:pt idx="14">
                  <c:v>-9.5180786774375359E-2</c:v>
                </c:pt>
                <c:pt idx="15">
                  <c:v>-0.18563648644598751</c:v>
                </c:pt>
                <c:pt idx="16">
                  <c:v>-7.7798346417088868E-2</c:v>
                </c:pt>
                <c:pt idx="17">
                  <c:v>7.7911357772817548E-3</c:v>
                </c:pt>
                <c:pt idx="18">
                  <c:v>-8.9549885511070959E-2</c:v>
                </c:pt>
                <c:pt idx="19">
                  <c:v>-0.11645654382051443</c:v>
                </c:pt>
                <c:pt idx="20">
                  <c:v>8.1952736214643773E-2</c:v>
                </c:pt>
                <c:pt idx="21">
                  <c:v>8.9772214920969498E-2</c:v>
                </c:pt>
                <c:pt idx="22">
                  <c:v>5.1720558420882315E-2</c:v>
                </c:pt>
                <c:pt idx="23">
                  <c:v>1.9581606407012827E-4</c:v>
                </c:pt>
                <c:pt idx="24">
                  <c:v>7.1521977088891908E-2</c:v>
                </c:pt>
                <c:pt idx="25">
                  <c:v>3.3009321348136535E-2</c:v>
                </c:pt>
                <c:pt idx="26">
                  <c:v>3.5100104155946166E-2</c:v>
                </c:pt>
                <c:pt idx="27">
                  <c:v>-1.9959865222177731E-2</c:v>
                </c:pt>
                <c:pt idx="28">
                  <c:v>5.5779015582807137E-2</c:v>
                </c:pt>
                <c:pt idx="29">
                  <c:v>1.7614546700982087E-2</c:v>
                </c:pt>
                <c:pt idx="30">
                  <c:v>-3.7675141059320766E-2</c:v>
                </c:pt>
                <c:pt idx="31">
                  <c:v>2.8114744036660498E-2</c:v>
                </c:pt>
                <c:pt idx="32">
                  <c:v>5.7132760645483123E-2</c:v>
                </c:pt>
                <c:pt idx="33">
                  <c:v>1.4651468311863144E-2</c:v>
                </c:pt>
                <c:pt idx="34">
                  <c:v>-8.5531653633770133E-2</c:v>
                </c:pt>
                <c:pt idx="35">
                  <c:v>-5.5388380132376618E-2</c:v>
                </c:pt>
                <c:pt idx="36">
                  <c:v>6.6515783274589638E-2</c:v>
                </c:pt>
                <c:pt idx="37">
                  <c:v>-4.8611803170382606E-2</c:v>
                </c:pt>
                <c:pt idx="38">
                  <c:v>8.3928475095282604E-2</c:v>
                </c:pt>
                <c:pt idx="39">
                  <c:v>3.6193000710687595E-2</c:v>
                </c:pt>
                <c:pt idx="40">
                  <c:v>-2.2929094870601432E-3</c:v>
                </c:pt>
                <c:pt idx="41">
                  <c:v>6.3256517221926059E-2</c:v>
                </c:pt>
                <c:pt idx="42">
                  <c:v>2.239298525651701E-2</c:v>
                </c:pt>
                <c:pt idx="43">
                  <c:v>3.1456595040144836E-2</c:v>
                </c:pt>
                <c:pt idx="44">
                  <c:v>-1.0478506829378123E-3</c:v>
                </c:pt>
                <c:pt idx="45">
                  <c:v>2.809691636712916E-2</c:v>
                </c:pt>
                <c:pt idx="46">
                  <c:v>-1.3592893899637262E-2</c:v>
                </c:pt>
                <c:pt idx="47">
                  <c:v>-1.8426233301897538E-2</c:v>
                </c:pt>
                <c:pt idx="48">
                  <c:v>-2.1708367435427242E-2</c:v>
                </c:pt>
                <c:pt idx="49">
                  <c:v>-5.8467491619120418E-2</c:v>
                </c:pt>
                <c:pt idx="50">
                  <c:v>-7.4467127542783104E-2</c:v>
                </c:pt>
                <c:pt idx="51">
                  <c:v>0.10230659165059017</c:v>
                </c:pt>
                <c:pt idx="52">
                  <c:v>-5.0714834366809821E-3</c:v>
                </c:pt>
                <c:pt idx="53">
                  <c:v>8.4965534941463527E-3</c:v>
                </c:pt>
                <c:pt idx="54">
                  <c:v>4.2659999011137491E-2</c:v>
                </c:pt>
                <c:pt idx="55">
                  <c:v>3.9787331386417914E-2</c:v>
                </c:pt>
                <c:pt idx="56">
                  <c:v>3.0851535762571346E-2</c:v>
                </c:pt>
                <c:pt idx="57">
                  <c:v>-7.5257447960486246E-3</c:v>
                </c:pt>
                <c:pt idx="58">
                  <c:v>-6.4699250170469236E-2</c:v>
                </c:pt>
                <c:pt idx="59">
                  <c:v>3.8792661243837456E-2</c:v>
                </c:pt>
              </c:numCache>
            </c:numRef>
          </c:xVal>
          <c:yVal>
            <c:numRef>
              <c:f>B!$E$11:$E$70</c:f>
              <c:numCache>
                <c:formatCode>0.00%</c:formatCode>
                <c:ptCount val="60"/>
                <c:pt idx="0">
                  <c:v>-3.0120504699916095E-3</c:v>
                </c:pt>
                <c:pt idx="1">
                  <c:v>1.05027221991492E-2</c:v>
                </c:pt>
                <c:pt idx="2">
                  <c:v>3.7353298978485779E-2</c:v>
                </c:pt>
                <c:pt idx="3">
                  <c:v>0.11977800898691028</c:v>
                </c:pt>
                <c:pt idx="4">
                  <c:v>1.8743309581168353E-2</c:v>
                </c:pt>
                <c:pt idx="5">
                  <c:v>-1.47123292635142E-2</c:v>
                </c:pt>
                <c:pt idx="6">
                  <c:v>-0.23148867110242963</c:v>
                </c:pt>
                <c:pt idx="7">
                  <c:v>-4.0021674349485961E-2</c:v>
                </c:pt>
                <c:pt idx="8">
                  <c:v>-0.14598962754656439</c:v>
                </c:pt>
                <c:pt idx="9">
                  <c:v>2.5682197101663468E-3</c:v>
                </c:pt>
                <c:pt idx="10">
                  <c:v>2.3761612167154448E-2</c:v>
                </c:pt>
                <c:pt idx="11">
                  <c:v>-2.3120586504178278E-2</c:v>
                </c:pt>
                <c:pt idx="12">
                  <c:v>-0.13605207500137656</c:v>
                </c:pt>
                <c:pt idx="13">
                  <c:v>8.1058795821922214E-2</c:v>
                </c:pt>
                <c:pt idx="14">
                  <c:v>-0.11162397800905437</c:v>
                </c:pt>
                <c:pt idx="15">
                  <c:v>-1.9492304520160767E-2</c:v>
                </c:pt>
                <c:pt idx="16">
                  <c:v>-0.14690821907198037</c:v>
                </c:pt>
                <c:pt idx="17">
                  <c:v>0.1434286099164582</c:v>
                </c:pt>
                <c:pt idx="18">
                  <c:v>-6.2732768035004202E-2</c:v>
                </c:pt>
                <c:pt idx="19">
                  <c:v>-0.16555567644124861</c:v>
                </c:pt>
                <c:pt idx="20">
                  <c:v>0.11697167658550421</c:v>
                </c:pt>
                <c:pt idx="21">
                  <c:v>-9.864908106983955E-2</c:v>
                </c:pt>
                <c:pt idx="22">
                  <c:v>0.12892212404086306</c:v>
                </c:pt>
                <c:pt idx="23">
                  <c:v>2.7750797145353924E-2</c:v>
                </c:pt>
                <c:pt idx="24">
                  <c:v>7.0951735972284394E-2</c:v>
                </c:pt>
                <c:pt idx="25">
                  <c:v>7.7228776868470086E-2</c:v>
                </c:pt>
                <c:pt idx="26">
                  <c:v>-1.2761605308182863E-2</c:v>
                </c:pt>
                <c:pt idx="27">
                  <c:v>-2.2367454862002555E-2</c:v>
                </c:pt>
                <c:pt idx="28">
                  <c:v>0.15763654480707118</c:v>
                </c:pt>
                <c:pt idx="29">
                  <c:v>1.9136386428526997E-2</c:v>
                </c:pt>
                <c:pt idx="30">
                  <c:v>4.3959836137152229E-2</c:v>
                </c:pt>
                <c:pt idx="31">
                  <c:v>-3.4830131822343235E-2</c:v>
                </c:pt>
                <c:pt idx="32">
                  <c:v>2.3354354861096886E-2</c:v>
                </c:pt>
                <c:pt idx="33">
                  <c:v>-6.3848219842963641E-2</c:v>
                </c:pt>
                <c:pt idx="34">
                  <c:v>-3.9245950064789321E-2</c:v>
                </c:pt>
                <c:pt idx="35">
                  <c:v>4.8039976587362566E-2</c:v>
                </c:pt>
                <c:pt idx="36">
                  <c:v>-1.4488442416129833E-2</c:v>
                </c:pt>
                <c:pt idx="37">
                  <c:v>2.0101179321087088E-2</c:v>
                </c:pt>
                <c:pt idx="38">
                  <c:v>5.6225142656950215E-2</c:v>
                </c:pt>
                <c:pt idx="39">
                  <c:v>-1.3613705368710293E-2</c:v>
                </c:pt>
                <c:pt idx="40">
                  <c:v>-5.1983577117103094E-2</c:v>
                </c:pt>
                <c:pt idx="41">
                  <c:v>5.495888428075741E-2</c:v>
                </c:pt>
                <c:pt idx="42">
                  <c:v>-8.296835377393727E-2</c:v>
                </c:pt>
                <c:pt idx="43">
                  <c:v>-1.8241548157575754E-2</c:v>
                </c:pt>
                <c:pt idx="44">
                  <c:v>2.4997243788565042E-2</c:v>
                </c:pt>
                <c:pt idx="45">
                  <c:v>8.5380251552780631E-2</c:v>
                </c:pt>
                <c:pt idx="46">
                  <c:v>2.2126084583490073E-2</c:v>
                </c:pt>
                <c:pt idx="47">
                  <c:v>-2.9809337510013134E-2</c:v>
                </c:pt>
                <c:pt idx="48">
                  <c:v>-3.348224087330743E-2</c:v>
                </c:pt>
                <c:pt idx="49">
                  <c:v>-3.0522456591336049E-2</c:v>
                </c:pt>
                <c:pt idx="50">
                  <c:v>-3.1630555379964488E-4</c:v>
                </c:pt>
                <c:pt idx="51">
                  <c:v>5.3584246134106471E-2</c:v>
                </c:pt>
                <c:pt idx="52">
                  <c:v>3.5639171574222153E-2</c:v>
                </c:pt>
                <c:pt idx="53">
                  <c:v>6.4972454752538128E-2</c:v>
                </c:pt>
                <c:pt idx="54">
                  <c:v>1.5070252920998173E-2</c:v>
                </c:pt>
                <c:pt idx="55">
                  <c:v>-2.6745134958146215E-3</c:v>
                </c:pt>
                <c:pt idx="56">
                  <c:v>1.6994567270562991E-2</c:v>
                </c:pt>
                <c:pt idx="57">
                  <c:v>2.1875872356724457E-2</c:v>
                </c:pt>
                <c:pt idx="58">
                  <c:v>-4.3433593431703353E-2</c:v>
                </c:pt>
                <c:pt idx="59">
                  <c:v>0.11619746698770368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F4-4466-9A27-07AE18B82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7409328"/>
        <c:axId val="-1448870544"/>
      </c:scatterChart>
      <c:valAx>
        <c:axId val="-1407409328"/>
        <c:scaling>
          <c:orientation val="minMax"/>
          <c:max val="0.12"/>
          <c:min val="-0.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SP500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448870544"/>
        <c:crosses val="autoZero"/>
        <c:crossBetween val="midCat"/>
        <c:majorUnit val="0.03"/>
      </c:valAx>
      <c:valAx>
        <c:axId val="-1448870544"/>
        <c:scaling>
          <c:orientation val="minMax"/>
          <c:max val="0.18"/>
          <c:min val="-0.2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Merck</a:t>
                </a:r>
              </a:p>
            </c:rich>
          </c:tx>
          <c:layout>
            <c:manualLayout>
              <c:xMode val="edge"/>
              <c:yMode val="edge"/>
              <c:x val="5.2777869293535E-2"/>
              <c:y val="0.2781307387081660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none"/>
        <c:minorTickMark val="none"/>
        <c:tickLblPos val="nextTo"/>
        <c:crossAx val="-1407409328"/>
        <c:crosses val="autoZero"/>
        <c:crossBetween val="midCat"/>
        <c:majorUnit val="0.03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0</xdr:rowOff>
    </xdr:from>
    <xdr:to>
      <xdr:col>5</xdr:col>
      <xdr:colOff>509221</xdr:colOff>
      <xdr:row>64</xdr:row>
      <xdr:rowOff>152400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9C16E9F3-B6B0-4593-8BEE-554E09740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69000"/>
          <a:ext cx="6795721" cy="584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476739</xdr:colOff>
      <xdr:row>5</xdr:row>
      <xdr:rowOff>18318</xdr:rowOff>
    </xdr:from>
    <xdr:to>
      <xdr:col>10</xdr:col>
      <xdr:colOff>878742</xdr:colOff>
      <xdr:row>20</xdr:row>
      <xdr:rowOff>104042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FFF2273A-9059-4949-B29A-80470B7F0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zoomScale="130" zoomScaleNormal="130" zoomScalePageLayoutView="130" workbookViewId="0">
      <selection activeCell="A28" sqref="A28"/>
    </sheetView>
  </sheetViews>
  <sheetFormatPr baseColWidth="10" defaultColWidth="8.83203125" defaultRowHeight="14" x14ac:dyDescent="0.15"/>
  <cols>
    <col min="1" max="1" width="17.6640625" bestFit="1" customWidth="1"/>
    <col min="2" max="2" width="10.33203125" bestFit="1" customWidth="1"/>
    <col min="3" max="4" width="9.1640625" bestFit="1" customWidth="1"/>
    <col min="5" max="5" width="9.6640625" bestFit="1" customWidth="1"/>
  </cols>
  <sheetData>
    <row r="1" spans="1:5" ht="18" x14ac:dyDescent="0.2">
      <c r="A1" s="53" t="s">
        <v>0</v>
      </c>
      <c r="B1" s="53"/>
      <c r="C1" s="53"/>
      <c r="D1" s="53"/>
      <c r="E1" s="53"/>
    </row>
    <row r="2" spans="1:5" x14ac:dyDescent="0.15">
      <c r="A2" s="1"/>
      <c r="B2" s="2">
        <v>2009</v>
      </c>
      <c r="C2" s="2">
        <v>2010</v>
      </c>
      <c r="D2" s="2">
        <v>2011</v>
      </c>
      <c r="E2" s="1"/>
    </row>
    <row r="3" spans="1:5" x14ac:dyDescent="0.15">
      <c r="A3" s="1" t="s">
        <v>1</v>
      </c>
      <c r="B3" s="3">
        <v>15290000</v>
      </c>
      <c r="C3" s="3">
        <v>1653000</v>
      </c>
      <c r="D3" s="3">
        <v>7334000</v>
      </c>
    </row>
    <row r="4" spans="1:5" x14ac:dyDescent="0.15">
      <c r="A4" s="1" t="s">
        <v>2</v>
      </c>
      <c r="B4" s="3">
        <v>2268000</v>
      </c>
      <c r="C4" s="3">
        <v>671000</v>
      </c>
      <c r="D4" s="3">
        <v>942000</v>
      </c>
    </row>
    <row r="5" spans="1:5" ht="16" x14ac:dyDescent="0.2">
      <c r="A5" s="4" t="s">
        <v>3</v>
      </c>
      <c r="B5" s="5">
        <f>B4/B3</f>
        <v>0.14833224329627206</v>
      </c>
      <c r="C5" s="5">
        <f>C4/C3</f>
        <v>0.40592861464004842</v>
      </c>
      <c r="D5" s="5">
        <f>D4/D3</f>
        <v>0.12844286883010636</v>
      </c>
      <c r="E5" s="1"/>
    </row>
  </sheetData>
  <mergeCells count="1">
    <mergeCell ref="A1:E1"/>
  </mergeCells>
  <printOptions headings="1" gridLines="1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2"/>
  <sheetViews>
    <sheetView zoomScale="130" zoomScaleNormal="130" zoomScalePageLayoutView="130" workbookViewId="0">
      <selection activeCell="E13" sqref="E13"/>
    </sheetView>
  </sheetViews>
  <sheetFormatPr baseColWidth="10" defaultColWidth="8.6640625" defaultRowHeight="13" x14ac:dyDescent="0.15"/>
  <cols>
    <col min="1" max="1" width="37.6640625" style="17" customWidth="1"/>
    <col min="2" max="2" width="10.1640625" style="17" customWidth="1"/>
    <col min="3" max="3" width="33.1640625" style="17" bestFit="1" customWidth="1"/>
    <col min="4" max="4" width="8.5" style="17" customWidth="1"/>
    <col min="5" max="5" width="8.6640625" style="17" bestFit="1" customWidth="1"/>
    <col min="6" max="16384" width="8.6640625" style="17"/>
  </cols>
  <sheetData>
    <row r="1" spans="1:3" ht="27" customHeight="1" x14ac:dyDescent="0.15">
      <c r="A1" s="56" t="s">
        <v>65</v>
      </c>
      <c r="B1" s="56"/>
      <c r="C1" s="56"/>
    </row>
    <row r="2" spans="1:3" ht="14" x14ac:dyDescent="0.15">
      <c r="A2" s="17" t="s">
        <v>66</v>
      </c>
      <c r="B2" s="39">
        <v>15.2</v>
      </c>
    </row>
    <row r="3" spans="1:3" ht="14" x14ac:dyDescent="0.15">
      <c r="A3" s="17" t="s">
        <v>67</v>
      </c>
      <c r="B3" s="29">
        <v>0.5</v>
      </c>
    </row>
    <row r="4" spans="1:3" ht="14" x14ac:dyDescent="0.15">
      <c r="A4" s="17" t="s">
        <v>68</v>
      </c>
      <c r="B4" s="29">
        <v>0.05</v>
      </c>
    </row>
    <row r="5" spans="1:3" ht="15" x14ac:dyDescent="0.2">
      <c r="A5" s="17" t="s">
        <v>69</v>
      </c>
      <c r="B5" s="29">
        <f>B3*(1+B4)/B2+B4</f>
        <v>8.4539473684210525E-2</v>
      </c>
    </row>
    <row r="6" spans="1:3" x14ac:dyDescent="0.15">
      <c r="B6" s="40"/>
    </row>
    <row r="7" spans="1:3" x14ac:dyDescent="0.15">
      <c r="B7" s="40"/>
    </row>
    <row r="8" spans="1:3" x14ac:dyDescent="0.15">
      <c r="B8" s="40"/>
    </row>
    <row r="9" spans="1:3" x14ac:dyDescent="0.15">
      <c r="B9" s="40"/>
    </row>
    <row r="10" spans="1:3" x14ac:dyDescent="0.15">
      <c r="B10" s="40"/>
    </row>
    <row r="11" spans="1:3" x14ac:dyDescent="0.15">
      <c r="B11" s="40"/>
    </row>
    <row r="12" spans="1:3" x14ac:dyDescent="0.15">
      <c r="B12" s="40"/>
    </row>
  </sheetData>
  <mergeCells count="1">
    <mergeCell ref="A1:C1"/>
  </mergeCells>
  <printOptions headings="1" gridLines="1"/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2"/>
  <sheetViews>
    <sheetView tabSelected="1" zoomScaleNormal="100" zoomScalePageLayoutView="130" workbookViewId="0">
      <selection activeCell="A33" sqref="A33"/>
    </sheetView>
  </sheetViews>
  <sheetFormatPr baseColWidth="10" defaultColWidth="8.1640625" defaultRowHeight="13" x14ac:dyDescent="0.15"/>
  <cols>
    <col min="1" max="1" width="24.1640625" style="41" customWidth="1"/>
    <col min="2" max="2" width="18.33203125" style="41" bestFit="1" customWidth="1"/>
    <col min="3" max="3" width="50.6640625" style="41" bestFit="1" customWidth="1"/>
    <col min="4" max="16384" width="8.1640625" style="41"/>
  </cols>
  <sheetData>
    <row r="1" spans="1:3" ht="18" x14ac:dyDescent="0.2">
      <c r="A1" s="60" t="s">
        <v>70</v>
      </c>
      <c r="B1" s="60"/>
      <c r="C1" s="60"/>
    </row>
    <row r="2" spans="1:3" x14ac:dyDescent="0.15">
      <c r="A2" s="41" t="s">
        <v>71</v>
      </c>
      <c r="B2" s="42">
        <v>3.04</v>
      </c>
    </row>
    <row r="3" spans="1:3" x14ac:dyDescent="0.15">
      <c r="A3" s="41" t="s">
        <v>72</v>
      </c>
      <c r="B3" s="42">
        <v>41.75</v>
      </c>
    </row>
    <row r="4" spans="1:3" x14ac:dyDescent="0.15">
      <c r="A4" s="41" t="s">
        <v>73</v>
      </c>
      <c r="B4" s="42">
        <f>B2*B3</f>
        <v>126.92</v>
      </c>
    </row>
    <row r="5" spans="1:3" ht="13.25" customHeight="1" x14ac:dyDescent="0.15">
      <c r="A5" s="41" t="s">
        <v>74</v>
      </c>
      <c r="B5" s="42">
        <v>2.59</v>
      </c>
    </row>
    <row r="6" spans="1:3" ht="15" x14ac:dyDescent="0.2">
      <c r="A6" s="41" t="s">
        <v>75</v>
      </c>
      <c r="B6" s="43">
        <f>'R(e)  —&gt; tax adj'!B3</f>
        <v>0.12844286883010636</v>
      </c>
    </row>
    <row r="7" spans="1:3" ht="15" x14ac:dyDescent="0.2">
      <c r="A7" s="41" t="s">
        <v>76</v>
      </c>
      <c r="B7" s="43">
        <v>4.2299999999999997E-2</v>
      </c>
    </row>
    <row r="8" spans="1:3" ht="15.5" customHeight="1" x14ac:dyDescent="0.2">
      <c r="A8" s="44" t="s">
        <v>77</v>
      </c>
      <c r="B8" s="45">
        <f>'Exp R(m)'!B5</f>
        <v>8.4539473684210525E-2</v>
      </c>
    </row>
    <row r="9" spans="1:3" ht="15" x14ac:dyDescent="0.2">
      <c r="A9" s="44" t="s">
        <v>78</v>
      </c>
      <c r="B9" s="45">
        <f>'Exp R(m)-R(f)'!B5</f>
        <v>0.02</v>
      </c>
    </row>
    <row r="10" spans="1:3" x14ac:dyDescent="0.15">
      <c r="A10" s="44" t="s">
        <v>79</v>
      </c>
      <c r="B10" s="46">
        <f>B!B3</f>
        <v>0.64350288539150746</v>
      </c>
    </row>
    <row r="11" spans="1:3" x14ac:dyDescent="0.15">
      <c r="A11" s="44"/>
      <c r="B11" s="44"/>
    </row>
    <row r="12" spans="1:3" x14ac:dyDescent="0.15">
      <c r="A12" s="47" t="s">
        <v>80</v>
      </c>
      <c r="B12" s="44"/>
    </row>
    <row r="13" spans="1:3" x14ac:dyDescent="0.15">
      <c r="A13" s="48" t="s">
        <v>81</v>
      </c>
      <c r="B13" s="49">
        <v>1.68</v>
      </c>
    </row>
    <row r="14" spans="1:3" x14ac:dyDescent="0.15">
      <c r="A14" s="48" t="s">
        <v>82</v>
      </c>
      <c r="B14" s="50">
        <v>2.0199999999999999E-2</v>
      </c>
    </row>
    <row r="15" spans="1:3" ht="15" x14ac:dyDescent="0.2">
      <c r="A15" s="44" t="s">
        <v>83</v>
      </c>
      <c r="B15" s="45">
        <f>B13*(1+B14)/B3+B14</f>
        <v>6.1252359281437116E-2</v>
      </c>
    </row>
    <row r="16" spans="1:3" x14ac:dyDescent="0.15">
      <c r="A16" s="44" t="s">
        <v>84</v>
      </c>
      <c r="B16" s="51">
        <f>B15*$B$4/($B$4+$B$5)+B7*(1-$B$6)*$B$5/($B$4+$B$5)</f>
        <v>6.0764687086862626E-2</v>
      </c>
    </row>
    <row r="17" spans="1:2" x14ac:dyDescent="0.15">
      <c r="A17" s="44"/>
      <c r="B17" s="51"/>
    </row>
    <row r="18" spans="1:2" x14ac:dyDescent="0.15">
      <c r="A18" s="47" t="s">
        <v>85</v>
      </c>
      <c r="B18" s="44"/>
    </row>
    <row r="19" spans="1:2" x14ac:dyDescent="0.15">
      <c r="A19" s="48" t="s">
        <v>86</v>
      </c>
      <c r="B19" s="52">
        <v>6418</v>
      </c>
    </row>
    <row r="20" spans="1:2" x14ac:dyDescent="0.15">
      <c r="A20" s="48" t="s">
        <v>82</v>
      </c>
      <c r="B20" s="45">
        <v>0.1371</v>
      </c>
    </row>
    <row r="21" spans="1:2" ht="15" x14ac:dyDescent="0.2">
      <c r="A21" s="44" t="s">
        <v>83</v>
      </c>
      <c r="B21" s="45">
        <v>0.112</v>
      </c>
    </row>
    <row r="22" spans="1:2" x14ac:dyDescent="0.15">
      <c r="A22" s="44" t="s">
        <v>84</v>
      </c>
      <c r="B22" s="51">
        <f>B21*$B$4/($B$4+$B$5)+B7*(1-$B$6)*$B$5/($B$4+$B$5)</f>
        <v>0.11049745335973733</v>
      </c>
    </row>
    <row r="23" spans="1:2" x14ac:dyDescent="0.15">
      <c r="A23" s="44"/>
      <c r="B23" s="51"/>
    </row>
    <row r="24" spans="1:2" x14ac:dyDescent="0.15">
      <c r="A24" s="47" t="s">
        <v>87</v>
      </c>
      <c r="B24" s="44"/>
    </row>
    <row r="25" spans="1:2" ht="15" x14ac:dyDescent="0.2">
      <c r="A25" s="44" t="s">
        <v>83</v>
      </c>
      <c r="B25" s="45">
        <f>B9+B10*(B8-B9)</f>
        <v>6.1531337537438738E-2</v>
      </c>
    </row>
    <row r="26" spans="1:2" x14ac:dyDescent="0.15">
      <c r="A26" s="44" t="s">
        <v>84</v>
      </c>
      <c r="B26" s="51">
        <f>B25*$B$4/($B$4+$B$5)+B7*(1-$B$6)*$B$5/($B$4+$B$5)</f>
        <v>6.1038086208565399E-2</v>
      </c>
    </row>
    <row r="27" spans="1:2" x14ac:dyDescent="0.15">
      <c r="A27" s="44"/>
      <c r="B27" s="44"/>
    </row>
    <row r="28" spans="1:2" x14ac:dyDescent="0.15">
      <c r="A28" s="47" t="s">
        <v>88</v>
      </c>
      <c r="B28" s="44"/>
    </row>
    <row r="29" spans="1:2" ht="15" x14ac:dyDescent="0.2">
      <c r="A29" s="44" t="s">
        <v>83</v>
      </c>
      <c r="B29" s="45">
        <f>B9*(1-B6)+B10*(B8-B9*(1-B6))</f>
        <v>6.0615547294839339E-2</v>
      </c>
    </row>
    <row r="30" spans="1:2" x14ac:dyDescent="0.15">
      <c r="A30" s="44" t="s">
        <v>84</v>
      </c>
      <c r="B30" s="51">
        <f>B29*$B$4/($B$4+$B$5)+B7*(1-$B$6)*$B$5/($B$4+$B$5)</f>
        <v>6.0140610356579333E-2</v>
      </c>
    </row>
    <row r="31" spans="1:2" x14ac:dyDescent="0.15">
      <c r="A31" s="44"/>
      <c r="B31" s="44"/>
    </row>
    <row r="32" spans="1:2" x14ac:dyDescent="0.15">
      <c r="A32" s="47" t="s">
        <v>89</v>
      </c>
      <c r="B32" s="45">
        <f>AVERAGE(B16,B26,B30)</f>
        <v>6.0647794550669119E-2</v>
      </c>
    </row>
  </sheetData>
  <mergeCells count="1">
    <mergeCell ref="A1:C1"/>
  </mergeCells>
  <printOptions headings="1" gridLines="1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21"/>
  <sheetViews>
    <sheetView zoomScale="130" zoomScaleNormal="130" zoomScalePageLayoutView="130" workbookViewId="0">
      <selection activeCell="C23" sqref="C23"/>
    </sheetView>
  </sheetViews>
  <sheetFormatPr baseColWidth="10" defaultColWidth="8.83203125" defaultRowHeight="14" x14ac:dyDescent="0.15"/>
  <cols>
    <col min="1" max="1" width="24.6640625" customWidth="1"/>
    <col min="2" max="4" width="10.33203125" bestFit="1" customWidth="1"/>
    <col min="5" max="5" width="26.83203125" bestFit="1" customWidth="1"/>
  </cols>
  <sheetData>
    <row r="1" spans="1:4" ht="20" x14ac:dyDescent="0.25">
      <c r="A1" s="53" t="s">
        <v>4</v>
      </c>
      <c r="B1" s="53"/>
      <c r="C1" s="53"/>
      <c r="D1" s="53"/>
    </row>
    <row r="2" spans="1:4" s="1" customFormat="1" x14ac:dyDescent="0.15">
      <c r="B2" s="2">
        <v>2009</v>
      </c>
      <c r="C2" s="2">
        <v>2010</v>
      </c>
      <c r="D2" s="2">
        <v>2011</v>
      </c>
    </row>
    <row r="3" spans="1:4" x14ac:dyDescent="0.15">
      <c r="A3" t="s">
        <v>5</v>
      </c>
      <c r="B3" s="3">
        <v>9311000</v>
      </c>
      <c r="C3" s="3">
        <v>10900000</v>
      </c>
      <c r="D3" s="3">
        <v>13531000</v>
      </c>
    </row>
    <row r="4" spans="1:4" x14ac:dyDescent="0.15">
      <c r="A4" t="s">
        <v>6</v>
      </c>
      <c r="B4" s="3">
        <v>293000</v>
      </c>
      <c r="C4" s="3">
        <v>1301000</v>
      </c>
      <c r="D4" s="3">
        <v>1441000</v>
      </c>
    </row>
    <row r="5" spans="1:4" x14ac:dyDescent="0.15">
      <c r="A5" t="s">
        <v>7</v>
      </c>
      <c r="B5" s="3">
        <f>B4+B3</f>
        <v>9604000</v>
      </c>
      <c r="C5" s="3">
        <f>C4+C3</f>
        <v>12201000</v>
      </c>
      <c r="D5" s="3">
        <f>D4+D3</f>
        <v>14972000</v>
      </c>
    </row>
    <row r="6" spans="1:4" x14ac:dyDescent="0.15">
      <c r="B6" s="3"/>
      <c r="C6" s="3"/>
      <c r="D6" s="3"/>
    </row>
    <row r="7" spans="1:4" ht="30" x14ac:dyDescent="0.15">
      <c r="A7" s="6" t="s">
        <v>8</v>
      </c>
      <c r="B7" s="3">
        <v>1379000</v>
      </c>
      <c r="C7" s="3">
        <v>2400000</v>
      </c>
      <c r="D7" s="3">
        <v>1990000</v>
      </c>
    </row>
    <row r="8" spans="1:4" x14ac:dyDescent="0.15">
      <c r="A8" t="s">
        <v>9</v>
      </c>
      <c r="B8" s="3">
        <v>16095000</v>
      </c>
      <c r="C8" s="3">
        <v>15482000</v>
      </c>
      <c r="D8" s="3">
        <v>15525000</v>
      </c>
    </row>
    <row r="9" spans="1:4" x14ac:dyDescent="0.15">
      <c r="A9" t="s">
        <v>10</v>
      </c>
      <c r="B9" s="3">
        <f>B7+B8</f>
        <v>17474000</v>
      </c>
      <c r="C9" s="3">
        <f>C7+C8</f>
        <v>17882000</v>
      </c>
      <c r="D9" s="3">
        <f>D7+D8</f>
        <v>17515000</v>
      </c>
    </row>
    <row r="10" spans="1:4" x14ac:dyDescent="0.15">
      <c r="B10" s="3"/>
      <c r="C10" s="3"/>
      <c r="D10" s="3"/>
    </row>
    <row r="11" spans="1:4" x14ac:dyDescent="0.15">
      <c r="A11" t="s">
        <v>11</v>
      </c>
      <c r="B11" s="3">
        <f>B9-B5</f>
        <v>7870000</v>
      </c>
      <c r="C11" s="3">
        <f>C9-C5</f>
        <v>5681000</v>
      </c>
      <c r="D11" s="3">
        <f>D9-D5</f>
        <v>2543000</v>
      </c>
    </row>
    <row r="12" spans="1:4" x14ac:dyDescent="0.15">
      <c r="A12" t="s">
        <v>12</v>
      </c>
      <c r="B12" s="3">
        <v>210000</v>
      </c>
      <c r="C12" s="3">
        <v>83000</v>
      </c>
      <c r="D12" s="3">
        <v>199000</v>
      </c>
    </row>
    <row r="13" spans="1:4" x14ac:dyDescent="0.15">
      <c r="A13" t="s">
        <v>13</v>
      </c>
      <c r="B13" s="3">
        <v>460000</v>
      </c>
      <c r="C13" s="3">
        <v>715000</v>
      </c>
      <c r="D13" s="3">
        <v>749000</v>
      </c>
    </row>
    <row r="14" spans="1:4" x14ac:dyDescent="0.15">
      <c r="A14" t="s">
        <v>14</v>
      </c>
      <c r="B14" s="3">
        <f>B13-B12</f>
        <v>250000</v>
      </c>
      <c r="C14" s="3">
        <f>C13-C12</f>
        <v>632000</v>
      </c>
      <c r="D14" s="3">
        <f>D13-D12</f>
        <v>550000</v>
      </c>
    </row>
    <row r="15" spans="1:4" ht="16" x14ac:dyDescent="0.2">
      <c r="A15" s="7" t="s">
        <v>15</v>
      </c>
      <c r="B15" s="7"/>
      <c r="C15" s="8">
        <f>C14/AVERAGE(B11:C11)</f>
        <v>9.327724891151945E-2</v>
      </c>
      <c r="D15" s="8">
        <f>D14/AVERAGE(C11:D11)</f>
        <v>0.13375486381322957</v>
      </c>
    </row>
    <row r="16" spans="1:4" x14ac:dyDescent="0.15">
      <c r="A16" s="7"/>
      <c r="B16" s="7"/>
      <c r="C16" s="7"/>
      <c r="D16" s="7"/>
    </row>
    <row r="17" spans="1:4" x14ac:dyDescent="0.15">
      <c r="A17" s="7" t="s">
        <v>16</v>
      </c>
      <c r="B17" s="7"/>
      <c r="C17" s="8">
        <f>C12/AVERAGE(B5:C5)</f>
        <v>7.6129328135748683E-3</v>
      </c>
      <c r="D17" s="8">
        <f>D12/AVERAGE(C5:D5)</f>
        <v>1.4646892135575755E-2</v>
      </c>
    </row>
    <row r="18" spans="1:4" x14ac:dyDescent="0.15">
      <c r="A18" s="7" t="s">
        <v>17</v>
      </c>
      <c r="B18" s="7"/>
      <c r="C18" s="8">
        <f>C13/AVERAGE(B9:C9)</f>
        <v>4.0445751781875774E-2</v>
      </c>
      <c r="D18" s="8">
        <f>D13/AVERAGE(C9:D9)</f>
        <v>4.2319970618979012E-2</v>
      </c>
    </row>
    <row r="19" spans="1:4" x14ac:dyDescent="0.15">
      <c r="D19" s="3"/>
    </row>
    <row r="20" spans="1:4" x14ac:dyDescent="0.15">
      <c r="C20" s="3"/>
      <c r="D20" s="3"/>
    </row>
    <row r="21" spans="1:4" x14ac:dyDescent="0.15">
      <c r="D21" s="3"/>
    </row>
  </sheetData>
  <mergeCells count="1">
    <mergeCell ref="A1:D1"/>
  </mergeCells>
  <printOptions headings="1" gridLines="1"/>
  <pageMargins left="0.7" right="0.7" top="0.75" bottom="0.75" header="0.3" footer="0.3"/>
  <pageSetup scale="7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zoomScale="130" zoomScaleNormal="130" zoomScalePageLayoutView="130" workbookViewId="0">
      <selection activeCell="C19" sqref="C19"/>
    </sheetView>
  </sheetViews>
  <sheetFormatPr baseColWidth="10" defaultColWidth="8.83203125" defaultRowHeight="14" x14ac:dyDescent="0.15"/>
  <cols>
    <col min="1" max="1" width="27.1640625" customWidth="1"/>
    <col min="3" max="3" width="47.6640625" bestFit="1" customWidth="1"/>
  </cols>
  <sheetData>
    <row r="1" spans="1:3" ht="20" x14ac:dyDescent="0.25">
      <c r="A1" s="54" t="s">
        <v>18</v>
      </c>
      <c r="B1" s="54"/>
      <c r="C1" s="54"/>
    </row>
    <row r="2" spans="1:3" x14ac:dyDescent="0.15">
      <c r="A2" s="9" t="s">
        <v>19</v>
      </c>
      <c r="B2" s="9">
        <v>7</v>
      </c>
      <c r="C2" s="9"/>
    </row>
    <row r="3" spans="1:3" x14ac:dyDescent="0.15">
      <c r="A3" s="9" t="s">
        <v>20</v>
      </c>
      <c r="B3" s="10">
        <f>0.000008*B2^3 - 0.0004*B2^2 + 0.008*B2 + 0.0005</f>
        <v>3.9643999999999999E-2</v>
      </c>
      <c r="C3" s="9"/>
    </row>
  </sheetData>
  <mergeCells count="1">
    <mergeCell ref="A1:C1"/>
  </mergeCells>
  <printOptions headings="1" gridLines="1"/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zoomScale="130" zoomScaleNormal="130" zoomScalePageLayoutView="130" workbookViewId="0">
      <selection activeCell="F21" sqref="F21"/>
    </sheetView>
  </sheetViews>
  <sheetFormatPr baseColWidth="10" defaultColWidth="8.83203125" defaultRowHeight="14" x14ac:dyDescent="0.15"/>
  <cols>
    <col min="1" max="1" width="30" bestFit="1" customWidth="1"/>
    <col min="2" max="2" width="10.1640625" customWidth="1"/>
    <col min="3" max="3" width="24" bestFit="1" customWidth="1"/>
  </cols>
  <sheetData>
    <row r="1" spans="1:3" ht="42.5" customHeight="1" x14ac:dyDescent="0.15">
      <c r="A1" s="55" t="s">
        <v>21</v>
      </c>
      <c r="B1" s="55"/>
      <c r="C1" s="55"/>
    </row>
    <row r="2" spans="1:3" ht="16" x14ac:dyDescent="0.2">
      <c r="A2" t="s">
        <v>22</v>
      </c>
      <c r="B2">
        <v>41.75</v>
      </c>
    </row>
    <row r="3" spans="1:3" x14ac:dyDescent="0.15">
      <c r="A3" t="s">
        <v>23</v>
      </c>
    </row>
    <row r="4" spans="1:3" x14ac:dyDescent="0.15">
      <c r="A4" s="11" t="s">
        <v>24</v>
      </c>
      <c r="B4" s="12">
        <v>0.42</v>
      </c>
    </row>
    <row r="5" spans="1:3" ht="16" x14ac:dyDescent="0.2">
      <c r="A5" s="11" t="s">
        <v>25</v>
      </c>
      <c r="B5" s="12">
        <f>4*B4</f>
        <v>1.68</v>
      </c>
    </row>
    <row r="6" spans="1:3" x14ac:dyDescent="0.15">
      <c r="A6" t="s">
        <v>26</v>
      </c>
    </row>
    <row r="7" spans="1:3" x14ac:dyDescent="0.15">
      <c r="A7" s="11" t="s">
        <v>27</v>
      </c>
      <c r="B7" s="13">
        <v>2.0199999999999999E-2</v>
      </c>
    </row>
    <row r="8" spans="1:3" x14ac:dyDescent="0.15">
      <c r="A8" s="11" t="s">
        <v>28</v>
      </c>
      <c r="B8" s="13">
        <v>1.55E-2</v>
      </c>
    </row>
    <row r="10" spans="1:3" ht="16" x14ac:dyDescent="0.2">
      <c r="A10" t="s">
        <v>29</v>
      </c>
    </row>
    <row r="11" spans="1:3" x14ac:dyDescent="0.15">
      <c r="A11" s="14" t="s">
        <v>30</v>
      </c>
      <c r="B11" s="15">
        <f>$B$5/$B$2*(1+B7)+B7</f>
        <v>6.1252359281437116E-2</v>
      </c>
    </row>
    <row r="12" spans="1:3" x14ac:dyDescent="0.15">
      <c r="A12" s="14" t="s">
        <v>31</v>
      </c>
      <c r="B12" s="15">
        <f>$B$5/$B$2*(1+B8)+B8</f>
        <v>5.6363233532934133E-2</v>
      </c>
    </row>
  </sheetData>
  <mergeCells count="1">
    <mergeCell ref="A1:C1"/>
  </mergeCells>
  <printOptions headings="1" gridLines="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70"/>
  <sheetViews>
    <sheetView zoomScale="96" zoomScaleNormal="96" zoomScalePageLayoutView="130" workbookViewId="0">
      <selection activeCell="A6" sqref="A6"/>
    </sheetView>
  </sheetViews>
  <sheetFormatPr baseColWidth="10" defaultColWidth="8.6640625" defaultRowHeight="13" x14ac:dyDescent="0.15"/>
  <cols>
    <col min="1" max="1" width="16.6640625" style="17" customWidth="1"/>
    <col min="2" max="6" width="8.6640625" style="17" customWidth="1"/>
    <col min="7" max="7" width="14.83203125" style="17" bestFit="1" customWidth="1"/>
    <col min="8" max="8" width="3.6640625" style="17" customWidth="1"/>
    <col min="9" max="9" width="24" style="23" customWidth="1"/>
    <col min="10" max="10" width="11.6640625" style="17" customWidth="1"/>
    <col min="11" max="11" width="13" style="17" customWidth="1"/>
    <col min="12" max="12" width="28" style="17" bestFit="1" customWidth="1"/>
    <col min="13" max="16384" width="8.6640625" style="17"/>
  </cols>
  <sheetData>
    <row r="1" spans="1:12" ht="36.5" customHeight="1" x14ac:dyDescent="0.15">
      <c r="A1" s="56" t="s">
        <v>32</v>
      </c>
      <c r="B1" s="57"/>
      <c r="C1" s="57"/>
      <c r="D1" s="57"/>
      <c r="E1" s="57"/>
      <c r="F1" s="57"/>
      <c r="G1" s="57"/>
      <c r="H1" s="16"/>
      <c r="I1"/>
      <c r="J1"/>
      <c r="K1"/>
      <c r="L1"/>
    </row>
    <row r="2" spans="1:12" ht="14" x14ac:dyDescent="0.15">
      <c r="A2" s="17" t="s">
        <v>33</v>
      </c>
      <c r="B2" s="18">
        <f>INTERCEPT(E11:E70,F11:F70)</f>
        <v>1.8131355609980349E-3</v>
      </c>
      <c r="I2"/>
      <c r="J2"/>
      <c r="K2"/>
      <c r="L2"/>
    </row>
    <row r="3" spans="1:12" ht="14" x14ac:dyDescent="0.15">
      <c r="A3" s="17" t="s">
        <v>34</v>
      </c>
      <c r="B3" s="18">
        <f>SLOPE(E11:E70,F11:F70)</f>
        <v>0.64350288539150746</v>
      </c>
      <c r="I3"/>
      <c r="J3"/>
      <c r="K3"/>
      <c r="L3"/>
    </row>
    <row r="4" spans="1:12" ht="14" x14ac:dyDescent="0.15">
      <c r="A4" s="17" t="s">
        <v>35</v>
      </c>
      <c r="B4" s="18">
        <f>RSQ(E11:E70,F11:F70)</f>
        <v>0.22452080461041524</v>
      </c>
      <c r="I4"/>
      <c r="J4"/>
      <c r="K4"/>
      <c r="L4"/>
    </row>
    <row r="5" spans="1:12" ht="14" x14ac:dyDescent="0.15">
      <c r="B5" s="18"/>
      <c r="I5"/>
      <c r="J5"/>
      <c r="K5"/>
      <c r="L5"/>
    </row>
    <row r="6" spans="1:12" ht="14" x14ac:dyDescent="0.15">
      <c r="B6" s="18"/>
      <c r="I6"/>
      <c r="J6"/>
      <c r="K6"/>
      <c r="L6"/>
    </row>
    <row r="7" spans="1:12" ht="14" x14ac:dyDescent="0.15">
      <c r="B7" s="18"/>
      <c r="I7"/>
      <c r="J7"/>
      <c r="K7"/>
      <c r="L7"/>
    </row>
    <row r="8" spans="1:12" ht="14" x14ac:dyDescent="0.15">
      <c r="B8" s="58" t="s">
        <v>36</v>
      </c>
      <c r="C8" s="58"/>
      <c r="D8" s="19"/>
      <c r="E8" s="58" t="s">
        <v>37</v>
      </c>
      <c r="F8" s="58"/>
      <c r="I8"/>
      <c r="J8"/>
      <c r="K8"/>
      <c r="L8"/>
    </row>
    <row r="9" spans="1:12" ht="14" x14ac:dyDescent="0.15">
      <c r="A9" s="20" t="s">
        <v>38</v>
      </c>
      <c r="B9" s="20" t="s">
        <v>39</v>
      </c>
      <c r="C9" s="20" t="s">
        <v>40</v>
      </c>
      <c r="E9" s="20" t="s">
        <v>39</v>
      </c>
      <c r="F9" s="20" t="s">
        <v>40</v>
      </c>
      <c r="I9"/>
      <c r="J9"/>
      <c r="K9"/>
      <c r="L9"/>
    </row>
    <row r="10" spans="1:12" ht="14" x14ac:dyDescent="0.15">
      <c r="A10" s="21">
        <v>39234</v>
      </c>
      <c r="B10" s="12">
        <v>39.9</v>
      </c>
      <c r="C10" s="12">
        <v>1503.35</v>
      </c>
      <c r="I10"/>
      <c r="J10"/>
      <c r="K10"/>
      <c r="L10"/>
    </row>
    <row r="11" spans="1:12" ht="14" x14ac:dyDescent="0.15">
      <c r="A11" s="21">
        <v>39265</v>
      </c>
      <c r="B11" s="12">
        <v>39.78</v>
      </c>
      <c r="C11" s="12">
        <v>1455.27</v>
      </c>
      <c r="E11" s="22">
        <f>LN(B11/B10)</f>
        <v>-3.0120504699916095E-3</v>
      </c>
      <c r="F11" s="22">
        <f>LN(C11/C10)</f>
        <v>-3.2504500841186675E-2</v>
      </c>
      <c r="I11"/>
      <c r="J11"/>
      <c r="K11"/>
      <c r="L11"/>
    </row>
    <row r="12" spans="1:12" ht="14" x14ac:dyDescent="0.15">
      <c r="A12" s="21">
        <v>39295</v>
      </c>
      <c r="B12" s="12">
        <v>40.200000000000003</v>
      </c>
      <c r="C12" s="12">
        <v>1473.99</v>
      </c>
      <c r="E12" s="22">
        <f t="shared" ref="E12:F42" si="0">LN(B12/B11)</f>
        <v>1.05027221991492E-2</v>
      </c>
      <c r="F12" s="22">
        <f t="shared" si="0"/>
        <v>1.2781559065278813E-2</v>
      </c>
      <c r="I12"/>
      <c r="J12"/>
      <c r="K12"/>
      <c r="L12"/>
    </row>
    <row r="13" spans="1:12" ht="14" x14ac:dyDescent="0.15">
      <c r="A13" s="21">
        <v>39329</v>
      </c>
      <c r="B13" s="12">
        <v>41.73</v>
      </c>
      <c r="C13" s="12">
        <v>1526.75</v>
      </c>
      <c r="E13" s="22">
        <f t="shared" si="0"/>
        <v>3.7353298978485779E-2</v>
      </c>
      <c r="F13" s="22">
        <f t="shared" si="0"/>
        <v>3.5168283637491062E-2</v>
      </c>
      <c r="I13"/>
      <c r="J13"/>
      <c r="K13"/>
      <c r="L13"/>
    </row>
    <row r="14" spans="1:12" ht="14" x14ac:dyDescent="0.15">
      <c r="A14" s="21">
        <v>39356</v>
      </c>
      <c r="B14" s="12">
        <v>47.04</v>
      </c>
      <c r="C14" s="12">
        <v>1549.38</v>
      </c>
      <c r="E14" s="22">
        <f t="shared" si="0"/>
        <v>0.11977800898691028</v>
      </c>
      <c r="F14" s="22">
        <f t="shared" si="0"/>
        <v>1.4713557788708606E-2</v>
      </c>
      <c r="I14"/>
      <c r="J14"/>
      <c r="K14"/>
      <c r="L14"/>
    </row>
    <row r="15" spans="1:12" ht="14" x14ac:dyDescent="0.15">
      <c r="A15" s="21">
        <v>39387</v>
      </c>
      <c r="B15" s="12">
        <v>47.93</v>
      </c>
      <c r="C15" s="12">
        <v>1481.14</v>
      </c>
      <c r="E15" s="22">
        <f t="shared" si="0"/>
        <v>1.8743309581168353E-2</v>
      </c>
      <c r="F15" s="22">
        <f t="shared" si="0"/>
        <v>-4.5042789369416157E-2</v>
      </c>
      <c r="I15"/>
      <c r="J15"/>
      <c r="K15"/>
      <c r="L15"/>
    </row>
    <row r="16" spans="1:12" ht="14" x14ac:dyDescent="0.15">
      <c r="A16" s="21">
        <v>39419</v>
      </c>
      <c r="B16" s="12">
        <v>47.23</v>
      </c>
      <c r="C16" s="12">
        <v>1468.36</v>
      </c>
      <c r="E16" s="22">
        <f t="shared" si="0"/>
        <v>-1.47123292635142E-2</v>
      </c>
      <c r="F16" s="22">
        <f t="shared" si="0"/>
        <v>-8.6659298048018304E-3</v>
      </c>
      <c r="I16"/>
      <c r="J16"/>
      <c r="K16"/>
      <c r="L16"/>
    </row>
    <row r="17" spans="1:12" ht="14" x14ac:dyDescent="0.15">
      <c r="A17" s="21">
        <v>39449</v>
      </c>
      <c r="B17" s="12">
        <v>37.47</v>
      </c>
      <c r="C17" s="12">
        <v>1378.55</v>
      </c>
      <c r="E17" s="22">
        <f t="shared" si="0"/>
        <v>-0.23148867110242963</v>
      </c>
      <c r="F17" s="22">
        <f t="shared" si="0"/>
        <v>-6.3113909602276946E-2</v>
      </c>
      <c r="I17"/>
      <c r="J17"/>
      <c r="K17"/>
      <c r="L17"/>
    </row>
    <row r="18" spans="1:12" ht="14" x14ac:dyDescent="0.15">
      <c r="A18" s="21">
        <v>39479</v>
      </c>
      <c r="B18" s="12">
        <v>36</v>
      </c>
      <c r="C18" s="12">
        <v>1330.63</v>
      </c>
      <c r="E18" s="22">
        <f t="shared" si="0"/>
        <v>-4.0021674349485961E-2</v>
      </c>
      <c r="F18" s="22">
        <f t="shared" si="0"/>
        <v>-3.5379707842082095E-2</v>
      </c>
    </row>
    <row r="19" spans="1:12" ht="14" x14ac:dyDescent="0.15">
      <c r="A19" s="21">
        <v>39510</v>
      </c>
      <c r="B19" s="12">
        <v>31.11</v>
      </c>
      <c r="C19" s="12">
        <v>1322.7</v>
      </c>
      <c r="E19" s="22">
        <f t="shared" si="0"/>
        <v>-0.14598962754656439</v>
      </c>
      <c r="F19" s="22">
        <f t="shared" si="0"/>
        <v>-5.9774122413739049E-3</v>
      </c>
    </row>
    <row r="20" spans="1:12" ht="14" x14ac:dyDescent="0.15">
      <c r="A20" s="21">
        <v>39539</v>
      </c>
      <c r="B20" s="12">
        <v>31.19</v>
      </c>
      <c r="C20" s="12">
        <v>1385.59</v>
      </c>
      <c r="E20" s="22">
        <f t="shared" si="0"/>
        <v>2.5682197101663468E-3</v>
      </c>
      <c r="F20" s="22">
        <f t="shared" si="0"/>
        <v>4.6450939660056381E-2</v>
      </c>
    </row>
    <row r="21" spans="1:12" ht="14" x14ac:dyDescent="0.15">
      <c r="A21" s="21">
        <v>39569</v>
      </c>
      <c r="B21" s="12">
        <v>31.94</v>
      </c>
      <c r="C21" s="12">
        <v>1400.38</v>
      </c>
      <c r="E21" s="22">
        <f t="shared" si="0"/>
        <v>2.3761612167154448E-2</v>
      </c>
      <c r="F21" s="22">
        <f t="shared" si="0"/>
        <v>1.0617586652650165E-2</v>
      </c>
    </row>
    <row r="22" spans="1:12" ht="14" x14ac:dyDescent="0.15">
      <c r="A22" s="21">
        <v>39601</v>
      </c>
      <c r="B22" s="12">
        <v>31.21</v>
      </c>
      <c r="C22" s="12">
        <v>1280</v>
      </c>
      <c r="E22" s="22">
        <f t="shared" si="0"/>
        <v>-2.3120586504178278E-2</v>
      </c>
      <c r="F22" s="22">
        <f t="shared" si="0"/>
        <v>-8.98835504310454E-2</v>
      </c>
    </row>
    <row r="23" spans="1:12" ht="14" x14ac:dyDescent="0.15">
      <c r="A23" s="21">
        <v>39630</v>
      </c>
      <c r="B23" s="12">
        <v>27.24</v>
      </c>
      <c r="C23" s="12">
        <v>1267.3800000000001</v>
      </c>
      <c r="E23" s="22">
        <f t="shared" si="0"/>
        <v>-0.13605207500137656</v>
      </c>
      <c r="F23" s="22">
        <f t="shared" si="0"/>
        <v>-9.9083004864562122E-3</v>
      </c>
    </row>
    <row r="24" spans="1:12" ht="14" x14ac:dyDescent="0.15">
      <c r="A24" s="21">
        <v>39661</v>
      </c>
      <c r="B24" s="12">
        <v>29.54</v>
      </c>
      <c r="C24" s="12">
        <v>1282.83</v>
      </c>
      <c r="E24" s="22">
        <f t="shared" si="0"/>
        <v>8.1058795821922214E-2</v>
      </c>
      <c r="F24" s="22">
        <f t="shared" si="0"/>
        <v>1.2116797460712942E-2</v>
      </c>
    </row>
    <row r="25" spans="1:12" ht="14" x14ac:dyDescent="0.15">
      <c r="A25" s="21">
        <v>39693</v>
      </c>
      <c r="B25" s="12">
        <v>26.42</v>
      </c>
      <c r="C25" s="12">
        <v>1166.3599999999999</v>
      </c>
      <c r="E25" s="22">
        <f t="shared" si="0"/>
        <v>-0.11162397800905437</v>
      </c>
      <c r="F25" s="22">
        <f t="shared" si="0"/>
        <v>-9.5180786774375359E-2</v>
      </c>
    </row>
    <row r="26" spans="1:12" ht="14" x14ac:dyDescent="0.15">
      <c r="A26" s="21">
        <v>39722</v>
      </c>
      <c r="B26" s="12">
        <v>25.91</v>
      </c>
      <c r="C26" s="12">
        <v>968.75</v>
      </c>
      <c r="E26" s="22">
        <f t="shared" si="0"/>
        <v>-1.9492304520160767E-2</v>
      </c>
      <c r="F26" s="22">
        <f t="shared" si="0"/>
        <v>-0.18563648644598751</v>
      </c>
    </row>
    <row r="27" spans="1:12" ht="14" x14ac:dyDescent="0.15">
      <c r="A27" s="21">
        <v>39755</v>
      </c>
      <c r="B27" s="12">
        <v>22.37</v>
      </c>
      <c r="C27" s="12">
        <v>896.24</v>
      </c>
      <c r="E27" s="22">
        <f t="shared" si="0"/>
        <v>-0.14690821907198037</v>
      </c>
      <c r="F27" s="22">
        <f t="shared" si="0"/>
        <v>-7.7798346417088868E-2</v>
      </c>
    </row>
    <row r="28" spans="1:12" ht="14" x14ac:dyDescent="0.15">
      <c r="A28" s="21">
        <v>39783</v>
      </c>
      <c r="B28" s="12">
        <v>25.82</v>
      </c>
      <c r="C28" s="12">
        <v>903.25</v>
      </c>
      <c r="E28" s="22">
        <f t="shared" si="0"/>
        <v>0.1434286099164582</v>
      </c>
      <c r="F28" s="22">
        <f t="shared" si="0"/>
        <v>7.7911357772817548E-3</v>
      </c>
    </row>
    <row r="29" spans="1:12" ht="14" x14ac:dyDescent="0.15">
      <c r="A29" s="21">
        <v>39815</v>
      </c>
      <c r="B29" s="12">
        <v>24.25</v>
      </c>
      <c r="C29" s="12">
        <v>825.88</v>
      </c>
      <c r="E29" s="22">
        <f t="shared" si="0"/>
        <v>-6.2732768035004202E-2</v>
      </c>
      <c r="F29" s="22">
        <f t="shared" si="0"/>
        <v>-8.9549885511070959E-2</v>
      </c>
    </row>
    <row r="30" spans="1:12" ht="14" x14ac:dyDescent="0.15">
      <c r="A30" s="21">
        <v>39846</v>
      </c>
      <c r="B30" s="12">
        <v>20.55</v>
      </c>
      <c r="C30" s="12">
        <v>735.09</v>
      </c>
      <c r="E30" s="22">
        <f t="shared" si="0"/>
        <v>-0.16555567644124861</v>
      </c>
      <c r="F30" s="22">
        <f t="shared" si="0"/>
        <v>-0.11645654382051443</v>
      </c>
    </row>
    <row r="31" spans="1:12" ht="14" x14ac:dyDescent="0.15">
      <c r="A31" s="21">
        <v>39874</v>
      </c>
      <c r="B31" s="12">
        <v>23.1</v>
      </c>
      <c r="C31" s="12">
        <v>797.87</v>
      </c>
      <c r="E31" s="22">
        <f t="shared" si="0"/>
        <v>0.11697167658550421</v>
      </c>
      <c r="F31" s="22">
        <f t="shared" si="0"/>
        <v>8.1952736214643773E-2</v>
      </c>
    </row>
    <row r="32" spans="1:12" ht="14" x14ac:dyDescent="0.15">
      <c r="A32" s="21">
        <v>39904</v>
      </c>
      <c r="B32" s="12">
        <v>20.93</v>
      </c>
      <c r="C32" s="12">
        <v>872.81</v>
      </c>
      <c r="E32" s="22">
        <f t="shared" si="0"/>
        <v>-9.864908106983955E-2</v>
      </c>
      <c r="F32" s="22">
        <f t="shared" si="0"/>
        <v>8.9772214920969498E-2</v>
      </c>
    </row>
    <row r="33" spans="1:6" ht="14" x14ac:dyDescent="0.15">
      <c r="A33" s="21">
        <v>39934</v>
      </c>
      <c r="B33" s="12">
        <v>23.81</v>
      </c>
      <c r="C33" s="12">
        <v>919.14</v>
      </c>
      <c r="E33" s="22">
        <f t="shared" si="0"/>
        <v>0.12892212404086306</v>
      </c>
      <c r="F33" s="22">
        <f t="shared" si="0"/>
        <v>5.1720558420882315E-2</v>
      </c>
    </row>
    <row r="34" spans="1:6" ht="14" x14ac:dyDescent="0.15">
      <c r="A34" s="21">
        <v>39965</v>
      </c>
      <c r="B34" s="12">
        <v>24.48</v>
      </c>
      <c r="C34" s="12">
        <v>919.32</v>
      </c>
      <c r="E34" s="22">
        <f t="shared" si="0"/>
        <v>2.7750797145353924E-2</v>
      </c>
      <c r="F34" s="22">
        <f t="shared" si="0"/>
        <v>1.9581606407012827E-4</v>
      </c>
    </row>
    <row r="35" spans="1:6" ht="14" x14ac:dyDescent="0.15">
      <c r="A35" s="21">
        <v>39995</v>
      </c>
      <c r="B35" s="12">
        <v>26.28</v>
      </c>
      <c r="C35" s="12">
        <v>987.48</v>
      </c>
      <c r="E35" s="22">
        <f t="shared" si="0"/>
        <v>7.0951735972284394E-2</v>
      </c>
      <c r="F35" s="22">
        <f t="shared" si="0"/>
        <v>7.1521977088891908E-2</v>
      </c>
    </row>
    <row r="36" spans="1:6" ht="14" x14ac:dyDescent="0.15">
      <c r="A36" s="21">
        <v>40028</v>
      </c>
      <c r="B36" s="12">
        <v>28.39</v>
      </c>
      <c r="C36" s="12">
        <v>1020.62</v>
      </c>
      <c r="E36" s="22">
        <f t="shared" si="0"/>
        <v>7.7228776868470086E-2</v>
      </c>
      <c r="F36" s="22">
        <f t="shared" si="0"/>
        <v>3.3009321348136535E-2</v>
      </c>
    </row>
    <row r="37" spans="1:6" ht="14" x14ac:dyDescent="0.15">
      <c r="A37" s="21">
        <v>40057</v>
      </c>
      <c r="B37" s="12">
        <v>28.03</v>
      </c>
      <c r="C37" s="12">
        <v>1057.08</v>
      </c>
      <c r="E37" s="22">
        <f t="shared" si="0"/>
        <v>-1.2761605308182863E-2</v>
      </c>
      <c r="F37" s="22">
        <f t="shared" si="0"/>
        <v>3.5100104155946166E-2</v>
      </c>
    </row>
    <row r="38" spans="1:6" ht="14" x14ac:dyDescent="0.15">
      <c r="A38" s="21">
        <v>40087</v>
      </c>
      <c r="B38" s="12">
        <v>27.41</v>
      </c>
      <c r="C38" s="12">
        <v>1036.19</v>
      </c>
      <c r="E38" s="22">
        <f t="shared" si="0"/>
        <v>-2.2367454862002555E-2</v>
      </c>
      <c r="F38" s="22">
        <f t="shared" si="0"/>
        <v>-1.9959865222177731E-2</v>
      </c>
    </row>
    <row r="39" spans="1:6" ht="14" x14ac:dyDescent="0.15">
      <c r="A39" s="21">
        <v>40119</v>
      </c>
      <c r="B39" s="12">
        <v>32.090000000000003</v>
      </c>
      <c r="C39" s="12">
        <v>1095.6300000000001</v>
      </c>
      <c r="E39" s="22">
        <f t="shared" si="0"/>
        <v>0.15763654480707118</v>
      </c>
      <c r="F39" s="22">
        <f t="shared" si="0"/>
        <v>5.5779015582807137E-2</v>
      </c>
    </row>
    <row r="40" spans="1:6" ht="14" x14ac:dyDescent="0.15">
      <c r="A40" s="21">
        <v>40148</v>
      </c>
      <c r="B40" s="12">
        <v>32.71</v>
      </c>
      <c r="C40" s="12">
        <v>1115.0999999999999</v>
      </c>
      <c r="E40" s="22">
        <f t="shared" si="0"/>
        <v>1.9136386428526997E-2</v>
      </c>
      <c r="F40" s="22">
        <f t="shared" si="0"/>
        <v>1.7614546700982087E-2</v>
      </c>
    </row>
    <row r="41" spans="1:6" ht="14" x14ac:dyDescent="0.15">
      <c r="A41" s="21">
        <v>40182</v>
      </c>
      <c r="B41" s="12">
        <v>34.18</v>
      </c>
      <c r="C41" s="12">
        <v>1073.8699999999999</v>
      </c>
      <c r="E41" s="22">
        <f t="shared" si="0"/>
        <v>4.3959836137152229E-2</v>
      </c>
      <c r="F41" s="22">
        <f t="shared" si="0"/>
        <v>-3.7675141059320766E-2</v>
      </c>
    </row>
    <row r="42" spans="1:6" ht="14" x14ac:dyDescent="0.15">
      <c r="A42" s="21">
        <v>40210</v>
      </c>
      <c r="B42" s="12">
        <v>33.01</v>
      </c>
      <c r="C42" s="12">
        <v>1104.49</v>
      </c>
      <c r="E42" s="22">
        <f t="shared" si="0"/>
        <v>-3.4830131822343235E-2</v>
      </c>
      <c r="F42" s="22">
        <f t="shared" si="0"/>
        <v>2.8114744036660498E-2</v>
      </c>
    </row>
    <row r="43" spans="1:6" ht="14" x14ac:dyDescent="0.15">
      <c r="A43" s="21">
        <v>40238</v>
      </c>
      <c r="B43" s="12">
        <v>33.79</v>
      </c>
      <c r="C43" s="12">
        <v>1169.43</v>
      </c>
      <c r="E43" s="22">
        <f t="shared" ref="E43:F70" si="1">LN(B43/B42)</f>
        <v>2.3354354861096886E-2</v>
      </c>
      <c r="F43" s="22">
        <f t="shared" si="1"/>
        <v>5.7132760645483123E-2</v>
      </c>
    </row>
    <row r="44" spans="1:6" ht="14" x14ac:dyDescent="0.15">
      <c r="A44" s="21">
        <v>40269</v>
      </c>
      <c r="B44" s="12">
        <v>31.7</v>
      </c>
      <c r="C44" s="12">
        <v>1186.69</v>
      </c>
      <c r="E44" s="22">
        <f t="shared" si="1"/>
        <v>-6.3848219842963641E-2</v>
      </c>
      <c r="F44" s="22">
        <f t="shared" si="1"/>
        <v>1.4651468311863144E-2</v>
      </c>
    </row>
    <row r="45" spans="1:6" ht="14" x14ac:dyDescent="0.15">
      <c r="A45" s="21">
        <v>40301</v>
      </c>
      <c r="B45" s="12">
        <v>30.48</v>
      </c>
      <c r="C45" s="12">
        <v>1089.4100000000001</v>
      </c>
      <c r="E45" s="22">
        <f t="shared" si="1"/>
        <v>-3.9245950064789321E-2</v>
      </c>
      <c r="F45" s="22">
        <f t="shared" si="1"/>
        <v>-8.5531653633770133E-2</v>
      </c>
    </row>
    <row r="46" spans="1:6" ht="14" x14ac:dyDescent="0.15">
      <c r="A46" s="21">
        <v>40330</v>
      </c>
      <c r="B46" s="12">
        <v>31.98</v>
      </c>
      <c r="C46" s="12">
        <v>1030.71</v>
      </c>
      <c r="E46" s="22">
        <f t="shared" si="1"/>
        <v>4.8039976587362566E-2</v>
      </c>
      <c r="F46" s="22">
        <f t="shared" si="1"/>
        <v>-5.5388380132376618E-2</v>
      </c>
    </row>
    <row r="47" spans="1:6" ht="14" x14ac:dyDescent="0.15">
      <c r="A47" s="21">
        <v>40360</v>
      </c>
      <c r="B47" s="12">
        <v>31.52</v>
      </c>
      <c r="C47" s="12">
        <v>1101.5999999999999</v>
      </c>
      <c r="E47" s="22">
        <f t="shared" si="1"/>
        <v>-1.4488442416129833E-2</v>
      </c>
      <c r="F47" s="22">
        <f t="shared" si="1"/>
        <v>6.6515783274589638E-2</v>
      </c>
    </row>
    <row r="48" spans="1:6" ht="14" x14ac:dyDescent="0.15">
      <c r="A48" s="21">
        <v>40392</v>
      </c>
      <c r="B48" s="12">
        <v>32.159999999999997</v>
      </c>
      <c r="C48" s="12">
        <v>1049.33</v>
      </c>
      <c r="E48" s="22">
        <f t="shared" si="1"/>
        <v>2.0101179321087088E-2</v>
      </c>
      <c r="F48" s="22">
        <f t="shared" si="1"/>
        <v>-4.8611803170382606E-2</v>
      </c>
    </row>
    <row r="49" spans="1:6" ht="14" x14ac:dyDescent="0.15">
      <c r="A49" s="21">
        <v>40422</v>
      </c>
      <c r="B49" s="12">
        <v>34.020000000000003</v>
      </c>
      <c r="C49" s="12">
        <v>1141.2</v>
      </c>
      <c r="E49" s="22">
        <f t="shared" si="1"/>
        <v>5.6225142656950215E-2</v>
      </c>
      <c r="F49" s="22">
        <f t="shared" si="1"/>
        <v>8.3928475095282604E-2</v>
      </c>
    </row>
    <row r="50" spans="1:6" ht="14" x14ac:dyDescent="0.15">
      <c r="A50" s="21">
        <v>40452</v>
      </c>
      <c r="B50" s="12">
        <v>33.56</v>
      </c>
      <c r="C50" s="12">
        <v>1183.26</v>
      </c>
      <c r="E50" s="22">
        <f t="shared" si="1"/>
        <v>-1.3613705368710293E-2</v>
      </c>
      <c r="F50" s="22">
        <f t="shared" si="1"/>
        <v>3.6193000710687595E-2</v>
      </c>
    </row>
    <row r="51" spans="1:6" ht="14" x14ac:dyDescent="0.15">
      <c r="A51" s="21">
        <v>40483</v>
      </c>
      <c r="B51" s="12">
        <v>31.86</v>
      </c>
      <c r="C51" s="12">
        <v>1180.55</v>
      </c>
      <c r="E51" s="22">
        <f t="shared" si="1"/>
        <v>-5.1983577117103094E-2</v>
      </c>
      <c r="F51" s="22">
        <f t="shared" si="1"/>
        <v>-2.2929094870601432E-3</v>
      </c>
    </row>
    <row r="52" spans="1:6" ht="14" x14ac:dyDescent="0.15">
      <c r="A52" s="21">
        <v>40513</v>
      </c>
      <c r="B52" s="12">
        <v>33.659999999999997</v>
      </c>
      <c r="C52" s="12">
        <v>1257.6400000000001</v>
      </c>
      <c r="E52" s="22">
        <f t="shared" si="1"/>
        <v>5.495888428075741E-2</v>
      </c>
      <c r="F52" s="22">
        <f t="shared" si="1"/>
        <v>6.3256517221926059E-2</v>
      </c>
    </row>
    <row r="53" spans="1:6" ht="14" x14ac:dyDescent="0.15">
      <c r="A53" s="21">
        <v>40546</v>
      </c>
      <c r="B53" s="12">
        <v>30.98</v>
      </c>
      <c r="C53" s="12">
        <v>1286.1199999999999</v>
      </c>
      <c r="E53" s="22">
        <f t="shared" si="1"/>
        <v>-8.296835377393727E-2</v>
      </c>
      <c r="F53" s="22">
        <f t="shared" si="1"/>
        <v>2.239298525651701E-2</v>
      </c>
    </row>
    <row r="54" spans="1:6" ht="14" x14ac:dyDescent="0.15">
      <c r="A54" s="21">
        <v>40575</v>
      </c>
      <c r="B54" s="12">
        <v>30.42</v>
      </c>
      <c r="C54" s="12">
        <v>1327.22</v>
      </c>
      <c r="E54" s="22">
        <f t="shared" si="1"/>
        <v>-1.8241548157575754E-2</v>
      </c>
      <c r="F54" s="22">
        <f t="shared" si="1"/>
        <v>3.1456595040144836E-2</v>
      </c>
    </row>
    <row r="55" spans="1:6" ht="14" x14ac:dyDescent="0.15">
      <c r="A55" s="21">
        <v>40603</v>
      </c>
      <c r="B55" s="12">
        <v>31.19</v>
      </c>
      <c r="C55" s="12">
        <v>1325.83</v>
      </c>
      <c r="E55" s="22">
        <f t="shared" si="1"/>
        <v>2.4997243788565042E-2</v>
      </c>
      <c r="F55" s="22">
        <f t="shared" si="1"/>
        <v>-1.0478506829378123E-3</v>
      </c>
    </row>
    <row r="56" spans="1:6" ht="14" x14ac:dyDescent="0.15">
      <c r="A56" s="21">
        <v>40634</v>
      </c>
      <c r="B56" s="12">
        <v>33.97</v>
      </c>
      <c r="C56" s="12">
        <v>1363.61</v>
      </c>
      <c r="E56" s="22">
        <f t="shared" si="1"/>
        <v>8.5380251552780631E-2</v>
      </c>
      <c r="F56" s="22">
        <f t="shared" si="1"/>
        <v>2.809691636712916E-2</v>
      </c>
    </row>
    <row r="57" spans="1:6" ht="14" x14ac:dyDescent="0.15">
      <c r="A57" s="21">
        <v>40665</v>
      </c>
      <c r="B57" s="12">
        <v>34.729999999999997</v>
      </c>
      <c r="C57" s="12">
        <v>1345.2</v>
      </c>
      <c r="E57" s="22">
        <f t="shared" si="1"/>
        <v>2.2126084583490073E-2</v>
      </c>
      <c r="F57" s="22">
        <f t="shared" si="1"/>
        <v>-1.3592893899637262E-2</v>
      </c>
    </row>
    <row r="58" spans="1:6" ht="14" x14ac:dyDescent="0.15">
      <c r="A58" s="21">
        <v>40695</v>
      </c>
      <c r="B58" s="12">
        <v>33.71</v>
      </c>
      <c r="C58" s="12">
        <v>1320.64</v>
      </c>
      <c r="E58" s="22">
        <f t="shared" si="1"/>
        <v>-2.9809337510013134E-2</v>
      </c>
      <c r="F58" s="22">
        <f t="shared" si="1"/>
        <v>-1.8426233301897538E-2</v>
      </c>
    </row>
    <row r="59" spans="1:6" ht="14" x14ac:dyDescent="0.15">
      <c r="A59" s="21">
        <v>40725</v>
      </c>
      <c r="B59" s="12">
        <v>32.6</v>
      </c>
      <c r="C59" s="12">
        <v>1292.28</v>
      </c>
      <c r="E59" s="22">
        <f t="shared" si="1"/>
        <v>-3.348224087330743E-2</v>
      </c>
      <c r="F59" s="22">
        <f t="shared" si="1"/>
        <v>-2.1708367435427242E-2</v>
      </c>
    </row>
    <row r="60" spans="1:6" ht="14" x14ac:dyDescent="0.15">
      <c r="A60" s="21">
        <v>40756</v>
      </c>
      <c r="B60" s="12">
        <v>31.62</v>
      </c>
      <c r="C60" s="12">
        <v>1218.8900000000001</v>
      </c>
      <c r="E60" s="22">
        <f t="shared" si="1"/>
        <v>-3.0522456591336049E-2</v>
      </c>
      <c r="F60" s="22">
        <f t="shared" si="1"/>
        <v>-5.8467491619120418E-2</v>
      </c>
    </row>
    <row r="61" spans="1:6" ht="14" x14ac:dyDescent="0.15">
      <c r="A61" s="21">
        <v>40787</v>
      </c>
      <c r="B61" s="12">
        <v>31.61</v>
      </c>
      <c r="C61" s="12">
        <v>1131.42</v>
      </c>
      <c r="E61" s="22">
        <f t="shared" si="1"/>
        <v>-3.1630555379964488E-4</v>
      </c>
      <c r="F61" s="22">
        <f t="shared" si="1"/>
        <v>-7.4467127542783104E-2</v>
      </c>
    </row>
    <row r="62" spans="1:6" ht="14" x14ac:dyDescent="0.15">
      <c r="A62" s="21">
        <v>40819</v>
      </c>
      <c r="B62" s="12">
        <v>33.35</v>
      </c>
      <c r="C62" s="12">
        <v>1253.3</v>
      </c>
      <c r="E62" s="22">
        <f t="shared" si="1"/>
        <v>5.3584246134106471E-2</v>
      </c>
      <c r="F62" s="22">
        <f t="shared" si="1"/>
        <v>0.10230659165059017</v>
      </c>
    </row>
    <row r="63" spans="1:6" ht="14" x14ac:dyDescent="0.15">
      <c r="A63" s="21">
        <v>40848</v>
      </c>
      <c r="B63" s="12">
        <v>34.56</v>
      </c>
      <c r="C63" s="12">
        <v>1246.96</v>
      </c>
      <c r="E63" s="22">
        <f t="shared" si="1"/>
        <v>3.5639171574222153E-2</v>
      </c>
      <c r="F63" s="22">
        <f t="shared" si="1"/>
        <v>-5.0714834366809821E-3</v>
      </c>
    </row>
    <row r="64" spans="1:6" ht="14" x14ac:dyDescent="0.15">
      <c r="A64" s="21">
        <v>40878</v>
      </c>
      <c r="B64" s="12">
        <v>36.880000000000003</v>
      </c>
      <c r="C64" s="12">
        <v>1257.5999999999999</v>
      </c>
      <c r="E64" s="22">
        <f t="shared" si="1"/>
        <v>6.4972454752538128E-2</v>
      </c>
      <c r="F64" s="22">
        <f t="shared" si="1"/>
        <v>8.4965534941463527E-3</v>
      </c>
    </row>
    <row r="65" spans="1:6" ht="14" x14ac:dyDescent="0.15">
      <c r="A65" s="21">
        <v>40911</v>
      </c>
      <c r="B65" s="12">
        <v>37.44</v>
      </c>
      <c r="C65" s="12">
        <v>1312.41</v>
      </c>
      <c r="E65" s="22">
        <f t="shared" si="1"/>
        <v>1.5070252920998173E-2</v>
      </c>
      <c r="F65" s="22">
        <f t="shared" si="1"/>
        <v>4.2659999011137491E-2</v>
      </c>
    </row>
    <row r="66" spans="1:6" ht="14" x14ac:dyDescent="0.15">
      <c r="A66" s="21">
        <v>40940</v>
      </c>
      <c r="B66" s="12">
        <v>37.340000000000003</v>
      </c>
      <c r="C66" s="12">
        <v>1365.68</v>
      </c>
      <c r="E66" s="22">
        <f t="shared" si="1"/>
        <v>-2.6745134958146215E-3</v>
      </c>
      <c r="F66" s="22">
        <f t="shared" si="1"/>
        <v>3.9787331386417914E-2</v>
      </c>
    </row>
    <row r="67" spans="1:6" ht="14" x14ac:dyDescent="0.15">
      <c r="A67" s="21">
        <v>40969</v>
      </c>
      <c r="B67" s="12">
        <v>37.979999999999997</v>
      </c>
      <c r="C67" s="12">
        <v>1408.47</v>
      </c>
      <c r="E67" s="22">
        <f t="shared" si="1"/>
        <v>1.6994567270562991E-2</v>
      </c>
      <c r="F67" s="22">
        <f t="shared" si="1"/>
        <v>3.0851535762571346E-2</v>
      </c>
    </row>
    <row r="68" spans="1:6" ht="14" x14ac:dyDescent="0.15">
      <c r="A68" s="21">
        <v>41001</v>
      </c>
      <c r="B68" s="12">
        <v>38.82</v>
      </c>
      <c r="C68" s="12">
        <v>1397.91</v>
      </c>
      <c r="E68" s="22">
        <f t="shared" si="1"/>
        <v>2.1875872356724457E-2</v>
      </c>
      <c r="F68" s="22">
        <f t="shared" si="1"/>
        <v>-7.5257447960486246E-3</v>
      </c>
    </row>
    <row r="69" spans="1:6" ht="14" x14ac:dyDescent="0.15">
      <c r="A69" s="21">
        <v>41030</v>
      </c>
      <c r="B69" s="12">
        <v>37.17</v>
      </c>
      <c r="C69" s="12">
        <v>1310.33</v>
      </c>
      <c r="E69" s="22">
        <f t="shared" si="1"/>
        <v>-4.3433593431703353E-2</v>
      </c>
      <c r="F69" s="22">
        <f t="shared" si="1"/>
        <v>-6.4699250170469236E-2</v>
      </c>
    </row>
    <row r="70" spans="1:6" ht="14" x14ac:dyDescent="0.15">
      <c r="A70" s="21">
        <v>41061</v>
      </c>
      <c r="B70" s="12">
        <v>41.75</v>
      </c>
      <c r="C70" s="12">
        <v>1362.16</v>
      </c>
      <c r="E70" s="22">
        <f t="shared" si="1"/>
        <v>0.11619746698770368</v>
      </c>
      <c r="F70" s="22">
        <f t="shared" si="1"/>
        <v>3.8792661243837456E-2</v>
      </c>
    </row>
  </sheetData>
  <mergeCells count="3">
    <mergeCell ref="A1:G1"/>
    <mergeCell ref="B8:C8"/>
    <mergeCell ref="E8:F8"/>
  </mergeCells>
  <printOptions headings="1" gridLines="1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zoomScale="130" zoomScaleNormal="130" zoomScalePageLayoutView="130" workbookViewId="0">
      <selection activeCell="C13" sqref="C13"/>
    </sheetView>
  </sheetViews>
  <sheetFormatPr baseColWidth="10" defaultColWidth="8.83203125" defaultRowHeight="14" x14ac:dyDescent="0.15"/>
  <cols>
    <col min="1" max="1" width="29.1640625" customWidth="1"/>
    <col min="3" max="3" width="17.83203125" bestFit="1" customWidth="1"/>
  </cols>
  <sheetData>
    <row r="1" spans="1:3" ht="57.75" customHeight="1" x14ac:dyDescent="0.15">
      <c r="A1" s="55" t="s">
        <v>41</v>
      </c>
      <c r="B1" s="55"/>
      <c r="C1" s="55"/>
    </row>
    <row r="2" spans="1:3" x14ac:dyDescent="0.15">
      <c r="A2" t="s">
        <v>42</v>
      </c>
      <c r="B2" s="24">
        <f>B!B3</f>
        <v>0.64350288539150746</v>
      </c>
    </row>
    <row r="3" spans="1:3" ht="16" x14ac:dyDescent="0.2">
      <c r="A3" t="s">
        <v>43</v>
      </c>
      <c r="B3" s="10">
        <v>0.02</v>
      </c>
    </row>
    <row r="4" spans="1:3" ht="16" x14ac:dyDescent="0.2">
      <c r="A4" t="s">
        <v>44</v>
      </c>
      <c r="B4" s="13">
        <v>0.08</v>
      </c>
    </row>
    <row r="5" spans="1:3" ht="16" x14ac:dyDescent="0.2">
      <c r="A5" t="s">
        <v>45</v>
      </c>
      <c r="B5" s="10">
        <f>B3+B2*(B4-B3)</f>
        <v>5.8610173123490442E-2</v>
      </c>
    </row>
  </sheetData>
  <mergeCells count="1">
    <mergeCell ref="A1:C1"/>
  </mergeCells>
  <printOptions headings="1" gridLine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6"/>
  <sheetViews>
    <sheetView zoomScale="130" zoomScaleNormal="130" zoomScalePageLayoutView="130" workbookViewId="0">
      <selection activeCell="D4" sqref="D4"/>
    </sheetView>
  </sheetViews>
  <sheetFormatPr baseColWidth="10" defaultColWidth="8.83203125" defaultRowHeight="14" x14ac:dyDescent="0.15"/>
  <cols>
    <col min="1" max="1" width="30" bestFit="1" customWidth="1"/>
    <col min="3" max="3" width="29.6640625" bestFit="1" customWidth="1"/>
  </cols>
  <sheetData>
    <row r="1" spans="1:3" ht="45.5" customHeight="1" x14ac:dyDescent="0.15">
      <c r="A1" s="55" t="s">
        <v>46</v>
      </c>
      <c r="B1" s="55"/>
      <c r="C1" s="55"/>
    </row>
    <row r="2" spans="1:3" s="25" customFormat="1" ht="15.5" customHeight="1" x14ac:dyDescent="0.15">
      <c r="A2" s="25" t="s">
        <v>42</v>
      </c>
      <c r="B2" s="26">
        <f>B!B3</f>
        <v>0.64350288539150746</v>
      </c>
    </row>
    <row r="3" spans="1:3" ht="16" x14ac:dyDescent="0.2">
      <c r="A3" t="s">
        <v>47</v>
      </c>
      <c r="B3" s="10">
        <f>'T(c)'!D5</f>
        <v>0.12844286883010636</v>
      </c>
    </row>
    <row r="4" spans="1:3" ht="16" x14ac:dyDescent="0.2">
      <c r="A4" t="s">
        <v>43</v>
      </c>
      <c r="B4" s="10">
        <v>0.02</v>
      </c>
    </row>
    <row r="5" spans="1:3" ht="16" x14ac:dyDescent="0.2">
      <c r="A5" t="s">
        <v>44</v>
      </c>
      <c r="B5" s="13">
        <v>0.08</v>
      </c>
    </row>
    <row r="6" spans="1:3" ht="16" x14ac:dyDescent="0.2">
      <c r="A6" t="s">
        <v>48</v>
      </c>
      <c r="B6" s="10">
        <f>B4*(1-B3)+B2*(B5-B4*(1-B3))</f>
        <v>5.769438288089105E-2</v>
      </c>
    </row>
  </sheetData>
  <mergeCells count="1">
    <mergeCell ref="A1:C1"/>
  </mergeCells>
  <printOptions headings="1" gridLines="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44"/>
  <sheetViews>
    <sheetView zoomScale="130" zoomScaleNormal="130" zoomScalePageLayoutView="130" workbookViewId="0">
      <selection activeCell="G7" sqref="G7"/>
    </sheetView>
  </sheetViews>
  <sheetFormatPr baseColWidth="10" defaultColWidth="8.6640625" defaultRowHeight="13" x14ac:dyDescent="0.15"/>
  <cols>
    <col min="1" max="1" width="23.83203125" style="17" customWidth="1"/>
    <col min="2" max="2" width="8.6640625" style="17"/>
    <col min="3" max="3" width="11.33203125" style="17" customWidth="1"/>
    <col min="4" max="4" width="27.5" style="17" customWidth="1"/>
    <col min="5" max="16384" width="8.6640625" style="17"/>
  </cols>
  <sheetData>
    <row r="1" spans="1:4" ht="56" customHeight="1" x14ac:dyDescent="0.15">
      <c r="A1" s="56" t="s">
        <v>49</v>
      </c>
      <c r="B1" s="57"/>
      <c r="C1" s="57"/>
      <c r="D1" s="57"/>
    </row>
    <row r="2" spans="1:4" x14ac:dyDescent="0.15">
      <c r="A2" s="19" t="s">
        <v>50</v>
      </c>
      <c r="B2" s="27">
        <f>AVERAGE(C10:C311)</f>
        <v>6.8926966723209769E-3</v>
      </c>
    </row>
    <row r="3" spans="1:4" ht="14" x14ac:dyDescent="0.15">
      <c r="A3" s="19" t="s">
        <v>51</v>
      </c>
      <c r="B3" s="28">
        <f>STDEV(C10:C311)</f>
        <v>4.5824874189551584E-2</v>
      </c>
    </row>
    <row r="4" spans="1:4" x14ac:dyDescent="0.15">
      <c r="A4" s="19"/>
      <c r="B4" s="19"/>
    </row>
    <row r="5" spans="1:4" ht="14" x14ac:dyDescent="0.15">
      <c r="A5" s="19" t="s">
        <v>52</v>
      </c>
      <c r="B5" s="28">
        <f>12*B2</f>
        <v>8.2712360067851723E-2</v>
      </c>
    </row>
    <row r="6" spans="1:4" ht="14" x14ac:dyDescent="0.15">
      <c r="A6" s="17" t="s">
        <v>53</v>
      </c>
      <c r="B6" s="29">
        <f>SQRT(12)*B3</f>
        <v>0.15874202069351004</v>
      </c>
    </row>
    <row r="8" spans="1:4" x14ac:dyDescent="0.15">
      <c r="A8" s="20" t="s">
        <v>38</v>
      </c>
      <c r="B8" s="20" t="s">
        <v>54</v>
      </c>
      <c r="C8" s="20" t="s">
        <v>55</v>
      </c>
    </row>
    <row r="9" spans="1:4" ht="14" x14ac:dyDescent="0.15">
      <c r="A9" s="21">
        <v>31868</v>
      </c>
      <c r="B9">
        <v>15.66</v>
      </c>
      <c r="C9" s="30"/>
    </row>
    <row r="10" spans="1:4" ht="14" x14ac:dyDescent="0.15">
      <c r="A10" s="21">
        <v>31898</v>
      </c>
      <c r="B10">
        <v>15.82</v>
      </c>
      <c r="C10" s="31">
        <f t="shared" ref="C10:C73" si="0">LN(B10/B9)</f>
        <v>1.0165271776850711E-2</v>
      </c>
    </row>
    <row r="11" spans="1:4" ht="14" x14ac:dyDescent="0.15">
      <c r="A11" s="21">
        <v>31929</v>
      </c>
      <c r="B11">
        <v>16.62</v>
      </c>
      <c r="C11" s="31">
        <f t="shared" si="0"/>
        <v>4.9331827087794301E-2</v>
      </c>
    </row>
    <row r="12" spans="1:4" ht="14" x14ac:dyDescent="0.15">
      <c r="A12" s="21">
        <v>31959</v>
      </c>
      <c r="B12">
        <v>17.440000000000001</v>
      </c>
      <c r="C12" s="31">
        <f t="shared" si="0"/>
        <v>4.8159629053531397E-2</v>
      </c>
    </row>
    <row r="13" spans="1:4" ht="14" x14ac:dyDescent="0.15">
      <c r="A13" s="21">
        <v>31992</v>
      </c>
      <c r="B13">
        <v>18.11</v>
      </c>
      <c r="C13" s="31">
        <f t="shared" si="0"/>
        <v>3.7697853414488287E-2</v>
      </c>
    </row>
    <row r="14" spans="1:4" ht="14" hidden="1" x14ac:dyDescent="0.15">
      <c r="A14" s="21">
        <v>32021</v>
      </c>
      <c r="B14">
        <v>17.690000000000001</v>
      </c>
      <c r="C14" s="31">
        <f t="shared" si="0"/>
        <v>-2.3464763723627959E-2</v>
      </c>
    </row>
    <row r="15" spans="1:4" ht="14" hidden="1" x14ac:dyDescent="0.15">
      <c r="A15" s="21">
        <v>32051</v>
      </c>
      <c r="B15">
        <v>13.85</v>
      </c>
      <c r="C15" s="31">
        <f t="shared" si="0"/>
        <v>-0.24471427553834646</v>
      </c>
    </row>
    <row r="16" spans="1:4" ht="14" hidden="1" x14ac:dyDescent="0.15">
      <c r="A16" s="21">
        <v>32083</v>
      </c>
      <c r="B16">
        <v>12.72</v>
      </c>
      <c r="C16" s="31">
        <f t="shared" si="0"/>
        <v>-8.5109674721371348E-2</v>
      </c>
    </row>
    <row r="17" spans="1:3" ht="14" hidden="1" x14ac:dyDescent="0.15">
      <c r="A17" s="21">
        <v>32112</v>
      </c>
      <c r="B17">
        <v>13.67</v>
      </c>
      <c r="C17" s="31">
        <f t="shared" si="0"/>
        <v>7.2028092823882117E-2</v>
      </c>
    </row>
    <row r="18" spans="1:3" ht="14" hidden="1" x14ac:dyDescent="0.15">
      <c r="A18" s="21">
        <v>32146</v>
      </c>
      <c r="B18">
        <v>14.14</v>
      </c>
      <c r="C18" s="31">
        <f t="shared" si="0"/>
        <v>3.3804009732568543E-2</v>
      </c>
    </row>
    <row r="19" spans="1:3" ht="14" hidden="1" x14ac:dyDescent="0.15">
      <c r="A19" s="21">
        <v>32174</v>
      </c>
      <c r="B19">
        <v>14.79</v>
      </c>
      <c r="C19" s="31">
        <f t="shared" si="0"/>
        <v>4.4943616254281712E-2</v>
      </c>
    </row>
    <row r="20" spans="1:3" ht="14" hidden="1" x14ac:dyDescent="0.15">
      <c r="A20" s="21">
        <v>32203</v>
      </c>
      <c r="B20">
        <v>14.34</v>
      </c>
      <c r="C20" s="31">
        <f t="shared" si="0"/>
        <v>-3.0898441551234061E-2</v>
      </c>
    </row>
    <row r="21" spans="1:3" ht="14" hidden="1" x14ac:dyDescent="0.15">
      <c r="A21" s="21">
        <v>32237</v>
      </c>
      <c r="B21">
        <v>14.49</v>
      </c>
      <c r="C21" s="31">
        <f t="shared" si="0"/>
        <v>1.040592116111682E-2</v>
      </c>
    </row>
    <row r="22" spans="1:3" ht="14" hidden="1" x14ac:dyDescent="0.15">
      <c r="A22" s="21">
        <v>32265</v>
      </c>
      <c r="B22">
        <v>14.6</v>
      </c>
      <c r="C22" s="31">
        <f t="shared" si="0"/>
        <v>7.5627723816997462E-3</v>
      </c>
    </row>
    <row r="23" spans="1:3" ht="14" hidden="1" x14ac:dyDescent="0.15">
      <c r="A23" s="21">
        <v>32295</v>
      </c>
      <c r="B23">
        <v>15.27</v>
      </c>
      <c r="C23" s="31">
        <f t="shared" si="0"/>
        <v>4.4868590516250209E-2</v>
      </c>
    </row>
    <row r="24" spans="1:3" ht="14" hidden="1" x14ac:dyDescent="0.15">
      <c r="A24" s="21">
        <v>32325</v>
      </c>
      <c r="B24">
        <v>15.21</v>
      </c>
      <c r="C24" s="31">
        <f t="shared" si="0"/>
        <v>-3.9370129593395316E-3</v>
      </c>
    </row>
    <row r="25" spans="1:3" ht="14" hidden="1" x14ac:dyDescent="0.15">
      <c r="A25" s="21">
        <v>32356</v>
      </c>
      <c r="B25">
        <v>14.7</v>
      </c>
      <c r="C25" s="31">
        <f t="shared" si="0"/>
        <v>-3.4105612486510929E-2</v>
      </c>
    </row>
    <row r="26" spans="1:3" ht="14" hidden="1" x14ac:dyDescent="0.15">
      <c r="A26" s="21">
        <v>32387</v>
      </c>
      <c r="B26">
        <v>15.32</v>
      </c>
      <c r="C26" s="31">
        <f t="shared" si="0"/>
        <v>4.1311670527754751E-2</v>
      </c>
    </row>
    <row r="27" spans="1:3" ht="14" hidden="1" x14ac:dyDescent="0.15">
      <c r="A27" s="21">
        <v>32419</v>
      </c>
      <c r="B27">
        <v>15.74</v>
      </c>
      <c r="C27" s="31">
        <f t="shared" si="0"/>
        <v>2.7046078676811899E-2</v>
      </c>
    </row>
    <row r="28" spans="1:3" ht="14" hidden="1" x14ac:dyDescent="0.15">
      <c r="A28" s="21">
        <v>32448</v>
      </c>
      <c r="B28">
        <v>15.51</v>
      </c>
      <c r="C28" s="31">
        <f t="shared" si="0"/>
        <v>-1.4720265800809715E-2</v>
      </c>
    </row>
    <row r="29" spans="1:3" ht="14" hidden="1" x14ac:dyDescent="0.15">
      <c r="A29" s="21">
        <v>32478</v>
      </c>
      <c r="B29">
        <v>15.78</v>
      </c>
      <c r="C29" s="31">
        <f t="shared" si="0"/>
        <v>1.7258338229280783E-2</v>
      </c>
    </row>
    <row r="30" spans="1:3" ht="14" hidden="1" x14ac:dyDescent="0.15">
      <c r="A30" s="21">
        <v>32511</v>
      </c>
      <c r="B30">
        <v>16.940000000000001</v>
      </c>
      <c r="C30" s="31">
        <f t="shared" si="0"/>
        <v>7.0934373806180256E-2</v>
      </c>
    </row>
    <row r="31" spans="1:3" ht="14" hidden="1" x14ac:dyDescent="0.15">
      <c r="A31" s="21">
        <v>32540</v>
      </c>
      <c r="B31">
        <v>16.52</v>
      </c>
      <c r="C31" s="31">
        <f t="shared" si="0"/>
        <v>-2.5105921131076472E-2</v>
      </c>
    </row>
    <row r="32" spans="1:3" ht="14" hidden="1" x14ac:dyDescent="0.15">
      <c r="A32" s="21">
        <v>32568</v>
      </c>
      <c r="B32">
        <v>16.89</v>
      </c>
      <c r="C32" s="31">
        <f t="shared" si="0"/>
        <v>2.2149962726876766E-2</v>
      </c>
    </row>
    <row r="33" spans="1:3" ht="14" hidden="1" x14ac:dyDescent="0.15">
      <c r="A33" s="21">
        <v>32601</v>
      </c>
      <c r="B33">
        <v>17.77</v>
      </c>
      <c r="C33" s="31">
        <f t="shared" si="0"/>
        <v>5.0789911346851187E-2</v>
      </c>
    </row>
    <row r="34" spans="1:3" ht="14" hidden="1" x14ac:dyDescent="0.15">
      <c r="A34" s="21">
        <v>32629</v>
      </c>
      <c r="B34">
        <v>18.489999999999998</v>
      </c>
      <c r="C34" s="31">
        <f t="shared" si="0"/>
        <v>3.971840323247345E-2</v>
      </c>
    </row>
    <row r="35" spans="1:3" ht="14" hidden="1" x14ac:dyDescent="0.15">
      <c r="A35" s="21">
        <v>32660</v>
      </c>
      <c r="B35">
        <v>18.38</v>
      </c>
      <c r="C35" s="31">
        <f t="shared" si="0"/>
        <v>-5.9669284714925037E-3</v>
      </c>
    </row>
    <row r="36" spans="1:3" ht="14" hidden="1" x14ac:dyDescent="0.15">
      <c r="A36" s="21">
        <v>32692</v>
      </c>
      <c r="B36">
        <v>20.03</v>
      </c>
      <c r="C36" s="31">
        <f t="shared" si="0"/>
        <v>8.5968032750186024E-2</v>
      </c>
    </row>
    <row r="37" spans="1:3" ht="14" hidden="1" x14ac:dyDescent="0.15">
      <c r="A37" s="21">
        <v>32721</v>
      </c>
      <c r="B37">
        <v>20.399999999999999</v>
      </c>
      <c r="C37" s="31">
        <f t="shared" si="0"/>
        <v>1.830375117244365E-2</v>
      </c>
    </row>
    <row r="38" spans="1:3" ht="14" hidden="1" x14ac:dyDescent="0.15">
      <c r="A38" s="21">
        <v>32752</v>
      </c>
      <c r="B38">
        <v>20.32</v>
      </c>
      <c r="C38" s="31">
        <f t="shared" si="0"/>
        <v>-3.9292781398894382E-3</v>
      </c>
    </row>
    <row r="39" spans="1:3" ht="14" hidden="1" x14ac:dyDescent="0.15">
      <c r="A39" s="21">
        <v>32783</v>
      </c>
      <c r="B39">
        <v>19.850000000000001</v>
      </c>
      <c r="C39" s="31">
        <f t="shared" si="0"/>
        <v>-2.3401615577081682E-2</v>
      </c>
    </row>
    <row r="40" spans="1:3" ht="14" hidden="1" x14ac:dyDescent="0.15">
      <c r="A40" s="21">
        <v>32813</v>
      </c>
      <c r="B40">
        <v>20.25</v>
      </c>
      <c r="C40" s="31">
        <f t="shared" si="0"/>
        <v>1.9950786419348693E-2</v>
      </c>
    </row>
    <row r="41" spans="1:3" ht="14" hidden="1" x14ac:dyDescent="0.15">
      <c r="A41" s="21">
        <v>32843</v>
      </c>
      <c r="B41">
        <v>20.74</v>
      </c>
      <c r="C41" s="31">
        <f t="shared" si="0"/>
        <v>2.3909409248833106E-2</v>
      </c>
    </row>
    <row r="42" spans="1:3" ht="14" hidden="1" x14ac:dyDescent="0.15">
      <c r="A42" s="21">
        <v>32875</v>
      </c>
      <c r="B42">
        <v>19.34</v>
      </c>
      <c r="C42" s="31">
        <f t="shared" si="0"/>
        <v>-6.9888712776232931E-2</v>
      </c>
    </row>
    <row r="43" spans="1:3" ht="14" hidden="1" x14ac:dyDescent="0.15">
      <c r="A43" s="21">
        <v>32905</v>
      </c>
      <c r="B43">
        <v>19.59</v>
      </c>
      <c r="C43" s="31">
        <f t="shared" si="0"/>
        <v>1.2843741931301134E-2</v>
      </c>
    </row>
    <row r="44" spans="1:3" ht="14" hidden="1" x14ac:dyDescent="0.15">
      <c r="A44" s="21">
        <v>32933</v>
      </c>
      <c r="B44">
        <v>20.100000000000001</v>
      </c>
      <c r="C44" s="31">
        <f t="shared" si="0"/>
        <v>2.5700583108580703E-2</v>
      </c>
    </row>
    <row r="45" spans="1:3" ht="14" hidden="1" x14ac:dyDescent="0.15">
      <c r="A45" s="21">
        <v>32965</v>
      </c>
      <c r="B45">
        <v>19.600000000000001</v>
      </c>
      <c r="C45" s="31">
        <f t="shared" si="0"/>
        <v>-2.5190248828558519E-2</v>
      </c>
    </row>
    <row r="46" spans="1:3" ht="14" hidden="1" x14ac:dyDescent="0.15">
      <c r="A46" s="21">
        <v>32994</v>
      </c>
      <c r="B46">
        <v>21.5</v>
      </c>
      <c r="C46" s="31">
        <f t="shared" si="0"/>
        <v>9.2523368897145519E-2</v>
      </c>
    </row>
    <row r="47" spans="1:3" ht="14" hidden="1" x14ac:dyDescent="0.15">
      <c r="A47" s="21">
        <v>33025</v>
      </c>
      <c r="B47">
        <v>21.36</v>
      </c>
      <c r="C47" s="31">
        <f t="shared" si="0"/>
        <v>-6.5329210416230719E-3</v>
      </c>
    </row>
    <row r="48" spans="1:3" ht="14" hidden="1" x14ac:dyDescent="0.15">
      <c r="A48" s="21">
        <v>33056</v>
      </c>
      <c r="B48">
        <v>21.28</v>
      </c>
      <c r="C48" s="31">
        <f t="shared" si="0"/>
        <v>-3.7523496185503527E-3</v>
      </c>
    </row>
    <row r="49" spans="1:3" ht="14" hidden="1" x14ac:dyDescent="0.15">
      <c r="A49" s="21">
        <v>33086</v>
      </c>
      <c r="B49">
        <v>19.36</v>
      </c>
      <c r="C49" s="31">
        <f t="shared" si="0"/>
        <v>-9.4558582625012794E-2</v>
      </c>
    </row>
    <row r="50" spans="1:3" ht="14" hidden="1" x14ac:dyDescent="0.15">
      <c r="A50" s="21">
        <v>33120</v>
      </c>
      <c r="B50">
        <v>18.41</v>
      </c>
      <c r="C50" s="31">
        <f t="shared" si="0"/>
        <v>-5.0315086603444428E-2</v>
      </c>
    </row>
    <row r="51" spans="1:3" ht="14" hidden="1" x14ac:dyDescent="0.15">
      <c r="A51" s="21">
        <v>33147</v>
      </c>
      <c r="B51">
        <v>18.34</v>
      </c>
      <c r="C51" s="31">
        <f t="shared" si="0"/>
        <v>-3.8095284166677302E-3</v>
      </c>
    </row>
    <row r="52" spans="1:3" ht="14" hidden="1" x14ac:dyDescent="0.15">
      <c r="A52" s="21">
        <v>33178</v>
      </c>
      <c r="B52">
        <v>19.52</v>
      </c>
      <c r="C52" s="31">
        <f t="shared" si="0"/>
        <v>6.2355114156627693E-2</v>
      </c>
    </row>
    <row r="53" spans="1:3" ht="14" hidden="1" x14ac:dyDescent="0.15">
      <c r="A53" s="21">
        <v>33210</v>
      </c>
      <c r="B53">
        <v>20.04</v>
      </c>
      <c r="C53" s="31">
        <f t="shared" si="0"/>
        <v>2.6290695231717516E-2</v>
      </c>
    </row>
    <row r="54" spans="1:3" ht="14" hidden="1" x14ac:dyDescent="0.15">
      <c r="A54" s="21">
        <v>33240</v>
      </c>
      <c r="B54">
        <v>20.91</v>
      </c>
      <c r="C54" s="31">
        <f t="shared" si="0"/>
        <v>4.2497237223878138E-2</v>
      </c>
    </row>
    <row r="55" spans="1:3" ht="14" hidden="1" x14ac:dyDescent="0.15">
      <c r="A55" s="21">
        <v>33270</v>
      </c>
      <c r="B55">
        <v>22.4</v>
      </c>
      <c r="C55" s="31">
        <f t="shared" si="0"/>
        <v>6.8833445420451986E-2</v>
      </c>
    </row>
    <row r="56" spans="1:3" ht="14" hidden="1" x14ac:dyDescent="0.15">
      <c r="A56" s="21">
        <v>33298</v>
      </c>
      <c r="B56">
        <v>22.94</v>
      </c>
      <c r="C56" s="31">
        <f t="shared" si="0"/>
        <v>2.3821152840230488E-2</v>
      </c>
    </row>
    <row r="57" spans="1:3" ht="14" hidden="1" x14ac:dyDescent="0.15">
      <c r="A57" s="21">
        <v>33329</v>
      </c>
      <c r="B57">
        <v>22.99</v>
      </c>
      <c r="C57" s="31">
        <f t="shared" si="0"/>
        <v>2.1772270738653191E-3</v>
      </c>
    </row>
    <row r="58" spans="1:3" ht="14" hidden="1" x14ac:dyDescent="0.15">
      <c r="A58" s="21">
        <v>33359</v>
      </c>
      <c r="B58">
        <v>23.97</v>
      </c>
      <c r="C58" s="31">
        <f t="shared" si="0"/>
        <v>4.174370967120275E-2</v>
      </c>
    </row>
    <row r="59" spans="1:3" ht="14" hidden="1" x14ac:dyDescent="0.15">
      <c r="A59" s="21">
        <v>33392</v>
      </c>
      <c r="B59">
        <v>22.88</v>
      </c>
      <c r="C59" s="31">
        <f t="shared" si="0"/>
        <v>-4.6539881934695826E-2</v>
      </c>
    </row>
    <row r="60" spans="1:3" ht="14" hidden="1" x14ac:dyDescent="0.15">
      <c r="A60" s="21">
        <v>33420</v>
      </c>
      <c r="B60">
        <v>23.94</v>
      </c>
      <c r="C60" s="31">
        <f t="shared" si="0"/>
        <v>4.5287533618230069E-2</v>
      </c>
    </row>
    <row r="61" spans="1:3" ht="14" hidden="1" x14ac:dyDescent="0.15">
      <c r="A61" s="21">
        <v>33451</v>
      </c>
      <c r="B61">
        <v>24.49</v>
      </c>
      <c r="C61" s="31">
        <f t="shared" si="0"/>
        <v>2.2714170834249144E-2</v>
      </c>
    </row>
    <row r="62" spans="1:3" ht="14" hidden="1" x14ac:dyDescent="0.15">
      <c r="A62" s="21">
        <v>33484</v>
      </c>
      <c r="B62">
        <v>24.09</v>
      </c>
      <c r="C62" s="31">
        <f t="shared" si="0"/>
        <v>-1.6468054337296371E-2</v>
      </c>
    </row>
    <row r="63" spans="1:3" ht="14" hidden="1" x14ac:dyDescent="0.15">
      <c r="A63" s="21">
        <v>33512</v>
      </c>
      <c r="B63">
        <v>24.41</v>
      </c>
      <c r="C63" s="31">
        <f t="shared" si="0"/>
        <v>1.3196067778088684E-2</v>
      </c>
    </row>
    <row r="64" spans="1:3" ht="14" hidden="1" x14ac:dyDescent="0.15">
      <c r="A64" s="21">
        <v>33543</v>
      </c>
      <c r="B64">
        <v>23.43</v>
      </c>
      <c r="C64" s="31">
        <f t="shared" si="0"/>
        <v>-4.0975631885164433E-2</v>
      </c>
    </row>
    <row r="65" spans="1:3" ht="14" hidden="1" x14ac:dyDescent="0.15">
      <c r="A65" s="21">
        <v>33574</v>
      </c>
      <c r="B65">
        <v>26.1</v>
      </c>
      <c r="C65" s="31">
        <f t="shared" si="0"/>
        <v>0.10791806180894342</v>
      </c>
    </row>
    <row r="66" spans="1:3" ht="14" hidden="1" x14ac:dyDescent="0.15">
      <c r="A66" s="21">
        <v>33605</v>
      </c>
      <c r="B66">
        <v>25.61</v>
      </c>
      <c r="C66" s="31">
        <f t="shared" si="0"/>
        <v>-1.8952414117213878E-2</v>
      </c>
    </row>
    <row r="67" spans="1:3" ht="14" hidden="1" x14ac:dyDescent="0.15">
      <c r="A67" s="21">
        <v>33637</v>
      </c>
      <c r="B67">
        <v>25.93</v>
      </c>
      <c r="C67" s="31">
        <f t="shared" si="0"/>
        <v>1.2417699339139112E-2</v>
      </c>
    </row>
    <row r="68" spans="1:3" ht="14" hidden="1" x14ac:dyDescent="0.15">
      <c r="A68" s="21">
        <v>33665</v>
      </c>
      <c r="B68">
        <v>25.43</v>
      </c>
      <c r="C68" s="31">
        <f t="shared" si="0"/>
        <v>-1.9471020116544752E-2</v>
      </c>
    </row>
    <row r="69" spans="1:3" ht="14" hidden="1" x14ac:dyDescent="0.15">
      <c r="A69" s="21">
        <v>33695</v>
      </c>
      <c r="B69">
        <v>26.17</v>
      </c>
      <c r="C69" s="31">
        <f t="shared" si="0"/>
        <v>2.8684137108026243E-2</v>
      </c>
    </row>
    <row r="70" spans="1:3" ht="14" hidden="1" x14ac:dyDescent="0.15">
      <c r="A70" s="21">
        <v>33725</v>
      </c>
      <c r="B70">
        <v>26.3</v>
      </c>
      <c r="C70" s="31">
        <f t="shared" si="0"/>
        <v>4.955222641664433E-3</v>
      </c>
    </row>
    <row r="71" spans="1:3" ht="14" hidden="1" x14ac:dyDescent="0.15">
      <c r="A71" s="21">
        <v>33756</v>
      </c>
      <c r="B71">
        <v>25.91</v>
      </c>
      <c r="C71" s="31">
        <f t="shared" si="0"/>
        <v>-1.4939944609700313E-2</v>
      </c>
    </row>
    <row r="72" spans="1:3" ht="14" hidden="1" x14ac:dyDescent="0.15">
      <c r="A72" s="21">
        <v>33786</v>
      </c>
      <c r="B72">
        <v>26.95</v>
      </c>
      <c r="C72" s="31">
        <f t="shared" si="0"/>
        <v>3.9354302780987602E-2</v>
      </c>
    </row>
    <row r="73" spans="1:3" ht="14" hidden="1" x14ac:dyDescent="0.15">
      <c r="A73" s="21">
        <v>33819</v>
      </c>
      <c r="B73">
        <v>26.4</v>
      </c>
      <c r="C73" s="31">
        <f t="shared" si="0"/>
        <v>-2.0619287202735703E-2</v>
      </c>
    </row>
    <row r="74" spans="1:3" ht="14" hidden="1" x14ac:dyDescent="0.15">
      <c r="A74" s="21">
        <v>33848</v>
      </c>
      <c r="B74">
        <v>26.7</v>
      </c>
      <c r="C74" s="31">
        <f t="shared" ref="C74:C137" si="1">LN(B74/B73)</f>
        <v>1.1299555253933466E-2</v>
      </c>
    </row>
    <row r="75" spans="1:3" ht="14" hidden="1" x14ac:dyDescent="0.15">
      <c r="A75" s="21">
        <v>33878</v>
      </c>
      <c r="B75">
        <v>26.79</v>
      </c>
      <c r="C75" s="31">
        <f t="shared" si="1"/>
        <v>3.3651181503135548E-3</v>
      </c>
    </row>
    <row r="76" spans="1:3" ht="14" hidden="1" x14ac:dyDescent="0.15">
      <c r="A76" s="21">
        <v>33910</v>
      </c>
      <c r="B76">
        <v>27.7</v>
      </c>
      <c r="C76" s="31">
        <f t="shared" si="1"/>
        <v>3.3403729636775396E-2</v>
      </c>
    </row>
    <row r="77" spans="1:3" ht="14" hidden="1" x14ac:dyDescent="0.15">
      <c r="A77" s="21">
        <v>33939</v>
      </c>
      <c r="B77">
        <v>28.24</v>
      </c>
      <c r="C77" s="31">
        <f t="shared" si="1"/>
        <v>1.9306999431748566E-2</v>
      </c>
    </row>
    <row r="78" spans="1:3" ht="14" hidden="1" x14ac:dyDescent="0.15">
      <c r="A78" s="21">
        <v>33973</v>
      </c>
      <c r="B78">
        <v>28.26</v>
      </c>
      <c r="C78" s="31">
        <f t="shared" si="1"/>
        <v>7.0796463134009419E-4</v>
      </c>
    </row>
    <row r="79" spans="1:3" ht="14" hidden="1" x14ac:dyDescent="0.15">
      <c r="A79" s="21">
        <v>34001</v>
      </c>
      <c r="B79">
        <v>28.65</v>
      </c>
      <c r="C79" s="31">
        <f t="shared" si="1"/>
        <v>1.3706065904367076E-2</v>
      </c>
    </row>
    <row r="80" spans="1:3" ht="14" hidden="1" x14ac:dyDescent="0.15">
      <c r="A80" s="21">
        <v>34029</v>
      </c>
      <c r="B80">
        <v>29.25</v>
      </c>
      <c r="C80" s="31">
        <f t="shared" si="1"/>
        <v>2.0726130517116952E-2</v>
      </c>
    </row>
    <row r="81" spans="1:3" ht="14" hidden="1" x14ac:dyDescent="0.15">
      <c r="A81" s="21">
        <v>34060</v>
      </c>
      <c r="B81">
        <v>28.54</v>
      </c>
      <c r="C81" s="31">
        <f t="shared" si="1"/>
        <v>-2.4572961629175143E-2</v>
      </c>
    </row>
    <row r="82" spans="1:3" ht="14" hidden="1" x14ac:dyDescent="0.15">
      <c r="A82" s="21">
        <v>34092</v>
      </c>
      <c r="B82">
        <v>29.3</v>
      </c>
      <c r="C82" s="31">
        <f t="shared" si="1"/>
        <v>2.6280903974331395E-2</v>
      </c>
    </row>
    <row r="83" spans="1:3" ht="14" hidden="1" x14ac:dyDescent="0.15">
      <c r="A83" s="21">
        <v>34121</v>
      </c>
      <c r="B83">
        <v>29.38</v>
      </c>
      <c r="C83" s="31">
        <f t="shared" si="1"/>
        <v>2.7266547227094875E-3</v>
      </c>
    </row>
    <row r="84" spans="1:3" ht="14" hidden="1" x14ac:dyDescent="0.15">
      <c r="A84" s="21">
        <v>34151</v>
      </c>
      <c r="B84">
        <v>29.25</v>
      </c>
      <c r="C84" s="31">
        <f t="shared" si="1"/>
        <v>-4.4345970678657531E-3</v>
      </c>
    </row>
    <row r="85" spans="1:3" ht="14" hidden="1" x14ac:dyDescent="0.15">
      <c r="A85" s="21">
        <v>34183</v>
      </c>
      <c r="B85">
        <v>30.36</v>
      </c>
      <c r="C85" s="31">
        <f t="shared" si="1"/>
        <v>3.7246378849563631E-2</v>
      </c>
    </row>
    <row r="86" spans="1:3" ht="14" hidden="1" x14ac:dyDescent="0.15">
      <c r="A86" s="21">
        <v>34213</v>
      </c>
      <c r="B86">
        <v>30.12</v>
      </c>
      <c r="C86" s="31">
        <f t="shared" si="1"/>
        <v>-7.9365495957363034E-3</v>
      </c>
    </row>
    <row r="87" spans="1:3" ht="14" hidden="1" x14ac:dyDescent="0.15">
      <c r="A87" s="21">
        <v>34243</v>
      </c>
      <c r="B87">
        <v>30.75</v>
      </c>
      <c r="C87" s="31">
        <f t="shared" si="1"/>
        <v>2.070059132083403E-2</v>
      </c>
    </row>
    <row r="88" spans="1:3" ht="14" hidden="1" x14ac:dyDescent="0.15">
      <c r="A88" s="21">
        <v>34274</v>
      </c>
      <c r="B88">
        <v>30.44</v>
      </c>
      <c r="C88" s="31">
        <f t="shared" si="1"/>
        <v>-1.0132461259041723E-2</v>
      </c>
    </row>
    <row r="89" spans="1:3" ht="14" hidden="1" x14ac:dyDescent="0.15">
      <c r="A89" s="21">
        <v>34304</v>
      </c>
      <c r="B89">
        <v>30.81</v>
      </c>
      <c r="C89" s="31">
        <f t="shared" si="1"/>
        <v>1.2081779615091333E-2</v>
      </c>
    </row>
    <row r="90" spans="1:3" ht="14" hidden="1" x14ac:dyDescent="0.15">
      <c r="A90" s="21">
        <v>34337</v>
      </c>
      <c r="B90">
        <v>31.85</v>
      </c>
      <c r="C90" s="31">
        <f t="shared" si="1"/>
        <v>3.3198069409595833E-2</v>
      </c>
    </row>
    <row r="91" spans="1:3" ht="14" hidden="1" x14ac:dyDescent="0.15">
      <c r="A91" s="21">
        <v>34366</v>
      </c>
      <c r="B91">
        <v>30.99</v>
      </c>
      <c r="C91" s="31">
        <f t="shared" si="1"/>
        <v>-2.7372810218515595E-2</v>
      </c>
    </row>
    <row r="92" spans="1:3" ht="14" hidden="1" x14ac:dyDescent="0.15">
      <c r="A92" s="21">
        <v>34394</v>
      </c>
      <c r="B92">
        <v>29.63</v>
      </c>
      <c r="C92" s="31">
        <f t="shared" si="1"/>
        <v>-4.4877210214183033E-2</v>
      </c>
    </row>
    <row r="93" spans="1:3" ht="14" hidden="1" x14ac:dyDescent="0.15">
      <c r="A93" s="21">
        <v>34428</v>
      </c>
      <c r="B93">
        <v>30.01</v>
      </c>
      <c r="C93" s="31">
        <f t="shared" si="1"/>
        <v>1.2743297866801867E-2</v>
      </c>
    </row>
    <row r="94" spans="1:3" ht="14" hidden="1" x14ac:dyDescent="0.15">
      <c r="A94" s="21">
        <v>34456</v>
      </c>
      <c r="B94">
        <v>30.49</v>
      </c>
      <c r="C94" s="31">
        <f t="shared" si="1"/>
        <v>1.5868101547887509E-2</v>
      </c>
    </row>
    <row r="95" spans="1:3" ht="14" hidden="1" x14ac:dyDescent="0.15">
      <c r="A95" s="21">
        <v>34486</v>
      </c>
      <c r="B95">
        <v>29.75</v>
      </c>
      <c r="C95" s="31">
        <f t="shared" si="1"/>
        <v>-2.4569629008524572E-2</v>
      </c>
    </row>
    <row r="96" spans="1:3" ht="14" hidden="1" x14ac:dyDescent="0.15">
      <c r="A96" s="21">
        <v>34516</v>
      </c>
      <c r="B96">
        <v>30.72</v>
      </c>
      <c r="C96" s="31">
        <f t="shared" si="1"/>
        <v>3.2084776287832628E-2</v>
      </c>
    </row>
    <row r="97" spans="1:3" ht="14" hidden="1" x14ac:dyDescent="0.15">
      <c r="A97" s="21">
        <v>34547</v>
      </c>
      <c r="B97">
        <v>31.97</v>
      </c>
      <c r="C97" s="31">
        <f t="shared" si="1"/>
        <v>3.9884054792278731E-2</v>
      </c>
    </row>
    <row r="98" spans="1:3" ht="14" hidden="1" x14ac:dyDescent="0.15">
      <c r="A98" s="21">
        <v>34578</v>
      </c>
      <c r="B98">
        <v>31.19</v>
      </c>
      <c r="C98" s="31">
        <f t="shared" si="1"/>
        <v>-2.4700432452038096E-2</v>
      </c>
    </row>
    <row r="99" spans="1:3" ht="14" hidden="1" x14ac:dyDescent="0.15">
      <c r="A99" s="21">
        <v>34610</v>
      </c>
      <c r="B99">
        <v>31.89</v>
      </c>
      <c r="C99" s="31">
        <f t="shared" si="1"/>
        <v>2.219495040225437E-2</v>
      </c>
    </row>
    <row r="100" spans="1:3" ht="14" hidden="1" x14ac:dyDescent="0.15">
      <c r="A100" s="21">
        <v>34639</v>
      </c>
      <c r="B100">
        <v>30.73</v>
      </c>
      <c r="C100" s="31">
        <f t="shared" si="1"/>
        <v>-3.7053104879572953E-2</v>
      </c>
    </row>
    <row r="101" spans="1:3" ht="14" hidden="1" x14ac:dyDescent="0.15">
      <c r="A101" s="21">
        <v>34669</v>
      </c>
      <c r="B101">
        <v>31.17</v>
      </c>
      <c r="C101" s="31">
        <f t="shared" si="1"/>
        <v>1.4216717636852446E-2</v>
      </c>
    </row>
    <row r="102" spans="1:3" ht="14" hidden="1" x14ac:dyDescent="0.15">
      <c r="A102" s="21">
        <v>34702</v>
      </c>
      <c r="B102">
        <v>31.98</v>
      </c>
      <c r="C102" s="31">
        <f t="shared" si="1"/>
        <v>2.5654613626562472E-2</v>
      </c>
    </row>
    <row r="103" spans="1:3" ht="14" hidden="1" x14ac:dyDescent="0.15">
      <c r="A103" s="21">
        <v>34731</v>
      </c>
      <c r="B103">
        <v>33.22</v>
      </c>
      <c r="C103" s="31">
        <f t="shared" si="1"/>
        <v>3.8041396779340694E-2</v>
      </c>
    </row>
    <row r="104" spans="1:3" ht="14" hidden="1" x14ac:dyDescent="0.15">
      <c r="A104" s="21">
        <v>34759</v>
      </c>
      <c r="B104">
        <v>34.200000000000003</v>
      </c>
      <c r="C104" s="31">
        <f t="shared" si="1"/>
        <v>2.9073539883410819E-2</v>
      </c>
    </row>
    <row r="105" spans="1:3" ht="14" hidden="1" x14ac:dyDescent="0.15">
      <c r="A105" s="21">
        <v>34792</v>
      </c>
      <c r="B105">
        <v>35.21</v>
      </c>
      <c r="C105" s="31">
        <f t="shared" si="1"/>
        <v>2.9104489098401586E-2</v>
      </c>
    </row>
    <row r="106" spans="1:3" ht="14" hidden="1" x14ac:dyDescent="0.15">
      <c r="A106" s="21">
        <v>34820</v>
      </c>
      <c r="B106">
        <v>36.6</v>
      </c>
      <c r="C106" s="31">
        <f t="shared" si="1"/>
        <v>3.8718107240359373E-2</v>
      </c>
    </row>
    <row r="107" spans="1:3" ht="14" hidden="1" x14ac:dyDescent="0.15">
      <c r="A107" s="21">
        <v>34851</v>
      </c>
      <c r="B107">
        <v>37.44</v>
      </c>
      <c r="C107" s="31">
        <f t="shared" si="1"/>
        <v>2.2691411202070671E-2</v>
      </c>
    </row>
    <row r="108" spans="1:3" ht="14" hidden="1" x14ac:dyDescent="0.15">
      <c r="A108" s="21">
        <v>34883</v>
      </c>
      <c r="B108">
        <v>38.68</v>
      </c>
      <c r="C108" s="31">
        <f t="shared" si="1"/>
        <v>3.2583018975702378E-2</v>
      </c>
    </row>
    <row r="109" spans="1:3" ht="14" hidden="1" x14ac:dyDescent="0.15">
      <c r="A109" s="21">
        <v>34912</v>
      </c>
      <c r="B109">
        <v>38.78</v>
      </c>
      <c r="C109" s="31">
        <f t="shared" si="1"/>
        <v>2.5819792294121732E-3</v>
      </c>
    </row>
    <row r="110" spans="1:3" ht="14" hidden="1" x14ac:dyDescent="0.15">
      <c r="A110" s="21">
        <v>34943</v>
      </c>
      <c r="B110">
        <v>40.42</v>
      </c>
      <c r="C110" s="31">
        <f t="shared" si="1"/>
        <v>4.1420062160969294E-2</v>
      </c>
    </row>
    <row r="111" spans="1:3" ht="14" hidden="1" x14ac:dyDescent="0.15">
      <c r="A111" s="21">
        <v>34974</v>
      </c>
      <c r="B111">
        <v>40.270000000000003</v>
      </c>
      <c r="C111" s="31">
        <f t="shared" si="1"/>
        <v>-3.7179371121121314E-3</v>
      </c>
    </row>
    <row r="112" spans="1:3" ht="14" hidden="1" x14ac:dyDescent="0.15">
      <c r="A112" s="21">
        <v>35004</v>
      </c>
      <c r="B112">
        <v>42.03</v>
      </c>
      <c r="C112" s="31">
        <f t="shared" si="1"/>
        <v>4.2776874153662478E-2</v>
      </c>
    </row>
    <row r="113" spans="1:3" ht="14" hidden="1" x14ac:dyDescent="0.15">
      <c r="A113" s="21">
        <v>35034</v>
      </c>
      <c r="B113">
        <v>42.85</v>
      </c>
      <c r="C113" s="31">
        <f t="shared" si="1"/>
        <v>1.9321996026763516E-2</v>
      </c>
    </row>
    <row r="114" spans="1:3" ht="14" hidden="1" x14ac:dyDescent="0.15">
      <c r="A114" s="21">
        <v>35066</v>
      </c>
      <c r="B114">
        <v>44.3</v>
      </c>
      <c r="C114" s="31">
        <f t="shared" si="1"/>
        <v>3.3279032007300993E-2</v>
      </c>
    </row>
    <row r="115" spans="1:3" ht="14" hidden="1" x14ac:dyDescent="0.15">
      <c r="A115" s="21">
        <v>35096</v>
      </c>
      <c r="B115">
        <v>44.71</v>
      </c>
      <c r="C115" s="31">
        <f t="shared" si="1"/>
        <v>9.2125131947993263E-3</v>
      </c>
    </row>
    <row r="116" spans="1:3" ht="14" hidden="1" x14ac:dyDescent="0.15">
      <c r="A116" s="21">
        <v>35125</v>
      </c>
      <c r="B116">
        <v>45.14</v>
      </c>
      <c r="C116" s="31">
        <f t="shared" si="1"/>
        <v>9.5715811435002785E-3</v>
      </c>
    </row>
    <row r="117" spans="1:3" ht="14" hidden="1" x14ac:dyDescent="0.15">
      <c r="A117" s="21">
        <v>35156</v>
      </c>
      <c r="B117">
        <v>45.8</v>
      </c>
      <c r="C117" s="31">
        <f t="shared" si="1"/>
        <v>1.4515319730749597E-2</v>
      </c>
    </row>
    <row r="118" spans="1:3" ht="14" hidden="1" x14ac:dyDescent="0.15">
      <c r="A118" s="21">
        <v>35186</v>
      </c>
      <c r="B118">
        <v>46.97</v>
      </c>
      <c r="C118" s="31">
        <f t="shared" si="1"/>
        <v>2.5225008918764575E-2</v>
      </c>
    </row>
    <row r="119" spans="1:3" ht="14" hidden="1" x14ac:dyDescent="0.15">
      <c r="A119" s="21">
        <v>35219</v>
      </c>
      <c r="B119">
        <v>47.15</v>
      </c>
      <c r="C119" s="31">
        <f t="shared" si="1"/>
        <v>3.8249090405628561E-3</v>
      </c>
    </row>
    <row r="120" spans="1:3" ht="14" hidden="1" x14ac:dyDescent="0.15">
      <c r="A120" s="21">
        <v>35247</v>
      </c>
      <c r="B120">
        <v>45.06</v>
      </c>
      <c r="C120" s="31">
        <f t="shared" si="1"/>
        <v>-4.5339074075368004E-2</v>
      </c>
    </row>
    <row r="121" spans="1:3" ht="14" hidden="1" x14ac:dyDescent="0.15">
      <c r="A121" s="21">
        <v>35278</v>
      </c>
      <c r="B121">
        <v>46.01</v>
      </c>
      <c r="C121" s="31">
        <f t="shared" si="1"/>
        <v>2.0863829163278686E-2</v>
      </c>
    </row>
    <row r="122" spans="1:3" ht="14" hidden="1" x14ac:dyDescent="0.15">
      <c r="A122" s="21">
        <v>35311</v>
      </c>
      <c r="B122">
        <v>48.59</v>
      </c>
      <c r="C122" s="31">
        <f t="shared" si="1"/>
        <v>5.4558984250434608E-2</v>
      </c>
    </row>
    <row r="123" spans="1:3" ht="14" hidden="1" x14ac:dyDescent="0.15">
      <c r="A123" s="21">
        <v>35339</v>
      </c>
      <c r="B123">
        <v>49.93</v>
      </c>
      <c r="C123" s="31">
        <f t="shared" si="1"/>
        <v>2.7204276094706319E-2</v>
      </c>
    </row>
    <row r="124" spans="1:3" ht="14" hidden="1" x14ac:dyDescent="0.15">
      <c r="A124" s="21">
        <v>35370</v>
      </c>
      <c r="B124">
        <v>53.7</v>
      </c>
      <c r="C124" s="31">
        <f t="shared" si="1"/>
        <v>7.2790977002301249E-2</v>
      </c>
    </row>
    <row r="125" spans="1:3" ht="14" hidden="1" x14ac:dyDescent="0.15">
      <c r="A125" s="21">
        <v>35401</v>
      </c>
      <c r="B125">
        <v>52.65</v>
      </c>
      <c r="C125" s="31">
        <f t="shared" si="1"/>
        <v>-1.9746762934834558E-2</v>
      </c>
    </row>
    <row r="126" spans="1:3" ht="14" hidden="1" x14ac:dyDescent="0.15">
      <c r="A126" s="21">
        <v>35432</v>
      </c>
      <c r="B126">
        <v>55.93</v>
      </c>
      <c r="C126" s="31">
        <f t="shared" si="1"/>
        <v>6.0434670253512075E-2</v>
      </c>
    </row>
    <row r="127" spans="1:3" ht="14" hidden="1" x14ac:dyDescent="0.15">
      <c r="A127" s="21">
        <v>35464</v>
      </c>
      <c r="B127">
        <v>56.37</v>
      </c>
      <c r="C127" s="31">
        <f t="shared" si="1"/>
        <v>7.8361932599870163E-3</v>
      </c>
    </row>
    <row r="128" spans="1:3" ht="14" hidden="1" x14ac:dyDescent="0.15">
      <c r="A128" s="21">
        <v>35492</v>
      </c>
      <c r="B128">
        <v>54.04</v>
      </c>
      <c r="C128" s="31">
        <f t="shared" si="1"/>
        <v>-4.2212589001485473E-2</v>
      </c>
    </row>
    <row r="129" spans="1:3" ht="14" hidden="1" x14ac:dyDescent="0.15">
      <c r="A129" s="21">
        <v>35521</v>
      </c>
      <c r="B129">
        <v>57.25</v>
      </c>
      <c r="C129" s="31">
        <f t="shared" si="1"/>
        <v>5.7703129342350973E-2</v>
      </c>
    </row>
    <row r="130" spans="1:3" ht="14" hidden="1" x14ac:dyDescent="0.15">
      <c r="A130" s="21">
        <v>35551</v>
      </c>
      <c r="B130">
        <v>60.74</v>
      </c>
      <c r="C130" s="31">
        <f t="shared" si="1"/>
        <v>5.9174817183253799E-2</v>
      </c>
    </row>
    <row r="131" spans="1:3" ht="14" hidden="1" x14ac:dyDescent="0.15">
      <c r="A131" s="21">
        <v>35583</v>
      </c>
      <c r="B131">
        <v>63.44</v>
      </c>
      <c r="C131" s="31">
        <f t="shared" si="1"/>
        <v>4.3492117708989697E-2</v>
      </c>
    </row>
    <row r="132" spans="1:3" ht="14" hidden="1" x14ac:dyDescent="0.15">
      <c r="A132" s="21">
        <v>35612</v>
      </c>
      <c r="B132">
        <v>68.5</v>
      </c>
      <c r="C132" s="31">
        <f t="shared" si="1"/>
        <v>7.6739167941587139E-2</v>
      </c>
    </row>
    <row r="133" spans="1:3" ht="14" hidden="1" x14ac:dyDescent="0.15">
      <c r="A133" s="21">
        <v>35643</v>
      </c>
      <c r="B133">
        <v>64.650000000000006</v>
      </c>
      <c r="C133" s="31">
        <f t="shared" si="1"/>
        <v>-5.7845640050313035E-2</v>
      </c>
    </row>
    <row r="134" spans="1:3" ht="14" hidden="1" x14ac:dyDescent="0.15">
      <c r="A134" s="21">
        <v>35675</v>
      </c>
      <c r="B134">
        <v>68.19</v>
      </c>
      <c r="C134" s="31">
        <f t="shared" si="1"/>
        <v>5.3309821314694951E-2</v>
      </c>
    </row>
    <row r="135" spans="1:3" ht="14" hidden="1" x14ac:dyDescent="0.15">
      <c r="A135" s="21">
        <v>35704</v>
      </c>
      <c r="B135">
        <v>65.900000000000006</v>
      </c>
      <c r="C135" s="31">
        <f t="shared" si="1"/>
        <v>-3.4159485024099878E-2</v>
      </c>
    </row>
    <row r="136" spans="1:3" ht="14" hidden="1" x14ac:dyDescent="0.15">
      <c r="A136" s="21">
        <v>35737</v>
      </c>
      <c r="B136">
        <v>68.930000000000007</v>
      </c>
      <c r="C136" s="31">
        <f t="shared" si="1"/>
        <v>4.4953055389098932E-2</v>
      </c>
    </row>
    <row r="137" spans="1:3" ht="14" hidden="1" x14ac:dyDescent="0.15">
      <c r="A137" s="21">
        <v>35765</v>
      </c>
      <c r="B137">
        <v>70.11</v>
      </c>
      <c r="C137" s="31">
        <f t="shared" si="1"/>
        <v>1.6973940321315755E-2</v>
      </c>
    </row>
    <row r="138" spans="1:3" ht="14" hidden="1" x14ac:dyDescent="0.15">
      <c r="A138" s="21">
        <v>35797</v>
      </c>
      <c r="B138">
        <v>70.89</v>
      </c>
      <c r="C138" s="31">
        <f t="shared" ref="C138:C201" si="2">LN(B138/B137)</f>
        <v>1.1063942648049885E-2</v>
      </c>
    </row>
    <row r="139" spans="1:3" ht="14" hidden="1" x14ac:dyDescent="0.15">
      <c r="A139" s="21">
        <v>35828</v>
      </c>
      <c r="B139">
        <v>75.989999999999995</v>
      </c>
      <c r="C139" s="31">
        <f t="shared" si="2"/>
        <v>6.9472372814767383E-2</v>
      </c>
    </row>
    <row r="140" spans="1:3" ht="14" hidden="1" x14ac:dyDescent="0.15">
      <c r="A140" s="21">
        <v>35856</v>
      </c>
      <c r="B140">
        <v>79.86</v>
      </c>
      <c r="C140" s="31">
        <f t="shared" si="2"/>
        <v>4.9673348953381678E-2</v>
      </c>
    </row>
    <row r="141" spans="1:3" ht="14" hidden="1" x14ac:dyDescent="0.15">
      <c r="A141" s="21">
        <v>35886</v>
      </c>
      <c r="B141">
        <v>80.67</v>
      </c>
      <c r="C141" s="31">
        <f t="shared" si="2"/>
        <v>1.0091657313807765E-2</v>
      </c>
    </row>
    <row r="142" spans="1:3" ht="14" hidden="1" x14ac:dyDescent="0.15">
      <c r="A142" s="21">
        <v>35916</v>
      </c>
      <c r="B142">
        <v>79.260000000000005</v>
      </c>
      <c r="C142" s="31">
        <f t="shared" si="2"/>
        <v>-1.7633171186593955E-2</v>
      </c>
    </row>
    <row r="143" spans="1:3" ht="14" hidden="1" x14ac:dyDescent="0.15">
      <c r="A143" s="21">
        <v>35947</v>
      </c>
      <c r="B143">
        <v>82.49</v>
      </c>
      <c r="C143" s="31">
        <f t="shared" si="2"/>
        <v>3.9943486110351256E-2</v>
      </c>
    </row>
    <row r="144" spans="1:3" ht="14" hidden="1" x14ac:dyDescent="0.15">
      <c r="A144" s="21">
        <v>35977</v>
      </c>
      <c r="B144">
        <v>81.62</v>
      </c>
      <c r="C144" s="31">
        <f t="shared" si="2"/>
        <v>-1.0602743894980633E-2</v>
      </c>
    </row>
    <row r="145" spans="1:3" ht="14" hidden="1" x14ac:dyDescent="0.15">
      <c r="A145" s="21">
        <v>36010</v>
      </c>
      <c r="B145">
        <v>69.81</v>
      </c>
      <c r="C145" s="31">
        <f t="shared" si="2"/>
        <v>-0.15629706399534959</v>
      </c>
    </row>
    <row r="146" spans="1:3" ht="14" hidden="1" x14ac:dyDescent="0.15">
      <c r="A146" s="21">
        <v>36039</v>
      </c>
      <c r="B146">
        <v>74.28</v>
      </c>
      <c r="C146" s="31">
        <f t="shared" si="2"/>
        <v>6.2064470502195025E-2</v>
      </c>
    </row>
    <row r="147" spans="1:3" ht="14" hidden="1" x14ac:dyDescent="0.15">
      <c r="A147" s="21">
        <v>36069</v>
      </c>
      <c r="B147">
        <v>80.349999999999994</v>
      </c>
      <c r="C147" s="31">
        <f t="shared" si="2"/>
        <v>7.8550355699016416E-2</v>
      </c>
    </row>
    <row r="148" spans="1:3" ht="14" hidden="1" x14ac:dyDescent="0.15">
      <c r="A148" s="21">
        <v>36101</v>
      </c>
      <c r="B148">
        <v>85.23</v>
      </c>
      <c r="C148" s="31">
        <f t="shared" si="2"/>
        <v>5.8961392350684781E-2</v>
      </c>
    </row>
    <row r="149" spans="1:3" ht="14" hidden="1" x14ac:dyDescent="0.15">
      <c r="A149" s="21">
        <v>36130</v>
      </c>
      <c r="B149">
        <v>90.17</v>
      </c>
      <c r="C149" s="31">
        <f t="shared" si="2"/>
        <v>5.6343292977609004E-2</v>
      </c>
    </row>
    <row r="150" spans="1:3" ht="14" hidden="1" x14ac:dyDescent="0.15">
      <c r="A150" s="21">
        <v>36164</v>
      </c>
      <c r="B150">
        <v>93.97</v>
      </c>
      <c r="C150" s="31">
        <f t="shared" si="2"/>
        <v>4.1278804883158347E-2</v>
      </c>
    </row>
    <row r="151" spans="1:3" ht="14" hidden="1" x14ac:dyDescent="0.15">
      <c r="A151" s="21">
        <v>36192</v>
      </c>
      <c r="B151">
        <v>91.03</v>
      </c>
      <c r="C151" s="31">
        <f t="shared" si="2"/>
        <v>-3.1786459877776146E-2</v>
      </c>
    </row>
    <row r="152" spans="1:3" ht="14" hidden="1" x14ac:dyDescent="0.15">
      <c r="A152" s="21">
        <v>36220</v>
      </c>
      <c r="B152">
        <v>94.66</v>
      </c>
      <c r="C152" s="31">
        <f t="shared" si="2"/>
        <v>3.9102401960904434E-2</v>
      </c>
    </row>
    <row r="153" spans="1:3" ht="14" hidden="1" x14ac:dyDescent="0.15">
      <c r="A153" s="21">
        <v>36251</v>
      </c>
      <c r="B153">
        <v>98.31</v>
      </c>
      <c r="C153" s="31">
        <f t="shared" si="2"/>
        <v>3.7834226900731009E-2</v>
      </c>
    </row>
    <row r="154" spans="1:3" ht="14" hidden="1" x14ac:dyDescent="0.15">
      <c r="A154" s="21">
        <v>36283</v>
      </c>
      <c r="B154">
        <v>95.96</v>
      </c>
      <c r="C154" s="31">
        <f t="shared" si="2"/>
        <v>-2.4194313407339164E-2</v>
      </c>
    </row>
    <row r="155" spans="1:3" ht="14" hidden="1" x14ac:dyDescent="0.15">
      <c r="A155" s="21">
        <v>36312</v>
      </c>
      <c r="B155">
        <v>101.29</v>
      </c>
      <c r="C155" s="31">
        <f t="shared" si="2"/>
        <v>5.4056251727212123E-2</v>
      </c>
    </row>
    <row r="156" spans="1:3" ht="14" hidden="1" x14ac:dyDescent="0.15">
      <c r="A156" s="21">
        <v>36342</v>
      </c>
      <c r="B156">
        <v>98.12</v>
      </c>
      <c r="C156" s="31">
        <f t="shared" si="2"/>
        <v>-3.1796470308417223E-2</v>
      </c>
    </row>
    <row r="157" spans="1:3" ht="14" hidden="1" x14ac:dyDescent="0.15">
      <c r="A157" s="21">
        <v>36374</v>
      </c>
      <c r="B157">
        <v>97.64</v>
      </c>
      <c r="C157" s="31">
        <f t="shared" si="2"/>
        <v>-4.9039738655293191E-3</v>
      </c>
    </row>
    <row r="158" spans="1:3" ht="14" hidden="1" x14ac:dyDescent="0.15">
      <c r="A158" s="21">
        <v>36404</v>
      </c>
      <c r="B158">
        <v>94.96</v>
      </c>
      <c r="C158" s="31">
        <f t="shared" si="2"/>
        <v>-2.783149522334679E-2</v>
      </c>
    </row>
    <row r="159" spans="1:3" ht="14" hidden="1" x14ac:dyDescent="0.15">
      <c r="A159" s="21">
        <v>36434</v>
      </c>
      <c r="B159">
        <v>100.97</v>
      </c>
      <c r="C159" s="31">
        <f t="shared" si="2"/>
        <v>6.1367692714817186E-2</v>
      </c>
    </row>
    <row r="160" spans="1:3" ht="14" hidden="1" x14ac:dyDescent="0.15">
      <c r="A160" s="21">
        <v>36465</v>
      </c>
      <c r="B160">
        <v>103.01</v>
      </c>
      <c r="C160" s="31">
        <f t="shared" si="2"/>
        <v>2.0002627879372476E-2</v>
      </c>
    </row>
    <row r="161" spans="1:3" ht="14" hidden="1" x14ac:dyDescent="0.15">
      <c r="A161" s="21">
        <v>36495</v>
      </c>
      <c r="B161">
        <v>109.18</v>
      </c>
      <c r="C161" s="31">
        <f t="shared" si="2"/>
        <v>5.817182545800953E-2</v>
      </c>
    </row>
    <row r="162" spans="1:3" ht="14" hidden="1" x14ac:dyDescent="0.15">
      <c r="A162" s="21">
        <v>36528</v>
      </c>
      <c r="B162">
        <v>103.69</v>
      </c>
      <c r="C162" s="31">
        <f t="shared" si="2"/>
        <v>-5.15922177834248E-2</v>
      </c>
    </row>
    <row r="163" spans="1:3" ht="14" hidden="1" x14ac:dyDescent="0.15">
      <c r="A163" s="21">
        <v>36557</v>
      </c>
      <c r="B163">
        <v>101.71</v>
      </c>
      <c r="C163" s="31">
        <f t="shared" si="2"/>
        <v>-1.9280051932682039E-2</v>
      </c>
    </row>
    <row r="164" spans="1:3" ht="14" hidden="1" x14ac:dyDescent="0.15">
      <c r="A164" s="21">
        <v>36586</v>
      </c>
      <c r="B164">
        <v>111.64</v>
      </c>
      <c r="C164" s="31">
        <f t="shared" si="2"/>
        <v>9.3153782030616694E-2</v>
      </c>
    </row>
    <row r="165" spans="1:3" ht="14" hidden="1" x14ac:dyDescent="0.15">
      <c r="A165" s="21">
        <v>36619</v>
      </c>
      <c r="B165">
        <v>108.28</v>
      </c>
      <c r="C165" s="31">
        <f t="shared" si="2"/>
        <v>-3.0558943922020982E-2</v>
      </c>
    </row>
    <row r="166" spans="1:3" ht="14" hidden="1" x14ac:dyDescent="0.15">
      <c r="A166" s="21">
        <v>36647</v>
      </c>
      <c r="B166">
        <v>106.07</v>
      </c>
      <c r="C166" s="31">
        <f t="shared" si="2"/>
        <v>-2.0621211228721605E-2</v>
      </c>
    </row>
    <row r="167" spans="1:3" ht="14" hidden="1" x14ac:dyDescent="0.15">
      <c r="A167" s="21">
        <v>36678</v>
      </c>
      <c r="B167">
        <v>108.71</v>
      </c>
      <c r="C167" s="31">
        <f t="shared" si="2"/>
        <v>2.4584532698530125E-2</v>
      </c>
    </row>
    <row r="168" spans="1:3" ht="14" hidden="1" x14ac:dyDescent="0.15">
      <c r="A168" s="21">
        <v>36710</v>
      </c>
      <c r="B168">
        <v>107.09</v>
      </c>
      <c r="C168" s="31">
        <f t="shared" si="2"/>
        <v>-1.5014183803125254E-2</v>
      </c>
    </row>
    <row r="169" spans="1:3" ht="14" hidden="1" x14ac:dyDescent="0.15">
      <c r="A169" s="21">
        <v>36739</v>
      </c>
      <c r="B169">
        <v>113.72</v>
      </c>
      <c r="C169" s="31">
        <f t="shared" si="2"/>
        <v>6.0069684370015378E-2</v>
      </c>
    </row>
    <row r="170" spans="1:3" ht="14" hidden="1" x14ac:dyDescent="0.15">
      <c r="A170" s="21">
        <v>36770</v>
      </c>
      <c r="B170">
        <v>107.7</v>
      </c>
      <c r="C170" s="31">
        <f t="shared" si="2"/>
        <v>-5.438970262045615E-2</v>
      </c>
    </row>
    <row r="171" spans="1:3" ht="14" hidden="1" x14ac:dyDescent="0.15">
      <c r="A171" s="21">
        <v>36801</v>
      </c>
      <c r="B171">
        <v>107.24</v>
      </c>
      <c r="C171" s="31">
        <f t="shared" si="2"/>
        <v>-4.2802707945844409E-3</v>
      </c>
    </row>
    <row r="172" spans="1:3" ht="14" hidden="1" x14ac:dyDescent="0.15">
      <c r="A172" s="21">
        <v>36831</v>
      </c>
      <c r="B172">
        <v>98.79</v>
      </c>
      <c r="C172" s="31">
        <f t="shared" si="2"/>
        <v>-8.2072928311375859E-2</v>
      </c>
    </row>
    <row r="173" spans="1:3" ht="14" hidden="1" x14ac:dyDescent="0.15">
      <c r="A173" s="21">
        <v>36861</v>
      </c>
      <c r="B173">
        <v>99.3</v>
      </c>
      <c r="C173" s="31">
        <f t="shared" si="2"/>
        <v>5.1491859947441054E-3</v>
      </c>
    </row>
    <row r="174" spans="1:3" ht="14" hidden="1" x14ac:dyDescent="0.15">
      <c r="A174" s="21">
        <v>36893</v>
      </c>
      <c r="B174">
        <v>102.82</v>
      </c>
      <c r="C174" s="31">
        <f t="shared" si="2"/>
        <v>3.4834315576231678E-2</v>
      </c>
    </row>
    <row r="175" spans="1:3" ht="14" hidden="1" x14ac:dyDescent="0.15">
      <c r="A175" s="21">
        <v>36923</v>
      </c>
      <c r="B175">
        <v>93.42</v>
      </c>
      <c r="C175" s="31">
        <f t="shared" si="2"/>
        <v>-9.5874431553396491E-2</v>
      </c>
    </row>
    <row r="176" spans="1:3" ht="14" hidden="1" x14ac:dyDescent="0.15">
      <c r="A176" s="21">
        <v>36951</v>
      </c>
      <c r="B176">
        <v>87.48</v>
      </c>
      <c r="C176" s="31">
        <f t="shared" si="2"/>
        <v>-6.5695259265394892E-2</v>
      </c>
    </row>
    <row r="177" spans="1:3" ht="14" hidden="1" x14ac:dyDescent="0.15">
      <c r="A177" s="21">
        <v>36983</v>
      </c>
      <c r="B177">
        <v>94.28</v>
      </c>
      <c r="C177" s="31">
        <f t="shared" si="2"/>
        <v>7.4858882259363338E-2</v>
      </c>
    </row>
    <row r="178" spans="1:3" ht="14" hidden="1" x14ac:dyDescent="0.15">
      <c r="A178" s="21">
        <v>37012</v>
      </c>
      <c r="B178">
        <v>94.89</v>
      </c>
      <c r="C178" s="31">
        <f t="shared" si="2"/>
        <v>6.4492479177366835E-3</v>
      </c>
    </row>
    <row r="179" spans="1:3" ht="14" hidden="1" x14ac:dyDescent="0.15">
      <c r="A179" s="21">
        <v>37043</v>
      </c>
      <c r="B179">
        <v>92.57</v>
      </c>
      <c r="C179" s="31">
        <f t="shared" si="2"/>
        <v>-2.475321090654738E-2</v>
      </c>
    </row>
    <row r="180" spans="1:3" ht="14" hidden="1" x14ac:dyDescent="0.15">
      <c r="A180" s="21">
        <v>37074</v>
      </c>
      <c r="B180">
        <v>91.64</v>
      </c>
      <c r="C180" s="31">
        <f t="shared" si="2"/>
        <v>-1.0097257493825002E-2</v>
      </c>
    </row>
    <row r="181" spans="1:3" ht="14" hidden="1" x14ac:dyDescent="0.15">
      <c r="A181" s="21">
        <v>37104</v>
      </c>
      <c r="B181">
        <v>85.89</v>
      </c>
      <c r="C181" s="31">
        <f t="shared" si="2"/>
        <v>-6.4800449807161431E-2</v>
      </c>
    </row>
    <row r="182" spans="1:3" ht="14" hidden="1" x14ac:dyDescent="0.15">
      <c r="A182" s="21">
        <v>37138</v>
      </c>
      <c r="B182">
        <v>78.94</v>
      </c>
      <c r="C182" s="31">
        <f t="shared" si="2"/>
        <v>-8.4379337543432298E-2</v>
      </c>
    </row>
    <row r="183" spans="1:3" ht="14" hidden="1" x14ac:dyDescent="0.15">
      <c r="A183" s="21">
        <v>37165</v>
      </c>
      <c r="B183">
        <v>80.430000000000007</v>
      </c>
      <c r="C183" s="31">
        <f t="shared" si="2"/>
        <v>1.8699170681276706E-2</v>
      </c>
    </row>
    <row r="184" spans="1:3" ht="14" hidden="1" x14ac:dyDescent="0.15">
      <c r="A184" s="21">
        <v>37196</v>
      </c>
      <c r="B184">
        <v>86.59</v>
      </c>
      <c r="C184" s="31">
        <f t="shared" si="2"/>
        <v>7.3797094543732233E-2</v>
      </c>
    </row>
    <row r="185" spans="1:3" ht="14" hidden="1" x14ac:dyDescent="0.15">
      <c r="A185" s="21">
        <v>37228</v>
      </c>
      <c r="B185">
        <v>87.35</v>
      </c>
      <c r="C185" s="31">
        <f t="shared" si="2"/>
        <v>8.7387011203557269E-3</v>
      </c>
    </row>
    <row r="186" spans="1:3" ht="14" hidden="1" x14ac:dyDescent="0.15">
      <c r="A186" s="21">
        <v>37258</v>
      </c>
      <c r="B186">
        <v>86.06</v>
      </c>
      <c r="C186" s="31">
        <f t="shared" si="2"/>
        <v>-1.4878309169611869E-2</v>
      </c>
    </row>
    <row r="187" spans="1:3" ht="14" hidden="1" x14ac:dyDescent="0.15">
      <c r="A187" s="21">
        <v>37288</v>
      </c>
      <c r="B187">
        <v>84.4</v>
      </c>
      <c r="C187" s="31">
        <f t="shared" si="2"/>
        <v>-1.9477325808542088E-2</v>
      </c>
    </row>
    <row r="188" spans="1:3" ht="14" hidden="1" x14ac:dyDescent="0.15">
      <c r="A188" s="21">
        <v>37316</v>
      </c>
      <c r="B188">
        <v>87.55</v>
      </c>
      <c r="C188" s="31">
        <f t="shared" si="2"/>
        <v>3.6642657129949359E-2</v>
      </c>
    </row>
    <row r="189" spans="1:3" ht="14" hidden="1" x14ac:dyDescent="0.15">
      <c r="A189" s="21">
        <v>37347</v>
      </c>
      <c r="B189">
        <v>82.23</v>
      </c>
      <c r="C189" s="31">
        <f t="shared" si="2"/>
        <v>-6.2689859749056609E-2</v>
      </c>
    </row>
    <row r="190" spans="1:3" ht="14" hidden="1" x14ac:dyDescent="0.15">
      <c r="A190" s="21">
        <v>37377</v>
      </c>
      <c r="B190">
        <v>81.61</v>
      </c>
      <c r="C190" s="31">
        <f t="shared" si="2"/>
        <v>-7.568395501652685E-3</v>
      </c>
    </row>
    <row r="191" spans="1:3" ht="14" hidden="1" x14ac:dyDescent="0.15">
      <c r="A191" s="21">
        <v>37410</v>
      </c>
      <c r="B191">
        <v>75.790000000000006</v>
      </c>
      <c r="C191" s="31">
        <f t="shared" si="2"/>
        <v>-7.3985445657213711E-2</v>
      </c>
    </row>
    <row r="192" spans="1:3" ht="14" hidden="1" x14ac:dyDescent="0.15">
      <c r="A192" s="21">
        <v>37438</v>
      </c>
      <c r="B192">
        <v>69.94</v>
      </c>
      <c r="C192" s="31">
        <f t="shared" si="2"/>
        <v>-8.0328626188708091E-2</v>
      </c>
    </row>
    <row r="193" spans="1:3" ht="14" hidden="1" x14ac:dyDescent="0.15">
      <c r="A193" s="21">
        <v>37469</v>
      </c>
      <c r="B193">
        <v>70.39</v>
      </c>
      <c r="C193" s="31">
        <f t="shared" si="2"/>
        <v>6.4134759848105023E-3</v>
      </c>
    </row>
    <row r="194" spans="1:3" ht="14" hidden="1" x14ac:dyDescent="0.15">
      <c r="A194" s="21">
        <v>37502</v>
      </c>
      <c r="B194">
        <v>62.73</v>
      </c>
      <c r="C194" s="31">
        <f t="shared" si="2"/>
        <v>-0.11521140551138835</v>
      </c>
    </row>
    <row r="195" spans="1:3" ht="14" hidden="1" x14ac:dyDescent="0.15">
      <c r="A195" s="21">
        <v>37530</v>
      </c>
      <c r="B195">
        <v>68.239999999999995</v>
      </c>
      <c r="C195" s="31">
        <f t="shared" si="2"/>
        <v>8.4191101074771763E-2</v>
      </c>
    </row>
    <row r="196" spans="1:3" ht="14" hidden="1" x14ac:dyDescent="0.15">
      <c r="A196" s="21">
        <v>37561</v>
      </c>
      <c r="B196">
        <v>72.44</v>
      </c>
      <c r="C196" s="31">
        <f t="shared" si="2"/>
        <v>5.9727729831788944E-2</v>
      </c>
    </row>
    <row r="197" spans="1:3" ht="14" hidden="1" x14ac:dyDescent="0.15">
      <c r="A197" s="21">
        <v>37592</v>
      </c>
      <c r="B197">
        <v>67.98</v>
      </c>
      <c r="C197" s="31">
        <f t="shared" si="2"/>
        <v>-6.3545088747242573E-2</v>
      </c>
    </row>
    <row r="198" spans="1:3" ht="14" hidden="1" x14ac:dyDescent="0.15">
      <c r="A198" s="21">
        <v>37623</v>
      </c>
      <c r="B198">
        <v>66.2</v>
      </c>
      <c r="C198" s="31">
        <f t="shared" si="2"/>
        <v>-2.6533081325007445E-2</v>
      </c>
    </row>
    <row r="199" spans="1:3" ht="14" hidden="1" x14ac:dyDescent="0.15">
      <c r="A199" s="21">
        <v>37655</v>
      </c>
      <c r="B199">
        <v>65.2</v>
      </c>
      <c r="C199" s="31">
        <f t="shared" si="2"/>
        <v>-1.5220994010355243E-2</v>
      </c>
    </row>
    <row r="200" spans="1:3" ht="14" hidden="1" x14ac:dyDescent="0.15">
      <c r="A200" s="21">
        <v>37683</v>
      </c>
      <c r="B200">
        <v>65.819999999999993</v>
      </c>
      <c r="C200" s="31">
        <f t="shared" si="2"/>
        <v>9.464274582586446E-3</v>
      </c>
    </row>
    <row r="201" spans="1:3" ht="14" hidden="1" x14ac:dyDescent="0.15">
      <c r="A201" s="21">
        <v>37712</v>
      </c>
      <c r="B201">
        <v>71.25</v>
      </c>
      <c r="C201" s="31">
        <f t="shared" si="2"/>
        <v>7.9271075633566043E-2</v>
      </c>
    </row>
    <row r="202" spans="1:3" ht="14" hidden="1" x14ac:dyDescent="0.15">
      <c r="A202" s="21">
        <v>37742</v>
      </c>
      <c r="B202">
        <v>75</v>
      </c>
      <c r="C202" s="31">
        <f t="shared" ref="C202:C265" si="3">LN(B202/B201)</f>
        <v>5.1293294387550481E-2</v>
      </c>
    </row>
    <row r="203" spans="1:3" ht="14" hidden="1" x14ac:dyDescent="0.15">
      <c r="A203" s="21">
        <v>37774</v>
      </c>
      <c r="B203">
        <v>75.95</v>
      </c>
      <c r="C203" s="31">
        <f t="shared" si="3"/>
        <v>1.258711550547136E-2</v>
      </c>
    </row>
    <row r="204" spans="1:3" ht="14" hidden="1" x14ac:dyDescent="0.15">
      <c r="A204" s="21">
        <v>37803</v>
      </c>
      <c r="B204">
        <v>77.27</v>
      </c>
      <c r="C204" s="31">
        <f t="shared" si="3"/>
        <v>1.7230552903710488E-2</v>
      </c>
    </row>
    <row r="205" spans="1:3" ht="14" hidden="1" x14ac:dyDescent="0.15">
      <c r="A205" s="21">
        <v>37834</v>
      </c>
      <c r="B205">
        <v>78.760000000000005</v>
      </c>
      <c r="C205" s="31">
        <f t="shared" si="3"/>
        <v>1.9099471825432299E-2</v>
      </c>
    </row>
    <row r="206" spans="1:3" ht="14" hidden="1" x14ac:dyDescent="0.15">
      <c r="A206" s="21">
        <v>37866</v>
      </c>
      <c r="B206">
        <v>77.92</v>
      </c>
      <c r="C206" s="31">
        <f t="shared" si="3"/>
        <v>-1.0722594436645227E-2</v>
      </c>
    </row>
    <row r="207" spans="1:3" ht="14" hidden="1" x14ac:dyDescent="0.15">
      <c r="A207" s="21">
        <v>37895</v>
      </c>
      <c r="B207">
        <v>82.31</v>
      </c>
      <c r="C207" s="31">
        <f t="shared" si="3"/>
        <v>5.4809947650273021E-2</v>
      </c>
    </row>
    <row r="208" spans="1:3" ht="14" hidden="1" x14ac:dyDescent="0.15">
      <c r="A208" s="21">
        <v>37928</v>
      </c>
      <c r="B208">
        <v>83.02</v>
      </c>
      <c r="C208" s="31">
        <f t="shared" si="3"/>
        <v>8.5889356403399623E-3</v>
      </c>
    </row>
    <row r="209" spans="1:3" ht="14" hidden="1" x14ac:dyDescent="0.15">
      <c r="A209" s="21">
        <v>37956</v>
      </c>
      <c r="B209">
        <v>87.36</v>
      </c>
      <c r="C209" s="31">
        <f t="shared" si="3"/>
        <v>5.0955969371702187E-2</v>
      </c>
    </row>
    <row r="210" spans="1:3" ht="14" hidden="1" x14ac:dyDescent="0.15">
      <c r="A210" s="21">
        <v>37988</v>
      </c>
      <c r="B210">
        <v>88.95</v>
      </c>
      <c r="C210" s="31">
        <f t="shared" si="3"/>
        <v>1.8036902115249283E-2</v>
      </c>
    </row>
    <row r="211" spans="1:3" ht="14" hidden="1" x14ac:dyDescent="0.15">
      <c r="A211" s="21">
        <v>38019</v>
      </c>
      <c r="B211">
        <v>90.18</v>
      </c>
      <c r="C211" s="31">
        <f t="shared" si="3"/>
        <v>1.3733258881093996E-2</v>
      </c>
    </row>
    <row r="212" spans="1:3" ht="14" hidden="1" x14ac:dyDescent="0.15">
      <c r="A212" s="21">
        <v>38047</v>
      </c>
      <c r="B212">
        <v>88.81</v>
      </c>
      <c r="C212" s="31">
        <f t="shared" si="3"/>
        <v>-1.5308416722525389E-2</v>
      </c>
    </row>
    <row r="213" spans="1:3" ht="14" hidden="1" x14ac:dyDescent="0.15">
      <c r="A213" s="21">
        <v>38078</v>
      </c>
      <c r="B213">
        <v>87.41</v>
      </c>
      <c r="C213" s="31">
        <f t="shared" si="3"/>
        <v>-1.5889563678016198E-2</v>
      </c>
    </row>
    <row r="214" spans="1:3" ht="14" hidden="1" x14ac:dyDescent="0.15">
      <c r="A214" s="21">
        <v>38110</v>
      </c>
      <c r="B214">
        <v>88.6</v>
      </c>
      <c r="C214" s="31">
        <f t="shared" si="3"/>
        <v>1.3522165018638658E-2</v>
      </c>
    </row>
    <row r="215" spans="1:3" ht="14" hidden="1" x14ac:dyDescent="0.15">
      <c r="A215" s="21">
        <v>38139</v>
      </c>
      <c r="B215">
        <v>90.3</v>
      </c>
      <c r="C215" s="31">
        <f t="shared" si="3"/>
        <v>1.9005602811904519E-2</v>
      </c>
    </row>
    <row r="216" spans="1:3" ht="14" hidden="1" x14ac:dyDescent="0.15">
      <c r="A216" s="21">
        <v>38169</v>
      </c>
      <c r="B216">
        <v>87.31</v>
      </c>
      <c r="C216" s="31">
        <f t="shared" si="3"/>
        <v>-3.3672456600223451E-2</v>
      </c>
    </row>
    <row r="217" spans="1:3" ht="14" hidden="1" x14ac:dyDescent="0.15">
      <c r="A217" s="21">
        <v>38201</v>
      </c>
      <c r="B217">
        <v>87.65</v>
      </c>
      <c r="C217" s="31">
        <f t="shared" si="3"/>
        <v>3.8866075445272105E-3</v>
      </c>
    </row>
    <row r="218" spans="1:3" ht="14" hidden="1" x14ac:dyDescent="0.15">
      <c r="A218" s="21">
        <v>38231</v>
      </c>
      <c r="B218">
        <v>88.58</v>
      </c>
      <c r="C218" s="31">
        <f t="shared" si="3"/>
        <v>1.0554487127808538E-2</v>
      </c>
    </row>
    <row r="219" spans="1:3" ht="14" hidden="1" x14ac:dyDescent="0.15">
      <c r="A219" s="21">
        <v>38261</v>
      </c>
      <c r="B219">
        <v>89.93</v>
      </c>
      <c r="C219" s="31">
        <f t="shared" si="3"/>
        <v>1.5125491431372063E-2</v>
      </c>
    </row>
    <row r="220" spans="1:3" ht="14" hidden="1" x14ac:dyDescent="0.15">
      <c r="A220" s="21">
        <v>38292</v>
      </c>
      <c r="B220">
        <v>93.56</v>
      </c>
      <c r="C220" s="31">
        <f t="shared" si="3"/>
        <v>3.9571351789554038E-2</v>
      </c>
    </row>
    <row r="221" spans="1:3" ht="14" hidden="1" x14ac:dyDescent="0.15">
      <c r="A221" s="21">
        <v>38322</v>
      </c>
      <c r="B221">
        <v>96.74</v>
      </c>
      <c r="C221" s="31">
        <f t="shared" si="3"/>
        <v>3.3424025678858875E-2</v>
      </c>
    </row>
    <row r="222" spans="1:3" ht="14" hidden="1" x14ac:dyDescent="0.15">
      <c r="A222" s="21">
        <v>38355</v>
      </c>
      <c r="B222">
        <v>94.37</v>
      </c>
      <c r="C222" s="31">
        <f t="shared" si="3"/>
        <v>-2.4803741361595348E-2</v>
      </c>
    </row>
    <row r="223" spans="1:3" ht="14" hidden="1" x14ac:dyDescent="0.15">
      <c r="A223" s="21">
        <v>38384</v>
      </c>
      <c r="B223">
        <v>96.34</v>
      </c>
      <c r="C223" s="31">
        <f t="shared" si="3"/>
        <v>2.066037516883296E-2</v>
      </c>
    </row>
    <row r="224" spans="1:3" ht="14" hidden="1" x14ac:dyDescent="0.15">
      <c r="A224" s="21">
        <v>38412</v>
      </c>
      <c r="B224">
        <v>94.65</v>
      </c>
      <c r="C224" s="31">
        <f t="shared" si="3"/>
        <v>-1.7697723546742889E-2</v>
      </c>
    </row>
    <row r="225" spans="1:3" ht="14" hidden="1" x14ac:dyDescent="0.15">
      <c r="A225" s="21">
        <v>38443</v>
      </c>
      <c r="B225">
        <v>92.84</v>
      </c>
      <c r="C225" s="31">
        <f t="shared" si="3"/>
        <v>-1.930829624909557E-2</v>
      </c>
    </row>
    <row r="226" spans="1:3" ht="14" hidden="1" x14ac:dyDescent="0.15">
      <c r="A226" s="21">
        <v>38474</v>
      </c>
      <c r="B226">
        <v>95.78</v>
      </c>
      <c r="C226" s="31">
        <f t="shared" si="3"/>
        <v>3.1176313508226937E-2</v>
      </c>
    </row>
    <row r="227" spans="1:3" ht="14" hidden="1" x14ac:dyDescent="0.15">
      <c r="A227" s="21">
        <v>38504</v>
      </c>
      <c r="B227">
        <v>95.9</v>
      </c>
      <c r="C227" s="31">
        <f t="shared" si="3"/>
        <v>1.2520869749293156E-3</v>
      </c>
    </row>
    <row r="228" spans="1:3" ht="14" hidden="1" x14ac:dyDescent="0.15">
      <c r="A228" s="21">
        <v>38534</v>
      </c>
      <c r="B228">
        <v>99.45</v>
      </c>
      <c r="C228" s="31">
        <f t="shared" si="3"/>
        <v>3.6349023410588571E-2</v>
      </c>
    </row>
    <row r="229" spans="1:3" ht="14" hidden="1" x14ac:dyDescent="0.15">
      <c r="A229" s="21">
        <v>38565</v>
      </c>
      <c r="B229">
        <v>98.54</v>
      </c>
      <c r="C229" s="31">
        <f t="shared" si="3"/>
        <v>-9.1924481841641481E-3</v>
      </c>
    </row>
    <row r="230" spans="1:3" ht="14" hidden="1" x14ac:dyDescent="0.15">
      <c r="A230" s="21">
        <v>38596</v>
      </c>
      <c r="B230">
        <v>99.32</v>
      </c>
      <c r="C230" s="31">
        <f t="shared" si="3"/>
        <v>7.884403524148615E-3</v>
      </c>
    </row>
    <row r="231" spans="1:3" ht="14" hidden="1" x14ac:dyDescent="0.15">
      <c r="A231" s="21">
        <v>38628</v>
      </c>
      <c r="B231">
        <v>97.66</v>
      </c>
      <c r="C231" s="31">
        <f t="shared" si="3"/>
        <v>-1.6854902006451629E-2</v>
      </c>
    </row>
    <row r="232" spans="1:3" ht="14" hidden="1" x14ac:dyDescent="0.15">
      <c r="A232" s="21">
        <v>38657</v>
      </c>
      <c r="B232">
        <v>101.33</v>
      </c>
      <c r="C232" s="31">
        <f t="shared" si="3"/>
        <v>3.689045882671195E-2</v>
      </c>
    </row>
    <row r="233" spans="1:3" ht="14" hidden="1" x14ac:dyDescent="0.15">
      <c r="A233" s="21">
        <v>38687</v>
      </c>
      <c r="B233">
        <v>101.36</v>
      </c>
      <c r="C233" s="31">
        <f t="shared" si="3"/>
        <v>2.9601855265735759E-4</v>
      </c>
    </row>
    <row r="234" spans="1:3" ht="14" hidden="1" x14ac:dyDescent="0.15">
      <c r="A234" s="21">
        <v>38720</v>
      </c>
      <c r="B234">
        <v>104.04</v>
      </c>
      <c r="C234" s="31">
        <f t="shared" si="3"/>
        <v>2.6096904567567341E-2</v>
      </c>
    </row>
    <row r="235" spans="1:3" ht="14" hidden="1" x14ac:dyDescent="0.15">
      <c r="A235" s="21">
        <v>38749</v>
      </c>
      <c r="B235">
        <v>104.3</v>
      </c>
      <c r="C235" s="31">
        <f t="shared" si="3"/>
        <v>2.4959214262759198E-3</v>
      </c>
    </row>
    <row r="236" spans="1:3" ht="14" hidden="1" x14ac:dyDescent="0.15">
      <c r="A236" s="21">
        <v>38777</v>
      </c>
      <c r="B236">
        <v>105.6</v>
      </c>
      <c r="C236" s="31">
        <f t="shared" si="3"/>
        <v>1.2387009265434302E-2</v>
      </c>
    </row>
    <row r="237" spans="1:3" ht="14" hidden="1" x14ac:dyDescent="0.15">
      <c r="A237" s="21">
        <v>38810</v>
      </c>
      <c r="B237">
        <v>107</v>
      </c>
      <c r="C237" s="31">
        <f t="shared" si="3"/>
        <v>1.3170463189745227E-2</v>
      </c>
    </row>
    <row r="238" spans="1:3" ht="14" hidden="1" x14ac:dyDescent="0.15">
      <c r="A238" s="21">
        <v>38838</v>
      </c>
      <c r="B238">
        <v>103.9</v>
      </c>
      <c r="C238" s="31">
        <f t="shared" si="3"/>
        <v>-2.9399936356724363E-2</v>
      </c>
    </row>
    <row r="239" spans="1:3" ht="14" hidden="1" x14ac:dyDescent="0.15">
      <c r="A239" s="21">
        <v>38869</v>
      </c>
      <c r="B239">
        <v>104.04</v>
      </c>
      <c r="C239" s="31">
        <f t="shared" si="3"/>
        <v>1.346542475269147E-3</v>
      </c>
    </row>
    <row r="240" spans="1:3" ht="14" hidden="1" x14ac:dyDescent="0.15">
      <c r="A240" s="21">
        <v>38901</v>
      </c>
      <c r="B240">
        <v>104.67</v>
      </c>
      <c r="C240" s="31">
        <f t="shared" si="3"/>
        <v>6.0371032863415722E-3</v>
      </c>
    </row>
    <row r="241" spans="1:3" ht="14" hidden="1" x14ac:dyDescent="0.15">
      <c r="A241" s="21">
        <v>38930</v>
      </c>
      <c r="B241">
        <v>107.14</v>
      </c>
      <c r="C241" s="31">
        <f t="shared" si="3"/>
        <v>2.3323846586021924E-2</v>
      </c>
    </row>
    <row r="242" spans="1:3" ht="14" hidden="1" x14ac:dyDescent="0.15">
      <c r="A242" s="21">
        <v>38961</v>
      </c>
      <c r="B242">
        <v>109.89</v>
      </c>
      <c r="C242" s="31">
        <f t="shared" si="3"/>
        <v>2.5343475006018436E-2</v>
      </c>
    </row>
    <row r="243" spans="1:3" ht="14" hidden="1" x14ac:dyDescent="0.15">
      <c r="A243" s="21">
        <v>38992</v>
      </c>
      <c r="B243">
        <v>113.46</v>
      </c>
      <c r="C243" s="31">
        <f t="shared" si="3"/>
        <v>3.1970486439588282E-2</v>
      </c>
    </row>
    <row r="244" spans="1:3" ht="14" hidden="1" x14ac:dyDescent="0.15">
      <c r="A244" s="21">
        <v>39022</v>
      </c>
      <c r="B244">
        <v>115.59</v>
      </c>
      <c r="C244" s="31">
        <f t="shared" si="3"/>
        <v>1.8599095407754871E-2</v>
      </c>
    </row>
    <row r="245" spans="1:3" ht="14" hidden="1" x14ac:dyDescent="0.15">
      <c r="A245" s="21">
        <v>39052</v>
      </c>
      <c r="B245">
        <v>117.21</v>
      </c>
      <c r="C245" s="31">
        <f t="shared" si="3"/>
        <v>1.3917750428912927E-2</v>
      </c>
    </row>
    <row r="246" spans="1:3" ht="14" hidden="1" x14ac:dyDescent="0.15">
      <c r="A246" s="21">
        <v>39085</v>
      </c>
      <c r="B246">
        <v>118.96</v>
      </c>
      <c r="C246" s="31">
        <f t="shared" si="3"/>
        <v>1.4820104416810661E-2</v>
      </c>
    </row>
    <row r="247" spans="1:3" ht="14" hidden="1" x14ac:dyDescent="0.15">
      <c r="A247" s="21">
        <v>39114</v>
      </c>
      <c r="B247">
        <v>116.62</v>
      </c>
      <c r="C247" s="31">
        <f t="shared" si="3"/>
        <v>-1.9866516357889656E-2</v>
      </c>
    </row>
    <row r="248" spans="1:3" ht="14" hidden="1" x14ac:dyDescent="0.15">
      <c r="A248" s="21">
        <v>39142</v>
      </c>
      <c r="B248">
        <v>117.92</v>
      </c>
      <c r="C248" s="31">
        <f t="shared" si="3"/>
        <v>1.1085642647016444E-2</v>
      </c>
    </row>
    <row r="249" spans="1:3" ht="14" hidden="1" x14ac:dyDescent="0.15">
      <c r="A249" s="21">
        <v>39174</v>
      </c>
      <c r="B249">
        <v>123.13</v>
      </c>
      <c r="C249" s="31">
        <f t="shared" si="3"/>
        <v>4.3234279363753556E-2</v>
      </c>
    </row>
    <row r="250" spans="1:3" ht="14" hidden="1" x14ac:dyDescent="0.15">
      <c r="A250" s="21">
        <v>39203</v>
      </c>
      <c r="B250">
        <v>127.41</v>
      </c>
      <c r="C250" s="31">
        <f t="shared" si="3"/>
        <v>3.4169525188509436E-2</v>
      </c>
    </row>
    <row r="251" spans="1:3" ht="14" hidden="1" x14ac:dyDescent="0.15">
      <c r="A251" s="21">
        <v>39234</v>
      </c>
      <c r="B251">
        <v>125.27</v>
      </c>
      <c r="C251" s="31">
        <f t="shared" si="3"/>
        <v>-1.693882513718889E-2</v>
      </c>
    </row>
    <row r="252" spans="1:3" ht="14" hidden="1" x14ac:dyDescent="0.15">
      <c r="A252" s="21">
        <v>39265</v>
      </c>
      <c r="B252">
        <v>121.4</v>
      </c>
      <c r="C252" s="31">
        <f t="shared" si="3"/>
        <v>-3.13805292307026E-2</v>
      </c>
    </row>
    <row r="253" spans="1:3" ht="14" hidden="1" x14ac:dyDescent="0.15">
      <c r="A253" s="21">
        <v>39295</v>
      </c>
      <c r="B253">
        <v>123.22</v>
      </c>
      <c r="C253" s="31">
        <f t="shared" si="3"/>
        <v>1.4880496961026786E-2</v>
      </c>
    </row>
    <row r="254" spans="1:3" ht="14" hidden="1" x14ac:dyDescent="0.15">
      <c r="A254" s="21">
        <v>39329</v>
      </c>
      <c r="B254">
        <v>127.81</v>
      </c>
      <c r="C254" s="31">
        <f t="shared" si="3"/>
        <v>3.6573410557198316E-2</v>
      </c>
    </row>
    <row r="255" spans="1:3" ht="14" hidden="1" x14ac:dyDescent="0.15">
      <c r="A255" s="21">
        <v>39356</v>
      </c>
      <c r="B255">
        <v>129.83000000000001</v>
      </c>
      <c r="C255" s="31">
        <f t="shared" si="3"/>
        <v>1.5681116228539221E-2</v>
      </c>
    </row>
    <row r="256" spans="1:3" ht="14" hidden="1" x14ac:dyDescent="0.15">
      <c r="A256" s="21">
        <v>39387</v>
      </c>
      <c r="B256">
        <v>124.39</v>
      </c>
      <c r="C256" s="31">
        <f t="shared" si="3"/>
        <v>-4.280411115028885E-2</v>
      </c>
    </row>
    <row r="257" spans="1:3" ht="14" hidden="1" x14ac:dyDescent="0.15">
      <c r="A257" s="21">
        <v>39419</v>
      </c>
      <c r="B257">
        <v>123.53</v>
      </c>
      <c r="C257" s="31">
        <f t="shared" si="3"/>
        <v>-6.9377496731508927E-3</v>
      </c>
    </row>
    <row r="258" spans="1:3" ht="14" hidden="1" x14ac:dyDescent="0.15">
      <c r="A258" s="21">
        <v>39449</v>
      </c>
      <c r="B258">
        <v>116.1</v>
      </c>
      <c r="C258" s="31">
        <f t="shared" si="3"/>
        <v>-6.2032152844876599E-2</v>
      </c>
    </row>
    <row r="259" spans="1:3" ht="14" hidden="1" x14ac:dyDescent="0.15">
      <c r="A259" s="21">
        <v>39479</v>
      </c>
      <c r="B259">
        <v>112.33</v>
      </c>
      <c r="C259" s="31">
        <f t="shared" si="3"/>
        <v>-3.3010921050367854E-2</v>
      </c>
    </row>
    <row r="260" spans="1:3" ht="14" hidden="1" x14ac:dyDescent="0.15">
      <c r="A260" s="21">
        <v>39510</v>
      </c>
      <c r="B260">
        <v>111.83</v>
      </c>
      <c r="C260" s="31">
        <f t="shared" si="3"/>
        <v>-4.4611066133809305E-3</v>
      </c>
    </row>
    <row r="261" spans="1:3" ht="14" hidden="1" x14ac:dyDescent="0.15">
      <c r="A261" s="21">
        <v>39539</v>
      </c>
      <c r="B261">
        <v>117.26</v>
      </c>
      <c r="C261" s="31">
        <f t="shared" si="3"/>
        <v>4.7413830495972045E-2</v>
      </c>
    </row>
    <row r="262" spans="1:3" ht="14" hidden="1" x14ac:dyDescent="0.15">
      <c r="A262" s="21">
        <v>39569</v>
      </c>
      <c r="B262">
        <v>118.77</v>
      </c>
      <c r="C262" s="31">
        <f t="shared" si="3"/>
        <v>1.2795158250079786E-2</v>
      </c>
    </row>
    <row r="263" spans="1:3" ht="14" hidden="1" x14ac:dyDescent="0.15">
      <c r="A263" s="21">
        <v>39601</v>
      </c>
      <c r="B263">
        <v>108.73</v>
      </c>
      <c r="C263" s="31">
        <f t="shared" si="3"/>
        <v>-8.8321104776490772E-2</v>
      </c>
    </row>
    <row r="264" spans="1:3" ht="14" hidden="1" x14ac:dyDescent="0.15">
      <c r="A264" s="21">
        <v>39630</v>
      </c>
      <c r="B264">
        <v>107.83</v>
      </c>
      <c r="C264" s="31">
        <f t="shared" si="3"/>
        <v>-8.3118321156771899E-3</v>
      </c>
    </row>
    <row r="265" spans="1:3" ht="14" hidden="1" x14ac:dyDescent="0.15">
      <c r="A265" s="21">
        <v>39661</v>
      </c>
      <c r="B265">
        <v>109.39</v>
      </c>
      <c r="C265" s="31">
        <f t="shared" si="3"/>
        <v>1.4363565237718402E-2</v>
      </c>
    </row>
    <row r="266" spans="1:3" ht="14" hidden="1" x14ac:dyDescent="0.15">
      <c r="A266" s="21">
        <v>39693</v>
      </c>
      <c r="B266">
        <v>99.66</v>
      </c>
      <c r="C266" s="31">
        <f t="shared" ref="C266:C311" si="4">LN(B266/B265)</f>
        <v>-9.3155085278441019E-2</v>
      </c>
    </row>
    <row r="267" spans="1:3" ht="14" hidden="1" x14ac:dyDescent="0.15">
      <c r="A267" s="21">
        <v>39722</v>
      </c>
      <c r="B267">
        <v>82.92</v>
      </c>
      <c r="C267" s="31">
        <f t="shared" si="4"/>
        <v>-0.18388810528567956</v>
      </c>
    </row>
    <row r="268" spans="1:3" ht="14" hidden="1" x14ac:dyDescent="0.15">
      <c r="A268" s="21">
        <v>39755</v>
      </c>
      <c r="B268">
        <v>76.97</v>
      </c>
      <c r="C268" s="31">
        <f t="shared" si="4"/>
        <v>-7.4460552021352808E-2</v>
      </c>
    </row>
    <row r="269" spans="1:3" ht="14" hidden="1" x14ac:dyDescent="0.15">
      <c r="A269" s="21">
        <v>39783</v>
      </c>
      <c r="B269">
        <v>77.8</v>
      </c>
      <c r="C269" s="31">
        <f t="shared" si="4"/>
        <v>1.0725695638119875E-2</v>
      </c>
    </row>
    <row r="270" spans="1:3" ht="14" hidden="1" x14ac:dyDescent="0.15">
      <c r="A270" s="21">
        <v>39815</v>
      </c>
      <c r="B270">
        <v>71.25</v>
      </c>
      <c r="C270" s="31">
        <f t="shared" si="4"/>
        <v>-8.7946612035585986E-2</v>
      </c>
    </row>
    <row r="271" spans="1:3" ht="14" hidden="1" x14ac:dyDescent="0.15">
      <c r="A271" s="21">
        <v>39846</v>
      </c>
      <c r="B271">
        <v>63.66</v>
      </c>
      <c r="C271" s="31">
        <f t="shared" si="4"/>
        <v>-0.11263839729481315</v>
      </c>
    </row>
    <row r="272" spans="1:3" ht="14" hidden="1" x14ac:dyDescent="0.15">
      <c r="A272" s="21">
        <v>39874</v>
      </c>
      <c r="B272">
        <v>69.25</v>
      </c>
      <c r="C272" s="31">
        <f t="shared" si="4"/>
        <v>8.4166723213501091E-2</v>
      </c>
    </row>
    <row r="273" spans="1:3" ht="14" hidden="1" x14ac:dyDescent="0.15">
      <c r="A273" s="21">
        <v>39904</v>
      </c>
      <c r="B273">
        <v>75.87</v>
      </c>
      <c r="C273" s="31">
        <f t="shared" si="4"/>
        <v>9.1298204282535739E-2</v>
      </c>
    </row>
    <row r="274" spans="1:3" ht="14" hidden="1" x14ac:dyDescent="0.15">
      <c r="A274" s="21">
        <v>39934</v>
      </c>
      <c r="B274">
        <v>80.13</v>
      </c>
      <c r="C274" s="31">
        <f t="shared" si="4"/>
        <v>5.4628966439995687E-2</v>
      </c>
    </row>
    <row r="275" spans="1:3" ht="14" hidden="1" x14ac:dyDescent="0.15">
      <c r="A275" s="21">
        <v>39965</v>
      </c>
      <c r="B275">
        <v>80.31</v>
      </c>
      <c r="C275" s="31">
        <f t="shared" si="4"/>
        <v>2.2438304103918009E-3</v>
      </c>
    </row>
    <row r="276" spans="1:3" ht="14" hidden="1" x14ac:dyDescent="0.15">
      <c r="A276" s="21">
        <v>39995</v>
      </c>
      <c r="B276">
        <v>86.39</v>
      </c>
      <c r="C276" s="31">
        <f t="shared" si="4"/>
        <v>7.2977782170421945E-2</v>
      </c>
    </row>
    <row r="277" spans="1:3" ht="14" hidden="1" x14ac:dyDescent="0.15">
      <c r="A277" s="21">
        <v>40028</v>
      </c>
      <c r="B277">
        <v>89.5</v>
      </c>
      <c r="C277" s="31">
        <f t="shared" si="4"/>
        <v>3.5366696910016884E-2</v>
      </c>
    </row>
    <row r="278" spans="1:3" ht="14" hidden="1" x14ac:dyDescent="0.15">
      <c r="A278" s="21">
        <v>40057</v>
      </c>
      <c r="B278">
        <v>92.84</v>
      </c>
      <c r="C278" s="31">
        <f t="shared" si="4"/>
        <v>3.6638956125426683E-2</v>
      </c>
    </row>
    <row r="279" spans="1:3" ht="14" hidden="1" x14ac:dyDescent="0.15">
      <c r="A279" s="21">
        <v>40087</v>
      </c>
      <c r="B279">
        <v>91.1</v>
      </c>
      <c r="C279" s="31">
        <f t="shared" si="4"/>
        <v>-1.8919777140323744E-2</v>
      </c>
    </row>
    <row r="280" spans="1:3" ht="14" hidden="1" x14ac:dyDescent="0.15">
      <c r="A280" s="21">
        <v>40119</v>
      </c>
      <c r="B280">
        <v>96.55</v>
      </c>
      <c r="C280" s="31">
        <f t="shared" si="4"/>
        <v>5.8103204608610785E-2</v>
      </c>
    </row>
    <row r="281" spans="1:3" ht="14" hidden="1" x14ac:dyDescent="0.15">
      <c r="A281" s="21">
        <v>40148</v>
      </c>
      <c r="B281">
        <v>98.43</v>
      </c>
      <c r="C281" s="31">
        <f t="shared" si="4"/>
        <v>1.9284626766596556E-2</v>
      </c>
    </row>
    <row r="282" spans="1:3" ht="14" hidden="1" x14ac:dyDescent="0.15">
      <c r="A282" s="21">
        <v>40182</v>
      </c>
      <c r="B282">
        <v>94.88</v>
      </c>
      <c r="C282" s="31">
        <f t="shared" si="4"/>
        <v>-3.6732700391704752E-2</v>
      </c>
    </row>
    <row r="283" spans="1:3" ht="14" hidden="1" x14ac:dyDescent="0.15">
      <c r="A283" s="21">
        <v>40210</v>
      </c>
      <c r="B283">
        <v>97.82</v>
      </c>
      <c r="C283" s="31">
        <f t="shared" si="4"/>
        <v>3.0516119861795848E-2</v>
      </c>
    </row>
    <row r="284" spans="1:3" ht="14" hidden="1" x14ac:dyDescent="0.15">
      <c r="A284" s="21">
        <v>40238</v>
      </c>
      <c r="B284">
        <v>103.7</v>
      </c>
      <c r="C284" s="31">
        <f t="shared" si="4"/>
        <v>5.8373060124270605E-2</v>
      </c>
    </row>
    <row r="285" spans="1:3" ht="14" hidden="1" x14ac:dyDescent="0.15">
      <c r="A285" s="21">
        <v>40269</v>
      </c>
      <c r="B285">
        <v>105.34</v>
      </c>
      <c r="C285" s="31">
        <f t="shared" si="4"/>
        <v>1.5691098819761672E-2</v>
      </c>
    </row>
    <row r="286" spans="1:3" ht="14" hidden="1" x14ac:dyDescent="0.15">
      <c r="A286" s="21">
        <v>40301</v>
      </c>
      <c r="B286">
        <v>96.91</v>
      </c>
      <c r="C286" s="31">
        <f t="shared" si="4"/>
        <v>-8.3410501308784649E-2</v>
      </c>
    </row>
    <row r="287" spans="1:3" ht="14" hidden="1" x14ac:dyDescent="0.15">
      <c r="A287" s="21">
        <v>40330</v>
      </c>
      <c r="B287">
        <v>91.83</v>
      </c>
      <c r="C287" s="31">
        <f t="shared" si="4"/>
        <v>-5.3843671121027864E-2</v>
      </c>
    </row>
    <row r="288" spans="1:3" ht="14" hidden="1" x14ac:dyDescent="0.15">
      <c r="A288" s="21">
        <v>40360</v>
      </c>
      <c r="B288">
        <v>98.25</v>
      </c>
      <c r="C288" s="31">
        <f t="shared" si="4"/>
        <v>6.7576209123939801E-2</v>
      </c>
    </row>
    <row r="289" spans="1:3" ht="14" hidden="1" x14ac:dyDescent="0.15">
      <c r="A289" s="21">
        <v>40392</v>
      </c>
      <c r="B289">
        <v>93.8</v>
      </c>
      <c r="C289" s="31">
        <f t="shared" si="4"/>
        <v>-4.6350394737191644E-2</v>
      </c>
    </row>
    <row r="290" spans="1:3" ht="14" hidden="1" x14ac:dyDescent="0.15">
      <c r="A290" s="21">
        <v>40422</v>
      </c>
      <c r="B290">
        <v>102.16</v>
      </c>
      <c r="C290" s="31">
        <f t="shared" si="4"/>
        <v>8.5375355712104903E-2</v>
      </c>
    </row>
    <row r="291" spans="1:3" ht="14" hidden="1" x14ac:dyDescent="0.15">
      <c r="A291" s="21">
        <v>40452</v>
      </c>
      <c r="B291">
        <v>106.03</v>
      </c>
      <c r="C291" s="31">
        <f t="shared" si="4"/>
        <v>3.7181861213423074E-2</v>
      </c>
    </row>
    <row r="292" spans="1:3" ht="14" hidden="1" x14ac:dyDescent="0.15">
      <c r="A292" s="21">
        <v>40483</v>
      </c>
      <c r="B292">
        <v>106.03</v>
      </c>
      <c r="C292" s="31">
        <f t="shared" si="4"/>
        <v>0</v>
      </c>
    </row>
    <row r="293" spans="1:3" ht="14" x14ac:dyDescent="0.15">
      <c r="A293" s="21">
        <v>40513</v>
      </c>
      <c r="B293">
        <v>113.11</v>
      </c>
      <c r="C293" s="31">
        <f t="shared" si="4"/>
        <v>6.4638723605582843E-2</v>
      </c>
    </row>
    <row r="294" spans="1:3" ht="14" x14ac:dyDescent="0.15">
      <c r="A294" s="21">
        <v>40546</v>
      </c>
      <c r="B294">
        <v>115.77</v>
      </c>
      <c r="C294" s="31">
        <f t="shared" si="4"/>
        <v>2.3244667674347332E-2</v>
      </c>
    </row>
    <row r="295" spans="1:3" ht="14" x14ac:dyDescent="0.15">
      <c r="A295" s="21">
        <v>40575</v>
      </c>
      <c r="B295">
        <v>119.73</v>
      </c>
      <c r="C295" s="31">
        <f t="shared" si="4"/>
        <v>3.3633743511115179E-2</v>
      </c>
    </row>
    <row r="296" spans="1:3" ht="14" x14ac:dyDescent="0.15">
      <c r="A296" s="21">
        <v>40603</v>
      </c>
      <c r="B296">
        <v>119.76</v>
      </c>
      <c r="C296" s="31">
        <f t="shared" si="4"/>
        <v>2.5053238262072106E-4</v>
      </c>
    </row>
    <row r="297" spans="1:3" ht="14" x14ac:dyDescent="0.15">
      <c r="A297" s="21">
        <v>40634</v>
      </c>
      <c r="B297">
        <v>123.29</v>
      </c>
      <c r="C297" s="31">
        <f t="shared" si="4"/>
        <v>2.9049563769088405E-2</v>
      </c>
    </row>
    <row r="298" spans="1:3" ht="14" x14ac:dyDescent="0.15">
      <c r="A298" s="21">
        <v>40665</v>
      </c>
      <c r="B298">
        <v>121.88</v>
      </c>
      <c r="C298" s="31">
        <f t="shared" si="4"/>
        <v>-1.1502349762953171E-2</v>
      </c>
    </row>
    <row r="299" spans="1:3" ht="14" x14ac:dyDescent="0.15">
      <c r="A299" s="21">
        <v>40695</v>
      </c>
      <c r="B299">
        <v>119.84</v>
      </c>
      <c r="C299" s="31">
        <f t="shared" si="4"/>
        <v>-1.6879434348598933E-2</v>
      </c>
    </row>
    <row r="300" spans="1:3" ht="14" x14ac:dyDescent="0.15">
      <c r="A300" s="21">
        <v>40725</v>
      </c>
      <c r="B300">
        <v>117.39</v>
      </c>
      <c r="C300" s="31">
        <f t="shared" si="4"/>
        <v>-2.0655794878478611E-2</v>
      </c>
    </row>
    <row r="301" spans="1:3" ht="14" x14ac:dyDescent="0.15">
      <c r="A301" s="21">
        <v>40756</v>
      </c>
      <c r="B301">
        <v>110.99</v>
      </c>
      <c r="C301" s="31">
        <f t="shared" si="4"/>
        <v>-5.6061617726542758E-2</v>
      </c>
    </row>
    <row r="302" spans="1:3" ht="14" x14ac:dyDescent="0.15">
      <c r="A302" s="21">
        <v>40787</v>
      </c>
      <c r="B302">
        <v>103.16</v>
      </c>
      <c r="C302" s="31">
        <f t="shared" si="4"/>
        <v>-7.3158926150744055E-2</v>
      </c>
    </row>
    <row r="303" spans="1:3" ht="14" x14ac:dyDescent="0.15">
      <c r="A303" s="21">
        <v>40819</v>
      </c>
      <c r="B303">
        <v>114.42</v>
      </c>
      <c r="C303" s="31">
        <f t="shared" si="4"/>
        <v>0.10359470782723863</v>
      </c>
    </row>
    <row r="304" spans="1:3" ht="14" x14ac:dyDescent="0.15">
      <c r="A304" s="21">
        <v>40848</v>
      </c>
      <c r="B304">
        <v>114.15</v>
      </c>
      <c r="C304" s="31">
        <f t="shared" si="4"/>
        <v>-2.3625158645780965E-3</v>
      </c>
    </row>
    <row r="305" spans="1:3" ht="14" x14ac:dyDescent="0.15">
      <c r="A305" s="21">
        <v>40878</v>
      </c>
      <c r="B305">
        <v>115.32</v>
      </c>
      <c r="C305" s="31">
        <f t="shared" si="4"/>
        <v>1.0197499794396686E-2</v>
      </c>
    </row>
    <row r="306" spans="1:3" ht="14" x14ac:dyDescent="0.15">
      <c r="A306" s="21">
        <v>40911</v>
      </c>
      <c r="B306">
        <v>120.47</v>
      </c>
      <c r="C306" s="31">
        <f t="shared" si="4"/>
        <v>4.3689886508559948E-2</v>
      </c>
    </row>
    <row r="307" spans="1:3" ht="14" x14ac:dyDescent="0.15">
      <c r="A307" s="21">
        <v>40940</v>
      </c>
      <c r="B307">
        <v>125.66</v>
      </c>
      <c r="C307" s="31">
        <f t="shared" si="4"/>
        <v>4.2179087696039584E-2</v>
      </c>
    </row>
    <row r="308" spans="1:3" ht="14" x14ac:dyDescent="0.15">
      <c r="A308" s="21">
        <v>40969</v>
      </c>
      <c r="B308">
        <v>129.78</v>
      </c>
      <c r="C308" s="31">
        <f t="shared" si="4"/>
        <v>3.2260862218221477E-2</v>
      </c>
    </row>
    <row r="309" spans="1:3" ht="14" x14ac:dyDescent="0.15">
      <c r="A309" s="21">
        <v>41001</v>
      </c>
      <c r="B309">
        <v>128.94999999999999</v>
      </c>
      <c r="C309" s="31">
        <f t="shared" si="4"/>
        <v>-6.4159768656687124E-3</v>
      </c>
    </row>
    <row r="310" spans="1:3" ht="14" x14ac:dyDescent="0.15">
      <c r="A310" s="21">
        <v>41030</v>
      </c>
      <c r="B310">
        <v>121.19</v>
      </c>
      <c r="C310" s="31">
        <f t="shared" si="4"/>
        <v>-6.2065170346957653E-2</v>
      </c>
    </row>
    <row r="311" spans="1:3" ht="14" x14ac:dyDescent="0.15">
      <c r="A311" s="21">
        <v>41061</v>
      </c>
      <c r="B311">
        <v>125.55</v>
      </c>
      <c r="C311" s="31">
        <f t="shared" si="4"/>
        <v>3.5344523623197982E-2</v>
      </c>
    </row>
    <row r="312" spans="1:3" x14ac:dyDescent="0.15">
      <c r="C312" s="23"/>
    </row>
    <row r="313" spans="1:3" x14ac:dyDescent="0.15">
      <c r="C313" s="23"/>
    </row>
    <row r="314" spans="1:3" x14ac:dyDescent="0.15">
      <c r="C314" s="23"/>
    </row>
    <row r="315" spans="1:3" x14ac:dyDescent="0.15">
      <c r="C315" s="23"/>
    </row>
    <row r="316" spans="1:3" x14ac:dyDescent="0.15">
      <c r="C316" s="23"/>
    </row>
    <row r="317" spans="1:3" x14ac:dyDescent="0.15">
      <c r="C317" s="23"/>
    </row>
    <row r="318" spans="1:3" x14ac:dyDescent="0.15">
      <c r="C318" s="23"/>
    </row>
    <row r="319" spans="1:3" x14ac:dyDescent="0.15">
      <c r="C319" s="23"/>
    </row>
    <row r="320" spans="1:3" x14ac:dyDescent="0.15">
      <c r="C320" s="23"/>
    </row>
    <row r="321" spans="3:3" x14ac:dyDescent="0.15">
      <c r="C321" s="23"/>
    </row>
    <row r="322" spans="3:3" x14ac:dyDescent="0.15">
      <c r="C322" s="23"/>
    </row>
    <row r="323" spans="3:3" x14ac:dyDescent="0.15">
      <c r="C323" s="23"/>
    </row>
    <row r="324" spans="3:3" x14ac:dyDescent="0.15">
      <c r="C324" s="23"/>
    </row>
    <row r="325" spans="3:3" x14ac:dyDescent="0.15">
      <c r="C325" s="23"/>
    </row>
    <row r="326" spans="3:3" x14ac:dyDescent="0.15">
      <c r="C326" s="23"/>
    </row>
    <row r="327" spans="3:3" x14ac:dyDescent="0.15">
      <c r="C327" s="23"/>
    </row>
    <row r="328" spans="3:3" x14ac:dyDescent="0.15">
      <c r="C328" s="23"/>
    </row>
    <row r="329" spans="3:3" x14ac:dyDescent="0.15">
      <c r="C329" s="23"/>
    </row>
    <row r="330" spans="3:3" x14ac:dyDescent="0.15">
      <c r="C330" s="23"/>
    </row>
    <row r="331" spans="3:3" x14ac:dyDescent="0.15">
      <c r="C331" s="23"/>
    </row>
    <row r="332" spans="3:3" x14ac:dyDescent="0.15">
      <c r="C332" s="23"/>
    </row>
    <row r="333" spans="3:3" x14ac:dyDescent="0.15">
      <c r="C333" s="23"/>
    </row>
    <row r="334" spans="3:3" x14ac:dyDescent="0.15">
      <c r="C334" s="23"/>
    </row>
    <row r="335" spans="3:3" x14ac:dyDescent="0.15">
      <c r="C335" s="23"/>
    </row>
    <row r="336" spans="3:3" x14ac:dyDescent="0.15">
      <c r="C336" s="23"/>
    </row>
    <row r="337" spans="3:3" x14ac:dyDescent="0.15">
      <c r="C337" s="23"/>
    </row>
    <row r="338" spans="3:3" x14ac:dyDescent="0.15">
      <c r="C338" s="23"/>
    </row>
    <row r="339" spans="3:3" x14ac:dyDescent="0.15">
      <c r="C339" s="23"/>
    </row>
    <row r="340" spans="3:3" x14ac:dyDescent="0.15">
      <c r="C340" s="23"/>
    </row>
    <row r="341" spans="3:3" x14ac:dyDescent="0.15">
      <c r="C341" s="23"/>
    </row>
    <row r="342" spans="3:3" x14ac:dyDescent="0.15">
      <c r="C342" s="23"/>
    </row>
    <row r="343" spans="3:3" x14ac:dyDescent="0.15">
      <c r="C343" s="23"/>
    </row>
    <row r="344" spans="3:3" x14ac:dyDescent="0.15">
      <c r="C344" s="23"/>
    </row>
    <row r="345" spans="3:3" x14ac:dyDescent="0.15">
      <c r="C345" s="23"/>
    </row>
    <row r="346" spans="3:3" x14ac:dyDescent="0.15">
      <c r="C346" s="23"/>
    </row>
    <row r="347" spans="3:3" x14ac:dyDescent="0.15">
      <c r="C347" s="23"/>
    </row>
    <row r="348" spans="3:3" x14ac:dyDescent="0.15">
      <c r="C348" s="23"/>
    </row>
    <row r="349" spans="3:3" x14ac:dyDescent="0.15">
      <c r="C349" s="23"/>
    </row>
    <row r="350" spans="3:3" x14ac:dyDescent="0.15">
      <c r="C350" s="23"/>
    </row>
    <row r="351" spans="3:3" x14ac:dyDescent="0.15">
      <c r="C351" s="23"/>
    </row>
    <row r="352" spans="3:3" x14ac:dyDescent="0.15">
      <c r="C352" s="23"/>
    </row>
    <row r="353" spans="3:3" x14ac:dyDescent="0.15">
      <c r="C353" s="23"/>
    </row>
    <row r="354" spans="3:3" x14ac:dyDescent="0.15">
      <c r="C354" s="23"/>
    </row>
    <row r="355" spans="3:3" x14ac:dyDescent="0.15">
      <c r="C355" s="23"/>
    </row>
    <row r="356" spans="3:3" x14ac:dyDescent="0.15">
      <c r="C356" s="23"/>
    </row>
    <row r="357" spans="3:3" x14ac:dyDescent="0.15">
      <c r="C357" s="23"/>
    </row>
    <row r="358" spans="3:3" x14ac:dyDescent="0.15">
      <c r="C358" s="23"/>
    </row>
    <row r="359" spans="3:3" x14ac:dyDescent="0.15">
      <c r="C359" s="23"/>
    </row>
    <row r="360" spans="3:3" x14ac:dyDescent="0.15">
      <c r="C360" s="23"/>
    </row>
    <row r="361" spans="3:3" x14ac:dyDescent="0.15">
      <c r="C361" s="23"/>
    </row>
    <row r="362" spans="3:3" x14ac:dyDescent="0.15">
      <c r="C362" s="23"/>
    </row>
    <row r="363" spans="3:3" x14ac:dyDescent="0.15">
      <c r="C363" s="23"/>
    </row>
    <row r="364" spans="3:3" x14ac:dyDescent="0.15">
      <c r="C364" s="23"/>
    </row>
    <row r="365" spans="3:3" x14ac:dyDescent="0.15">
      <c r="C365" s="23"/>
    </row>
    <row r="366" spans="3:3" x14ac:dyDescent="0.15">
      <c r="C366" s="23"/>
    </row>
    <row r="367" spans="3:3" x14ac:dyDescent="0.15">
      <c r="C367" s="23"/>
    </row>
    <row r="368" spans="3:3" x14ac:dyDescent="0.15">
      <c r="C368" s="23"/>
    </row>
    <row r="369" spans="3:3" x14ac:dyDescent="0.15">
      <c r="C369" s="23"/>
    </row>
    <row r="370" spans="3:3" x14ac:dyDescent="0.15">
      <c r="C370" s="23"/>
    </row>
    <row r="371" spans="3:3" x14ac:dyDescent="0.15">
      <c r="C371" s="23"/>
    </row>
    <row r="372" spans="3:3" x14ac:dyDescent="0.15">
      <c r="C372" s="23"/>
    </row>
    <row r="373" spans="3:3" x14ac:dyDescent="0.15">
      <c r="C373" s="23"/>
    </row>
    <row r="374" spans="3:3" x14ac:dyDescent="0.15">
      <c r="C374" s="23"/>
    </row>
    <row r="375" spans="3:3" x14ac:dyDescent="0.15">
      <c r="C375" s="23"/>
    </row>
    <row r="376" spans="3:3" x14ac:dyDescent="0.15">
      <c r="C376" s="23"/>
    </row>
    <row r="377" spans="3:3" x14ac:dyDescent="0.15">
      <c r="C377" s="23"/>
    </row>
    <row r="378" spans="3:3" x14ac:dyDescent="0.15">
      <c r="C378" s="23"/>
    </row>
    <row r="379" spans="3:3" x14ac:dyDescent="0.15">
      <c r="C379" s="23"/>
    </row>
    <row r="380" spans="3:3" x14ac:dyDescent="0.15">
      <c r="C380" s="23"/>
    </row>
    <row r="381" spans="3:3" x14ac:dyDescent="0.15">
      <c r="C381" s="23"/>
    </row>
    <row r="382" spans="3:3" x14ac:dyDescent="0.15">
      <c r="C382" s="23"/>
    </row>
    <row r="383" spans="3:3" x14ac:dyDescent="0.15">
      <c r="C383" s="23"/>
    </row>
    <row r="384" spans="3:3" x14ac:dyDescent="0.15">
      <c r="C384" s="23"/>
    </row>
    <row r="385" spans="3:3" x14ac:dyDescent="0.15">
      <c r="C385" s="23"/>
    </row>
    <row r="386" spans="3:3" x14ac:dyDescent="0.15">
      <c r="C386" s="23"/>
    </row>
    <row r="387" spans="3:3" x14ac:dyDescent="0.15">
      <c r="C387" s="23"/>
    </row>
    <row r="388" spans="3:3" x14ac:dyDescent="0.15">
      <c r="C388" s="23"/>
    </row>
    <row r="389" spans="3:3" x14ac:dyDescent="0.15">
      <c r="C389" s="23"/>
    </row>
    <row r="390" spans="3:3" x14ac:dyDescent="0.15">
      <c r="C390" s="23"/>
    </row>
    <row r="391" spans="3:3" x14ac:dyDescent="0.15">
      <c r="C391" s="23"/>
    </row>
    <row r="392" spans="3:3" x14ac:dyDescent="0.15">
      <c r="C392" s="23"/>
    </row>
    <row r="393" spans="3:3" x14ac:dyDescent="0.15">
      <c r="C393" s="23"/>
    </row>
    <row r="394" spans="3:3" x14ac:dyDescent="0.15">
      <c r="C394" s="23"/>
    </row>
    <row r="395" spans="3:3" x14ac:dyDescent="0.15">
      <c r="C395" s="23"/>
    </row>
    <row r="396" spans="3:3" x14ac:dyDescent="0.15">
      <c r="C396" s="23"/>
    </row>
    <row r="397" spans="3:3" x14ac:dyDescent="0.15">
      <c r="C397" s="23"/>
    </row>
    <row r="398" spans="3:3" x14ac:dyDescent="0.15">
      <c r="C398" s="23"/>
    </row>
    <row r="399" spans="3:3" x14ac:dyDescent="0.15">
      <c r="C399" s="23"/>
    </row>
    <row r="400" spans="3:3" x14ac:dyDescent="0.15">
      <c r="C400" s="23"/>
    </row>
    <row r="401" spans="3:3" x14ac:dyDescent="0.15">
      <c r="C401" s="23"/>
    </row>
    <row r="402" spans="3:3" x14ac:dyDescent="0.15">
      <c r="C402" s="23"/>
    </row>
    <row r="403" spans="3:3" x14ac:dyDescent="0.15">
      <c r="C403" s="23"/>
    </row>
    <row r="404" spans="3:3" x14ac:dyDescent="0.15">
      <c r="C404" s="23"/>
    </row>
    <row r="405" spans="3:3" x14ac:dyDescent="0.15">
      <c r="C405" s="23"/>
    </row>
    <row r="406" spans="3:3" x14ac:dyDescent="0.15">
      <c r="C406" s="23"/>
    </row>
    <row r="407" spans="3:3" x14ac:dyDescent="0.15">
      <c r="C407" s="23"/>
    </row>
    <row r="408" spans="3:3" x14ac:dyDescent="0.15">
      <c r="C408" s="23"/>
    </row>
    <row r="409" spans="3:3" x14ac:dyDescent="0.15">
      <c r="C409" s="23"/>
    </row>
    <row r="410" spans="3:3" x14ac:dyDescent="0.15">
      <c r="C410" s="23"/>
    </row>
    <row r="411" spans="3:3" x14ac:dyDescent="0.15">
      <c r="C411" s="23"/>
    </row>
    <row r="412" spans="3:3" x14ac:dyDescent="0.15">
      <c r="C412" s="23"/>
    </row>
    <row r="413" spans="3:3" x14ac:dyDescent="0.15">
      <c r="C413" s="23"/>
    </row>
    <row r="414" spans="3:3" x14ac:dyDescent="0.15">
      <c r="C414" s="23"/>
    </row>
    <row r="415" spans="3:3" x14ac:dyDescent="0.15">
      <c r="C415" s="23"/>
    </row>
    <row r="416" spans="3:3" x14ac:dyDescent="0.15">
      <c r="C416" s="23"/>
    </row>
    <row r="417" spans="3:3" x14ac:dyDescent="0.15">
      <c r="C417" s="23"/>
    </row>
    <row r="418" spans="3:3" x14ac:dyDescent="0.15">
      <c r="C418" s="23"/>
    </row>
    <row r="419" spans="3:3" x14ac:dyDescent="0.15">
      <c r="C419" s="23"/>
    </row>
    <row r="420" spans="3:3" x14ac:dyDescent="0.15">
      <c r="C420" s="23"/>
    </row>
    <row r="421" spans="3:3" x14ac:dyDescent="0.15">
      <c r="C421" s="23"/>
    </row>
    <row r="422" spans="3:3" x14ac:dyDescent="0.15">
      <c r="C422" s="23"/>
    </row>
    <row r="423" spans="3:3" x14ac:dyDescent="0.15">
      <c r="C423" s="23"/>
    </row>
    <row r="424" spans="3:3" x14ac:dyDescent="0.15">
      <c r="C424" s="23"/>
    </row>
    <row r="425" spans="3:3" x14ac:dyDescent="0.15">
      <c r="C425" s="23"/>
    </row>
    <row r="426" spans="3:3" x14ac:dyDescent="0.15">
      <c r="C426" s="23"/>
    </row>
    <row r="427" spans="3:3" x14ac:dyDescent="0.15">
      <c r="C427" s="23"/>
    </row>
    <row r="428" spans="3:3" x14ac:dyDescent="0.15">
      <c r="C428" s="23"/>
    </row>
    <row r="429" spans="3:3" x14ac:dyDescent="0.15">
      <c r="C429" s="23"/>
    </row>
    <row r="430" spans="3:3" x14ac:dyDescent="0.15">
      <c r="C430" s="23"/>
    </row>
    <row r="431" spans="3:3" x14ac:dyDescent="0.15">
      <c r="C431" s="23"/>
    </row>
    <row r="432" spans="3:3" x14ac:dyDescent="0.15">
      <c r="C432" s="23"/>
    </row>
    <row r="433" spans="3:3" x14ac:dyDescent="0.15">
      <c r="C433" s="23"/>
    </row>
    <row r="434" spans="3:3" x14ac:dyDescent="0.15">
      <c r="C434" s="23"/>
    </row>
    <row r="435" spans="3:3" x14ac:dyDescent="0.15">
      <c r="C435" s="23"/>
    </row>
    <row r="436" spans="3:3" x14ac:dyDescent="0.15">
      <c r="C436" s="23"/>
    </row>
    <row r="437" spans="3:3" x14ac:dyDescent="0.15">
      <c r="C437" s="23"/>
    </row>
    <row r="438" spans="3:3" x14ac:dyDescent="0.15">
      <c r="C438" s="23"/>
    </row>
    <row r="439" spans="3:3" x14ac:dyDescent="0.15">
      <c r="C439" s="23"/>
    </row>
    <row r="440" spans="3:3" x14ac:dyDescent="0.15">
      <c r="C440" s="23"/>
    </row>
    <row r="441" spans="3:3" x14ac:dyDescent="0.15">
      <c r="C441" s="23"/>
    </row>
    <row r="442" spans="3:3" x14ac:dyDescent="0.15">
      <c r="C442" s="23"/>
    </row>
    <row r="443" spans="3:3" x14ac:dyDescent="0.15">
      <c r="C443" s="23"/>
    </row>
    <row r="444" spans="3:3" x14ac:dyDescent="0.15">
      <c r="C444" s="23"/>
    </row>
  </sheetData>
  <mergeCells count="1">
    <mergeCell ref="A1:D1"/>
  </mergeCells>
  <printOptions headings="1" gridLines="1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9"/>
  <sheetViews>
    <sheetView zoomScale="130" zoomScaleNormal="130" zoomScalePageLayoutView="130" workbookViewId="0">
      <selection activeCell="D17" sqref="D17"/>
    </sheetView>
  </sheetViews>
  <sheetFormatPr baseColWidth="10" defaultColWidth="8.6640625" defaultRowHeight="13" x14ac:dyDescent="0.15"/>
  <cols>
    <col min="1" max="1" width="34.6640625" style="17" customWidth="1"/>
    <col min="2" max="2" width="10.1640625" style="17" customWidth="1"/>
    <col min="3" max="3" width="30.33203125" style="17" bestFit="1" customWidth="1"/>
    <col min="4" max="4" width="8.5" style="17" customWidth="1"/>
    <col min="5" max="5" width="8.6640625" style="17" bestFit="1" customWidth="1"/>
    <col min="6" max="16384" width="8.6640625" style="17"/>
  </cols>
  <sheetData>
    <row r="1" spans="1:3" ht="45.75" customHeight="1" x14ac:dyDescent="0.15">
      <c r="A1" s="56" t="s">
        <v>56</v>
      </c>
      <c r="B1" s="56"/>
      <c r="C1" s="56"/>
    </row>
    <row r="2" spans="1:3" ht="14" x14ac:dyDescent="0.15">
      <c r="A2" s="32" t="s">
        <v>57</v>
      </c>
      <c r="B2" s="33">
        <f>'R(e) —&gt; CAPM Method'!B2</f>
        <v>0.64350288539150746</v>
      </c>
      <c r="C2" s="32"/>
    </row>
    <row r="3" spans="1:3" ht="14" x14ac:dyDescent="0.15">
      <c r="A3" s="32" t="s">
        <v>58</v>
      </c>
      <c r="B3" s="34">
        <v>4.3999999999999997E-2</v>
      </c>
      <c r="C3" s="32"/>
    </row>
    <row r="4" spans="1:3" ht="16" x14ac:dyDescent="0.2">
      <c r="A4" s="32" t="s">
        <v>59</v>
      </c>
      <c r="B4" s="35">
        <f>'R(e)  —&gt; tax adj'!B3</f>
        <v>0.12844286883010636</v>
      </c>
      <c r="C4" s="32"/>
    </row>
    <row r="5" spans="1:3" ht="16" x14ac:dyDescent="0.2">
      <c r="A5" s="32" t="s">
        <v>60</v>
      </c>
      <c r="B5" s="36">
        <v>0.02</v>
      </c>
      <c r="C5" s="32"/>
    </row>
    <row r="6" spans="1:3" ht="16" x14ac:dyDescent="0.2">
      <c r="A6" s="32" t="s">
        <v>61</v>
      </c>
      <c r="B6" s="35"/>
      <c r="C6" s="32"/>
    </row>
    <row r="7" spans="1:3" ht="14" x14ac:dyDescent="0.15">
      <c r="A7" s="37" t="s">
        <v>62</v>
      </c>
      <c r="B7" s="38">
        <f>B5+B2*B3</f>
        <v>4.8314126957226325E-2</v>
      </c>
      <c r="C7" s="32"/>
    </row>
    <row r="8" spans="1:3" ht="14" x14ac:dyDescent="0.15">
      <c r="A8" s="37" t="s">
        <v>63</v>
      </c>
      <c r="B8" s="38">
        <f>B5*(1-B4)+B2*(B3+B4*B5)</f>
        <v>4.7398336714626926E-2</v>
      </c>
      <c r="C8" s="32"/>
    </row>
    <row r="9" spans="1:3" ht="14" x14ac:dyDescent="0.15">
      <c r="A9" s="32"/>
      <c r="B9" s="39"/>
      <c r="C9" s="32"/>
    </row>
    <row r="10" spans="1:3" ht="74.25" customHeight="1" x14ac:dyDescent="0.15">
      <c r="A10" s="59" t="s">
        <v>64</v>
      </c>
      <c r="B10" s="59"/>
      <c r="C10" s="59"/>
    </row>
    <row r="11" spans="1:3" x14ac:dyDescent="0.15">
      <c r="B11" s="40"/>
    </row>
    <row r="12" spans="1:3" x14ac:dyDescent="0.15">
      <c r="B12" s="40"/>
    </row>
    <row r="13" spans="1:3" x14ac:dyDescent="0.15">
      <c r="B13" s="40"/>
    </row>
    <row r="14" spans="1:3" x14ac:dyDescent="0.15">
      <c r="B14" s="40"/>
    </row>
    <row r="15" spans="1:3" x14ac:dyDescent="0.15">
      <c r="B15" s="40"/>
    </row>
    <row r="16" spans="1:3" x14ac:dyDescent="0.15">
      <c r="B16" s="40"/>
    </row>
    <row r="17" spans="2:2" x14ac:dyDescent="0.15">
      <c r="B17" s="40"/>
    </row>
    <row r="18" spans="2:2" x14ac:dyDescent="0.15">
      <c r="B18" s="40"/>
    </row>
    <row r="19" spans="2:2" x14ac:dyDescent="0.15">
      <c r="B19" s="40"/>
    </row>
  </sheetData>
  <mergeCells count="2">
    <mergeCell ref="A1:C1"/>
    <mergeCell ref="A10:C10"/>
  </mergeCells>
  <printOptions headings="1" gridLine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T(c)</vt:lpstr>
      <vt:lpstr>R(d)</vt:lpstr>
      <vt:lpstr>YLD</vt:lpstr>
      <vt:lpstr>R(e) —&gt; Gordon Model</vt:lpstr>
      <vt:lpstr>B</vt:lpstr>
      <vt:lpstr>R(e) —&gt; CAPM Method</vt:lpstr>
      <vt:lpstr>R(e)  —&gt; tax adj</vt:lpstr>
      <vt:lpstr>R(m)</vt:lpstr>
      <vt:lpstr>Exp R(m)-R(f)</vt:lpstr>
      <vt:lpstr>Exp R(m)</vt:lpstr>
      <vt:lpstr>WACC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Justin Nance</dc:creator>
  <cp:keywords/>
  <dc:description/>
  <cp:lastModifiedBy>Justin Nance</cp:lastModifiedBy>
  <dcterms:created xsi:type="dcterms:W3CDTF">2020-10-17T03:09:02Z</dcterms:created>
  <dcterms:modified xsi:type="dcterms:W3CDTF">2022-10-06T17:14:53Z</dcterms:modified>
  <cp:category/>
</cp:coreProperties>
</file>