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ustin_macintosh/Downloads/Excel Repo/"/>
    </mc:Choice>
  </mc:AlternateContent>
  <xr:revisionPtr revIDLastSave="0" documentId="13_ncr:1_{E647DC58-C821-CF47-BE4D-D2DBD81DFC10}" xr6:coauthVersionLast="36" xr6:coauthVersionMax="36" xr10:uidLastSave="{00000000-0000-0000-0000-000000000000}"/>
  <bookViews>
    <workbookView xWindow="0" yWindow="500" windowWidth="25600" windowHeight="15040" tabRatio="500" xr2:uid="{00000000-000D-0000-FFFF-FFFF00000000}"/>
  </bookViews>
  <sheets>
    <sheet name="Base" sheetId="7" r:id="rId1"/>
    <sheet name="Price" sheetId="8" r:id="rId2"/>
    <sheet name="Change" sheetId="9" r:id="rId3"/>
  </sheets>
  <definedNames>
    <definedName name="solver_adj" localSheetId="0" hidden="1">Base!$C$25:$G$26</definedName>
    <definedName name="solver_adj" localSheetId="2" hidden="1">Change!$B$5</definedName>
    <definedName name="solver_adj" localSheetId="1" hidden="1">Price!$C$26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0" hidden="1">1</definedName>
    <definedName name="solver_itr" localSheetId="0" hidden="1">100</definedName>
    <definedName name="solver_itr" localSheetId="2" hidden="1">2147483647</definedName>
    <definedName name="solver_itr" localSheetId="1" hidden="1">2147483647</definedName>
    <definedName name="solver_lhs1" localSheetId="0" hidden="1">Base!$D$26</definedName>
    <definedName name="solver_lin" localSheetId="0" hidden="1">2</definedName>
    <definedName name="solver_lin" localSheetId="2" hidden="1">2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0" hidden="1">2</definedName>
    <definedName name="solver_neg" localSheetId="2" hidden="1">2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0" hidden="1">0</definedName>
    <definedName name="solver_num" localSheetId="2" hidden="1">0</definedName>
    <definedName name="solver_num" localSheetId="1" hidden="1">0</definedName>
    <definedName name="solver_nwt" localSheetId="0" hidden="1">1</definedName>
    <definedName name="solver_opt" localSheetId="0" hidden="1">Base!$B$53</definedName>
    <definedName name="solver_opt" localSheetId="2" hidden="1">Change!$B$53</definedName>
    <definedName name="solver_opt" localSheetId="1" hidden="1">Price!$B$53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0" hidden="1">2</definedName>
    <definedName name="solver_rhs1" localSheetId="0" hidden="1">Base!$C$26*(1+Base!$B$5)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0" hidden="1">2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0" hidden="1">100</definedName>
    <definedName name="solver_tim" localSheetId="2" hidden="1">2147483647</definedName>
    <definedName name="solver_tim" localSheetId="1" hidden="1">2147483647</definedName>
    <definedName name="solver_tol" localSheetId="0" hidden="1">0.05</definedName>
    <definedName name="solver_tol" localSheetId="2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9" l="1"/>
  <c r="C25" i="9"/>
  <c r="C34" i="9" s="1"/>
  <c r="C33" i="9"/>
  <c r="C35" i="9" s="1"/>
  <c r="D24" i="9"/>
  <c r="D25" i="9" s="1"/>
  <c r="D33" i="9" s="1"/>
  <c r="D35" i="9" s="1"/>
  <c r="D44" i="9" s="1"/>
  <c r="D26" i="9"/>
  <c r="C19" i="9"/>
  <c r="C22" i="9" s="1"/>
  <c r="C31" i="9"/>
  <c r="C41" i="9"/>
  <c r="C43" i="9" s="1"/>
  <c r="C42" i="9"/>
  <c r="C47" i="9" s="1"/>
  <c r="C44" i="9"/>
  <c r="C45" i="9" s="1"/>
  <c r="E24" i="9"/>
  <c r="E26" i="9"/>
  <c r="F26" i="9" s="1"/>
  <c r="G26" i="9" s="1"/>
  <c r="E25" i="9"/>
  <c r="E33" i="9"/>
  <c r="D28" i="9"/>
  <c r="D29" i="9"/>
  <c r="D30" i="9"/>
  <c r="D31" i="9"/>
  <c r="D34" i="9"/>
  <c r="D36" i="9"/>
  <c r="D37" i="9"/>
  <c r="D38" i="9"/>
  <c r="D39" i="9"/>
  <c r="D40" i="9"/>
  <c r="D41" i="9"/>
  <c r="D43" i="9" s="1"/>
  <c r="D42" i="9"/>
  <c r="D47" i="9" s="1"/>
  <c r="F24" i="9"/>
  <c r="E28" i="9"/>
  <c r="E29" i="9"/>
  <c r="F29" i="9" s="1"/>
  <c r="G29" i="9" s="1"/>
  <c r="E30" i="9"/>
  <c r="E36" i="9"/>
  <c r="E37" i="9"/>
  <c r="E38" i="9"/>
  <c r="F38" i="9" s="1"/>
  <c r="G38" i="9" s="1"/>
  <c r="E39" i="9"/>
  <c r="F39" i="9" s="1"/>
  <c r="E40" i="9"/>
  <c r="F40" i="9" s="1"/>
  <c r="G40" i="9" s="1"/>
  <c r="E42" i="9"/>
  <c r="E47" i="9"/>
  <c r="F30" i="9"/>
  <c r="G30" i="9" s="1"/>
  <c r="F36" i="9"/>
  <c r="F37" i="9"/>
  <c r="G37" i="9" s="1"/>
  <c r="F42" i="9"/>
  <c r="F47" i="9" s="1"/>
  <c r="G20" i="9"/>
  <c r="G21" i="9"/>
  <c r="G36" i="9"/>
  <c r="G39" i="9"/>
  <c r="G42" i="9"/>
  <c r="G47" i="9" s="1"/>
  <c r="B18" i="8"/>
  <c r="G42" i="8" s="1"/>
  <c r="G47" i="8" s="1"/>
  <c r="C25" i="8"/>
  <c r="C33" i="8" s="1"/>
  <c r="B19" i="8" s="1"/>
  <c r="B22" i="8"/>
  <c r="B50" i="8"/>
  <c r="D24" i="8"/>
  <c r="D25" i="8" s="1"/>
  <c r="D26" i="8"/>
  <c r="D33" i="8"/>
  <c r="C19" i="8" s="1"/>
  <c r="C22" i="8" s="1"/>
  <c r="C31" i="8"/>
  <c r="C34" i="8" s="1"/>
  <c r="C35" i="8" s="1"/>
  <c r="C44" i="8" s="1"/>
  <c r="C41" i="8"/>
  <c r="C42" i="8"/>
  <c r="C43" i="8"/>
  <c r="C47" i="8"/>
  <c r="E24" i="8"/>
  <c r="E25" i="8" s="1"/>
  <c r="E33" i="8" s="1"/>
  <c r="E26" i="8"/>
  <c r="D28" i="8"/>
  <c r="D29" i="8"/>
  <c r="D30" i="8"/>
  <c r="D36" i="8"/>
  <c r="D37" i="8"/>
  <c r="D38" i="8"/>
  <c r="E38" i="8" s="1"/>
  <c r="F38" i="8" s="1"/>
  <c r="G38" i="8" s="1"/>
  <c r="D39" i="8"/>
  <c r="D40" i="8"/>
  <c r="E40" i="8" s="1"/>
  <c r="F40" i="8" s="1"/>
  <c r="G40" i="8" s="1"/>
  <c r="D42" i="8"/>
  <c r="D47" i="8" s="1"/>
  <c r="F26" i="8"/>
  <c r="G26" i="8" s="1"/>
  <c r="E29" i="8"/>
  <c r="E30" i="8"/>
  <c r="F30" i="8" s="1"/>
  <c r="G30" i="8" s="1"/>
  <c r="E37" i="8"/>
  <c r="F37" i="8" s="1"/>
  <c r="G37" i="8" s="1"/>
  <c r="E39" i="8"/>
  <c r="E42" i="8"/>
  <c r="E47" i="8" s="1"/>
  <c r="F29" i="8"/>
  <c r="G29" i="8" s="1"/>
  <c r="F39" i="8"/>
  <c r="G39" i="8" s="1"/>
  <c r="F42" i="8"/>
  <c r="F47" i="8" s="1"/>
  <c r="G20" i="8"/>
  <c r="G21" i="8"/>
  <c r="D26" i="7"/>
  <c r="E26" i="7" s="1"/>
  <c r="F26" i="7" s="1"/>
  <c r="G26" i="7" s="1"/>
  <c r="C25" i="7"/>
  <c r="C33" i="7" s="1"/>
  <c r="D41" i="7"/>
  <c r="E36" i="7"/>
  <c r="F36" i="7"/>
  <c r="G36" i="7" s="1"/>
  <c r="E38" i="7"/>
  <c r="F38" i="7"/>
  <c r="G38" i="7"/>
  <c r="E39" i="7"/>
  <c r="F39" i="7" s="1"/>
  <c r="G39" i="7" s="1"/>
  <c r="E40" i="7"/>
  <c r="F40" i="7" s="1"/>
  <c r="G40" i="7"/>
  <c r="D37" i="7"/>
  <c r="E37" i="7" s="1"/>
  <c r="F37" i="7" s="1"/>
  <c r="D38" i="7"/>
  <c r="D39" i="7"/>
  <c r="D40" i="7"/>
  <c r="D36" i="7"/>
  <c r="E31" i="7"/>
  <c r="D31" i="7"/>
  <c r="E30" i="7"/>
  <c r="F30" i="7" s="1"/>
  <c r="G30" i="7" s="1"/>
  <c r="F29" i="7"/>
  <c r="G29" i="7" s="1"/>
  <c r="E28" i="7"/>
  <c r="F28" i="7"/>
  <c r="G28" i="7"/>
  <c r="D29" i="7"/>
  <c r="E29" i="7" s="1"/>
  <c r="D30" i="7"/>
  <c r="D28" i="7"/>
  <c r="D24" i="7"/>
  <c r="G20" i="7"/>
  <c r="G21" i="7" s="1"/>
  <c r="C41" i="7"/>
  <c r="C31" i="7"/>
  <c r="B18" i="7"/>
  <c r="G37" i="7" l="1"/>
  <c r="F41" i="7"/>
  <c r="D45" i="9"/>
  <c r="D46" i="9"/>
  <c r="D48" i="9" s="1"/>
  <c r="G31" i="7"/>
  <c r="G41" i="7"/>
  <c r="C45" i="8"/>
  <c r="C46" i="8"/>
  <c r="C48" i="8" s="1"/>
  <c r="C50" i="8" s="1"/>
  <c r="D19" i="8"/>
  <c r="D22" i="8" s="1"/>
  <c r="F31" i="7"/>
  <c r="G42" i="7"/>
  <c r="G47" i="7" s="1"/>
  <c r="C42" i="7"/>
  <c r="B19" i="7"/>
  <c r="B22" i="7" s="1"/>
  <c r="B50" i="7" s="1"/>
  <c r="C34" i="7"/>
  <c r="C35" i="7" s="1"/>
  <c r="F24" i="8"/>
  <c r="E41" i="7"/>
  <c r="E43" i="7" s="1"/>
  <c r="C46" i="9"/>
  <c r="C48" i="9" s="1"/>
  <c r="C50" i="9" s="1"/>
  <c r="C51" i="9" s="1"/>
  <c r="D41" i="8"/>
  <c r="D43" i="8" s="1"/>
  <c r="E36" i="8"/>
  <c r="F41" i="9"/>
  <c r="F43" i="9" s="1"/>
  <c r="E31" i="9"/>
  <c r="F28" i="9"/>
  <c r="G41" i="9"/>
  <c r="G43" i="9" s="1"/>
  <c r="F25" i="9"/>
  <c r="G24" i="9"/>
  <c r="G25" i="9" s="1"/>
  <c r="B19" i="9"/>
  <c r="B22" i="9" s="1"/>
  <c r="B50" i="9" s="1"/>
  <c r="D19" i="9"/>
  <c r="D22" i="9" s="1"/>
  <c r="D25" i="7"/>
  <c r="F42" i="7"/>
  <c r="F47" i="7" s="1"/>
  <c r="E24" i="7"/>
  <c r="E42" i="7"/>
  <c r="E47" i="7" s="1"/>
  <c r="D31" i="8"/>
  <c r="D34" i="8" s="1"/>
  <c r="D35" i="8" s="1"/>
  <c r="D44" i="8" s="1"/>
  <c r="E34" i="9"/>
  <c r="E35" i="9" s="1"/>
  <c r="E44" i="9" s="1"/>
  <c r="D42" i="7"/>
  <c r="D47" i="7" s="1"/>
  <c r="E41" i="9"/>
  <c r="E43" i="9" s="1"/>
  <c r="E28" i="8"/>
  <c r="C51" i="8" l="1"/>
  <c r="E45" i="9"/>
  <c r="E46" i="9"/>
  <c r="E48" i="9" s="1"/>
  <c r="D45" i="8"/>
  <c r="D46" i="8" s="1"/>
  <c r="D48" i="8" s="1"/>
  <c r="D50" i="8" s="1"/>
  <c r="F28" i="8"/>
  <c r="E31" i="8"/>
  <c r="E34" i="8" s="1"/>
  <c r="E35" i="8" s="1"/>
  <c r="C47" i="7"/>
  <c r="C43" i="7"/>
  <c r="C44" i="7" s="1"/>
  <c r="F24" i="7"/>
  <c r="E25" i="7"/>
  <c r="G33" i="9"/>
  <c r="F33" i="9"/>
  <c r="G43" i="7"/>
  <c r="D33" i="7"/>
  <c r="D34" i="7"/>
  <c r="F31" i="9"/>
  <c r="F34" i="9" s="1"/>
  <c r="G28" i="9"/>
  <c r="G31" i="9" s="1"/>
  <c r="G34" i="9" s="1"/>
  <c r="G24" i="8"/>
  <c r="G25" i="8" s="1"/>
  <c r="F25" i="8"/>
  <c r="D50" i="9"/>
  <c r="D51" i="9" s="1"/>
  <c r="F43" i="7"/>
  <c r="D43" i="7"/>
  <c r="E41" i="8"/>
  <c r="E43" i="8" s="1"/>
  <c r="F36" i="8"/>
  <c r="C45" i="7" l="1"/>
  <c r="C46" i="7" s="1"/>
  <c r="C48" i="7" s="1"/>
  <c r="E51" i="9"/>
  <c r="F33" i="8"/>
  <c r="G24" i="7"/>
  <c r="G25" i="7" s="1"/>
  <c r="F25" i="7"/>
  <c r="G33" i="8"/>
  <c r="G34" i="8"/>
  <c r="F41" i="8"/>
  <c r="F43" i="8" s="1"/>
  <c r="G36" i="8"/>
  <c r="G41" i="8" s="1"/>
  <c r="G43" i="8" s="1"/>
  <c r="E19" i="9"/>
  <c r="E22" i="9" s="1"/>
  <c r="E50" i="9" s="1"/>
  <c r="F35" i="9"/>
  <c r="F44" i="9" s="1"/>
  <c r="D35" i="7"/>
  <c r="D44" i="7" s="1"/>
  <c r="C19" i="7"/>
  <c r="C22" i="7" s="1"/>
  <c r="F19" i="9"/>
  <c r="F22" i="9" s="1"/>
  <c r="G35" i="9"/>
  <c r="G44" i="9" s="1"/>
  <c r="G19" i="9"/>
  <c r="G22" i="9" s="1"/>
  <c r="E44" i="8"/>
  <c r="E33" i="7"/>
  <c r="E34" i="7"/>
  <c r="F31" i="8"/>
  <c r="F34" i="8" s="1"/>
  <c r="G28" i="8"/>
  <c r="G31" i="8" s="1"/>
  <c r="D51" i="8"/>
  <c r="E45" i="8" l="1"/>
  <c r="E46" i="8" s="1"/>
  <c r="E48" i="8" s="1"/>
  <c r="D45" i="7"/>
  <c r="D46" i="7" s="1"/>
  <c r="D48" i="7" s="1"/>
  <c r="G34" i="7"/>
  <c r="G33" i="7"/>
  <c r="F45" i="9"/>
  <c r="F46" i="9" s="1"/>
  <c r="F48" i="9" s="1"/>
  <c r="F50" i="9" s="1"/>
  <c r="D19" i="7"/>
  <c r="D22" i="7" s="1"/>
  <c r="E35" i="7"/>
  <c r="E44" i="7" s="1"/>
  <c r="F35" i="8"/>
  <c r="F44" i="8" s="1"/>
  <c r="E19" i="8"/>
  <c r="E22" i="8" s="1"/>
  <c r="G45" i="9"/>
  <c r="G46" i="9"/>
  <c r="G48" i="9" s="1"/>
  <c r="G50" i="9" s="1"/>
  <c r="G19" i="8"/>
  <c r="G22" i="8" s="1"/>
  <c r="F19" i="8"/>
  <c r="F22" i="8" s="1"/>
  <c r="G35" i="8"/>
  <c r="G44" i="8" s="1"/>
  <c r="C50" i="7"/>
  <c r="F33" i="7"/>
  <c r="F34" i="7"/>
  <c r="F51" i="9" l="1"/>
  <c r="B54" i="9"/>
  <c r="B53" i="9"/>
  <c r="G45" i="8"/>
  <c r="G46" i="8"/>
  <c r="G48" i="8" s="1"/>
  <c r="G50" i="8" s="1"/>
  <c r="C51" i="7"/>
  <c r="E50" i="8"/>
  <c r="F19" i="7"/>
  <c r="F22" i="7" s="1"/>
  <c r="G19" i="7"/>
  <c r="G22" i="7" s="1"/>
  <c r="G35" i="7"/>
  <c r="G44" i="7" s="1"/>
  <c r="F45" i="8"/>
  <c r="F46" i="8" s="1"/>
  <c r="F48" i="8" s="1"/>
  <c r="F50" i="8" s="1"/>
  <c r="E45" i="7"/>
  <c r="E46" i="7" s="1"/>
  <c r="E48" i="7" s="1"/>
  <c r="F35" i="7"/>
  <c r="F44" i="7" s="1"/>
  <c r="E19" i="7"/>
  <c r="E22" i="7" s="1"/>
  <c r="D50" i="7"/>
  <c r="E50" i="7" l="1"/>
  <c r="G45" i="7"/>
  <c r="G46" i="7" s="1"/>
  <c r="G48" i="7" s="1"/>
  <c r="G50" i="7" s="1"/>
  <c r="D51" i="7"/>
  <c r="F45" i="7"/>
  <c r="F46" i="7" s="1"/>
  <c r="F48" i="7" s="1"/>
  <c r="F50" i="7" s="1"/>
  <c r="B53" i="8"/>
  <c r="B54" i="8"/>
  <c r="E51" i="8"/>
  <c r="F51" i="8" s="1"/>
  <c r="G51" i="9"/>
  <c r="B55" i="9"/>
  <c r="E51" i="7" l="1"/>
  <c r="B54" i="7"/>
  <c r="B53" i="7"/>
  <c r="F51" i="7"/>
  <c r="G51" i="8"/>
  <c r="B55" i="8"/>
  <c r="G51" i="7" l="1"/>
  <c r="B55" i="7"/>
  <c r="S4" i="7"/>
  <c r="N4" i="7"/>
  <c r="J4" i="7"/>
  <c r="K4" i="7"/>
  <c r="O4" i="7"/>
  <c r="T4" i="7"/>
</calcChain>
</file>

<file path=xl/sharedStrings.xml><?xml version="1.0" encoding="utf-8"?>
<sst xmlns="http://schemas.openxmlformats.org/spreadsheetml/2006/main" count="153" uniqueCount="53">
  <si>
    <t>Fulliautomatix, Inc. Dream Machine Project: Base Case</t>
  </si>
  <si>
    <t>Sensitivity Analysis: Unit Price in Year 1</t>
  </si>
  <si>
    <t>Sensitivity Analysis: Annual Change in Unit Price</t>
  </si>
  <si>
    <t>Sensitivity Analysis: Cost of Capital</t>
  </si>
  <si>
    <t>Projections for Next 5 Years</t>
  </si>
  <si>
    <t>Unit Price in Year 1</t>
  </si>
  <si>
    <t>Net Present Value</t>
  </si>
  <si>
    <t>Internal Rate of Return</t>
  </si>
  <si>
    <t>Annual Change in Unit Price</t>
  </si>
  <si>
    <t>Cost of Capital</t>
  </si>
  <si>
    <t>Annual Market Growth Rate</t>
  </si>
  <si>
    <t>Annual Inflation Rate</t>
  </si>
  <si>
    <t>Tax Rate</t>
  </si>
  <si>
    <t>Years</t>
  </si>
  <si>
    <t>MACRS Depreciation Factors</t>
  </si>
  <si>
    <t>Cash Flows</t>
  </si>
  <si>
    <t>Invoice Cost of Machine</t>
  </si>
  <si>
    <t>Machine Shipping Costs</t>
  </si>
  <si>
    <t>Machine Installation Charges</t>
  </si>
  <si>
    <t>Depreciable Investment</t>
  </si>
  <si>
    <t>Change in Net Working Capital</t>
  </si>
  <si>
    <t>Salvage Value of Machine</t>
  </si>
  <si>
    <t>Tax on Salvage Value of Machine</t>
  </si>
  <si>
    <t>Investment Cash Flows</t>
  </si>
  <si>
    <t>Total Market Size</t>
  </si>
  <si>
    <t>Unit Sales</t>
  </si>
  <si>
    <t>Unit Price</t>
  </si>
  <si>
    <t>Variable Costs per Unit:</t>
  </si>
  <si>
    <t>Raw Materials</t>
  </si>
  <si>
    <t>Labor</t>
  </si>
  <si>
    <t>Selling Expenses</t>
  </si>
  <si>
    <t>Total Variable Costs per Unit</t>
  </si>
  <si>
    <t>Sales Revenue</t>
  </si>
  <si>
    <t>Variable Costs</t>
  </si>
  <si>
    <t>Gross Profit</t>
  </si>
  <si>
    <t>Administrative Expenses</t>
  </si>
  <si>
    <t>Advertising Expenses</t>
  </si>
  <si>
    <t>Rent Payments</t>
  </si>
  <si>
    <t>Utilities</t>
  </si>
  <si>
    <t>Insurance and Fees</t>
  </si>
  <si>
    <t>Total Cash Fixed costs</t>
  </si>
  <si>
    <t>Depreciation</t>
  </si>
  <si>
    <t>Total Fixed costs</t>
  </si>
  <si>
    <t>Operating Income</t>
  </si>
  <si>
    <t>Taxes</t>
  </si>
  <si>
    <t>Net Income</t>
  </si>
  <si>
    <t>Depreciation Added Back</t>
  </si>
  <si>
    <t>Operating Cash Flow</t>
  </si>
  <si>
    <t>Net Cash Flow</t>
  </si>
  <si>
    <t>Cumulative Net Cash Flow</t>
  </si>
  <si>
    <t>Payback Period</t>
  </si>
  <si>
    <t xml:space="preserve">Fulliautomatix, Inc. Dream Machine Project: Unit Price for Maximum NPV </t>
  </si>
  <si>
    <t xml:space="preserve">Fulliautomatix, Inc. Dream Machine Project: Unit Price Change for Maximum NPV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</si>
</sst>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%;\(0.00%\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10" fontId="0" fillId="2" borderId="2" xfId="0" applyNumberFormat="1" applyFill="1" applyBorder="1"/>
    <xf numFmtId="10" fontId="0" fillId="0" borderId="0" xfId="0" applyNumberFormat="1"/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5" fontId="0" fillId="0" borderId="0" xfId="0" applyNumberFormat="1"/>
    <xf numFmtId="0" fontId="0" fillId="0" borderId="0" xfId="0" applyAlignment="1">
      <alignment horizontal="center"/>
    </xf>
    <xf numFmtId="5" fontId="0" fillId="0" borderId="1" xfId="0" applyNumberFormat="1" applyBorder="1"/>
    <xf numFmtId="0" fontId="0" fillId="0" borderId="1" xfId="0" applyBorder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8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8" fontId="0" fillId="0" borderId="1" xfId="0" applyNumberFormat="1" applyBorder="1"/>
    <xf numFmtId="0" fontId="0" fillId="0" borderId="0" xfId="0" applyAlignment="1">
      <alignment horizontal="left"/>
    </xf>
    <xf numFmtId="5" fontId="0" fillId="0" borderId="0" xfId="0" applyNumberFormat="1" applyAlignment="1">
      <alignment horizontal="center"/>
    </xf>
    <xf numFmtId="10" fontId="0" fillId="3" borderId="0" xfId="2" applyNumberFormat="1" applyFont="1" applyFill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3" borderId="0" xfId="0" applyNumberFormat="1" applyFill="1"/>
    <xf numFmtId="5" fontId="0" fillId="3" borderId="0" xfId="0" applyNumberFormat="1" applyFill="1"/>
    <xf numFmtId="5" fontId="0" fillId="3" borderId="1" xfId="0" applyNumberFormat="1" applyFill="1" applyBorder="1"/>
    <xf numFmtId="164" fontId="0" fillId="3" borderId="0" xfId="1" applyNumberFormat="1" applyFont="1" applyFill="1"/>
    <xf numFmtId="8" fontId="0" fillId="3" borderId="0" xfId="0" applyNumberFormat="1" applyFill="1"/>
    <xf numFmtId="8" fontId="0" fillId="3" borderId="1" xfId="0" applyNumberFormat="1" applyFill="1" applyBorder="1"/>
    <xf numFmtId="5" fontId="0" fillId="0" borderId="1" xfId="3" applyNumberFormat="1" applyFont="1" applyBorder="1"/>
    <xf numFmtId="2" fontId="0" fillId="0" borderId="0" xfId="0" applyNumberFormat="1"/>
    <xf numFmtId="5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8" fontId="0" fillId="3" borderId="0" xfId="0" applyNumberFormat="1" applyFill="1" applyBorder="1" applyAlignment="1">
      <alignment horizontal="center"/>
    </xf>
    <xf numFmtId="5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8" fontId="0" fillId="4" borderId="0" xfId="0" applyNumberFormat="1" applyFill="1"/>
    <xf numFmtId="165" fontId="0" fillId="4" borderId="2" xfId="0" applyNumberFormat="1" applyFill="1" applyBorder="1"/>
    <xf numFmtId="0" fontId="2" fillId="0" borderId="0" xfId="0" applyFont="1" applyAlignment="1">
      <alignment horizontal="center"/>
    </xf>
  </cellXfs>
  <cellStyles count="6">
    <cellStyle name="Comma" xfId="1" builtinId="3"/>
    <cellStyle name="Currency" xfId="3" builtinId="4"/>
    <cellStyle name="Followed Hyperlink" xfId="5" builtinId="9" hidden="1"/>
    <cellStyle name="Hyperlink" xfId="4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Sensitivity of NPV to Unit Price in Year 1</a:t>
            </a:r>
          </a:p>
        </c:rich>
      </c:tx>
      <c:layout>
        <c:manualLayout>
          <c:xMode val="edge"/>
          <c:yMode val="edge"/>
          <c:x val="0.26846894085891898"/>
          <c:y val="3.31325301204819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80215688724101"/>
          <c:y val="0.186746987951807"/>
          <c:w val="0.75315447838273897"/>
          <c:h val="0.66566265060241003"/>
        </c:manualLayout>
      </c:layout>
      <c:lineChart>
        <c:grouping val="standard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cat>
            <c:numRef>
              <c:f>Base!$I$5:$I$15</c:f>
              <c:numCache>
                <c:formatCode>"$"#,##0.00_);[Red]\("$"#,##0.00\)</c:formatCode>
                <c:ptCount val="11"/>
                <c:pt idx="0">
                  <c:v>7.5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</c:v>
                </c:pt>
                <c:pt idx="6">
                  <c:v>10.5</c:v>
                </c:pt>
                <c:pt idx="7">
                  <c:v>11</c:v>
                </c:pt>
                <c:pt idx="8">
                  <c:v>11.5</c:v>
                </c:pt>
                <c:pt idx="9">
                  <c:v>12</c:v>
                </c:pt>
                <c:pt idx="10">
                  <c:v>12.5</c:v>
                </c:pt>
              </c:numCache>
            </c:numRef>
          </c:cat>
          <c:val>
            <c:numRef>
              <c:f>Base!$J$5:$J$15</c:f>
              <c:numCache>
                <c:formatCode>"$"#,##0_);\("$"#,##0\)</c:formatCode>
                <c:ptCount val="11"/>
                <c:pt idx="0">
                  <c:v>10943.536232466635</c:v>
                </c:pt>
                <c:pt idx="1">
                  <c:v>17147.567644409253</c:v>
                </c:pt>
                <c:pt idx="2">
                  <c:v>18137.147576556716</c:v>
                </c:pt>
                <c:pt idx="3">
                  <c:v>15496.344527677866</c:v>
                </c:pt>
                <c:pt idx="4">
                  <c:v>10317.036517881963</c:v>
                </c:pt>
                <c:pt idx="5">
                  <c:v>3391.6378747307463</c:v>
                </c:pt>
                <c:pt idx="6">
                  <c:v>-4734.8177375238738</c:v>
                </c:pt>
                <c:pt idx="7">
                  <c:v>-13649.106537206884</c:v>
                </c:pt>
                <c:pt idx="8">
                  <c:v>-23063.317228242347</c:v>
                </c:pt>
                <c:pt idx="9">
                  <c:v>-32753.788535677479</c:v>
                </c:pt>
                <c:pt idx="10">
                  <c:v>-42567.444141848624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F-2C4D-AF15-1851E1830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48199648"/>
        <c:axId val="-548105424"/>
      </c:lineChart>
      <c:catAx>
        <c:axId val="-54819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 Price in Year 1</a:t>
                </a:r>
              </a:p>
            </c:rich>
          </c:tx>
          <c:layout>
            <c:manualLayout>
              <c:xMode val="edge"/>
              <c:yMode val="edge"/>
              <c:x val="0.464865682829538"/>
              <c:y val="0.88554216867469904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48105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548105424"/>
        <c:scaling>
          <c:orientation val="minMax"/>
          <c:max val="19000"/>
          <c:min val="-43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Net Present Value</a:t>
                </a:r>
              </a:p>
            </c:rich>
          </c:tx>
          <c:layout>
            <c:manualLayout>
              <c:xMode val="edge"/>
              <c:yMode val="edge"/>
              <c:x val="2.8828879555320201E-2"/>
              <c:y val="0.3403614457831329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_);\(&quot;$&quot;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48199648"/>
        <c:crosses val="autoZero"/>
        <c:crossBetween val="midCat"/>
      </c:valAx>
      <c:spPr>
        <a:solidFill>
          <a:schemeClr val="bg2">
            <a:lumMod val="90000"/>
          </a:schemeClr>
        </a:solidFill>
        <a:ln w="12700">
          <a:solidFill>
            <a:schemeClr val="bg2">
              <a:lumMod val="75000"/>
            </a:scheme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Sensitivity of NPV to Annual Change in Unit Price</a:t>
            </a:r>
          </a:p>
        </c:rich>
      </c:tx>
      <c:layout>
        <c:manualLayout>
          <c:xMode val="edge"/>
          <c:yMode val="edge"/>
          <c:x val="0.261868300153139"/>
          <c:y val="3.28358208955224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64165390505399"/>
          <c:y val="0.24477611940298499"/>
          <c:w val="0.78407350689127098"/>
          <c:h val="0.5850746268656720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Base!$M$5:$M$15</c:f>
              <c:numCache>
                <c:formatCode>0.00%</c:formatCode>
                <c:ptCount val="11"/>
                <c:pt idx="0">
                  <c:v>-0.05</c:v>
                </c:pt>
                <c:pt idx="1">
                  <c:v>-0.03</c:v>
                </c:pt>
                <c:pt idx="2">
                  <c:v>-0.01</c:v>
                </c:pt>
                <c:pt idx="3">
                  <c:v>0.01</c:v>
                </c:pt>
                <c:pt idx="4">
                  <c:v>0.03</c:v>
                </c:pt>
                <c:pt idx="5">
                  <c:v>0.05</c:v>
                </c:pt>
                <c:pt idx="6">
                  <c:v>7.0000000000000007E-2</c:v>
                </c:pt>
                <c:pt idx="7">
                  <c:v>0.09</c:v>
                </c:pt>
                <c:pt idx="8">
                  <c:v>0.11</c:v>
                </c:pt>
                <c:pt idx="9">
                  <c:v>0.13</c:v>
                </c:pt>
                <c:pt idx="10">
                  <c:v>0.15</c:v>
                </c:pt>
              </c:numCache>
            </c:numRef>
          </c:cat>
          <c:val>
            <c:numRef>
              <c:f>Base!$N$5:$N$15</c:f>
              <c:numCache>
                <c:formatCode>"$"#,##0_);\("$"#,##0\)</c:formatCode>
                <c:ptCount val="11"/>
                <c:pt idx="0">
                  <c:v>6700.4570403837424</c:v>
                </c:pt>
                <c:pt idx="1">
                  <c:v>11218.351336881082</c:v>
                </c:pt>
                <c:pt idx="2">
                  <c:v>12477.705159910955</c:v>
                </c:pt>
                <c:pt idx="3">
                  <c:v>11223.972912315803</c:v>
                </c:pt>
                <c:pt idx="4">
                  <c:v>8039.5725591971132</c:v>
                </c:pt>
                <c:pt idx="5">
                  <c:v>3391.6378747307463</c:v>
                </c:pt>
                <c:pt idx="6">
                  <c:v>-2360.877860997658</c:v>
                </c:pt>
                <c:pt idx="7">
                  <c:v>-8915.0324166283535</c:v>
                </c:pt>
                <c:pt idx="8">
                  <c:v>-16049.106514279498</c:v>
                </c:pt>
                <c:pt idx="9">
                  <c:v>-23591.367005182838</c:v>
                </c:pt>
                <c:pt idx="10">
                  <c:v>-31383.313532155473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8-4E71-9E78-6375EF1E2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12958112"/>
        <c:axId val="-616076608"/>
      </c:lineChart>
      <c:catAx>
        <c:axId val="-61295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Increase in Unit Price</a:t>
                </a:r>
              </a:p>
            </c:rich>
          </c:tx>
          <c:layout>
            <c:manualLayout>
              <c:xMode val="edge"/>
              <c:yMode val="edge"/>
              <c:x val="0.42572741194487002"/>
              <c:y val="0.8626865671641790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16076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616076608"/>
        <c:scaling>
          <c:orientation val="minMax"/>
          <c:max val="13000"/>
          <c:min val="-32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Net Present Value</a:t>
                </a:r>
              </a:p>
            </c:rich>
          </c:tx>
          <c:layout>
            <c:manualLayout>
              <c:xMode val="edge"/>
              <c:yMode val="edge"/>
              <c:x val="4.1347626339969398E-2"/>
              <c:y val="0.361194029850746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_);\(&quot;$&quot;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129581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Sensitivity of Net Present Value to Cost of Capital</a:t>
            </a:r>
          </a:p>
        </c:rich>
      </c:tx>
      <c:layout>
        <c:manualLayout>
          <c:xMode val="edge"/>
          <c:yMode val="edge"/>
          <c:x val="0.247173054426443"/>
          <c:y val="3.31325301204819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628566763245"/>
          <c:y val="0.186746987951807"/>
          <c:w val="0.78352242743022604"/>
          <c:h val="0.66566265060241003"/>
        </c:manualLayout>
      </c:layout>
      <c:lineChart>
        <c:grouping val="standard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Base!$R$5:$R$15</c:f>
              <c:numCache>
                <c:formatCode>0.00%</c:formatCode>
                <c:ptCount val="11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  <c:pt idx="3">
                  <c:v>0.11</c:v>
                </c:pt>
                <c:pt idx="4">
                  <c:v>0.12</c:v>
                </c:pt>
                <c:pt idx="5">
                  <c:v>0.13</c:v>
                </c:pt>
                <c:pt idx="6">
                  <c:v>0.14000000000000001</c:v>
                </c:pt>
                <c:pt idx="7">
                  <c:v>0.15</c:v>
                </c:pt>
                <c:pt idx="8">
                  <c:v>0.16</c:v>
                </c:pt>
                <c:pt idx="9">
                  <c:v>0.17</c:v>
                </c:pt>
                <c:pt idx="10">
                  <c:v>0.18</c:v>
                </c:pt>
              </c:numCache>
            </c:numRef>
          </c:cat>
          <c:val>
            <c:numRef>
              <c:f>Base!$S$5:$S$15</c:f>
              <c:numCache>
                <c:formatCode>"$"#,##0_);\("$"#,##0\)</c:formatCode>
                <c:ptCount val="11"/>
                <c:pt idx="0">
                  <c:v>35991.492586290027</c:v>
                </c:pt>
                <c:pt idx="1">
                  <c:v>28848.9551093138</c:v>
                </c:pt>
                <c:pt idx="2">
                  <c:v>22035.91081105519</c:v>
                </c:pt>
                <c:pt idx="3">
                  <c:v>15533.531024680939</c:v>
                </c:pt>
                <c:pt idx="4">
                  <c:v>9324.2435986717464</c:v>
                </c:pt>
                <c:pt idx="5">
                  <c:v>3391.6378747307463</c:v>
                </c:pt>
                <c:pt idx="6">
                  <c:v>-2279.6223439532623</c:v>
                </c:pt>
                <c:pt idx="7">
                  <c:v>-7703.8785712631361</c:v>
                </c:pt>
                <c:pt idx="8">
                  <c:v>-12894.550826850609</c:v>
                </c:pt>
                <c:pt idx="9">
                  <c:v>-17864.204832394083</c:v>
                </c:pt>
                <c:pt idx="10">
                  <c:v>-22624.613754008693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4-48F5-A57F-969AA53FE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42550032"/>
        <c:axId val="-534902960"/>
      </c:lineChart>
      <c:catAx>
        <c:axId val="-54255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Cost of Capital</a:t>
                </a:r>
              </a:p>
            </c:rich>
          </c:tx>
          <c:layout>
            <c:manualLayout>
              <c:xMode val="edge"/>
              <c:yMode val="edge"/>
              <c:x val="0.48303753773533598"/>
              <c:y val="0.88554216867469904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 algn="ctr">
              <a:defRPr lang="en-US" sz="100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34902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534902960"/>
        <c:scaling>
          <c:orientation val="minMax"/>
          <c:max val="36000"/>
          <c:min val="-23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Net Present Value</a:t>
                </a:r>
              </a:p>
            </c:rich>
          </c:tx>
          <c:layout>
            <c:manualLayout>
              <c:xMode val="edge"/>
              <c:yMode val="edge"/>
              <c:x val="2.5848162554399201E-2"/>
              <c:y val="0.34036144578313299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425500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48847</xdr:colOff>
      <xdr:row>16</xdr:row>
      <xdr:rowOff>58614</xdr:rowOff>
    </xdr:from>
    <xdr:to>
      <xdr:col>11</xdr:col>
      <xdr:colOff>1299309</xdr:colOff>
      <xdr:row>35</xdr:row>
      <xdr:rowOff>87923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FFA680-DF39-424D-BBFB-EDA7A6B03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97692</xdr:colOff>
      <xdr:row>16</xdr:row>
      <xdr:rowOff>48846</xdr:rowOff>
    </xdr:from>
    <xdr:to>
      <xdr:col>16</xdr:col>
      <xdr:colOff>600074</xdr:colOff>
      <xdr:row>35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A417DD-8294-4DBB-8838-3579AF6BB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127000</xdr:colOff>
      <xdr:row>16</xdr:row>
      <xdr:rowOff>68385</xdr:rowOff>
    </xdr:from>
    <xdr:to>
      <xdr:col>22</xdr:col>
      <xdr:colOff>605692</xdr:colOff>
      <xdr:row>35</xdr:row>
      <xdr:rowOff>117231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21A187-CDC3-4755-8E7F-D05E5E9F5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55"/>
  <sheetViews>
    <sheetView tabSelected="1" topLeftCell="A2" zoomScale="80" zoomScaleNormal="80" zoomScalePageLayoutView="130" workbookViewId="0">
      <selection activeCell="A2" sqref="A2"/>
    </sheetView>
  </sheetViews>
  <sheetFormatPr baseColWidth="10" defaultColWidth="8.83203125" defaultRowHeight="13" x14ac:dyDescent="0.15"/>
  <cols>
    <col min="1" max="1" width="28.33203125" customWidth="1"/>
    <col min="2" max="8" width="10" customWidth="1"/>
    <col min="9" max="9" width="18.6640625" customWidth="1"/>
    <col min="10" max="10" width="17.5" bestFit="1" customWidth="1"/>
    <col min="11" max="11" width="22" bestFit="1" customWidth="1"/>
    <col min="12" max="12" width="22" customWidth="1"/>
    <col min="13" max="13" width="27.33203125" bestFit="1" customWidth="1"/>
    <col min="14" max="14" width="17.5" bestFit="1" customWidth="1"/>
    <col min="15" max="15" width="22" bestFit="1" customWidth="1"/>
    <col min="16" max="16" width="17.5" bestFit="1" customWidth="1"/>
    <col min="17" max="17" width="9.6640625" customWidth="1"/>
    <col min="18" max="18" width="14.33203125" bestFit="1" customWidth="1"/>
    <col min="19" max="19" width="17.5" bestFit="1" customWidth="1"/>
    <col min="20" max="20" width="22" bestFit="1" customWidth="1"/>
    <col min="21" max="21" width="17.5" bestFit="1" customWidth="1"/>
  </cols>
  <sheetData>
    <row r="1" spans="1:21" x14ac:dyDescent="0.15">
      <c r="A1" s="43" t="s">
        <v>0</v>
      </c>
      <c r="B1" s="43"/>
      <c r="C1" s="43"/>
      <c r="D1" s="43"/>
      <c r="E1" s="43"/>
      <c r="F1" s="43"/>
      <c r="G1" s="43"/>
      <c r="I1" s="43" t="s">
        <v>1</v>
      </c>
      <c r="J1" s="43"/>
      <c r="K1" s="43"/>
      <c r="L1" s="1"/>
      <c r="M1" s="43" t="s">
        <v>2</v>
      </c>
      <c r="N1" s="43"/>
      <c r="O1" s="43"/>
      <c r="P1" s="43"/>
      <c r="R1" s="43" t="s">
        <v>3</v>
      </c>
      <c r="S1" s="43"/>
      <c r="T1" s="43"/>
      <c r="U1" s="43"/>
    </row>
    <row r="3" spans="1:21" x14ac:dyDescent="0.15">
      <c r="A3" s="2" t="s">
        <v>4</v>
      </c>
      <c r="I3" s="3" t="s">
        <v>5</v>
      </c>
      <c r="J3" s="3" t="s">
        <v>6</v>
      </c>
      <c r="K3" s="3" t="s">
        <v>7</v>
      </c>
      <c r="L3" s="3"/>
      <c r="M3" s="3" t="s">
        <v>8</v>
      </c>
      <c r="N3" s="3" t="s">
        <v>6</v>
      </c>
      <c r="O3" s="3" t="s">
        <v>7</v>
      </c>
      <c r="P3" s="3"/>
      <c r="R3" s="3" t="s">
        <v>9</v>
      </c>
      <c r="S3" s="3" t="s">
        <v>6</v>
      </c>
      <c r="T3" s="3" t="s">
        <v>7</v>
      </c>
      <c r="U3" s="3"/>
    </row>
    <row r="4" spans="1:21" x14ac:dyDescent="0.15">
      <c r="A4" t="s">
        <v>10</v>
      </c>
      <c r="B4" s="4">
        <v>0.08</v>
      </c>
      <c r="C4" s="5"/>
      <c r="D4" s="5"/>
      <c r="E4" s="5"/>
      <c r="F4" s="5"/>
      <c r="G4" s="5"/>
      <c r="I4" s="9"/>
      <c r="J4" s="36">
        <f>B53</f>
        <v>3391.6378747307463</v>
      </c>
      <c r="K4" s="37">
        <f>B54</f>
        <v>0.13592642843908376</v>
      </c>
      <c r="L4" s="6"/>
      <c r="N4" s="25">
        <f>B53</f>
        <v>3391.6378747307463</v>
      </c>
      <c r="O4" s="6">
        <f>B54</f>
        <v>0.13592642843908376</v>
      </c>
      <c r="S4" s="13">
        <f>B53</f>
        <v>3391.6378747307463</v>
      </c>
      <c r="T4" s="5">
        <f>B54</f>
        <v>0.13592642843908376</v>
      </c>
    </row>
    <row r="5" spans="1:21" x14ac:dyDescent="0.15">
      <c r="A5" t="s">
        <v>8</v>
      </c>
      <c r="B5" s="4">
        <v>0.05</v>
      </c>
      <c r="C5" s="5"/>
      <c r="D5" s="5"/>
      <c r="E5" s="5"/>
      <c r="F5" s="5"/>
      <c r="G5" s="5"/>
      <c r="I5" s="38">
        <v>7.5</v>
      </c>
      <c r="J5" s="39">
        <f t="dataTable" ref="J5:K15" dt2D="0" dtr="0" r1="C26"/>
        <v>10943.536232466635</v>
      </c>
      <c r="K5" s="40">
        <v>0.14605806527755227</v>
      </c>
      <c r="L5" s="6"/>
      <c r="M5" s="26">
        <v>-0.05</v>
      </c>
      <c r="N5" s="25">
        <f t="dataTable" ref="N5:O15" dt2D="0" dtr="0" r1="B5" ca="1"/>
        <v>6700.4570403837424</v>
      </c>
      <c r="O5" s="6">
        <v>0.14056625645197207</v>
      </c>
      <c r="R5" s="27">
        <v>0.08</v>
      </c>
      <c r="S5" s="13">
        <f t="dataTable" ref="S5:T15" dt2D="0" dtr="0" r1="B7" ca="1"/>
        <v>35991.492586290027</v>
      </c>
      <c r="T5" s="5">
        <v>0.13592642843908376</v>
      </c>
    </row>
    <row r="6" spans="1:21" x14ac:dyDescent="0.15">
      <c r="A6" t="s">
        <v>11</v>
      </c>
      <c r="B6" s="4">
        <v>0.05</v>
      </c>
      <c r="C6" s="5"/>
      <c r="D6" s="5"/>
      <c r="E6" s="5"/>
      <c r="F6" s="5"/>
      <c r="G6" s="5"/>
      <c r="I6" s="38">
        <v>8</v>
      </c>
      <c r="J6" s="39">
        <v>17147.567644409253</v>
      </c>
      <c r="K6" s="40">
        <v>0.1561457412034899</v>
      </c>
      <c r="L6" s="6"/>
      <c r="M6" s="26">
        <v>-0.03</v>
      </c>
      <c r="N6" s="25">
        <v>11218.351336881082</v>
      </c>
      <c r="O6" s="6">
        <v>0.14787704963634041</v>
      </c>
      <c r="R6" s="27">
        <v>0.09</v>
      </c>
      <c r="S6" s="13">
        <v>28848.9551093138</v>
      </c>
      <c r="T6" s="5">
        <v>0.13592642843908376</v>
      </c>
    </row>
    <row r="7" spans="1:21" x14ac:dyDescent="0.15">
      <c r="A7" s="9" t="s">
        <v>9</v>
      </c>
      <c r="B7" s="4">
        <v>0.13</v>
      </c>
      <c r="I7" s="38">
        <v>8.5</v>
      </c>
      <c r="J7" s="39">
        <v>18137.147576556716</v>
      </c>
      <c r="K7" s="40">
        <v>0.15868110232073795</v>
      </c>
      <c r="L7" s="6"/>
      <c r="M7" s="26">
        <v>-0.01</v>
      </c>
      <c r="N7" s="25">
        <v>12477.705159910955</v>
      </c>
      <c r="O7" s="6">
        <v>0.15021624969748593</v>
      </c>
      <c r="R7" s="27">
        <v>0.1</v>
      </c>
      <c r="S7" s="13">
        <v>22035.91081105519</v>
      </c>
      <c r="T7" s="5">
        <v>0.13592642843908376</v>
      </c>
    </row>
    <row r="8" spans="1:21" x14ac:dyDescent="0.15">
      <c r="A8" s="10" t="s">
        <v>12</v>
      </c>
      <c r="B8" s="4">
        <v>0.25</v>
      </c>
      <c r="I8" s="38">
        <v>9</v>
      </c>
      <c r="J8" s="39">
        <v>15496.344527677866</v>
      </c>
      <c r="K8" s="40">
        <v>0.15537080030722472</v>
      </c>
      <c r="L8" s="6"/>
      <c r="M8" s="26">
        <v>0.01</v>
      </c>
      <c r="N8" s="25">
        <v>11223.972912315803</v>
      </c>
      <c r="O8" s="6">
        <v>0.14857856817637005</v>
      </c>
      <c r="R8" s="27">
        <v>0.11</v>
      </c>
      <c r="S8" s="13">
        <v>15533.531024680939</v>
      </c>
      <c r="T8" s="5">
        <v>0.13592642843908376</v>
      </c>
    </row>
    <row r="9" spans="1:21" x14ac:dyDescent="0.15">
      <c r="I9" s="38">
        <v>9.5</v>
      </c>
      <c r="J9" s="39">
        <v>10317.036517881963</v>
      </c>
      <c r="K9" s="40">
        <v>0.14746186934860384</v>
      </c>
      <c r="L9" s="6"/>
      <c r="M9" s="26">
        <v>0.03</v>
      </c>
      <c r="N9" s="25">
        <v>8039.5725591971132</v>
      </c>
      <c r="O9" s="6">
        <v>0.1436497211743053</v>
      </c>
      <c r="R9" s="27">
        <v>0.12</v>
      </c>
      <c r="S9" s="13">
        <v>9324.2435986717464</v>
      </c>
      <c r="T9" s="5">
        <v>0.13592642843908376</v>
      </c>
    </row>
    <row r="10" spans="1:21" x14ac:dyDescent="0.15">
      <c r="B10" s="11" t="s">
        <v>13</v>
      </c>
      <c r="C10" s="11"/>
      <c r="D10" s="11"/>
      <c r="E10" s="11"/>
      <c r="F10" s="11"/>
      <c r="G10" s="11"/>
      <c r="H10" s="11"/>
      <c r="I10" s="38">
        <v>10</v>
      </c>
      <c r="J10" s="39">
        <v>3391.6378747307463</v>
      </c>
      <c r="K10" s="40">
        <v>0.13592642843908376</v>
      </c>
      <c r="L10" s="6"/>
      <c r="M10" s="26">
        <v>0.05</v>
      </c>
      <c r="N10" s="25">
        <v>3391.6378747307463</v>
      </c>
      <c r="O10" s="6">
        <v>0.13592642843908376</v>
      </c>
      <c r="R10" s="27">
        <v>0.13</v>
      </c>
      <c r="S10" s="13">
        <v>3391.6378747307463</v>
      </c>
      <c r="T10" s="5">
        <v>0.13592642843908376</v>
      </c>
    </row>
    <row r="11" spans="1:21" x14ac:dyDescent="0.15">
      <c r="B11" s="11">
        <v>0</v>
      </c>
      <c r="C11" s="11">
        <v>1</v>
      </c>
      <c r="D11" s="11">
        <v>2</v>
      </c>
      <c r="E11" s="11">
        <v>3</v>
      </c>
      <c r="F11" s="11">
        <v>4</v>
      </c>
      <c r="G11" s="11">
        <v>5</v>
      </c>
      <c r="H11" s="11">
        <v>6</v>
      </c>
      <c r="I11" s="38">
        <v>10.5</v>
      </c>
      <c r="J11" s="39">
        <v>-4734.8177375238738</v>
      </c>
      <c r="K11" s="40">
        <v>0.12146795819904921</v>
      </c>
      <c r="L11" s="6"/>
      <c r="M11" s="26">
        <v>7.0000000000000007E-2</v>
      </c>
      <c r="N11" s="25">
        <v>-2360.877860997658</v>
      </c>
      <c r="O11" s="6">
        <v>0.12574145122852354</v>
      </c>
      <c r="R11" s="27">
        <v>0.14000000000000001</v>
      </c>
      <c r="S11" s="13">
        <v>-2279.6223439532623</v>
      </c>
      <c r="T11" s="5">
        <v>0.13592642843908376</v>
      </c>
    </row>
    <row r="12" spans="1:21" x14ac:dyDescent="0.15">
      <c r="A12" t="s">
        <v>14</v>
      </c>
      <c r="C12" s="27">
        <v>0.2</v>
      </c>
      <c r="D12" s="27">
        <v>0.32</v>
      </c>
      <c r="E12" s="27">
        <v>0.192</v>
      </c>
      <c r="F12" s="27">
        <v>0.1152</v>
      </c>
      <c r="G12" s="27">
        <v>0.1152</v>
      </c>
      <c r="H12" s="27">
        <v>5.7599999999999998E-2</v>
      </c>
      <c r="I12" s="38">
        <v>11</v>
      </c>
      <c r="J12" s="39">
        <v>-13649.106537206884</v>
      </c>
      <c r="K12" s="40">
        <v>0.1046612287705766</v>
      </c>
      <c r="L12" s="6"/>
      <c r="M12" s="26">
        <v>0.09</v>
      </c>
      <c r="N12" s="25">
        <v>-8915.0324166283535</v>
      </c>
      <c r="O12" s="6">
        <v>0.11335401399298739</v>
      </c>
      <c r="R12" s="27">
        <v>0.15</v>
      </c>
      <c r="S12" s="13">
        <v>-7703.8785712631361</v>
      </c>
      <c r="T12" s="5">
        <v>0.13592642843908376</v>
      </c>
    </row>
    <row r="13" spans="1:21" x14ac:dyDescent="0.15">
      <c r="C13" s="5"/>
      <c r="D13" s="5"/>
      <c r="E13" s="5"/>
      <c r="F13" s="5"/>
      <c r="G13" s="5"/>
      <c r="H13" s="5"/>
      <c r="I13" s="38">
        <v>11.5</v>
      </c>
      <c r="J13" s="39">
        <v>-23063.317228242347</v>
      </c>
      <c r="K13" s="40">
        <v>8.5925650183986235E-2</v>
      </c>
      <c r="L13" s="6"/>
      <c r="M13" s="26">
        <v>0.11</v>
      </c>
      <c r="N13" s="25">
        <v>-16049.106514279498</v>
      </c>
      <c r="O13" s="6">
        <v>9.8897528629104281E-2</v>
      </c>
      <c r="R13" s="27">
        <v>0.16</v>
      </c>
      <c r="S13" s="13">
        <v>-12894.550826850609</v>
      </c>
      <c r="T13" s="5">
        <v>0.13592642843908376</v>
      </c>
    </row>
    <row r="14" spans="1:21" x14ac:dyDescent="0.15">
      <c r="A14" s="12" t="s">
        <v>15</v>
      </c>
      <c r="C14" s="5"/>
      <c r="D14" s="5"/>
      <c r="E14" s="5"/>
      <c r="F14" s="5"/>
      <c r="G14" s="5"/>
      <c r="H14" s="5"/>
      <c r="I14" s="38">
        <v>12</v>
      </c>
      <c r="J14" s="39">
        <v>-32753.788535677479</v>
      </c>
      <c r="K14" s="40">
        <v>6.5613553034258087E-2</v>
      </c>
      <c r="L14" s="6"/>
      <c r="M14" s="26">
        <v>0.13</v>
      </c>
      <c r="N14" s="25">
        <v>-23591.367005182838</v>
      </c>
      <c r="O14" s="6">
        <v>8.2419387919063114E-2</v>
      </c>
      <c r="R14" s="27">
        <v>0.17</v>
      </c>
      <c r="S14" s="13">
        <v>-17864.204832394083</v>
      </c>
      <c r="T14" s="5">
        <v>0.13592642843908376</v>
      </c>
    </row>
    <row r="15" spans="1:21" x14ac:dyDescent="0.15">
      <c r="A15" t="s">
        <v>16</v>
      </c>
      <c r="B15" s="29">
        <v>-100000</v>
      </c>
      <c r="I15" s="38">
        <v>12.5</v>
      </c>
      <c r="J15" s="39">
        <v>-42567.444141848624</v>
      </c>
      <c r="K15" s="40">
        <v>4.3971867820318478E-2</v>
      </c>
      <c r="L15" s="6"/>
      <c r="M15" s="26">
        <v>0.15</v>
      </c>
      <c r="N15" s="25">
        <v>-31383.313532155473</v>
      </c>
      <c r="O15" s="6">
        <v>6.3941662947284428E-2</v>
      </c>
      <c r="R15" s="27">
        <v>0.18</v>
      </c>
      <c r="S15" s="13">
        <v>-22624.613754008693</v>
      </c>
      <c r="T15" s="5">
        <v>0.13592642843908376</v>
      </c>
    </row>
    <row r="16" spans="1:21" x14ac:dyDescent="0.15">
      <c r="A16" t="s">
        <v>17</v>
      </c>
      <c r="B16" s="29">
        <v>-3000</v>
      </c>
      <c r="I16" s="14"/>
      <c r="L16" s="6"/>
      <c r="M16" s="8"/>
    </row>
    <row r="17" spans="1:13" x14ac:dyDescent="0.15">
      <c r="A17" t="s">
        <v>18</v>
      </c>
      <c r="B17" s="30">
        <v>-2000</v>
      </c>
      <c r="I17" s="14"/>
      <c r="L17" s="6"/>
      <c r="M17" s="8"/>
    </row>
    <row r="18" spans="1:13" x14ac:dyDescent="0.15">
      <c r="A18" t="s">
        <v>19</v>
      </c>
      <c r="B18" s="13">
        <f>SUM(B15:B17)</f>
        <v>-105000</v>
      </c>
      <c r="L18" s="6"/>
    </row>
    <row r="19" spans="1:13" x14ac:dyDescent="0.15">
      <c r="A19" t="s">
        <v>20</v>
      </c>
      <c r="B19" s="13">
        <f>-(C33*25%)</f>
        <v>-87500</v>
      </c>
      <c r="C19" s="13">
        <f>-(D33-C33)*25%</f>
        <v>-2498.125</v>
      </c>
      <c r="D19" s="13">
        <f t="shared" ref="D19:G19" si="0">-(E33-D33)*25%</f>
        <v>-2573.2875000000058</v>
      </c>
      <c r="E19" s="13">
        <f t="shared" si="0"/>
        <v>-2643.2437500000087</v>
      </c>
      <c r="F19" s="13">
        <f t="shared" si="0"/>
        <v>-2721.7210781250033</v>
      </c>
      <c r="G19" s="13">
        <f t="shared" si="0"/>
        <v>97936.377328125018</v>
      </c>
      <c r="L19" s="6"/>
    </row>
    <row r="20" spans="1:13" x14ac:dyDescent="0.15">
      <c r="A20" t="s">
        <v>21</v>
      </c>
      <c r="G20" s="13">
        <f>10%*ABS(B15)</f>
        <v>10000</v>
      </c>
      <c r="I20" s="7"/>
      <c r="M20" s="8"/>
    </row>
    <row r="21" spans="1:13" x14ac:dyDescent="0.15">
      <c r="A21" t="s">
        <v>22</v>
      </c>
      <c r="B21" s="16"/>
      <c r="C21" s="16"/>
      <c r="D21" s="16"/>
      <c r="E21" s="16"/>
      <c r="F21" s="16"/>
      <c r="G21" s="34">
        <f>-(G20-ABS(B18)*H12)*B8</f>
        <v>-988</v>
      </c>
      <c r="I21" s="7"/>
      <c r="M21" s="8"/>
    </row>
    <row r="22" spans="1:13" x14ac:dyDescent="0.15">
      <c r="A22" t="s">
        <v>23</v>
      </c>
      <c r="B22" s="13">
        <f>SUM(B18:B21)</f>
        <v>-192500</v>
      </c>
      <c r="C22" s="13">
        <f t="shared" ref="C22:G22" si="1">SUM(C18:C21)</f>
        <v>-2498.125</v>
      </c>
      <c r="D22" s="13">
        <f t="shared" si="1"/>
        <v>-2573.2875000000058</v>
      </c>
      <c r="E22" s="13">
        <f t="shared" si="1"/>
        <v>-2643.2437500000087</v>
      </c>
      <c r="F22" s="13">
        <f t="shared" si="1"/>
        <v>-2721.7210781250033</v>
      </c>
      <c r="G22" s="13">
        <f t="shared" si="1"/>
        <v>106948.37732812502</v>
      </c>
      <c r="H22" s="17"/>
      <c r="I22" s="7"/>
    </row>
    <row r="23" spans="1:13" x14ac:dyDescent="0.15">
      <c r="I23" s="7"/>
    </row>
    <row r="24" spans="1:13" x14ac:dyDescent="0.15">
      <c r="A24" t="s">
        <v>24</v>
      </c>
      <c r="C24" s="31">
        <v>3500000</v>
      </c>
      <c r="D24" s="18">
        <f>INT(C24*(1+$B$4))</f>
        <v>3780000</v>
      </c>
      <c r="E24" s="18">
        <f>INT(D24*(1+$B$4))</f>
        <v>4082400</v>
      </c>
      <c r="F24" s="18">
        <f t="shared" ref="F24:G24" si="2">INT(E24*(1+$B$4))</f>
        <v>4408992</v>
      </c>
      <c r="G24" s="18">
        <f t="shared" si="2"/>
        <v>4761711</v>
      </c>
      <c r="H24" s="19"/>
      <c r="I24" s="7"/>
    </row>
    <row r="25" spans="1:13" x14ac:dyDescent="0.15">
      <c r="A25" t="s">
        <v>25</v>
      </c>
      <c r="C25" s="18">
        <f>INT(C24/C26^2)</f>
        <v>35000</v>
      </c>
      <c r="D25" s="18">
        <f t="shared" ref="D25:G25" si="3">INT(D24/D26^2)</f>
        <v>34285</v>
      </c>
      <c r="E25" s="18">
        <f t="shared" si="3"/>
        <v>33586</v>
      </c>
      <c r="F25" s="18">
        <f t="shared" si="3"/>
        <v>32900</v>
      </c>
      <c r="G25" s="18">
        <f t="shared" si="3"/>
        <v>32229</v>
      </c>
      <c r="I25" s="7"/>
    </row>
    <row r="26" spans="1:13" x14ac:dyDescent="0.15">
      <c r="A26" t="s">
        <v>26</v>
      </c>
      <c r="C26" s="32">
        <v>10</v>
      </c>
      <c r="D26" s="32">
        <f>(C26*(1+$B$5))</f>
        <v>10.5</v>
      </c>
      <c r="E26" s="32">
        <f t="shared" ref="E26:G26" si="4">(D26*(1+$B$5))</f>
        <v>11.025</v>
      </c>
      <c r="F26" s="32">
        <f t="shared" si="4"/>
        <v>11.576250000000002</v>
      </c>
      <c r="G26" s="32">
        <f t="shared" si="4"/>
        <v>12.155062500000001</v>
      </c>
    </row>
    <row r="27" spans="1:13" x14ac:dyDescent="0.15">
      <c r="A27" t="s">
        <v>27</v>
      </c>
      <c r="C27" s="20"/>
      <c r="D27" s="21"/>
      <c r="E27" s="21"/>
      <c r="F27" s="21"/>
      <c r="G27" s="21"/>
    </row>
    <row r="28" spans="1:13" x14ac:dyDescent="0.15">
      <c r="A28" s="22" t="s">
        <v>28</v>
      </c>
      <c r="C28" s="32">
        <v>2</v>
      </c>
      <c r="D28" s="20">
        <f>C28*(1+$B$6)</f>
        <v>2.1</v>
      </c>
      <c r="E28" s="20">
        <f t="shared" ref="E28:G28" si="5">D28*(1+$B$6)</f>
        <v>2.2050000000000001</v>
      </c>
      <c r="F28" s="20">
        <f t="shared" si="5"/>
        <v>2.3152500000000003</v>
      </c>
      <c r="G28" s="20">
        <f t="shared" si="5"/>
        <v>2.4310125000000005</v>
      </c>
    </row>
    <row r="29" spans="1:13" x14ac:dyDescent="0.15">
      <c r="A29" s="22" t="s">
        <v>29</v>
      </c>
      <c r="C29" s="32">
        <v>1.5</v>
      </c>
      <c r="D29" s="20">
        <f t="shared" ref="D29:G30" si="6">C29*(1+$B$6)</f>
        <v>1.5750000000000002</v>
      </c>
      <c r="E29" s="20">
        <f t="shared" si="6"/>
        <v>1.6537500000000003</v>
      </c>
      <c r="F29" s="20">
        <f t="shared" si="6"/>
        <v>1.7364375000000003</v>
      </c>
      <c r="G29" s="20">
        <f t="shared" si="6"/>
        <v>1.8232593750000003</v>
      </c>
    </row>
    <row r="30" spans="1:13" x14ac:dyDescent="0.15">
      <c r="A30" s="22" t="s">
        <v>30</v>
      </c>
      <c r="C30" s="33">
        <v>0.5</v>
      </c>
      <c r="D30" s="23">
        <f t="shared" si="6"/>
        <v>0.52500000000000002</v>
      </c>
      <c r="E30" s="23">
        <f t="shared" si="6"/>
        <v>0.55125000000000002</v>
      </c>
      <c r="F30" s="23">
        <f t="shared" si="6"/>
        <v>0.57881250000000006</v>
      </c>
      <c r="G30" s="23">
        <f t="shared" si="6"/>
        <v>0.60775312500000012</v>
      </c>
    </row>
    <row r="31" spans="1:13" x14ac:dyDescent="0.15">
      <c r="A31" s="24" t="s">
        <v>31</v>
      </c>
      <c r="C31" s="20">
        <f>SUM(C28:C30)</f>
        <v>4</v>
      </c>
      <c r="D31" s="20">
        <f>SUM(D28:D30)</f>
        <v>4.2</v>
      </c>
      <c r="E31" s="20">
        <f t="shared" ref="E31:G31" si="7">SUM(E28:E30)</f>
        <v>4.41</v>
      </c>
      <c r="F31" s="20">
        <f t="shared" si="7"/>
        <v>4.6305000000000005</v>
      </c>
      <c r="G31" s="20">
        <f t="shared" si="7"/>
        <v>4.8620250000000009</v>
      </c>
    </row>
    <row r="32" spans="1:13" x14ac:dyDescent="0.15">
      <c r="D32" s="21"/>
      <c r="E32" s="21"/>
      <c r="F32" s="21"/>
      <c r="G32" s="21"/>
    </row>
    <row r="33" spans="1:8" x14ac:dyDescent="0.15">
      <c r="A33" t="s">
        <v>32</v>
      </c>
      <c r="C33" s="13">
        <f>C25*C26</f>
        <v>350000</v>
      </c>
      <c r="D33" s="13">
        <f t="shared" ref="D33:G33" si="8">D25*D26</f>
        <v>359992.5</v>
      </c>
      <c r="E33" s="13">
        <f t="shared" si="8"/>
        <v>370285.65</v>
      </c>
      <c r="F33" s="13">
        <f t="shared" si="8"/>
        <v>380858.62500000006</v>
      </c>
      <c r="G33" s="13">
        <f t="shared" si="8"/>
        <v>391745.50931250007</v>
      </c>
    </row>
    <row r="34" spans="1:8" x14ac:dyDescent="0.15">
      <c r="A34" t="s">
        <v>33</v>
      </c>
      <c r="C34" s="15">
        <f>-C25*C31</f>
        <v>-140000</v>
      </c>
      <c r="D34" s="15">
        <f t="shared" ref="D34:G34" si="9">-D25*D31</f>
        <v>-143997</v>
      </c>
      <c r="E34" s="15">
        <f t="shared" si="9"/>
        <v>-148114.26</v>
      </c>
      <c r="F34" s="15">
        <f t="shared" si="9"/>
        <v>-152343.45000000001</v>
      </c>
      <c r="G34" s="15">
        <f t="shared" si="9"/>
        <v>-156698.20372500003</v>
      </c>
    </row>
    <row r="35" spans="1:8" x14ac:dyDescent="0.15">
      <c r="A35" t="s">
        <v>34</v>
      </c>
      <c r="C35" s="13">
        <f>SUM(C33:C34)</f>
        <v>210000</v>
      </c>
      <c r="D35" s="13">
        <f t="shared" ref="D35:G35" si="10">SUM(D33:D34)</f>
        <v>215995.5</v>
      </c>
      <c r="E35" s="13">
        <f t="shared" si="10"/>
        <v>222171.39</v>
      </c>
      <c r="F35" s="13">
        <f t="shared" si="10"/>
        <v>228515.17500000005</v>
      </c>
      <c r="G35" s="13">
        <f t="shared" si="10"/>
        <v>235047.30558750004</v>
      </c>
    </row>
    <row r="36" spans="1:8" x14ac:dyDescent="0.15">
      <c r="A36" t="s">
        <v>35</v>
      </c>
      <c r="C36" s="29">
        <v>-40000</v>
      </c>
      <c r="D36" s="29">
        <f>C36*(1+$B$6)</f>
        <v>-42000</v>
      </c>
      <c r="E36" s="29">
        <f t="shared" ref="E36:G36" si="11">D36*(1+$B$6)</f>
        <v>-44100</v>
      </c>
      <c r="F36" s="29">
        <f t="shared" si="11"/>
        <v>-46305</v>
      </c>
      <c r="G36" s="29">
        <f t="shared" si="11"/>
        <v>-48620.25</v>
      </c>
    </row>
    <row r="37" spans="1:8" x14ac:dyDescent="0.15">
      <c r="A37" t="s">
        <v>36</v>
      </c>
      <c r="C37" s="29">
        <v>-60000</v>
      </c>
      <c r="D37" s="29">
        <f t="shared" ref="D37:G40" si="12">C37*(1+$B$6)</f>
        <v>-63000</v>
      </c>
      <c r="E37" s="29">
        <f t="shared" si="12"/>
        <v>-66150</v>
      </c>
      <c r="F37" s="29">
        <f t="shared" si="12"/>
        <v>-69457.5</v>
      </c>
      <c r="G37" s="29">
        <f t="shared" si="12"/>
        <v>-72930.375</v>
      </c>
    </row>
    <row r="38" spans="1:8" x14ac:dyDescent="0.15">
      <c r="A38" t="s">
        <v>37</v>
      </c>
      <c r="C38" s="29">
        <v>-30000</v>
      </c>
      <c r="D38" s="29">
        <f t="shared" si="12"/>
        <v>-31500</v>
      </c>
      <c r="E38" s="29">
        <f t="shared" si="12"/>
        <v>-33075</v>
      </c>
      <c r="F38" s="29">
        <f t="shared" si="12"/>
        <v>-34728.75</v>
      </c>
      <c r="G38" s="29">
        <f t="shared" si="12"/>
        <v>-36465.1875</v>
      </c>
    </row>
    <row r="39" spans="1:8" x14ac:dyDescent="0.15">
      <c r="A39" t="s">
        <v>38</v>
      </c>
      <c r="C39" s="29">
        <v>-20000</v>
      </c>
      <c r="D39" s="29">
        <f t="shared" si="12"/>
        <v>-21000</v>
      </c>
      <c r="E39" s="29">
        <f t="shared" si="12"/>
        <v>-22050</v>
      </c>
      <c r="F39" s="29">
        <f t="shared" si="12"/>
        <v>-23152.5</v>
      </c>
      <c r="G39" s="29">
        <f t="shared" si="12"/>
        <v>-24310.125</v>
      </c>
    </row>
    <row r="40" spans="1:8" x14ac:dyDescent="0.15">
      <c r="A40" t="s">
        <v>39</v>
      </c>
      <c r="C40" s="30">
        <v>-8000</v>
      </c>
      <c r="D40" s="29">
        <f t="shared" si="12"/>
        <v>-8400</v>
      </c>
      <c r="E40" s="29">
        <f t="shared" si="12"/>
        <v>-8820</v>
      </c>
      <c r="F40" s="29">
        <f t="shared" si="12"/>
        <v>-9261</v>
      </c>
      <c r="G40" s="29">
        <f t="shared" si="12"/>
        <v>-9724.0500000000011</v>
      </c>
    </row>
    <row r="41" spans="1:8" x14ac:dyDescent="0.15">
      <c r="A41" t="s">
        <v>40</v>
      </c>
      <c r="C41" s="13">
        <f>SUM(C36:C40)</f>
        <v>-158000</v>
      </c>
      <c r="D41" s="13">
        <f t="shared" ref="D41:G41" si="13">SUM(D36:D40)</f>
        <v>-165900</v>
      </c>
      <c r="E41" s="13">
        <f t="shared" si="13"/>
        <v>-174195</v>
      </c>
      <c r="F41" s="13">
        <f t="shared" si="13"/>
        <v>-182904.75</v>
      </c>
      <c r="G41" s="13">
        <f t="shared" si="13"/>
        <v>-192049.98749999999</v>
      </c>
    </row>
    <row r="42" spans="1:8" x14ac:dyDescent="0.15">
      <c r="A42" t="s">
        <v>41</v>
      </c>
      <c r="C42" s="15">
        <f>$B$18*C12</f>
        <v>-21000</v>
      </c>
      <c r="D42" s="15">
        <f t="shared" ref="D42:G42" si="14">$B$18*D12</f>
        <v>-33600</v>
      </c>
      <c r="E42" s="15">
        <f t="shared" si="14"/>
        <v>-20160</v>
      </c>
      <c r="F42" s="15">
        <f t="shared" si="14"/>
        <v>-12096</v>
      </c>
      <c r="G42" s="15">
        <f t="shared" si="14"/>
        <v>-12096</v>
      </c>
    </row>
    <row r="43" spans="1:8" x14ac:dyDescent="0.15">
      <c r="A43" t="s">
        <v>42</v>
      </c>
      <c r="C43" s="13">
        <f>SUM(C41:C42)</f>
        <v>-179000</v>
      </c>
      <c r="D43" s="13">
        <f t="shared" ref="D43:G43" si="15">SUM(D41:D42)</f>
        <v>-199500</v>
      </c>
      <c r="E43" s="13">
        <f t="shared" si="15"/>
        <v>-194355</v>
      </c>
      <c r="F43" s="13">
        <f t="shared" si="15"/>
        <v>-195000.75</v>
      </c>
      <c r="G43" s="13">
        <f t="shared" si="15"/>
        <v>-204145.98749999999</v>
      </c>
    </row>
    <row r="44" spans="1:8" x14ac:dyDescent="0.15">
      <c r="A44" t="s">
        <v>43</v>
      </c>
      <c r="C44" s="13">
        <f>SUM(C35,C43)</f>
        <v>31000</v>
      </c>
      <c r="D44" s="13">
        <f t="shared" ref="D44:G44" si="16">SUM(D35,D43)</f>
        <v>16495.5</v>
      </c>
      <c r="E44" s="13">
        <f t="shared" si="16"/>
        <v>27816.390000000014</v>
      </c>
      <c r="F44" s="13">
        <f t="shared" si="16"/>
        <v>33514.425000000047</v>
      </c>
      <c r="G44" s="13">
        <f t="shared" si="16"/>
        <v>30901.318087500054</v>
      </c>
    </row>
    <row r="45" spans="1:8" x14ac:dyDescent="0.15">
      <c r="A45" t="s">
        <v>44</v>
      </c>
      <c r="C45" s="15">
        <f>-C44*$B$8</f>
        <v>-7750</v>
      </c>
      <c r="D45" s="15">
        <f t="shared" ref="D45:G45" si="17">-D44*$B$8</f>
        <v>-4123.875</v>
      </c>
      <c r="E45" s="15">
        <f t="shared" si="17"/>
        <v>-6954.0975000000035</v>
      </c>
      <c r="F45" s="15">
        <f t="shared" si="17"/>
        <v>-8378.6062500000116</v>
      </c>
      <c r="G45" s="15">
        <f t="shared" si="17"/>
        <v>-7725.3295218750136</v>
      </c>
      <c r="H45" s="17"/>
    </row>
    <row r="46" spans="1:8" x14ac:dyDescent="0.15">
      <c r="A46" t="s">
        <v>45</v>
      </c>
      <c r="C46" s="13">
        <f>SUM(C44:C45)</f>
        <v>23250</v>
      </c>
      <c r="D46" s="13">
        <f t="shared" ref="D46:G46" si="18">SUM(D44:D45)</f>
        <v>12371.625</v>
      </c>
      <c r="E46" s="13">
        <f t="shared" si="18"/>
        <v>20862.29250000001</v>
      </c>
      <c r="F46" s="13">
        <f t="shared" si="18"/>
        <v>25135.818750000035</v>
      </c>
      <c r="G46" s="13">
        <f t="shared" si="18"/>
        <v>23175.988565625041</v>
      </c>
    </row>
    <row r="47" spans="1:8" x14ac:dyDescent="0.15">
      <c r="A47" t="s">
        <v>46</v>
      </c>
      <c r="C47" s="15">
        <f>ABS(C42)</f>
        <v>21000</v>
      </c>
      <c r="D47" s="15">
        <f t="shared" ref="D47:G47" si="19">ABS(D42)</f>
        <v>33600</v>
      </c>
      <c r="E47" s="15">
        <f t="shared" si="19"/>
        <v>20160</v>
      </c>
      <c r="F47" s="15">
        <f t="shared" si="19"/>
        <v>12096</v>
      </c>
      <c r="G47" s="15">
        <f t="shared" si="19"/>
        <v>12096</v>
      </c>
    </row>
    <row r="48" spans="1:8" x14ac:dyDescent="0.15">
      <c r="A48" t="s">
        <v>47</v>
      </c>
      <c r="C48" s="13">
        <f>SUM(C46:C47)</f>
        <v>44250</v>
      </c>
      <c r="D48" s="13">
        <f t="shared" ref="D48:G48" si="20">SUM(D46:D47)</f>
        <v>45971.625</v>
      </c>
      <c r="E48" s="13">
        <f t="shared" si="20"/>
        <v>41022.29250000001</v>
      </c>
      <c r="F48" s="13">
        <f t="shared" si="20"/>
        <v>37231.818750000035</v>
      </c>
      <c r="G48" s="13">
        <f t="shared" si="20"/>
        <v>35271.988565625041</v>
      </c>
    </row>
    <row r="49" spans="1:7" x14ac:dyDescent="0.15">
      <c r="C49" s="21"/>
      <c r="D49" s="21"/>
      <c r="E49" s="21"/>
      <c r="F49" s="21"/>
      <c r="G49" s="21"/>
    </row>
    <row r="50" spans="1:7" x14ac:dyDescent="0.15">
      <c r="A50" t="s">
        <v>48</v>
      </c>
      <c r="B50" s="13">
        <f>B22+B48</f>
        <v>-192500</v>
      </c>
      <c r="C50" s="13">
        <f t="shared" ref="C50:G50" si="21">C22+C48</f>
        <v>41751.875</v>
      </c>
      <c r="D50" s="13">
        <f t="shared" si="21"/>
        <v>43398.337499999994</v>
      </c>
      <c r="E50" s="13">
        <f t="shared" si="21"/>
        <v>38379.048750000002</v>
      </c>
      <c r="F50" s="13">
        <f t="shared" si="21"/>
        <v>34510.097671875032</v>
      </c>
      <c r="G50" s="13">
        <f t="shared" si="21"/>
        <v>142220.36589375004</v>
      </c>
    </row>
    <row r="51" spans="1:7" x14ac:dyDescent="0.15">
      <c r="A51" t="s">
        <v>49</v>
      </c>
      <c r="C51" s="13">
        <f>C50</f>
        <v>41751.875</v>
      </c>
      <c r="D51" s="13">
        <f>C51+D50</f>
        <v>85150.212499999994</v>
      </c>
      <c r="E51" s="13">
        <f t="shared" ref="E51:G51" si="22">D51+E50</f>
        <v>123529.26125</v>
      </c>
      <c r="F51" s="13">
        <f t="shared" si="22"/>
        <v>158039.35892187501</v>
      </c>
      <c r="G51" s="13">
        <f t="shared" si="22"/>
        <v>300259.72481562506</v>
      </c>
    </row>
    <row r="53" spans="1:7" x14ac:dyDescent="0.15">
      <c r="A53" t="s">
        <v>6</v>
      </c>
      <c r="B53" s="13">
        <f>NPV(B7,C50:G50)+B50</f>
        <v>3391.6378747307463</v>
      </c>
    </row>
    <row r="54" spans="1:7" x14ac:dyDescent="0.15">
      <c r="A54" t="s">
        <v>7</v>
      </c>
      <c r="B54" s="5">
        <f>IRR(B50:G50)</f>
        <v>0.13592642843908376</v>
      </c>
    </row>
    <row r="55" spans="1:7" x14ac:dyDescent="0.15">
      <c r="A55" t="s">
        <v>50</v>
      </c>
      <c r="B55" s="35">
        <f>F11+(ABS(B50)-F51)/G50</f>
        <v>4.242304545214501</v>
      </c>
    </row>
  </sheetData>
  <dataConsolidate/>
  <mergeCells count="4">
    <mergeCell ref="A1:G1"/>
    <mergeCell ref="I1:K1"/>
    <mergeCell ref="M1:P1"/>
    <mergeCell ref="R1:U1"/>
  </mergeCells>
  <phoneticPr fontId="4" type="noConversion"/>
  <printOptions headings="1"/>
  <pageMargins left="0.75" right="0.75" top="1" bottom="1" header="0.5" footer="0.5"/>
  <pageSetup scale="80" orientation="portrait" horizontalDpi="4294967293" r:id="rId1"/>
  <headerFooter alignWithMargins="0"/>
  <ignoredErrors>
    <ignoredError sqref="C47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H55"/>
  <sheetViews>
    <sheetView zoomScale="80" zoomScaleNormal="80" zoomScalePageLayoutView="130" workbookViewId="0">
      <selection activeCell="A2" sqref="A2"/>
    </sheetView>
  </sheetViews>
  <sheetFormatPr baseColWidth="10" defaultColWidth="8.83203125" defaultRowHeight="13" x14ac:dyDescent="0.15"/>
  <cols>
    <col min="1" max="1" width="28.33203125" customWidth="1"/>
    <col min="2" max="8" width="10" customWidth="1"/>
    <col min="9" max="9" width="29.6640625" customWidth="1"/>
    <col min="10" max="10" width="17.5" bestFit="1" customWidth="1"/>
    <col min="11" max="11" width="22" bestFit="1" customWidth="1"/>
    <col min="12" max="12" width="17.5" bestFit="1" customWidth="1"/>
    <col min="13" max="13" width="35.33203125" bestFit="1" customWidth="1"/>
    <col min="14" max="14" width="17.5" bestFit="1" customWidth="1"/>
    <col min="15" max="15" width="22" bestFit="1" customWidth="1"/>
    <col min="16" max="16" width="17.5" bestFit="1" customWidth="1"/>
    <col min="17" max="17" width="20.5" bestFit="1" customWidth="1"/>
    <col min="18" max="18" width="17.5" bestFit="1" customWidth="1"/>
    <col min="19" max="19" width="22" bestFit="1" customWidth="1"/>
    <col min="20" max="20" width="17.5" bestFit="1" customWidth="1"/>
    <col min="23" max="23" width="14.33203125" bestFit="1" customWidth="1"/>
    <col min="24" max="24" width="17.5" bestFit="1" customWidth="1"/>
    <col min="25" max="25" width="22" bestFit="1" customWidth="1"/>
    <col min="26" max="26" width="17.5" bestFit="1" customWidth="1"/>
  </cols>
  <sheetData>
    <row r="1" spans="1:8" x14ac:dyDescent="0.15">
      <c r="A1" s="43" t="s">
        <v>51</v>
      </c>
      <c r="B1" s="43"/>
      <c r="C1" s="43"/>
      <c r="D1" s="43"/>
      <c r="E1" s="43"/>
      <c r="F1" s="43"/>
      <c r="G1" s="43"/>
    </row>
    <row r="3" spans="1:8" x14ac:dyDescent="0.15">
      <c r="A3" s="2" t="s">
        <v>4</v>
      </c>
    </row>
    <row r="4" spans="1:8" x14ac:dyDescent="0.15">
      <c r="A4" t="s">
        <v>10</v>
      </c>
      <c r="B4" s="4">
        <v>0.08</v>
      </c>
      <c r="C4" s="5"/>
      <c r="D4" s="5"/>
      <c r="E4" s="5"/>
      <c r="F4" s="5"/>
      <c r="G4" s="5"/>
    </row>
    <row r="5" spans="1:8" x14ac:dyDescent="0.15">
      <c r="A5" t="s">
        <v>8</v>
      </c>
      <c r="B5" s="4">
        <v>0.05</v>
      </c>
      <c r="C5" s="5"/>
      <c r="D5" s="5"/>
      <c r="E5" s="5"/>
      <c r="F5" s="5"/>
      <c r="G5" s="5"/>
    </row>
    <row r="6" spans="1:8" x14ac:dyDescent="0.15">
      <c r="A6" t="s">
        <v>11</v>
      </c>
      <c r="B6" s="4">
        <v>0.05</v>
      </c>
      <c r="C6" s="5"/>
      <c r="D6" s="5"/>
      <c r="E6" s="5"/>
      <c r="F6" s="5"/>
      <c r="G6" s="5"/>
    </row>
    <row r="7" spans="1:8" x14ac:dyDescent="0.15">
      <c r="A7" s="9" t="s">
        <v>9</v>
      </c>
      <c r="B7" s="4">
        <v>0.13</v>
      </c>
    </row>
    <row r="8" spans="1:8" x14ac:dyDescent="0.15">
      <c r="A8" s="10" t="s">
        <v>12</v>
      </c>
      <c r="B8" s="4">
        <v>0.25</v>
      </c>
    </row>
    <row r="10" spans="1:8" x14ac:dyDescent="0.15">
      <c r="B10" s="11" t="s">
        <v>13</v>
      </c>
      <c r="C10" s="11"/>
      <c r="D10" s="11"/>
      <c r="E10" s="11"/>
      <c r="F10" s="11"/>
      <c r="G10" s="11"/>
      <c r="H10" s="11"/>
    </row>
    <row r="11" spans="1:8" x14ac:dyDescent="0.15">
      <c r="B11" s="11">
        <v>0</v>
      </c>
      <c r="C11" s="11">
        <v>1</v>
      </c>
      <c r="D11" s="11">
        <v>2</v>
      </c>
      <c r="E11" s="11">
        <v>3</v>
      </c>
      <c r="F11" s="11">
        <v>4</v>
      </c>
      <c r="G11" s="11">
        <v>5</v>
      </c>
      <c r="H11" s="11">
        <v>6</v>
      </c>
    </row>
    <row r="12" spans="1:8" x14ac:dyDescent="0.15">
      <c r="A12" t="s">
        <v>14</v>
      </c>
      <c r="C12" s="28">
        <v>0.2</v>
      </c>
      <c r="D12" s="28">
        <v>0.32</v>
      </c>
      <c r="E12" s="28">
        <v>0.192</v>
      </c>
      <c r="F12" s="28">
        <v>0.1152</v>
      </c>
      <c r="G12" s="28">
        <v>0.1152</v>
      </c>
      <c r="H12" s="28">
        <v>5.7599999999999998E-2</v>
      </c>
    </row>
    <row r="13" spans="1:8" x14ac:dyDescent="0.15">
      <c r="C13" s="5"/>
      <c r="D13" s="5"/>
      <c r="E13" s="5"/>
      <c r="F13" s="5"/>
      <c r="G13" s="5"/>
      <c r="H13" s="5"/>
    </row>
    <row r="14" spans="1:8" x14ac:dyDescent="0.15">
      <c r="A14" s="12" t="s">
        <v>15</v>
      </c>
      <c r="H14" s="5"/>
    </row>
    <row r="15" spans="1:8" x14ac:dyDescent="0.15">
      <c r="A15" t="s">
        <v>16</v>
      </c>
      <c r="B15" s="29">
        <v>-100000</v>
      </c>
    </row>
    <row r="16" spans="1:8" x14ac:dyDescent="0.15">
      <c r="A16" t="s">
        <v>17</v>
      </c>
      <c r="B16" s="29">
        <v>-3000</v>
      </c>
    </row>
    <row r="17" spans="1:8" x14ac:dyDescent="0.15">
      <c r="A17" t="s">
        <v>18</v>
      </c>
      <c r="B17" s="30">
        <v>-2000</v>
      </c>
    </row>
    <row r="18" spans="1:8" x14ac:dyDescent="0.15">
      <c r="A18" t="s">
        <v>19</v>
      </c>
      <c r="B18" s="13">
        <f>SUM(B15:B17)</f>
        <v>-105000</v>
      </c>
    </row>
    <row r="19" spans="1:8" x14ac:dyDescent="0.15">
      <c r="A19" t="s">
        <v>20</v>
      </c>
      <c r="B19" s="13">
        <f>-(C33*25%)</f>
        <v>-103625.00211138715</v>
      </c>
      <c r="C19" s="13">
        <f>-(D33-C33)*25%</f>
        <v>-2960.3072319848288</v>
      </c>
      <c r="D19" s="13">
        <f t="shared" ref="D19:G19" si="0">-(E33-D33)*25%</f>
        <v>-3046.1494921828562</v>
      </c>
      <c r="E19" s="13">
        <f t="shared" si="0"/>
        <v>-3130.7315082067798</v>
      </c>
      <c r="F19" s="13">
        <f t="shared" si="0"/>
        <v>-3223.6096435500367</v>
      </c>
      <c r="G19" s="13">
        <f t="shared" si="0"/>
        <v>115985.79998731165</v>
      </c>
    </row>
    <row r="20" spans="1:8" x14ac:dyDescent="0.15">
      <c r="A20" t="s">
        <v>21</v>
      </c>
      <c r="G20" s="13">
        <f>10%*ABS(B15)</f>
        <v>10000</v>
      </c>
    </row>
    <row r="21" spans="1:8" x14ac:dyDescent="0.15">
      <c r="A21" t="s">
        <v>22</v>
      </c>
      <c r="B21" s="16"/>
      <c r="C21" s="16"/>
      <c r="D21" s="16"/>
      <c r="E21" s="16"/>
      <c r="F21" s="16"/>
      <c r="G21" s="34">
        <f>-(G20-ABS(B18)*H12)*B8</f>
        <v>-988</v>
      </c>
    </row>
    <row r="22" spans="1:8" x14ac:dyDescent="0.15">
      <c r="A22" t="s">
        <v>23</v>
      </c>
      <c r="B22" s="13">
        <f>SUM(B18:B21)</f>
        <v>-208625.00211138715</v>
      </c>
      <c r="C22" s="13">
        <f t="shared" ref="C22:G22" si="1">SUM(C18:C21)</f>
        <v>-2960.3072319848288</v>
      </c>
      <c r="D22" s="13">
        <f t="shared" si="1"/>
        <v>-3046.1494921828562</v>
      </c>
      <c r="E22" s="13">
        <f t="shared" si="1"/>
        <v>-3130.7315082067798</v>
      </c>
      <c r="F22" s="13">
        <f t="shared" si="1"/>
        <v>-3223.6096435500367</v>
      </c>
      <c r="G22" s="13">
        <f t="shared" si="1"/>
        <v>124997.79998731165</v>
      </c>
      <c r="H22" s="17"/>
    </row>
    <row r="24" spans="1:8" x14ac:dyDescent="0.15">
      <c r="A24" t="s">
        <v>24</v>
      </c>
      <c r="C24" s="31">
        <v>3500000</v>
      </c>
      <c r="D24" s="18">
        <f>INT(C24*(1+$B$4))</f>
        <v>3780000</v>
      </c>
      <c r="E24" s="18">
        <f>INT(D24*(1+$B$4))</f>
        <v>4082400</v>
      </c>
      <c r="F24" s="18">
        <f t="shared" ref="F24:G24" si="2">INT(E24*(1+$B$4))</f>
        <v>4408992</v>
      </c>
      <c r="G24" s="18">
        <f t="shared" si="2"/>
        <v>4761711</v>
      </c>
      <c r="H24" s="19"/>
    </row>
    <row r="25" spans="1:8" x14ac:dyDescent="0.15">
      <c r="A25" t="s">
        <v>25</v>
      </c>
      <c r="C25" s="18">
        <f>INT(C24/C26^2)</f>
        <v>49089</v>
      </c>
      <c r="D25" s="18">
        <f t="shared" ref="D25:G25" si="3">INT(D24/D26^2)</f>
        <v>48087</v>
      </c>
      <c r="E25" s="18">
        <f t="shared" si="3"/>
        <v>47106</v>
      </c>
      <c r="F25" s="18">
        <f t="shared" si="3"/>
        <v>46144</v>
      </c>
      <c r="G25" s="18">
        <f t="shared" si="3"/>
        <v>45203</v>
      </c>
    </row>
    <row r="26" spans="1:8" x14ac:dyDescent="0.15">
      <c r="A26" t="s">
        <v>26</v>
      </c>
      <c r="C26" s="41">
        <v>8.4438470623876754</v>
      </c>
      <c r="D26" s="32">
        <f>(C26*(1+$B$5))</f>
        <v>8.8660394155070588</v>
      </c>
      <c r="E26" s="32">
        <f t="shared" ref="E26:G26" si="4">(D26*(1+$B$5))</f>
        <v>9.3093413862824121</v>
      </c>
      <c r="F26" s="32">
        <f t="shared" si="4"/>
        <v>9.7748084555965331</v>
      </c>
      <c r="G26" s="32">
        <f t="shared" si="4"/>
        <v>10.26354887837636</v>
      </c>
    </row>
    <row r="27" spans="1:8" x14ac:dyDescent="0.15">
      <c r="A27" t="s">
        <v>27</v>
      </c>
      <c r="C27" s="20"/>
      <c r="D27" s="21"/>
      <c r="E27" s="21"/>
      <c r="F27" s="21"/>
      <c r="G27" s="21"/>
    </row>
    <row r="28" spans="1:8" x14ac:dyDescent="0.15">
      <c r="A28" s="22" t="s">
        <v>28</v>
      </c>
      <c r="C28" s="32">
        <v>2</v>
      </c>
      <c r="D28" s="20">
        <f>C28*(1+$B$6)</f>
        <v>2.1</v>
      </c>
      <c r="E28" s="20">
        <f t="shared" ref="E28:G28" si="5">D28*(1+$B$6)</f>
        <v>2.2050000000000001</v>
      </c>
      <c r="F28" s="20">
        <f t="shared" si="5"/>
        <v>2.3152500000000003</v>
      </c>
      <c r="G28" s="20">
        <f t="shared" si="5"/>
        <v>2.4310125000000005</v>
      </c>
    </row>
    <row r="29" spans="1:8" x14ac:dyDescent="0.15">
      <c r="A29" s="22" t="s">
        <v>29</v>
      </c>
      <c r="C29" s="32">
        <v>1.5</v>
      </c>
      <c r="D29" s="20">
        <f t="shared" ref="D29:G30" si="6">C29*(1+$B$6)</f>
        <v>1.5750000000000002</v>
      </c>
      <c r="E29" s="20">
        <f t="shared" si="6"/>
        <v>1.6537500000000003</v>
      </c>
      <c r="F29" s="20">
        <f t="shared" si="6"/>
        <v>1.7364375000000003</v>
      </c>
      <c r="G29" s="20">
        <f t="shared" si="6"/>
        <v>1.8232593750000003</v>
      </c>
    </row>
    <row r="30" spans="1:8" x14ac:dyDescent="0.15">
      <c r="A30" s="22" t="s">
        <v>30</v>
      </c>
      <c r="C30" s="33">
        <v>0.5</v>
      </c>
      <c r="D30" s="23">
        <f t="shared" si="6"/>
        <v>0.52500000000000002</v>
      </c>
      <c r="E30" s="23">
        <f t="shared" si="6"/>
        <v>0.55125000000000002</v>
      </c>
      <c r="F30" s="23">
        <f t="shared" si="6"/>
        <v>0.57881250000000006</v>
      </c>
      <c r="G30" s="23">
        <f t="shared" si="6"/>
        <v>0.60775312500000012</v>
      </c>
    </row>
    <row r="31" spans="1:8" x14ac:dyDescent="0.15">
      <c r="A31" s="24" t="s">
        <v>31</v>
      </c>
      <c r="C31" s="20">
        <f>SUM(C28:C30)</f>
        <v>4</v>
      </c>
      <c r="D31" s="20">
        <f>SUM(D28:D30)</f>
        <v>4.2</v>
      </c>
      <c r="E31" s="20">
        <f t="shared" ref="E31:G31" si="7">SUM(E28:E30)</f>
        <v>4.41</v>
      </c>
      <c r="F31" s="20">
        <f t="shared" si="7"/>
        <v>4.6305000000000005</v>
      </c>
      <c r="G31" s="20">
        <f t="shared" si="7"/>
        <v>4.8620250000000009</v>
      </c>
    </row>
    <row r="32" spans="1:8" x14ac:dyDescent="0.15">
      <c r="D32" s="21"/>
      <c r="E32" s="21"/>
      <c r="F32" s="21"/>
      <c r="G32" s="21"/>
    </row>
    <row r="33" spans="1:8" x14ac:dyDescent="0.15">
      <c r="A33" t="s">
        <v>32</v>
      </c>
      <c r="C33" s="13">
        <f>C25*C26</f>
        <v>414500.00844554859</v>
      </c>
      <c r="D33" s="13">
        <f t="shared" ref="D33:G33" si="8">D25*D26</f>
        <v>426341.23737348791</v>
      </c>
      <c r="E33" s="13">
        <f t="shared" si="8"/>
        <v>438525.83534221933</v>
      </c>
      <c r="F33" s="13">
        <f t="shared" si="8"/>
        <v>451048.76137504645</v>
      </c>
      <c r="G33" s="13">
        <f t="shared" si="8"/>
        <v>463943.1999492466</v>
      </c>
    </row>
    <row r="34" spans="1:8" x14ac:dyDescent="0.15">
      <c r="A34" t="s">
        <v>33</v>
      </c>
      <c r="C34" s="15">
        <f>-C25*C31</f>
        <v>-196356</v>
      </c>
      <c r="D34" s="15">
        <f t="shared" ref="D34:G34" si="9">-D25*D31</f>
        <v>-201965.4</v>
      </c>
      <c r="E34" s="15">
        <f t="shared" si="9"/>
        <v>-207737.46000000002</v>
      </c>
      <c r="F34" s="15">
        <f t="shared" si="9"/>
        <v>-213669.79200000002</v>
      </c>
      <c r="G34" s="15">
        <f t="shared" si="9"/>
        <v>-219778.11607500006</v>
      </c>
    </row>
    <row r="35" spans="1:8" x14ac:dyDescent="0.15">
      <c r="A35" t="s">
        <v>34</v>
      </c>
      <c r="C35" s="13">
        <f>SUM(C33:C34)</f>
        <v>218144.00844554859</v>
      </c>
      <c r="D35" s="13">
        <f t="shared" ref="D35:G35" si="10">SUM(D33:D34)</f>
        <v>224375.83737348791</v>
      </c>
      <c r="E35" s="13">
        <f t="shared" si="10"/>
        <v>230788.37534221931</v>
      </c>
      <c r="F35" s="13">
        <f t="shared" si="10"/>
        <v>237378.96937504644</v>
      </c>
      <c r="G35" s="13">
        <f t="shared" si="10"/>
        <v>244165.08387424654</v>
      </c>
    </row>
    <row r="36" spans="1:8" x14ac:dyDescent="0.15">
      <c r="A36" t="s">
        <v>35</v>
      </c>
      <c r="C36" s="29">
        <v>-40000</v>
      </c>
      <c r="D36" s="29">
        <f>C36*(1+$B$6)</f>
        <v>-42000</v>
      </c>
      <c r="E36" s="29">
        <f t="shared" ref="E36:G36" si="11">D36*(1+$B$6)</f>
        <v>-44100</v>
      </c>
      <c r="F36" s="29">
        <f t="shared" si="11"/>
        <v>-46305</v>
      </c>
      <c r="G36" s="29">
        <f t="shared" si="11"/>
        <v>-48620.25</v>
      </c>
    </row>
    <row r="37" spans="1:8" x14ac:dyDescent="0.15">
      <c r="A37" t="s">
        <v>36</v>
      </c>
      <c r="C37" s="29">
        <v>-60000</v>
      </c>
      <c r="D37" s="29">
        <f t="shared" ref="D37:G40" si="12">C37*(1+$B$6)</f>
        <v>-63000</v>
      </c>
      <c r="E37" s="29">
        <f t="shared" si="12"/>
        <v>-66150</v>
      </c>
      <c r="F37" s="29">
        <f t="shared" si="12"/>
        <v>-69457.5</v>
      </c>
      <c r="G37" s="29">
        <f t="shared" si="12"/>
        <v>-72930.375</v>
      </c>
    </row>
    <row r="38" spans="1:8" x14ac:dyDescent="0.15">
      <c r="A38" t="s">
        <v>37</v>
      </c>
      <c r="C38" s="29">
        <v>-30000</v>
      </c>
      <c r="D38" s="29">
        <f t="shared" si="12"/>
        <v>-31500</v>
      </c>
      <c r="E38" s="29">
        <f t="shared" si="12"/>
        <v>-33075</v>
      </c>
      <c r="F38" s="29">
        <f t="shared" si="12"/>
        <v>-34728.75</v>
      </c>
      <c r="G38" s="29">
        <f t="shared" si="12"/>
        <v>-36465.1875</v>
      </c>
    </row>
    <row r="39" spans="1:8" x14ac:dyDescent="0.15">
      <c r="A39" t="s">
        <v>38</v>
      </c>
      <c r="C39" s="29">
        <v>-20000</v>
      </c>
      <c r="D39" s="29">
        <f t="shared" si="12"/>
        <v>-21000</v>
      </c>
      <c r="E39" s="29">
        <f t="shared" si="12"/>
        <v>-22050</v>
      </c>
      <c r="F39" s="29">
        <f t="shared" si="12"/>
        <v>-23152.5</v>
      </c>
      <c r="G39" s="29">
        <f t="shared" si="12"/>
        <v>-24310.125</v>
      </c>
    </row>
    <row r="40" spans="1:8" x14ac:dyDescent="0.15">
      <c r="A40" t="s">
        <v>39</v>
      </c>
      <c r="C40" s="30">
        <v>-8000</v>
      </c>
      <c r="D40" s="29">
        <f t="shared" si="12"/>
        <v>-8400</v>
      </c>
      <c r="E40" s="29">
        <f t="shared" si="12"/>
        <v>-8820</v>
      </c>
      <c r="F40" s="29">
        <f t="shared" si="12"/>
        <v>-9261</v>
      </c>
      <c r="G40" s="29">
        <f t="shared" si="12"/>
        <v>-9724.0500000000011</v>
      </c>
    </row>
    <row r="41" spans="1:8" x14ac:dyDescent="0.15">
      <c r="A41" t="s">
        <v>40</v>
      </c>
      <c r="C41" s="13">
        <f>SUM(C36:C40)</f>
        <v>-158000</v>
      </c>
      <c r="D41" s="13">
        <f t="shared" ref="D41:G41" si="13">SUM(D36:D40)</f>
        <v>-165900</v>
      </c>
      <c r="E41" s="13">
        <f t="shared" si="13"/>
        <v>-174195</v>
      </c>
      <c r="F41" s="13">
        <f t="shared" si="13"/>
        <v>-182904.75</v>
      </c>
      <c r="G41" s="13">
        <f t="shared" si="13"/>
        <v>-192049.98749999999</v>
      </c>
    </row>
    <row r="42" spans="1:8" x14ac:dyDescent="0.15">
      <c r="A42" t="s">
        <v>41</v>
      </c>
      <c r="C42" s="15">
        <f>$B$18*C12</f>
        <v>-21000</v>
      </c>
      <c r="D42" s="15">
        <f t="shared" ref="D42:G42" si="14">$B$18*D12</f>
        <v>-33600</v>
      </c>
      <c r="E42" s="15">
        <f t="shared" si="14"/>
        <v>-20160</v>
      </c>
      <c r="F42" s="15">
        <f t="shared" si="14"/>
        <v>-12096</v>
      </c>
      <c r="G42" s="15">
        <f t="shared" si="14"/>
        <v>-12096</v>
      </c>
    </row>
    <row r="43" spans="1:8" x14ac:dyDescent="0.15">
      <c r="A43" t="s">
        <v>42</v>
      </c>
      <c r="C43" s="13">
        <f>SUM(C41:C42)</f>
        <v>-179000</v>
      </c>
      <c r="D43" s="13">
        <f t="shared" ref="D43:G43" si="15">SUM(D41:D42)</f>
        <v>-199500</v>
      </c>
      <c r="E43" s="13">
        <f t="shared" si="15"/>
        <v>-194355</v>
      </c>
      <c r="F43" s="13">
        <f t="shared" si="15"/>
        <v>-195000.75</v>
      </c>
      <c r="G43" s="13">
        <f t="shared" si="15"/>
        <v>-204145.98749999999</v>
      </c>
    </row>
    <row r="44" spans="1:8" x14ac:dyDescent="0.15">
      <c r="A44" t="s">
        <v>43</v>
      </c>
      <c r="C44" s="13">
        <f>SUM(C35,C43)</f>
        <v>39144.008445548592</v>
      </c>
      <c r="D44" s="13">
        <f t="shared" ref="D44:G44" si="16">SUM(D35,D43)</f>
        <v>24875.837373487913</v>
      </c>
      <c r="E44" s="13">
        <f t="shared" si="16"/>
        <v>36433.375342219311</v>
      </c>
      <c r="F44" s="13">
        <f t="shared" si="16"/>
        <v>42378.219375046436</v>
      </c>
      <c r="G44" s="13">
        <f t="shared" si="16"/>
        <v>40019.096374246554</v>
      </c>
    </row>
    <row r="45" spans="1:8" x14ac:dyDescent="0.15">
      <c r="A45" t="s">
        <v>44</v>
      </c>
      <c r="C45" s="15">
        <f>-C44*$B$8</f>
        <v>-9786.002111387148</v>
      </c>
      <c r="D45" s="15">
        <f t="shared" ref="D45:G45" si="17">-D44*$B$8</f>
        <v>-6218.9593433719783</v>
      </c>
      <c r="E45" s="15">
        <f t="shared" si="17"/>
        <v>-9108.3438355548278</v>
      </c>
      <c r="F45" s="15">
        <f t="shared" si="17"/>
        <v>-10594.554843761609</v>
      </c>
      <c r="G45" s="15">
        <f t="shared" si="17"/>
        <v>-10004.774093561638</v>
      </c>
      <c r="H45" s="17"/>
    </row>
    <row r="46" spans="1:8" x14ac:dyDescent="0.15">
      <c r="A46" t="s">
        <v>45</v>
      </c>
      <c r="C46" s="13">
        <f>SUM(C44:C45)</f>
        <v>29358.006334161444</v>
      </c>
      <c r="D46" s="13">
        <f t="shared" ref="D46:G46" si="18">SUM(D44:D45)</f>
        <v>18656.878030115935</v>
      </c>
      <c r="E46" s="13">
        <f t="shared" si="18"/>
        <v>27325.031506664483</v>
      </c>
      <c r="F46" s="13">
        <f t="shared" si="18"/>
        <v>31783.664531284827</v>
      </c>
      <c r="G46" s="13">
        <f t="shared" si="18"/>
        <v>30014.322280684915</v>
      </c>
    </row>
    <row r="47" spans="1:8" x14ac:dyDescent="0.15">
      <c r="A47" t="s">
        <v>46</v>
      </c>
      <c r="C47" s="15">
        <f>ABS(C42)</f>
        <v>21000</v>
      </c>
      <c r="D47" s="15">
        <f t="shared" ref="D47:G47" si="19">ABS(D42)</f>
        <v>33600</v>
      </c>
      <c r="E47" s="15">
        <f t="shared" si="19"/>
        <v>20160</v>
      </c>
      <c r="F47" s="15">
        <f t="shared" si="19"/>
        <v>12096</v>
      </c>
      <c r="G47" s="15">
        <f t="shared" si="19"/>
        <v>12096</v>
      </c>
    </row>
    <row r="48" spans="1:8" x14ac:dyDescent="0.15">
      <c r="A48" t="s">
        <v>47</v>
      </c>
      <c r="C48" s="13">
        <f>SUM(C46:C47)</f>
        <v>50358.006334161444</v>
      </c>
      <c r="D48" s="13">
        <f t="shared" ref="D48:G48" si="20">SUM(D46:D47)</f>
        <v>52256.878030115935</v>
      </c>
      <c r="E48" s="13">
        <f t="shared" si="20"/>
        <v>47485.031506664483</v>
      </c>
      <c r="F48" s="13">
        <f t="shared" si="20"/>
        <v>43879.664531284827</v>
      </c>
      <c r="G48" s="13">
        <f t="shared" si="20"/>
        <v>42110.322280684915</v>
      </c>
    </row>
    <row r="49" spans="1:7" x14ac:dyDescent="0.15">
      <c r="C49" s="21"/>
      <c r="D49" s="21"/>
      <c r="E49" s="21"/>
      <c r="F49" s="21"/>
      <c r="G49" s="21"/>
    </row>
    <row r="50" spans="1:7" x14ac:dyDescent="0.15">
      <c r="A50" t="s">
        <v>48</v>
      </c>
      <c r="B50" s="13">
        <f>B22+B48</f>
        <v>-208625.00211138715</v>
      </c>
      <c r="C50" s="13">
        <f t="shared" ref="C50:G50" si="21">C22+C48</f>
        <v>47397.699102176615</v>
      </c>
      <c r="D50" s="13">
        <f t="shared" si="21"/>
        <v>49210.728537933079</v>
      </c>
      <c r="E50" s="13">
        <f t="shared" si="21"/>
        <v>44354.299998457704</v>
      </c>
      <c r="F50" s="13">
        <f t="shared" si="21"/>
        <v>40656.05488773479</v>
      </c>
      <c r="G50" s="13">
        <f t="shared" si="21"/>
        <v>167108.12226799657</v>
      </c>
    </row>
    <row r="51" spans="1:7" x14ac:dyDescent="0.15">
      <c r="A51" t="s">
        <v>49</v>
      </c>
      <c r="C51" s="13">
        <f>C50</f>
        <v>47397.699102176615</v>
      </c>
      <c r="D51" s="13">
        <f>C51+D50</f>
        <v>96608.427640109701</v>
      </c>
      <c r="E51" s="13">
        <f t="shared" ref="E51:G51" si="22">D51+E50</f>
        <v>140962.72763856739</v>
      </c>
      <c r="F51" s="13">
        <f t="shared" si="22"/>
        <v>181618.78252630218</v>
      </c>
      <c r="G51" s="13">
        <f t="shared" si="22"/>
        <v>348726.90479429875</v>
      </c>
    </row>
    <row r="53" spans="1:7" x14ac:dyDescent="0.15">
      <c r="A53" t="s">
        <v>6</v>
      </c>
      <c r="B53" s="13">
        <f>NPV(B7,C50:G50)+B50</f>
        <v>18233.551606625522</v>
      </c>
    </row>
    <row r="54" spans="1:7" x14ac:dyDescent="0.15">
      <c r="A54" t="s">
        <v>7</v>
      </c>
      <c r="B54" s="5">
        <f>IRR(B50:G50)</f>
        <v>0.15871828789289144</v>
      </c>
    </row>
    <row r="55" spans="1:7" x14ac:dyDescent="0.15">
      <c r="A55" t="s">
        <v>50</v>
      </c>
      <c r="B55" s="35">
        <f>F11+(ABS(B50)-F51)/G50</f>
        <v>4.1616092576384425</v>
      </c>
    </row>
  </sheetData>
  <mergeCells count="1">
    <mergeCell ref="A1:G1"/>
  </mergeCells>
  <phoneticPr fontId="4" type="noConversion"/>
  <printOptions headings="1"/>
  <pageMargins left="0.75" right="0.75" top="1" bottom="1" header="0.5" footer="0.5"/>
  <pageSetup scale="90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H55"/>
  <sheetViews>
    <sheetView zoomScale="80" zoomScaleNormal="80" zoomScalePageLayoutView="130" workbookViewId="0">
      <selection activeCell="A2" sqref="A2"/>
    </sheetView>
  </sheetViews>
  <sheetFormatPr baseColWidth="10" defaultColWidth="8.83203125" defaultRowHeight="13" x14ac:dyDescent="0.15"/>
  <cols>
    <col min="1" max="1" width="28.33203125" customWidth="1"/>
    <col min="2" max="8" width="10" customWidth="1"/>
    <col min="9" max="9" width="29.6640625" customWidth="1"/>
    <col min="10" max="10" width="17.5" bestFit="1" customWidth="1"/>
    <col min="11" max="11" width="22" bestFit="1" customWidth="1"/>
    <col min="12" max="12" width="17.5" bestFit="1" customWidth="1"/>
    <col min="13" max="13" width="35.33203125" bestFit="1" customWidth="1"/>
    <col min="14" max="14" width="17.5" bestFit="1" customWidth="1"/>
    <col min="15" max="15" width="22" bestFit="1" customWidth="1"/>
    <col min="16" max="16" width="17.5" bestFit="1" customWidth="1"/>
    <col min="17" max="17" width="20.5" bestFit="1" customWidth="1"/>
    <col min="18" max="18" width="17.5" bestFit="1" customWidth="1"/>
    <col min="19" max="19" width="22" bestFit="1" customWidth="1"/>
    <col min="20" max="20" width="17.5" bestFit="1" customWidth="1"/>
    <col min="23" max="23" width="14.33203125" bestFit="1" customWidth="1"/>
    <col min="24" max="24" width="17.5" bestFit="1" customWidth="1"/>
    <col min="25" max="25" width="22" bestFit="1" customWidth="1"/>
    <col min="26" max="26" width="17.5" bestFit="1" customWidth="1"/>
  </cols>
  <sheetData>
    <row r="1" spans="1:8" x14ac:dyDescent="0.15">
      <c r="A1" s="43" t="s">
        <v>52</v>
      </c>
      <c r="B1" s="43"/>
      <c r="C1" s="43"/>
      <c r="D1" s="43"/>
      <c r="E1" s="43"/>
      <c r="F1" s="43"/>
      <c r="G1" s="43"/>
    </row>
    <row r="3" spans="1:8" x14ac:dyDescent="0.15">
      <c r="A3" s="2" t="s">
        <v>4</v>
      </c>
    </row>
    <row r="4" spans="1:8" x14ac:dyDescent="0.15">
      <c r="A4" t="s">
        <v>10</v>
      </c>
      <c r="B4" s="4">
        <v>0.08</v>
      </c>
      <c r="C4" s="5"/>
      <c r="D4" s="5"/>
      <c r="E4" s="5"/>
      <c r="F4" s="5"/>
      <c r="G4" s="5"/>
    </row>
    <row r="5" spans="1:8" x14ac:dyDescent="0.15">
      <c r="A5" t="s">
        <v>8</v>
      </c>
      <c r="B5" s="42">
        <v>-9.9622134808535993E-3</v>
      </c>
      <c r="C5" s="5"/>
      <c r="D5" s="5"/>
      <c r="E5" s="5"/>
      <c r="F5" s="5"/>
      <c r="G5" s="5"/>
    </row>
    <row r="6" spans="1:8" x14ac:dyDescent="0.15">
      <c r="A6" t="s">
        <v>11</v>
      </c>
      <c r="B6" s="4">
        <v>0.05</v>
      </c>
      <c r="C6" s="5"/>
      <c r="D6" s="5"/>
      <c r="E6" s="5"/>
      <c r="F6" s="5"/>
      <c r="G6" s="5"/>
    </row>
    <row r="7" spans="1:8" x14ac:dyDescent="0.15">
      <c r="A7" s="9" t="s">
        <v>9</v>
      </c>
      <c r="B7" s="4">
        <v>0.13</v>
      </c>
    </row>
    <row r="8" spans="1:8" x14ac:dyDescent="0.15">
      <c r="A8" s="10" t="s">
        <v>12</v>
      </c>
      <c r="B8" s="4">
        <v>0.25</v>
      </c>
    </row>
    <row r="10" spans="1:8" x14ac:dyDescent="0.15">
      <c r="B10" s="11" t="s">
        <v>13</v>
      </c>
      <c r="C10" s="11"/>
      <c r="D10" s="11"/>
      <c r="E10" s="11"/>
      <c r="F10" s="11"/>
      <c r="G10" s="11"/>
      <c r="H10" s="11"/>
    </row>
    <row r="11" spans="1:8" x14ac:dyDescent="0.15">
      <c r="B11" s="11">
        <v>0</v>
      </c>
      <c r="C11" s="11">
        <v>1</v>
      </c>
      <c r="D11" s="11">
        <v>2</v>
      </c>
      <c r="E11" s="11">
        <v>3</v>
      </c>
      <c r="F11" s="11">
        <v>4</v>
      </c>
      <c r="G11" s="11">
        <v>5</v>
      </c>
      <c r="H11" s="11">
        <v>6</v>
      </c>
    </row>
    <row r="12" spans="1:8" x14ac:dyDescent="0.15">
      <c r="A12" t="s">
        <v>14</v>
      </c>
      <c r="C12" s="28">
        <v>0.2</v>
      </c>
      <c r="D12" s="28">
        <v>0.32</v>
      </c>
      <c r="E12" s="28">
        <v>0.192</v>
      </c>
      <c r="F12" s="28">
        <v>0.1152</v>
      </c>
      <c r="G12" s="28">
        <v>0.1152</v>
      </c>
      <c r="H12" s="28">
        <v>5.7599999999999998E-2</v>
      </c>
    </row>
    <row r="13" spans="1:8" x14ac:dyDescent="0.15">
      <c r="C13" s="5"/>
      <c r="D13" s="5"/>
      <c r="E13" s="5"/>
      <c r="F13" s="5"/>
      <c r="G13" s="5"/>
      <c r="H13" s="5"/>
    </row>
    <row r="14" spans="1:8" x14ac:dyDescent="0.15">
      <c r="A14" s="12" t="s">
        <v>15</v>
      </c>
      <c r="H14" s="5"/>
    </row>
    <row r="15" spans="1:8" x14ac:dyDescent="0.15">
      <c r="A15" t="s">
        <v>16</v>
      </c>
      <c r="B15" s="29">
        <v>-100000</v>
      </c>
    </row>
    <row r="16" spans="1:8" x14ac:dyDescent="0.15">
      <c r="A16" t="s">
        <v>17</v>
      </c>
      <c r="B16" s="29">
        <v>-3000</v>
      </c>
    </row>
    <row r="17" spans="1:8" x14ac:dyDescent="0.15">
      <c r="A17" t="s">
        <v>18</v>
      </c>
      <c r="B17" s="30">
        <v>-2000</v>
      </c>
    </row>
    <row r="18" spans="1:8" x14ac:dyDescent="0.15">
      <c r="A18" t="s">
        <v>19</v>
      </c>
      <c r="B18" s="13">
        <f>SUM(B15:B17)</f>
        <v>-105000</v>
      </c>
    </row>
    <row r="19" spans="1:8" x14ac:dyDescent="0.15">
      <c r="A19" t="s">
        <v>20</v>
      </c>
      <c r="B19" s="13">
        <f>-(C33*25%)</f>
        <v>-87500</v>
      </c>
      <c r="C19" s="13">
        <f>-(D33-C33)*25%</f>
        <v>-7949.5429983109061</v>
      </c>
      <c r="D19" s="13">
        <f t="shared" ref="D19:G19" si="0">-(E33-D33)*25%</f>
        <v>-8674.4279959857959</v>
      </c>
      <c r="E19" s="13">
        <f t="shared" si="0"/>
        <v>-9460.1061151532485</v>
      </c>
      <c r="F19" s="13">
        <f t="shared" si="0"/>
        <v>-10322.905721878924</v>
      </c>
      <c r="G19" s="13">
        <f t="shared" si="0"/>
        <v>123906.98283132887</v>
      </c>
    </row>
    <row r="20" spans="1:8" x14ac:dyDescent="0.15">
      <c r="A20" t="s">
        <v>21</v>
      </c>
      <c r="G20" s="13">
        <f>10%*ABS(B15)</f>
        <v>10000</v>
      </c>
    </row>
    <row r="21" spans="1:8" x14ac:dyDescent="0.15">
      <c r="A21" t="s">
        <v>22</v>
      </c>
      <c r="B21" s="16"/>
      <c r="C21" s="16"/>
      <c r="D21" s="16"/>
      <c r="E21" s="16"/>
      <c r="F21" s="16"/>
      <c r="G21" s="34">
        <f>-(G20-ABS(B18)*H12)*B8</f>
        <v>-988</v>
      </c>
    </row>
    <row r="22" spans="1:8" x14ac:dyDescent="0.15">
      <c r="A22" t="s">
        <v>23</v>
      </c>
      <c r="B22" s="13">
        <f>SUM(B18:B21)</f>
        <v>-192500</v>
      </c>
      <c r="C22" s="13">
        <f t="shared" ref="C22:G22" si="1">SUM(C18:C21)</f>
        <v>-7949.5429983109061</v>
      </c>
      <c r="D22" s="13">
        <f t="shared" si="1"/>
        <v>-8674.4279959857959</v>
      </c>
      <c r="E22" s="13">
        <f t="shared" si="1"/>
        <v>-9460.1061151532485</v>
      </c>
      <c r="F22" s="13">
        <f t="shared" si="1"/>
        <v>-10322.905721878924</v>
      </c>
      <c r="G22" s="13">
        <f t="shared" si="1"/>
        <v>132918.98283132887</v>
      </c>
      <c r="H22" s="17"/>
    </row>
    <row r="24" spans="1:8" x14ac:dyDescent="0.15">
      <c r="A24" t="s">
        <v>24</v>
      </c>
      <c r="C24" s="31">
        <v>3500000</v>
      </c>
      <c r="D24" s="18">
        <f>INT(C24*(1+$B$4))</f>
        <v>3780000</v>
      </c>
      <c r="E24" s="18">
        <f>INT(D24*(1+$B$4))</f>
        <v>4082400</v>
      </c>
      <c r="F24" s="18">
        <f t="shared" ref="F24:G24" si="2">INT(E24*(1+$B$4))</f>
        <v>4408992</v>
      </c>
      <c r="G24" s="18">
        <f t="shared" si="2"/>
        <v>4761711</v>
      </c>
      <c r="H24" s="19"/>
    </row>
    <row r="25" spans="1:8" x14ac:dyDescent="0.15">
      <c r="A25" t="s">
        <v>25</v>
      </c>
      <c r="C25" s="18">
        <f>INT(C24/C26^2)</f>
        <v>35000</v>
      </c>
      <c r="D25" s="18">
        <f t="shared" ref="D25:G25" si="3">INT(D24/D26^2)</f>
        <v>38564</v>
      </c>
      <c r="E25" s="18">
        <f t="shared" si="3"/>
        <v>42492</v>
      </c>
      <c r="F25" s="18">
        <f t="shared" si="3"/>
        <v>46819</v>
      </c>
      <c r="G25" s="18">
        <f t="shared" si="3"/>
        <v>51588</v>
      </c>
    </row>
    <row r="26" spans="1:8" x14ac:dyDescent="0.15">
      <c r="A26" t="s">
        <v>26</v>
      </c>
      <c r="C26" s="32">
        <v>10</v>
      </c>
      <c r="D26" s="32">
        <f>(C26*(1+$B$5))</f>
        <v>9.900377865191464</v>
      </c>
      <c r="E26" s="32">
        <f t="shared" ref="E26:G26" si="4">(D26*(1+$B$5))</f>
        <v>9.80174818735731</v>
      </c>
      <c r="F26" s="32">
        <f t="shared" si="4"/>
        <v>9.7041010794292877</v>
      </c>
      <c r="G26" s="32">
        <f t="shared" si="4"/>
        <v>9.6074267528362309</v>
      </c>
    </row>
    <row r="27" spans="1:8" x14ac:dyDescent="0.15">
      <c r="A27" t="s">
        <v>27</v>
      </c>
      <c r="C27" s="20"/>
      <c r="D27" s="21"/>
      <c r="E27" s="21"/>
      <c r="F27" s="21"/>
      <c r="G27" s="21"/>
    </row>
    <row r="28" spans="1:8" x14ac:dyDescent="0.15">
      <c r="A28" s="22" t="s">
        <v>28</v>
      </c>
      <c r="C28" s="32">
        <v>2</v>
      </c>
      <c r="D28" s="20">
        <f>C28*(1+$B$6)</f>
        <v>2.1</v>
      </c>
      <c r="E28" s="20">
        <f t="shared" ref="E28:G28" si="5">D28*(1+$B$6)</f>
        <v>2.2050000000000001</v>
      </c>
      <c r="F28" s="20">
        <f t="shared" si="5"/>
        <v>2.3152500000000003</v>
      </c>
      <c r="G28" s="20">
        <f t="shared" si="5"/>
        <v>2.4310125000000005</v>
      </c>
    </row>
    <row r="29" spans="1:8" x14ac:dyDescent="0.15">
      <c r="A29" s="22" t="s">
        <v>29</v>
      </c>
      <c r="C29" s="32">
        <v>1.5</v>
      </c>
      <c r="D29" s="20">
        <f t="shared" ref="D29:G30" si="6">C29*(1+$B$6)</f>
        <v>1.5750000000000002</v>
      </c>
      <c r="E29" s="20">
        <f t="shared" si="6"/>
        <v>1.6537500000000003</v>
      </c>
      <c r="F29" s="20">
        <f t="shared" si="6"/>
        <v>1.7364375000000003</v>
      </c>
      <c r="G29" s="20">
        <f t="shared" si="6"/>
        <v>1.8232593750000003</v>
      </c>
    </row>
    <row r="30" spans="1:8" x14ac:dyDescent="0.15">
      <c r="A30" s="22" t="s">
        <v>30</v>
      </c>
      <c r="C30" s="33">
        <v>0.5</v>
      </c>
      <c r="D30" s="23">
        <f t="shared" si="6"/>
        <v>0.52500000000000002</v>
      </c>
      <c r="E30" s="23">
        <f t="shared" si="6"/>
        <v>0.55125000000000002</v>
      </c>
      <c r="F30" s="23">
        <f t="shared" si="6"/>
        <v>0.57881250000000006</v>
      </c>
      <c r="G30" s="23">
        <f t="shared" si="6"/>
        <v>0.60775312500000012</v>
      </c>
    </row>
    <row r="31" spans="1:8" x14ac:dyDescent="0.15">
      <c r="A31" s="24" t="s">
        <v>31</v>
      </c>
      <c r="C31" s="20">
        <f>SUM(C28:C30)</f>
        <v>4</v>
      </c>
      <c r="D31" s="20">
        <f>SUM(D28:D30)</f>
        <v>4.2</v>
      </c>
      <c r="E31" s="20">
        <f t="shared" ref="E31:G31" si="7">SUM(E28:E30)</f>
        <v>4.41</v>
      </c>
      <c r="F31" s="20">
        <f t="shared" si="7"/>
        <v>4.6305000000000005</v>
      </c>
      <c r="G31" s="20">
        <f t="shared" si="7"/>
        <v>4.8620250000000009</v>
      </c>
    </row>
    <row r="32" spans="1:8" x14ac:dyDescent="0.15">
      <c r="D32" s="21"/>
      <c r="E32" s="21"/>
      <c r="F32" s="21"/>
      <c r="G32" s="21"/>
    </row>
    <row r="33" spans="1:8" x14ac:dyDescent="0.15">
      <c r="A33" t="s">
        <v>32</v>
      </c>
      <c r="C33" s="13">
        <f>C25*C26</f>
        <v>350000</v>
      </c>
      <c r="D33" s="13">
        <f t="shared" ref="D33:G33" si="8">D25*D26</f>
        <v>381798.17199324362</v>
      </c>
      <c r="E33" s="13">
        <f t="shared" si="8"/>
        <v>416495.88397718681</v>
      </c>
      <c r="F33" s="13">
        <f t="shared" si="8"/>
        <v>454336.3084377998</v>
      </c>
      <c r="G33" s="13">
        <f t="shared" si="8"/>
        <v>495627.9313253155</v>
      </c>
    </row>
    <row r="34" spans="1:8" x14ac:dyDescent="0.15">
      <c r="A34" t="s">
        <v>33</v>
      </c>
      <c r="C34" s="15">
        <f>-C25*C31</f>
        <v>-140000</v>
      </c>
      <c r="D34" s="15">
        <f t="shared" ref="D34:G34" si="9">-D25*D31</f>
        <v>-161968.80000000002</v>
      </c>
      <c r="E34" s="15">
        <f t="shared" si="9"/>
        <v>-187389.72</v>
      </c>
      <c r="F34" s="15">
        <f t="shared" si="9"/>
        <v>-216795.37950000001</v>
      </c>
      <c r="G34" s="15">
        <f t="shared" si="9"/>
        <v>-250822.14570000005</v>
      </c>
    </row>
    <row r="35" spans="1:8" x14ac:dyDescent="0.15">
      <c r="A35" t="s">
        <v>34</v>
      </c>
      <c r="C35" s="13">
        <f>SUM(C33:C34)</f>
        <v>210000</v>
      </c>
      <c r="D35" s="13">
        <f t="shared" ref="D35:G35" si="10">SUM(D33:D34)</f>
        <v>219829.37199324361</v>
      </c>
      <c r="E35" s="13">
        <f t="shared" si="10"/>
        <v>229106.16397718681</v>
      </c>
      <c r="F35" s="13">
        <f t="shared" si="10"/>
        <v>237540.92893779979</v>
      </c>
      <c r="G35" s="13">
        <f t="shared" si="10"/>
        <v>244805.78562531545</v>
      </c>
    </row>
    <row r="36" spans="1:8" x14ac:dyDescent="0.15">
      <c r="A36" t="s">
        <v>35</v>
      </c>
      <c r="C36" s="29">
        <v>-40000</v>
      </c>
      <c r="D36" s="29">
        <f>C36*(1+$B$6)</f>
        <v>-42000</v>
      </c>
      <c r="E36" s="29">
        <f t="shared" ref="E36:G36" si="11">D36*(1+$B$6)</f>
        <v>-44100</v>
      </c>
      <c r="F36" s="29">
        <f t="shared" si="11"/>
        <v>-46305</v>
      </c>
      <c r="G36" s="29">
        <f t="shared" si="11"/>
        <v>-48620.25</v>
      </c>
    </row>
    <row r="37" spans="1:8" x14ac:dyDescent="0.15">
      <c r="A37" t="s">
        <v>36</v>
      </c>
      <c r="C37" s="29">
        <v>-60000</v>
      </c>
      <c r="D37" s="29">
        <f t="shared" ref="D37:G40" si="12">C37*(1+$B$6)</f>
        <v>-63000</v>
      </c>
      <c r="E37" s="29">
        <f t="shared" si="12"/>
        <v>-66150</v>
      </c>
      <c r="F37" s="29">
        <f t="shared" si="12"/>
        <v>-69457.5</v>
      </c>
      <c r="G37" s="29">
        <f t="shared" si="12"/>
        <v>-72930.375</v>
      </c>
    </row>
    <row r="38" spans="1:8" x14ac:dyDescent="0.15">
      <c r="A38" t="s">
        <v>37</v>
      </c>
      <c r="C38" s="29">
        <v>-30000</v>
      </c>
      <c r="D38" s="29">
        <f t="shared" si="12"/>
        <v>-31500</v>
      </c>
      <c r="E38" s="29">
        <f t="shared" si="12"/>
        <v>-33075</v>
      </c>
      <c r="F38" s="29">
        <f t="shared" si="12"/>
        <v>-34728.75</v>
      </c>
      <c r="G38" s="29">
        <f t="shared" si="12"/>
        <v>-36465.1875</v>
      </c>
    </row>
    <row r="39" spans="1:8" x14ac:dyDescent="0.15">
      <c r="A39" t="s">
        <v>38</v>
      </c>
      <c r="C39" s="29">
        <v>-20000</v>
      </c>
      <c r="D39" s="29">
        <f t="shared" si="12"/>
        <v>-21000</v>
      </c>
      <c r="E39" s="29">
        <f t="shared" si="12"/>
        <v>-22050</v>
      </c>
      <c r="F39" s="29">
        <f t="shared" si="12"/>
        <v>-23152.5</v>
      </c>
      <c r="G39" s="29">
        <f t="shared" si="12"/>
        <v>-24310.125</v>
      </c>
    </row>
    <row r="40" spans="1:8" x14ac:dyDescent="0.15">
      <c r="A40" t="s">
        <v>39</v>
      </c>
      <c r="C40" s="30">
        <v>-8000</v>
      </c>
      <c r="D40" s="29">
        <f t="shared" si="12"/>
        <v>-8400</v>
      </c>
      <c r="E40" s="29">
        <f t="shared" si="12"/>
        <v>-8820</v>
      </c>
      <c r="F40" s="29">
        <f t="shared" si="12"/>
        <v>-9261</v>
      </c>
      <c r="G40" s="29">
        <f t="shared" si="12"/>
        <v>-9724.0500000000011</v>
      </c>
    </row>
    <row r="41" spans="1:8" x14ac:dyDescent="0.15">
      <c r="A41" t="s">
        <v>40</v>
      </c>
      <c r="C41" s="13">
        <f>SUM(C36:C40)</f>
        <v>-158000</v>
      </c>
      <c r="D41" s="13">
        <f t="shared" ref="D41:G41" si="13">SUM(D36:D40)</f>
        <v>-165900</v>
      </c>
      <c r="E41" s="13">
        <f t="shared" si="13"/>
        <v>-174195</v>
      </c>
      <c r="F41" s="13">
        <f t="shared" si="13"/>
        <v>-182904.75</v>
      </c>
      <c r="G41" s="13">
        <f t="shared" si="13"/>
        <v>-192049.98749999999</v>
      </c>
    </row>
    <row r="42" spans="1:8" x14ac:dyDescent="0.15">
      <c r="A42" t="s">
        <v>41</v>
      </c>
      <c r="C42" s="15">
        <f>$B$18*C12</f>
        <v>-21000</v>
      </c>
      <c r="D42" s="15">
        <f t="shared" ref="D42:G42" si="14">$B$18*D12</f>
        <v>-33600</v>
      </c>
      <c r="E42" s="15">
        <f t="shared" si="14"/>
        <v>-20160</v>
      </c>
      <c r="F42" s="15">
        <f t="shared" si="14"/>
        <v>-12096</v>
      </c>
      <c r="G42" s="15">
        <f t="shared" si="14"/>
        <v>-12096</v>
      </c>
    </row>
    <row r="43" spans="1:8" x14ac:dyDescent="0.15">
      <c r="A43" t="s">
        <v>42</v>
      </c>
      <c r="C43" s="13">
        <f>SUM(C41:C42)</f>
        <v>-179000</v>
      </c>
      <c r="D43" s="13">
        <f t="shared" ref="D43:G43" si="15">SUM(D41:D42)</f>
        <v>-199500</v>
      </c>
      <c r="E43" s="13">
        <f t="shared" si="15"/>
        <v>-194355</v>
      </c>
      <c r="F43" s="13">
        <f t="shared" si="15"/>
        <v>-195000.75</v>
      </c>
      <c r="G43" s="13">
        <f t="shared" si="15"/>
        <v>-204145.98749999999</v>
      </c>
    </row>
    <row r="44" spans="1:8" x14ac:dyDescent="0.15">
      <c r="A44" t="s">
        <v>43</v>
      </c>
      <c r="C44" s="13">
        <f>SUM(C35,C43)</f>
        <v>31000</v>
      </c>
      <c r="D44" s="13">
        <f t="shared" ref="D44:G44" si="16">SUM(D35,D43)</f>
        <v>20329.371993243607</v>
      </c>
      <c r="E44" s="13">
        <f t="shared" si="16"/>
        <v>34751.163977186807</v>
      </c>
      <c r="F44" s="13">
        <f t="shared" si="16"/>
        <v>42540.178937799792</v>
      </c>
      <c r="G44" s="13">
        <f t="shared" si="16"/>
        <v>40659.798125315458</v>
      </c>
    </row>
    <row r="45" spans="1:8" x14ac:dyDescent="0.15">
      <c r="A45" t="s">
        <v>44</v>
      </c>
      <c r="C45" s="15">
        <f>-C44*$B$8</f>
        <v>-7750</v>
      </c>
      <c r="D45" s="15">
        <f t="shared" ref="D45:G45" si="17">-D44*$B$8</f>
        <v>-5082.3429983109017</v>
      </c>
      <c r="E45" s="15">
        <f t="shared" si="17"/>
        <v>-8687.7909942967017</v>
      </c>
      <c r="F45" s="15">
        <f t="shared" si="17"/>
        <v>-10635.044734449948</v>
      </c>
      <c r="G45" s="15">
        <f t="shared" si="17"/>
        <v>-10164.949531328864</v>
      </c>
      <c r="H45" s="17"/>
    </row>
    <row r="46" spans="1:8" x14ac:dyDescent="0.15">
      <c r="A46" t="s">
        <v>45</v>
      </c>
      <c r="C46" s="13">
        <f>SUM(C44:C45)</f>
        <v>23250</v>
      </c>
      <c r="D46" s="13">
        <f t="shared" ref="D46:G46" si="18">SUM(D44:D45)</f>
        <v>15247.028994932705</v>
      </c>
      <c r="E46" s="13">
        <f t="shared" si="18"/>
        <v>26063.372982890105</v>
      </c>
      <c r="F46" s="13">
        <f t="shared" si="18"/>
        <v>31905.134203349844</v>
      </c>
      <c r="G46" s="13">
        <f t="shared" si="18"/>
        <v>30494.848593986593</v>
      </c>
    </row>
    <row r="47" spans="1:8" x14ac:dyDescent="0.15">
      <c r="A47" t="s">
        <v>46</v>
      </c>
      <c r="C47" s="15">
        <f>ABS(C42)</f>
        <v>21000</v>
      </c>
      <c r="D47" s="15">
        <f t="shared" ref="D47:G47" si="19">ABS(D42)</f>
        <v>33600</v>
      </c>
      <c r="E47" s="15">
        <f t="shared" si="19"/>
        <v>20160</v>
      </c>
      <c r="F47" s="15">
        <f t="shared" si="19"/>
        <v>12096</v>
      </c>
      <c r="G47" s="15">
        <f t="shared" si="19"/>
        <v>12096</v>
      </c>
    </row>
    <row r="48" spans="1:8" x14ac:dyDescent="0.15">
      <c r="A48" t="s">
        <v>47</v>
      </c>
      <c r="C48" s="13">
        <f>SUM(C46:C47)</f>
        <v>44250</v>
      </c>
      <c r="D48" s="13">
        <f t="shared" ref="D48:G48" si="20">SUM(D46:D47)</f>
        <v>48847.028994932705</v>
      </c>
      <c r="E48" s="13">
        <f t="shared" si="20"/>
        <v>46223.372982890105</v>
      </c>
      <c r="F48" s="13">
        <f t="shared" si="20"/>
        <v>44001.134203349844</v>
      </c>
      <c r="G48" s="13">
        <f t="shared" si="20"/>
        <v>42590.848593986593</v>
      </c>
    </row>
    <row r="49" spans="1:7" x14ac:dyDescent="0.15">
      <c r="C49" s="21"/>
      <c r="D49" s="21"/>
      <c r="E49" s="21"/>
      <c r="F49" s="21"/>
      <c r="G49" s="21"/>
    </row>
    <row r="50" spans="1:7" x14ac:dyDescent="0.15">
      <c r="A50" t="s">
        <v>48</v>
      </c>
      <c r="B50" s="13">
        <f>B22+B48</f>
        <v>-192500</v>
      </c>
      <c r="C50" s="13">
        <f t="shared" ref="C50:G50" si="21">C22+C48</f>
        <v>36300.457001689094</v>
      </c>
      <c r="D50" s="13">
        <f t="shared" si="21"/>
        <v>40172.600998946909</v>
      </c>
      <c r="E50" s="13">
        <f t="shared" si="21"/>
        <v>36763.266867736857</v>
      </c>
      <c r="F50" s="13">
        <f t="shared" si="21"/>
        <v>33678.22848147092</v>
      </c>
      <c r="G50" s="13">
        <f t="shared" si="21"/>
        <v>175509.83142531547</v>
      </c>
    </row>
    <row r="51" spans="1:7" x14ac:dyDescent="0.15">
      <c r="A51" t="s">
        <v>49</v>
      </c>
      <c r="C51" s="13">
        <f>C50</f>
        <v>36300.457001689094</v>
      </c>
      <c r="D51" s="13">
        <f>C51+D50</f>
        <v>76473.058000635996</v>
      </c>
      <c r="E51" s="13">
        <f t="shared" ref="E51:G51" si="22">D51+E50</f>
        <v>113236.32486837285</v>
      </c>
      <c r="F51" s="13">
        <f t="shared" si="22"/>
        <v>146914.55334984377</v>
      </c>
      <c r="G51" s="13">
        <f t="shared" si="22"/>
        <v>322424.38477515924</v>
      </c>
    </row>
    <row r="53" spans="1:7" x14ac:dyDescent="0.15">
      <c r="A53" t="s">
        <v>6</v>
      </c>
      <c r="B53" s="13">
        <f>NPV(B7,C50:G50)+B50</f>
        <v>12479.318649379973</v>
      </c>
    </row>
    <row r="54" spans="1:7" x14ac:dyDescent="0.15">
      <c r="A54" t="s">
        <v>7</v>
      </c>
      <c r="B54" s="5">
        <f>IRR(B50:G50)</f>
        <v>0.15021947294532012</v>
      </c>
    </row>
    <row r="55" spans="1:7" x14ac:dyDescent="0.15">
      <c r="A55" t="s">
        <v>50</v>
      </c>
      <c r="B55" s="35">
        <f>F11+(ABS(B50)-F51)/G50</f>
        <v>4.2597315847206776</v>
      </c>
    </row>
  </sheetData>
  <mergeCells count="1">
    <mergeCell ref="A1:G1"/>
  </mergeCells>
  <phoneticPr fontId="4" type="noConversion"/>
  <printOptions headings="1"/>
  <pageMargins left="0.75" right="0.75" top="1" bottom="1" header="0.5" footer="0.5"/>
  <pageSetup scale="90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Price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Nance</dc:creator>
  <cp:lastModifiedBy>Justin Nance</cp:lastModifiedBy>
  <dcterms:created xsi:type="dcterms:W3CDTF">2020-11-06T20:38:43Z</dcterms:created>
  <dcterms:modified xsi:type="dcterms:W3CDTF">2022-10-06T17:05:04Z</dcterms:modified>
</cp:coreProperties>
</file>