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ustin_macintosh/Downloads/Excel Repo/"/>
    </mc:Choice>
  </mc:AlternateContent>
  <xr:revisionPtr revIDLastSave="0" documentId="13_ncr:1_{301AAA95-0FF1-CA40-99DC-D65F96C6CBC8}" xr6:coauthVersionLast="36" xr6:coauthVersionMax="36" xr10:uidLastSave="{00000000-0000-0000-0000-000000000000}"/>
  <bookViews>
    <workbookView xWindow="0" yWindow="500" windowWidth="25600" windowHeight="15040" tabRatio="500" xr2:uid="{00000000-000D-0000-FFFF-FFFF00000000}"/>
  </bookViews>
  <sheets>
    <sheet name="AAPL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4" i="1" l="1"/>
  <c r="AA45" i="1" s="1"/>
  <c r="AA46" i="1" s="1"/>
  <c r="AA47" i="1" s="1"/>
  <c r="AA37" i="1"/>
  <c r="AA33" i="1"/>
  <c r="U4" i="1"/>
  <c r="V4" i="1" s="1"/>
  <c r="H5" i="1"/>
  <c r="I5" i="1"/>
  <c r="J5" i="1"/>
  <c r="K5" i="1"/>
  <c r="M5" i="1" s="1"/>
  <c r="H7" i="1"/>
  <c r="I7" i="1"/>
  <c r="J7" i="1"/>
  <c r="K7" i="1"/>
  <c r="M7" i="1"/>
  <c r="T7" i="1" s="1"/>
  <c r="H9" i="1"/>
  <c r="I9" i="1"/>
  <c r="J9" i="1"/>
  <c r="K9" i="1"/>
  <c r="M9" i="1" s="1"/>
  <c r="H11" i="1"/>
  <c r="I11" i="1"/>
  <c r="J11" i="1"/>
  <c r="K11" i="1"/>
  <c r="M11" i="1"/>
  <c r="H34" i="1"/>
  <c r="I34" i="1"/>
  <c r="K34" i="1" s="1"/>
  <c r="M34" i="1" s="1"/>
  <c r="J34" i="1"/>
  <c r="B48" i="1"/>
  <c r="H38" i="1"/>
  <c r="K38" i="1" s="1"/>
  <c r="M38" i="1" s="1"/>
  <c r="C48" i="1"/>
  <c r="I38" i="1"/>
  <c r="D48" i="1"/>
  <c r="J38" i="1" s="1"/>
  <c r="B6" i="1"/>
  <c r="B10" i="1"/>
  <c r="B12" i="1" s="1"/>
  <c r="C6" i="1"/>
  <c r="C10" i="1"/>
  <c r="C12" i="1"/>
  <c r="I13" i="1" s="1"/>
  <c r="D6" i="1"/>
  <c r="D10" i="1"/>
  <c r="D12" i="1" s="1"/>
  <c r="AE5" i="1"/>
  <c r="H23" i="1"/>
  <c r="I23" i="1"/>
  <c r="J23" i="1"/>
  <c r="K23" i="1"/>
  <c r="M23" i="1" s="1"/>
  <c r="H24" i="1"/>
  <c r="K24" i="1" s="1"/>
  <c r="M24" i="1" s="1"/>
  <c r="I24" i="1"/>
  <c r="J24" i="1"/>
  <c r="H25" i="1"/>
  <c r="I25" i="1"/>
  <c r="K25" i="1" s="1"/>
  <c r="M25" i="1" s="1"/>
  <c r="J25" i="1"/>
  <c r="H33" i="1"/>
  <c r="K33" i="1" s="1"/>
  <c r="M33" i="1" s="1"/>
  <c r="I33" i="1"/>
  <c r="J33" i="1"/>
  <c r="H35" i="1"/>
  <c r="I35" i="1"/>
  <c r="K35" i="1" s="1"/>
  <c r="M35" i="1" s="1"/>
  <c r="J35" i="1"/>
  <c r="H36" i="1"/>
  <c r="I36" i="1"/>
  <c r="K36" i="1" s="1"/>
  <c r="M36" i="1" s="1"/>
  <c r="J36" i="1"/>
  <c r="H27" i="1"/>
  <c r="I27" i="1"/>
  <c r="K27" i="1" s="1"/>
  <c r="M27" i="1" s="1"/>
  <c r="J27" i="1"/>
  <c r="AA19" i="1"/>
  <c r="AF15" i="1"/>
  <c r="AF16" i="1"/>
  <c r="AA5" i="1"/>
  <c r="U7" i="1"/>
  <c r="AB5" i="1"/>
  <c r="AC5" i="1"/>
  <c r="AD5" i="1"/>
  <c r="AA26" i="1"/>
  <c r="AA14" i="1"/>
  <c r="AA17" i="1" s="1"/>
  <c r="AA16" i="1"/>
  <c r="AA18" i="1" s="1"/>
  <c r="AF17" i="1"/>
  <c r="H21" i="1"/>
  <c r="I21" i="1"/>
  <c r="J21" i="1"/>
  <c r="K21" i="1" s="1"/>
  <c r="M21" i="1" s="1"/>
  <c r="H39" i="1"/>
  <c r="K39" i="1"/>
  <c r="M39" i="1" s="1"/>
  <c r="H41" i="1"/>
  <c r="K41" i="1" s="1"/>
  <c r="M41" i="1" s="1"/>
  <c r="I41" i="1"/>
  <c r="J41" i="1"/>
  <c r="T43" i="1"/>
  <c r="T44" i="1"/>
  <c r="S7" i="1"/>
  <c r="T46" i="1"/>
  <c r="T47" i="1"/>
  <c r="H28" i="1"/>
  <c r="K28" i="1" s="1"/>
  <c r="M28" i="1" s="1"/>
  <c r="I28" i="1"/>
  <c r="J28" i="1"/>
  <c r="T29" i="1"/>
  <c r="T30" i="1"/>
  <c r="U43" i="1"/>
  <c r="U44" i="1"/>
  <c r="U46" i="1"/>
  <c r="U47" i="1"/>
  <c r="U29" i="1"/>
  <c r="U30" i="1"/>
  <c r="V43" i="1"/>
  <c r="V44" i="1"/>
  <c r="V46" i="1"/>
  <c r="V47" i="1"/>
  <c r="V29" i="1"/>
  <c r="V30" i="1"/>
  <c r="W43" i="1"/>
  <c r="W44" i="1"/>
  <c r="W46" i="1"/>
  <c r="W47" i="1"/>
  <c r="W29" i="1"/>
  <c r="W30" i="1"/>
  <c r="X43" i="1"/>
  <c r="X44" i="1"/>
  <c r="X46" i="1"/>
  <c r="X47" i="1"/>
  <c r="X29" i="1"/>
  <c r="X30" i="1"/>
  <c r="S43" i="1"/>
  <c r="S44" i="1"/>
  <c r="S46" i="1"/>
  <c r="S47" i="1"/>
  <c r="S29" i="1"/>
  <c r="S30" i="1"/>
  <c r="H22" i="1"/>
  <c r="I22" i="1"/>
  <c r="K22" i="1" s="1"/>
  <c r="J22" i="1"/>
  <c r="C37" i="1"/>
  <c r="C42" i="1" s="1"/>
  <c r="C49" i="1" s="1"/>
  <c r="D37" i="1"/>
  <c r="D42" i="1"/>
  <c r="D49" i="1"/>
  <c r="B37" i="1"/>
  <c r="B42" i="1" s="1"/>
  <c r="B49" i="1" s="1"/>
  <c r="C26" i="1"/>
  <c r="C31" i="1"/>
  <c r="D26" i="1"/>
  <c r="D31" i="1"/>
  <c r="B26" i="1"/>
  <c r="B31" i="1" s="1"/>
  <c r="Y54" i="1"/>
  <c r="Y44" i="1"/>
  <c r="Y52" i="1" s="1"/>
  <c r="Y51" i="1"/>
  <c r="Y33" i="1"/>
  <c r="Y41" i="1" s="1"/>
  <c r="Y25" i="1"/>
  <c r="Y26" i="1"/>
  <c r="T3" i="1"/>
  <c r="T20" i="1" s="1"/>
  <c r="U3" i="1"/>
  <c r="V3" i="1" s="1"/>
  <c r="AB21" i="1"/>
  <c r="S20" i="1"/>
  <c r="J20" i="1"/>
  <c r="I20" i="1"/>
  <c r="H20" i="1"/>
  <c r="D20" i="1"/>
  <c r="C20" i="1"/>
  <c r="B20" i="1"/>
  <c r="Y16" i="1"/>
  <c r="Y11" i="1"/>
  <c r="J3" i="1"/>
  <c r="I3" i="1"/>
  <c r="H3" i="1"/>
  <c r="Z1" i="1"/>
  <c r="R1" i="1"/>
  <c r="L1" i="1"/>
  <c r="G1" i="1"/>
  <c r="S21" i="1" l="1"/>
  <c r="T21" i="1"/>
  <c r="U21" i="1"/>
  <c r="Y29" i="1"/>
  <c r="V21" i="1"/>
  <c r="Y28" i="1"/>
  <c r="W21" i="1"/>
  <c r="Y27" i="1"/>
  <c r="T24" i="1"/>
  <c r="U24" i="1"/>
  <c r="S24" i="1"/>
  <c r="V24" i="1"/>
  <c r="U38" i="1"/>
  <c r="T38" i="1"/>
  <c r="V38" i="1"/>
  <c r="S38" i="1"/>
  <c r="Y47" i="1"/>
  <c r="Y46" i="1"/>
  <c r="S36" i="1"/>
  <c r="V36" i="1"/>
  <c r="Y43" i="1"/>
  <c r="T36" i="1"/>
  <c r="U36" i="1"/>
  <c r="B14" i="1"/>
  <c r="B17" i="1" s="1"/>
  <c r="H13" i="1"/>
  <c r="K13" i="1" s="1"/>
  <c r="M13" i="1" s="1"/>
  <c r="U5" i="1"/>
  <c r="U6" i="1" s="1"/>
  <c r="S5" i="1"/>
  <c r="S6" i="1" s="1"/>
  <c r="T5" i="1"/>
  <c r="T6" i="1" s="1"/>
  <c r="W4" i="1"/>
  <c r="W38" i="1" s="1"/>
  <c r="V7" i="1"/>
  <c r="V9" i="1"/>
  <c r="V5" i="1"/>
  <c r="V6" i="1"/>
  <c r="V10" i="1" s="1"/>
  <c r="U27" i="1"/>
  <c r="T27" i="1"/>
  <c r="S27" i="1"/>
  <c r="V27" i="1"/>
  <c r="AC8" i="1" s="1"/>
  <c r="U23" i="1"/>
  <c r="S23" i="1"/>
  <c r="V23" i="1"/>
  <c r="T23" i="1"/>
  <c r="U34" i="1"/>
  <c r="U11" i="1" s="1"/>
  <c r="T34" i="1"/>
  <c r="V34" i="1"/>
  <c r="S34" i="1"/>
  <c r="W25" i="1"/>
  <c r="T25" i="1"/>
  <c r="U25" i="1"/>
  <c r="S25" i="1"/>
  <c r="V25" i="1"/>
  <c r="U28" i="1"/>
  <c r="V28" i="1"/>
  <c r="W28" i="1"/>
  <c r="S28" i="1"/>
  <c r="T28" i="1"/>
  <c r="V41" i="1"/>
  <c r="S41" i="1"/>
  <c r="Y49" i="1"/>
  <c r="T41" i="1"/>
  <c r="U41" i="1"/>
  <c r="AD21" i="1"/>
  <c r="W3" i="1"/>
  <c r="AC3" i="1"/>
  <c r="V20" i="1"/>
  <c r="W39" i="1"/>
  <c r="T39" i="1"/>
  <c r="S39" i="1"/>
  <c r="Y48" i="1"/>
  <c r="U39" i="1"/>
  <c r="V39" i="1"/>
  <c r="W35" i="1"/>
  <c r="V35" i="1"/>
  <c r="T35" i="1"/>
  <c r="U35" i="1"/>
  <c r="S35" i="1"/>
  <c r="J13" i="1"/>
  <c r="D14" i="1"/>
  <c r="D17" i="1" s="1"/>
  <c r="V33" i="1"/>
  <c r="T33" i="1"/>
  <c r="U33" i="1"/>
  <c r="S33" i="1"/>
  <c r="W33" i="1"/>
  <c r="T9" i="1"/>
  <c r="U9" i="1"/>
  <c r="S9" i="1"/>
  <c r="AA3" i="1"/>
  <c r="U20" i="1"/>
  <c r="AB3" i="1"/>
  <c r="AC21" i="1"/>
  <c r="C14" i="1"/>
  <c r="C17" i="1" s="1"/>
  <c r="AE21" i="1" l="1"/>
  <c r="AD3" i="1"/>
  <c r="W20" i="1"/>
  <c r="X3" i="1"/>
  <c r="AC7" i="1"/>
  <c r="V37" i="1"/>
  <c r="AC9" i="1"/>
  <c r="V12" i="1"/>
  <c r="AA8" i="1"/>
  <c r="AB8" i="1"/>
  <c r="AA6" i="1"/>
  <c r="W27" i="1"/>
  <c r="AD8" i="1" s="1"/>
  <c r="W41" i="1"/>
  <c r="W42" i="1" s="1"/>
  <c r="W23" i="1"/>
  <c r="AA7" i="1"/>
  <c r="T37" i="1"/>
  <c r="AC6" i="1"/>
  <c r="U13" i="1"/>
  <c r="Y13" i="1"/>
  <c r="AF18" i="1"/>
  <c r="AF19" i="1" s="1"/>
  <c r="V13" i="1"/>
  <c r="AB6" i="1"/>
  <c r="AD7" i="1"/>
  <c r="AD6" i="1"/>
  <c r="S42" i="1"/>
  <c r="S37" i="1"/>
  <c r="S11" i="1"/>
  <c r="AA9" i="1" s="1"/>
  <c r="X4" i="1"/>
  <c r="W5" i="1"/>
  <c r="W6" i="1"/>
  <c r="W7" i="1"/>
  <c r="W9" i="1"/>
  <c r="AD23" i="1"/>
  <c r="V42" i="1"/>
  <c r="AB7" i="1"/>
  <c r="U37" i="1"/>
  <c r="V11" i="1"/>
  <c r="AD9" i="1" s="1"/>
  <c r="T10" i="1"/>
  <c r="T42" i="1"/>
  <c r="AB23" i="1"/>
  <c r="W24" i="1"/>
  <c r="T11" i="1"/>
  <c r="AB9" i="1" s="1"/>
  <c r="S10" i="1"/>
  <c r="W34" i="1"/>
  <c r="W11" i="1" s="1"/>
  <c r="AE9" i="1" s="1"/>
  <c r="U10" i="1"/>
  <c r="U12" i="1" s="1"/>
  <c r="W36" i="1"/>
  <c r="U42" i="1"/>
  <c r="AC23" i="1"/>
  <c r="S12" i="1" l="1"/>
  <c r="X20" i="1"/>
  <c r="AE3" i="1"/>
  <c r="AF21" i="1"/>
  <c r="X9" i="1"/>
  <c r="X7" i="1"/>
  <c r="X5" i="1"/>
  <c r="X6" i="1" s="1"/>
  <c r="X10" i="1" s="1"/>
  <c r="X12" i="1" s="1"/>
  <c r="X21" i="1"/>
  <c r="X23" i="1"/>
  <c r="AE6" i="1" s="1"/>
  <c r="X39" i="1"/>
  <c r="X33" i="1"/>
  <c r="X24" i="1"/>
  <c r="X35" i="1"/>
  <c r="X34" i="1"/>
  <c r="X11" i="1" s="1"/>
  <c r="X28" i="1"/>
  <c r="X38" i="1"/>
  <c r="X27" i="1"/>
  <c r="AE8" i="1" s="1"/>
  <c r="X41" i="1"/>
  <c r="X36" i="1"/>
  <c r="X25" i="1"/>
  <c r="V14" i="1"/>
  <c r="V17" i="1" s="1"/>
  <c r="AC4" i="1" s="1"/>
  <c r="AC10" i="1" s="1"/>
  <c r="T12" i="1"/>
  <c r="W10" i="1"/>
  <c r="W12" i="1" s="1"/>
  <c r="W37" i="1"/>
  <c r="AE23" i="1"/>
  <c r="U14" i="1"/>
  <c r="U17" i="1" s="1"/>
  <c r="AB4" i="1" s="1"/>
  <c r="AB10" i="1" s="1"/>
  <c r="X13" i="1" l="1"/>
  <c r="X14" i="1" s="1"/>
  <c r="X17" i="1" s="1"/>
  <c r="AE4" i="1" s="1"/>
  <c r="AE10" i="1" s="1"/>
  <c r="AE7" i="1"/>
  <c r="X37" i="1"/>
  <c r="W13" i="1"/>
  <c r="W14" i="1" s="1"/>
  <c r="W17" i="1" s="1"/>
  <c r="AD4" i="1" s="1"/>
  <c r="AD10" i="1" s="1"/>
  <c r="T13" i="1"/>
  <c r="T14" i="1" s="1"/>
  <c r="T17" i="1" s="1"/>
  <c r="AA4" i="1" s="1"/>
  <c r="AA10" i="1" s="1"/>
  <c r="AD31" i="1"/>
  <c r="AD33" i="1" s="1"/>
  <c r="AD24" i="1"/>
  <c r="AD26" i="1" s="1"/>
  <c r="AF23" i="1"/>
  <c r="X42" i="1"/>
  <c r="AC31" i="1"/>
  <c r="AC33" i="1" s="1"/>
  <c r="AC24" i="1"/>
  <c r="AC26" i="1" s="1"/>
  <c r="S14" i="1"/>
  <c r="S17" i="1" s="1"/>
  <c r="S45" i="1" s="1"/>
  <c r="S13" i="1"/>
  <c r="AB31" i="1" l="1"/>
  <c r="AB33" i="1" s="1"/>
  <c r="AB24" i="1"/>
  <c r="AB26" i="1" s="1"/>
  <c r="AE31" i="1"/>
  <c r="AE33" i="1" s="1"/>
  <c r="AE24" i="1"/>
  <c r="AE26" i="1" s="1"/>
  <c r="AF24" i="1"/>
  <c r="AF31" i="1"/>
  <c r="T45" i="1"/>
  <c r="S48" i="1"/>
  <c r="S49" i="1" s="1"/>
  <c r="S22" i="1" s="1"/>
  <c r="S26" i="1" s="1"/>
  <c r="S31" i="1" s="1"/>
  <c r="U45" i="1" l="1"/>
  <c r="T48" i="1"/>
  <c r="T49" i="1" s="1"/>
  <c r="T22" i="1" s="1"/>
  <c r="T26" i="1" s="1"/>
  <c r="T31" i="1" s="1"/>
  <c r="AF33" i="1"/>
  <c r="AF26" i="1"/>
  <c r="AA27" i="1" s="1"/>
  <c r="AA28" i="1" s="1"/>
  <c r="AA49" i="1" s="1"/>
  <c r="AA51" i="1" s="1"/>
  <c r="AA52" i="1" s="1"/>
  <c r="AA54" i="1" s="1"/>
  <c r="AF25" i="1"/>
  <c r="AF32" i="1" s="1"/>
  <c r="AA34" i="1"/>
  <c r="AA36" i="1" s="1"/>
  <c r="AA38" i="1" s="1"/>
  <c r="AA39" i="1" s="1"/>
  <c r="AA56" i="1" l="1"/>
  <c r="AA55" i="1"/>
  <c r="V45" i="1"/>
  <c r="U48" i="1"/>
  <c r="U49" i="1" s="1"/>
  <c r="U22" i="1" s="1"/>
  <c r="U26" i="1" s="1"/>
  <c r="U31" i="1" s="1"/>
  <c r="W45" i="1" l="1"/>
  <c r="V48" i="1"/>
  <c r="V49" i="1" s="1"/>
  <c r="V22" i="1" s="1"/>
  <c r="V26" i="1" s="1"/>
  <c r="V31" i="1" s="1"/>
  <c r="X45" i="1" l="1"/>
  <c r="W48" i="1"/>
  <c r="W49" i="1" s="1"/>
  <c r="W22" i="1" s="1"/>
  <c r="W26" i="1" s="1"/>
  <c r="W31" i="1" s="1"/>
  <c r="Y45" i="1" l="1"/>
  <c r="Y42" i="1" s="1"/>
  <c r="X48" i="1"/>
  <c r="X49" i="1" s="1"/>
  <c r="X22" i="1" s="1"/>
  <c r="X26" i="1" s="1"/>
  <c r="X31" i="1" s="1"/>
</calcChain>
</file>

<file path=xl/sharedStrings.xml><?xml version="1.0" encoding="utf-8"?>
<sst xmlns="http://schemas.openxmlformats.org/spreadsheetml/2006/main" count="232" uniqueCount="130">
  <si>
    <t>I. FINANCIAL STATEMENTS: 2017-19</t>
  </si>
  <si>
    <t>II. FINANCIAL ITEM PERCENTAGES: 2017-19</t>
  </si>
  <si>
    <t>III. FINANCIAL ITEM INPUTS</t>
  </si>
  <si>
    <t>IV. FINANCIAL STATEMENTS: 2020-25</t>
  </si>
  <si>
    <t>V. FREE CASH FLOWS AND STOCK VALUATION</t>
  </si>
  <si>
    <t>Income Statement</t>
  </si>
  <si>
    <t>(Millions of Dollars)</t>
  </si>
  <si>
    <t>Income Statement Percentages (% of Total Revenue except as indicated)</t>
  </si>
  <si>
    <t>Next 5 Years' Growth Estimate</t>
  </si>
  <si>
    <t>FREE CASH FLOWS</t>
  </si>
  <si>
    <t>Median</t>
  </si>
  <si>
    <t>Payout Ratio</t>
  </si>
  <si>
    <t>Total Revenue</t>
  </si>
  <si>
    <t>Income Statement Percentages (3-Year Median % of Sales except as indicated)</t>
  </si>
  <si>
    <t xml:space="preserve">Total Revenue </t>
  </si>
  <si>
    <t xml:space="preserve">Net Income </t>
  </si>
  <si>
    <t>Cost of Revenue</t>
  </si>
  <si>
    <t xml:space="preserve">Cost of Revenue    </t>
  </si>
  <si>
    <t xml:space="preserve"> + Depreciation</t>
  </si>
  <si>
    <t>Gross Profit</t>
  </si>
  <si>
    <t xml:space="preserve"> - Increase In Oper. Curr. Assets</t>
  </si>
  <si>
    <t>Selling, General &amp; Administrative Expenses</t>
  </si>
  <si>
    <t xml:space="preserve"> + Increase in Oper. Curr. Liabilities</t>
  </si>
  <si>
    <t>Depreciation &amp; Amortization</t>
  </si>
  <si>
    <t xml:space="preserve"> - Capital Expenditures</t>
  </si>
  <si>
    <t>Other Net Income(+)/Expenses(-)</t>
  </si>
  <si>
    <t xml:space="preserve"> + After-tax Interest Expense</t>
  </si>
  <si>
    <t>Earnings Before Interest and Taxes</t>
  </si>
  <si>
    <t>Free Cash Flows to Firm</t>
  </si>
  <si>
    <t>Interest Expense</t>
  </si>
  <si>
    <t>Interest Expense (% of Total Debt)</t>
  </si>
  <si>
    <t>Pretax Income</t>
  </si>
  <si>
    <t>Current Stock Price</t>
  </si>
  <si>
    <t>Risk-Free Rate</t>
  </si>
  <si>
    <t>Tax Provision</t>
  </si>
  <si>
    <t>Tax Provision (% of Pretax Income)</t>
  </si>
  <si>
    <t xml:space="preserve">Income Tax Rate (% of Pretax Income) </t>
  </si>
  <si>
    <t>Shares Outstanding (Millions)</t>
  </si>
  <si>
    <t>Market Risk Premium</t>
  </si>
  <si>
    <t>Net Income from Cont. Ops.</t>
  </si>
  <si>
    <t>Market Value of Equity (Millions)</t>
  </si>
  <si>
    <t>Beta</t>
  </si>
  <si>
    <t>Minority Interests</t>
  </si>
  <si>
    <t>Total Debt</t>
  </si>
  <si>
    <t>Adjusted Beta</t>
  </si>
  <si>
    <t xml:space="preserve">Extraordinary Exps. &amp; Discontinued Ops. </t>
  </si>
  <si>
    <t>Total Capital (Millions)</t>
  </si>
  <si>
    <t>Cost of Equity</t>
  </si>
  <si>
    <t>Proportion of Equity</t>
  </si>
  <si>
    <t>Cost of Debt</t>
  </si>
  <si>
    <t>Proportion of Debt</t>
  </si>
  <si>
    <t>Income Tax Rate</t>
  </si>
  <si>
    <t>Balance Sheet</t>
  </si>
  <si>
    <t>Balance Sheet Percentages (% of Total Revenue except as indicated)</t>
  </si>
  <si>
    <t>Infinite Growth Rate</t>
  </si>
  <si>
    <t xml:space="preserve">Weighted Average Cost of Capital </t>
  </si>
  <si>
    <t>Balance Sheet Percentages (3-Year Median % of Sales except as indicated)</t>
  </si>
  <si>
    <t>Cash and Cash Equivalents</t>
  </si>
  <si>
    <t xml:space="preserve">Cash and Cash Equivalents    </t>
  </si>
  <si>
    <t>Current and Projected Amounts</t>
  </si>
  <si>
    <t>Short Term Investments</t>
  </si>
  <si>
    <t>Plug</t>
  </si>
  <si>
    <t xml:space="preserve">STOCK VALUATION: FREE CASH FLOWS TO EQUITY METHOD </t>
  </si>
  <si>
    <t>Receivables</t>
  </si>
  <si>
    <t xml:space="preserve">Receivables    </t>
  </si>
  <si>
    <t>Increase in Total Debt</t>
  </si>
  <si>
    <t>Inventory</t>
  </si>
  <si>
    <t>Free Cash Flows to Equity</t>
  </si>
  <si>
    <t>Other Current Assets</t>
  </si>
  <si>
    <t>Terminal Value of Equity</t>
  </si>
  <si>
    <t>Total Current Assets</t>
  </si>
  <si>
    <t>Total Free Cash Flows to Equity</t>
  </si>
  <si>
    <t>Net Property, Plant and Equipment</t>
  </si>
  <si>
    <t>Equity Value (FCE Method)</t>
  </si>
  <si>
    <t>Investments and Advances</t>
  </si>
  <si>
    <t>Stock Value (FCE Method)</t>
  </si>
  <si>
    <t>Goodwill &amp; Other Intangible Assets</t>
  </si>
  <si>
    <t>Constant</t>
  </si>
  <si>
    <t>Other Long-term Assets</t>
  </si>
  <si>
    <t xml:space="preserve">STOCK VALUATION: FREE CASH FLOWS TO FIRM METHOD </t>
  </si>
  <si>
    <t>Total Assets</t>
  </si>
  <si>
    <t>Terminal Value of Firm</t>
  </si>
  <si>
    <t>Payables</t>
  </si>
  <si>
    <t>Accounts Payable</t>
  </si>
  <si>
    <t>Total Free Cash Flows to Firm</t>
  </si>
  <si>
    <t>Current Debt</t>
  </si>
  <si>
    <t>Enterprise Value</t>
  </si>
  <si>
    <t>Current Deferred Liabilities</t>
  </si>
  <si>
    <t>Current Deferred Revenue</t>
  </si>
  <si>
    <t>Total Cash</t>
  </si>
  <si>
    <t>Other Current Liabilities</t>
  </si>
  <si>
    <t>Firm Value</t>
  </si>
  <si>
    <t>Total Current Liabilities</t>
  </si>
  <si>
    <t>Long Term Debt</t>
  </si>
  <si>
    <t xml:space="preserve">Long Term Debt (% of Total Stockholder Equity) </t>
  </si>
  <si>
    <t>Equity Value (FCF Method)</t>
  </si>
  <si>
    <t>Non-current Deferred Liabilities</t>
  </si>
  <si>
    <t>Stock Value (FCF Method)</t>
  </si>
  <si>
    <t>Employee Benefits</t>
  </si>
  <si>
    <t>Other Long-term Liabilities</t>
  </si>
  <si>
    <t>COMPARABLES VALUATION</t>
  </si>
  <si>
    <t xml:space="preserve">Total Liabilities </t>
  </si>
  <si>
    <t>Industry EV/EBITDA Multiple</t>
  </si>
  <si>
    <t>Preferred Stock</t>
  </si>
  <si>
    <t>Company's EBITDA</t>
  </si>
  <si>
    <t>Common Stock</t>
  </si>
  <si>
    <t>Retained Earnings</t>
  </si>
  <si>
    <t>Previous Year's RE + Net Income (1 - Payout Ratio)</t>
  </si>
  <si>
    <t>Market Value of Firm</t>
  </si>
  <si>
    <t>Treasury Stock</t>
  </si>
  <si>
    <t>Market Value of Equity (Comparables Method)</t>
  </si>
  <si>
    <t>Other Stockholder Equity</t>
  </si>
  <si>
    <t>Stock Value (Comparables Method)</t>
  </si>
  <si>
    <t>Total Stockholder Equity</t>
  </si>
  <si>
    <t>Total Liabilities and Equity</t>
  </si>
  <si>
    <t>Estimated Stock Value</t>
  </si>
  <si>
    <t>Analyst Price Targets &amp; Recommendation Ratings</t>
  </si>
  <si>
    <t>High</t>
  </si>
  <si>
    <t>12-Month Target Price</t>
  </si>
  <si>
    <t>Average</t>
  </si>
  <si>
    <t>Projected 1-Year Gain</t>
  </si>
  <si>
    <t>Low</t>
  </si>
  <si>
    <t>Forward Annual Dividend Yield</t>
  </si>
  <si>
    <t>No. of Analysts</t>
  </si>
  <si>
    <t>Projected 1-Year Return</t>
  </si>
  <si>
    <t>Mean Recommendation</t>
  </si>
  <si>
    <t>Treynor Index</t>
  </si>
  <si>
    <t>Investment Recommendation</t>
  </si>
  <si>
    <t>AAPL</t>
  </si>
  <si>
    <t>Computer &amp; Electronics Retailers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</si>
</sst>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&quot;$&quot;#,##0.00"/>
    <numFmt numFmtId="167" formatCode="0.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10" fontId="0" fillId="3" borderId="0" xfId="0" applyNumberFormat="1" applyFill="1"/>
    <xf numFmtId="14" fontId="2" fillId="2" borderId="0" xfId="0" applyNumberFormat="1" applyFont="1" applyFill="1"/>
    <xf numFmtId="14" fontId="2" fillId="0" borderId="0" xfId="0" applyNumberFormat="1" applyFont="1"/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Fill="1"/>
    <xf numFmtId="164" fontId="0" fillId="2" borderId="0" xfId="1" applyNumberFormat="1" applyFont="1" applyFill="1"/>
    <xf numFmtId="9" fontId="0" fillId="0" borderId="0" xfId="3" applyFon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 applyFill="1"/>
    <xf numFmtId="10" fontId="0" fillId="0" borderId="0" xfId="3" applyNumberFormat="1" applyFont="1"/>
    <xf numFmtId="10" fontId="0" fillId="0" borderId="0" xfId="0" applyNumberFormat="1"/>
    <xf numFmtId="164" fontId="2" fillId="0" borderId="0" xfId="1" applyNumberFormat="1" applyFont="1"/>
    <xf numFmtId="164" fontId="1" fillId="3" borderId="0" xfId="1" applyNumberFormat="1" applyFont="1" applyFill="1"/>
    <xf numFmtId="164" fontId="0" fillId="4" borderId="0" xfId="1" applyNumberFormat="1" applyFont="1" applyFill="1"/>
    <xf numFmtId="164" fontId="2" fillId="0" borderId="0" xfId="0" applyNumberFormat="1" applyFont="1" applyFill="1"/>
    <xf numFmtId="10" fontId="2" fillId="0" borderId="0" xfId="0" applyNumberFormat="1" applyFont="1"/>
    <xf numFmtId="0" fontId="3" fillId="0" borderId="0" xfId="0" applyFont="1"/>
    <xf numFmtId="2" fontId="3" fillId="2" borderId="0" xfId="0" applyNumberFormat="1" applyFont="1" applyFill="1"/>
    <xf numFmtId="10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4" fontId="3" fillId="0" borderId="0" xfId="0" applyNumberFormat="1" applyFont="1" applyAlignment="1">
      <alignment horizontal="right"/>
    </xf>
    <xf numFmtId="2" fontId="3" fillId="0" borderId="0" xfId="0" applyNumberFormat="1" applyFont="1"/>
    <xf numFmtId="164" fontId="0" fillId="3" borderId="0" xfId="1" applyNumberFormat="1" applyFont="1" applyFill="1"/>
    <xf numFmtId="164" fontId="0" fillId="0" borderId="0" xfId="0" applyNumberFormat="1"/>
    <xf numFmtId="10" fontId="3" fillId="0" borderId="0" xfId="0" applyNumberFormat="1" applyFont="1" applyAlignment="1">
      <alignment horizontal="right"/>
    </xf>
    <xf numFmtId="10" fontId="3" fillId="0" borderId="0" xfId="0" applyNumberFormat="1" applyFont="1"/>
    <xf numFmtId="10" fontId="1" fillId="0" borderId="0" xfId="0" applyNumberFormat="1" applyFont="1"/>
    <xf numFmtId="10" fontId="0" fillId="0" borderId="0" xfId="3" applyNumberFormat="1" applyFont="1" applyFill="1"/>
    <xf numFmtId="10" fontId="0" fillId="0" borderId="0" xfId="0" applyNumberFormat="1" applyAlignment="1">
      <alignment horizontal="center"/>
    </xf>
    <xf numFmtId="0" fontId="2" fillId="0" borderId="1" xfId="0" applyFont="1" applyBorder="1"/>
    <xf numFmtId="165" fontId="2" fillId="3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164" fontId="2" fillId="0" borderId="0" xfId="0" applyNumberFormat="1" applyFont="1"/>
    <xf numFmtId="8" fontId="2" fillId="0" borderId="0" xfId="0" applyNumberFormat="1" applyFont="1"/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8" fontId="2" fillId="0" borderId="0" xfId="0" applyNumberFormat="1" applyFont="1" applyAlignment="1">
      <alignment horizontal="right"/>
    </xf>
    <xf numFmtId="0" fontId="4" fillId="0" borderId="0" xfId="0" applyFont="1"/>
    <xf numFmtId="7" fontId="4" fillId="0" borderId="0" xfId="2" applyNumberFormat="1" applyFont="1" applyAlignment="1">
      <alignment horizontal="right"/>
    </xf>
    <xf numFmtId="0" fontId="3" fillId="3" borderId="0" xfId="0" applyFont="1" applyFill="1"/>
    <xf numFmtId="10" fontId="1" fillId="0" borderId="0" xfId="0" applyNumberFormat="1" applyFont="1" applyAlignment="1">
      <alignment horizontal="center"/>
    </xf>
    <xf numFmtId="0" fontId="5" fillId="3" borderId="0" xfId="0" applyFont="1" applyFill="1"/>
    <xf numFmtId="164" fontId="1" fillId="0" borderId="0" xfId="1" applyNumberFormat="1" applyFont="1"/>
    <xf numFmtId="0" fontId="0" fillId="0" borderId="0" xfId="0" applyFill="1"/>
    <xf numFmtId="164" fontId="5" fillId="0" borderId="0" xfId="0" applyNumberFormat="1" applyFont="1"/>
    <xf numFmtId="0" fontId="4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7" fontId="4" fillId="0" borderId="0" xfId="0" applyNumberFormat="1" applyFont="1"/>
    <xf numFmtId="166" fontId="3" fillId="0" borderId="0" xfId="0" applyNumberFormat="1" applyFont="1" applyFill="1" applyAlignment="1">
      <alignment horizontal="center"/>
    </xf>
    <xf numFmtId="166" fontId="3" fillId="0" borderId="0" xfId="2" applyNumberFormat="1" applyFont="1" applyFill="1" applyAlignment="1">
      <alignment horizontal="center"/>
    </xf>
    <xf numFmtId="7" fontId="4" fillId="0" borderId="0" xfId="2" applyNumberFormat="1" applyFont="1" applyAlignment="1">
      <alignment horizontal="center"/>
    </xf>
    <xf numFmtId="7" fontId="3" fillId="2" borderId="0" xfId="2" applyNumberFormat="1" applyFont="1" applyFill="1" applyAlignment="1">
      <alignment horizontal="center"/>
    </xf>
    <xf numFmtId="9" fontId="2" fillId="0" borderId="0" xfId="0" applyNumberFormat="1" applyFont="1"/>
    <xf numFmtId="7" fontId="2" fillId="0" borderId="0" xfId="1" applyNumberFormat="1" applyFont="1" applyAlignment="1">
      <alignment horizontal="center"/>
    </xf>
    <xf numFmtId="164" fontId="1" fillId="0" borderId="0" xfId="0" applyNumberFormat="1" applyFont="1"/>
    <xf numFmtId="10" fontId="2" fillId="0" borderId="0" xfId="3" applyNumberFormat="1" applyFont="1" applyAlignment="1">
      <alignment horizontal="center"/>
    </xf>
    <xf numFmtId="9" fontId="2" fillId="0" borderId="0" xfId="3" applyFont="1"/>
    <xf numFmtId="10" fontId="4" fillId="2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67" fontId="1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43" fontId="0" fillId="0" borderId="0" xfId="1" applyNumberFormat="1" applyFont="1"/>
    <xf numFmtId="164" fontId="1" fillId="0" borderId="0" xfId="1" applyNumberFormat="1" applyFont="1" applyAlignment="1">
      <alignment horizontal="center"/>
    </xf>
    <xf numFmtId="49" fontId="0" fillId="2" borderId="0" xfId="1" applyNumberFormat="1" applyFont="1" applyFill="1" applyAlignment="1">
      <alignment horizontal="right"/>
    </xf>
    <xf numFmtId="164" fontId="0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H89"/>
  <sheetViews>
    <sheetView tabSelected="1" zoomScale="108" workbookViewId="0">
      <selection activeCell="E1" sqref="E1"/>
    </sheetView>
  </sheetViews>
  <sheetFormatPr baseColWidth="10" defaultColWidth="8.83203125" defaultRowHeight="13" x14ac:dyDescent="0.15"/>
  <cols>
    <col min="1" max="1" width="37.6640625" customWidth="1"/>
    <col min="2" max="4" width="12" bestFit="1" customWidth="1"/>
    <col min="5" max="6" width="10.1640625" customWidth="1"/>
    <col min="7" max="7" width="41.5" customWidth="1"/>
    <col min="8" max="10" width="12" bestFit="1" customWidth="1"/>
    <col min="11" max="11" width="9.5" customWidth="1"/>
    <col min="12" max="12" width="42.6640625" customWidth="1"/>
    <col min="13" max="17" width="9.5" customWidth="1"/>
    <col min="18" max="18" width="37.1640625" customWidth="1"/>
    <col min="19" max="19" width="11" bestFit="1" customWidth="1"/>
    <col min="20" max="23" width="10.1640625" bestFit="1" customWidth="1"/>
    <col min="24" max="24" width="10.1640625" customWidth="1"/>
    <col min="25" max="25" width="1.5" customWidth="1"/>
    <col min="26" max="26" width="38.1640625" customWidth="1"/>
    <col min="27" max="27" width="12.6640625" bestFit="1" customWidth="1"/>
    <col min="28" max="30" width="10.33203125" bestFit="1" customWidth="1"/>
    <col min="31" max="31" width="10.6640625" bestFit="1" customWidth="1"/>
    <col min="32" max="32" width="9.6640625" bestFit="1" customWidth="1"/>
    <col min="33" max="33" width="6.83203125" customWidth="1"/>
    <col min="34" max="34" width="6.5" customWidth="1"/>
  </cols>
  <sheetData>
    <row r="1" spans="1:33" x14ac:dyDescent="0.15">
      <c r="A1" s="1" t="s">
        <v>128</v>
      </c>
      <c r="B1" s="2" t="s">
        <v>0</v>
      </c>
      <c r="G1" s="2" t="str">
        <f>$A1</f>
        <v>AAPL</v>
      </c>
      <c r="H1" s="2" t="s">
        <v>1</v>
      </c>
      <c r="L1" s="2" t="str">
        <f>$A1</f>
        <v>AAPL</v>
      </c>
      <c r="M1" s="2" t="s">
        <v>2</v>
      </c>
      <c r="R1" s="2" t="str">
        <f>$A1</f>
        <v>AAPL</v>
      </c>
      <c r="S1" s="2" t="s">
        <v>3</v>
      </c>
      <c r="Z1" s="2" t="str">
        <f>$A1</f>
        <v>AAPL</v>
      </c>
      <c r="AB1" s="2" t="s">
        <v>4</v>
      </c>
    </row>
    <row r="2" spans="1:33" x14ac:dyDescent="0.15">
      <c r="A2" s="2" t="s">
        <v>5</v>
      </c>
      <c r="B2" s="3" t="s">
        <v>6</v>
      </c>
      <c r="C2" s="4"/>
      <c r="D2" s="4"/>
      <c r="G2" s="2" t="s">
        <v>7</v>
      </c>
      <c r="L2" s="5" t="s">
        <v>8</v>
      </c>
      <c r="M2" s="6">
        <v>0.12640000000000001</v>
      </c>
      <c r="R2" s="2" t="s">
        <v>5</v>
      </c>
      <c r="S2" s="3" t="s">
        <v>6</v>
      </c>
      <c r="T2" s="4"/>
      <c r="U2" s="4"/>
      <c r="V2" s="4"/>
      <c r="W2" s="4"/>
      <c r="X2" s="4"/>
      <c r="Z2" s="2" t="s">
        <v>9</v>
      </c>
      <c r="AA2" s="2" t="s">
        <v>6</v>
      </c>
    </row>
    <row r="3" spans="1:33" x14ac:dyDescent="0.15">
      <c r="B3" s="7">
        <v>43008</v>
      </c>
      <c r="C3" s="7">
        <v>43373</v>
      </c>
      <c r="D3" s="7">
        <v>43738</v>
      </c>
      <c r="E3" s="4"/>
      <c r="F3" s="4"/>
      <c r="H3" s="8">
        <f>B3</f>
        <v>43008</v>
      </c>
      <c r="I3" s="8">
        <f>C3</f>
        <v>43373</v>
      </c>
      <c r="J3" s="8">
        <f>D3</f>
        <v>43738</v>
      </c>
      <c r="K3" s="4" t="s">
        <v>10</v>
      </c>
      <c r="L3" s="5" t="s">
        <v>11</v>
      </c>
      <c r="M3" s="6">
        <v>0.2424</v>
      </c>
      <c r="S3" s="7">
        <v>44104</v>
      </c>
      <c r="T3" s="9">
        <f>S3+365</f>
        <v>44469</v>
      </c>
      <c r="U3" s="9">
        <f t="shared" ref="U3:X3" si="0">T3+365</f>
        <v>44834</v>
      </c>
      <c r="V3" s="9">
        <f t="shared" si="0"/>
        <v>45199</v>
      </c>
      <c r="W3" s="9">
        <f t="shared" si="0"/>
        <v>45564</v>
      </c>
      <c r="X3" s="9">
        <f t="shared" si="0"/>
        <v>45929</v>
      </c>
      <c r="Y3" s="10">
        <v>46022</v>
      </c>
      <c r="Z3" s="8"/>
      <c r="AA3" s="8">
        <f>T3</f>
        <v>44469</v>
      </c>
      <c r="AB3" s="8">
        <f>U3</f>
        <v>44834</v>
      </c>
      <c r="AC3" s="8">
        <f>V3</f>
        <v>45199</v>
      </c>
      <c r="AD3" s="8">
        <f>W3</f>
        <v>45564</v>
      </c>
      <c r="AE3" s="8">
        <f>X3</f>
        <v>45929</v>
      </c>
    </row>
    <row r="4" spans="1:33" x14ac:dyDescent="0.15">
      <c r="A4" t="s">
        <v>12</v>
      </c>
      <c r="B4" s="11">
        <v>229234</v>
      </c>
      <c r="C4" s="11">
        <v>265595</v>
      </c>
      <c r="D4" s="11">
        <v>260174</v>
      </c>
      <c r="H4" s="12"/>
      <c r="I4" s="12"/>
      <c r="J4" s="12"/>
      <c r="K4" s="13"/>
      <c r="L4" s="2" t="s">
        <v>13</v>
      </c>
      <c r="M4" s="4"/>
      <c r="R4" s="5" t="s">
        <v>14</v>
      </c>
      <c r="S4" s="11">
        <v>274520</v>
      </c>
      <c r="T4" s="11">
        <v>315250</v>
      </c>
      <c r="U4" s="14">
        <f>T4*(1+$M$2)</f>
        <v>355097.60000000003</v>
      </c>
      <c r="V4" s="14">
        <f t="shared" ref="V4:X4" si="1">U4*(1+$M$2)</f>
        <v>399981.93664000009</v>
      </c>
      <c r="W4" s="14">
        <f t="shared" si="1"/>
        <v>450539.65343129612</v>
      </c>
      <c r="X4" s="14">
        <f t="shared" si="1"/>
        <v>507487.86562501197</v>
      </c>
      <c r="Y4" s="8">
        <v>43465</v>
      </c>
      <c r="Z4" t="s">
        <v>15</v>
      </c>
      <c r="AA4" s="15">
        <f>T17</f>
        <v>65911.825732528494</v>
      </c>
      <c r="AB4" s="15">
        <f t="shared" ref="AB4:AE4" si="2">U17</f>
        <v>74243.080505120102</v>
      </c>
      <c r="AC4" s="15">
        <f t="shared" si="2"/>
        <v>83627.405880967286</v>
      </c>
      <c r="AD4" s="15">
        <f t="shared" si="2"/>
        <v>94197.909984321581</v>
      </c>
      <c r="AE4" s="15">
        <f t="shared" si="2"/>
        <v>106104.52580633978</v>
      </c>
    </row>
    <row r="5" spans="1:33" x14ac:dyDescent="0.15">
      <c r="A5" t="s">
        <v>16</v>
      </c>
      <c r="B5" s="11">
        <v>-141048</v>
      </c>
      <c r="C5" s="11">
        <v>-163756</v>
      </c>
      <c r="D5" s="11">
        <v>-161782</v>
      </c>
      <c r="E5" s="8"/>
      <c r="F5" s="8"/>
      <c r="G5" t="s">
        <v>16</v>
      </c>
      <c r="H5" s="16">
        <f>B5/B4</f>
        <v>-0.6153013950810089</v>
      </c>
      <c r="I5" s="16">
        <f t="shared" ref="I5:J5" si="3">C5/C4</f>
        <v>-0.6165628117999209</v>
      </c>
      <c r="J5" s="16">
        <f t="shared" si="3"/>
        <v>-0.62182231890965278</v>
      </c>
      <c r="K5" s="17">
        <f>MEDIAN(H5:J5)</f>
        <v>-0.6165628117999209</v>
      </c>
      <c r="L5" t="s">
        <v>17</v>
      </c>
      <c r="M5" s="17">
        <f>K5</f>
        <v>-0.6165628117999209</v>
      </c>
      <c r="N5" s="4"/>
      <c r="O5" s="4"/>
      <c r="P5" s="4"/>
      <c r="Q5" s="4"/>
      <c r="R5" t="s">
        <v>16</v>
      </c>
      <c r="S5" s="14">
        <f>S4*$M$5</f>
        <v>-169258.82309531429</v>
      </c>
      <c r="T5" s="14">
        <f t="shared" ref="T5:X5" si="4">T4*$M$5</f>
        <v>-194371.42641992506</v>
      </c>
      <c r="U5" s="14">
        <f t="shared" si="4"/>
        <v>-218939.9747194036</v>
      </c>
      <c r="V5" s="14">
        <f t="shared" si="4"/>
        <v>-246613.98752393626</v>
      </c>
      <c r="W5" s="14">
        <f t="shared" si="4"/>
        <v>-277785.99554696179</v>
      </c>
      <c r="X5" s="14">
        <f t="shared" si="4"/>
        <v>-312898.14538409782</v>
      </c>
      <c r="Z5" t="s">
        <v>18</v>
      </c>
      <c r="AA5" s="15">
        <f>ABS(T8)</f>
        <v>0</v>
      </c>
      <c r="AB5" s="15">
        <f t="shared" ref="AB5:AE5" si="5">ABS(U8)</f>
        <v>0</v>
      </c>
      <c r="AC5" s="15">
        <f t="shared" si="5"/>
        <v>0</v>
      </c>
      <c r="AD5" s="15">
        <f t="shared" si="5"/>
        <v>0</v>
      </c>
      <c r="AE5" s="15">
        <f t="shared" si="5"/>
        <v>0</v>
      </c>
    </row>
    <row r="6" spans="1:33" x14ac:dyDescent="0.15">
      <c r="A6" s="2" t="s">
        <v>19</v>
      </c>
      <c r="B6" s="18">
        <f>SUM(B4:B5)</f>
        <v>88186</v>
      </c>
      <c r="C6" s="18">
        <f t="shared" ref="C6:D6" si="6">SUM(C4:C5)</f>
        <v>101839</v>
      </c>
      <c r="D6" s="18">
        <f t="shared" si="6"/>
        <v>98392</v>
      </c>
      <c r="E6" s="14"/>
      <c r="F6" s="14"/>
      <c r="G6" s="2"/>
      <c r="H6" s="16"/>
      <c r="I6" s="16"/>
      <c r="J6" s="16"/>
      <c r="K6" s="17"/>
      <c r="N6" s="13"/>
      <c r="O6" s="13"/>
      <c r="P6" s="13"/>
      <c r="Q6" s="13"/>
      <c r="R6" s="2" t="s">
        <v>19</v>
      </c>
      <c r="S6" s="18">
        <f>SUM(S4:S5)</f>
        <v>105261.17690468571</v>
      </c>
      <c r="T6" s="18">
        <f t="shared" ref="T6:X6" si="7">SUM(T4:T5)</f>
        <v>120878.57358007494</v>
      </c>
      <c r="U6" s="18">
        <f t="shared" si="7"/>
        <v>136157.62528059643</v>
      </c>
      <c r="V6" s="18">
        <f t="shared" si="7"/>
        <v>153367.94911606383</v>
      </c>
      <c r="W6" s="18">
        <f t="shared" si="7"/>
        <v>172753.65788433433</v>
      </c>
      <c r="X6" s="18">
        <f t="shared" si="7"/>
        <v>194589.72024091415</v>
      </c>
      <c r="Z6" t="s">
        <v>20</v>
      </c>
      <c r="AA6" s="15">
        <f>SUM(S23:S25)-SUM(T23:T25)</f>
        <v>-9747.0587376140611</v>
      </c>
      <c r="AB6" s="15">
        <f t="shared" ref="AB6:AE6" si="8">SUM(T23:T25)-SUM(U23:U25)</f>
        <v>-9535.8924073889066</v>
      </c>
      <c r="AC6" s="15">
        <f t="shared" si="8"/>
        <v>-10741.229207682889</v>
      </c>
      <c r="AD6" s="15">
        <f t="shared" si="8"/>
        <v>-12098.920579533966</v>
      </c>
      <c r="AE6" s="15">
        <f t="shared" si="8"/>
        <v>-13628.224140787075</v>
      </c>
    </row>
    <row r="7" spans="1:33" x14ac:dyDescent="0.15">
      <c r="A7" s="5" t="s">
        <v>21</v>
      </c>
      <c r="B7" s="19">
        <v>-15261</v>
      </c>
      <c r="C7" s="19">
        <v>-16705</v>
      </c>
      <c r="D7" s="19">
        <v>-18245</v>
      </c>
      <c r="E7" s="14"/>
      <c r="F7" s="14"/>
      <c r="G7" s="5" t="s">
        <v>21</v>
      </c>
      <c r="H7" s="16">
        <f>B7/B4</f>
        <v>-6.6573893924984945E-2</v>
      </c>
      <c r="I7" s="16">
        <f t="shared" ref="I7:J7" si="9">C7/C4</f>
        <v>-6.2896515371147807E-2</v>
      </c>
      <c r="J7" s="16">
        <f t="shared" si="9"/>
        <v>-7.0126146348213125E-2</v>
      </c>
      <c r="K7" s="17">
        <f t="shared" ref="K7:K13" si="10">MEDIAN(H7:J7)</f>
        <v>-6.6573893924984945E-2</v>
      </c>
      <c r="L7" s="5" t="s">
        <v>21</v>
      </c>
      <c r="M7" s="17">
        <f>K7</f>
        <v>-6.6573893924984945E-2</v>
      </c>
      <c r="N7" s="13"/>
      <c r="O7" s="13"/>
      <c r="P7" s="13"/>
      <c r="Q7" s="13"/>
      <c r="R7" s="5" t="s">
        <v>21</v>
      </c>
      <c r="S7" s="14">
        <f>S4*$M$7</f>
        <v>-18275.865360286865</v>
      </c>
      <c r="T7" s="14">
        <f t="shared" ref="T7:X7" si="11">T4*$M$7</f>
        <v>-20987.420059851505</v>
      </c>
      <c r="U7" s="14">
        <f t="shared" si="11"/>
        <v>-23640.229955416737</v>
      </c>
      <c r="V7" s="14">
        <f t="shared" si="11"/>
        <v>-26628.355021781415</v>
      </c>
      <c r="W7" s="14">
        <f t="shared" si="11"/>
        <v>-29994.179096534586</v>
      </c>
      <c r="X7" s="14">
        <f t="shared" si="11"/>
        <v>-33785.44333433656</v>
      </c>
      <c r="Z7" t="s">
        <v>22</v>
      </c>
      <c r="AA7" s="15">
        <f>SUM(T33,T35,T36)-SUM(S33,S35,S36)</f>
        <v>14740.059639676954</v>
      </c>
      <c r="AB7" s="15">
        <f t="shared" ref="AB7:AE7" si="12">SUM(U33,U35,U36)-SUM(T33,T35,T36)</f>
        <v>14420.721838890051</v>
      </c>
      <c r="AC7" s="15">
        <f t="shared" si="12"/>
        <v>16243.501079325768</v>
      </c>
      <c r="AD7" s="15">
        <f t="shared" si="12"/>
        <v>18296.679615752539</v>
      </c>
      <c r="AE7" s="15">
        <f t="shared" si="12"/>
        <v>20609.379919183615</v>
      </c>
    </row>
    <row r="8" spans="1:33" x14ac:dyDescent="0.15">
      <c r="A8" s="5" t="s">
        <v>23</v>
      </c>
      <c r="B8" s="19"/>
      <c r="C8" s="19"/>
      <c r="D8" s="19"/>
      <c r="E8" s="14"/>
      <c r="F8" s="14"/>
      <c r="G8" s="5" t="s">
        <v>23</v>
      </c>
      <c r="H8" s="16"/>
      <c r="I8" s="16"/>
      <c r="J8" s="16"/>
      <c r="K8" s="17"/>
      <c r="L8" s="5" t="s">
        <v>23</v>
      </c>
      <c r="M8" s="17"/>
      <c r="N8" s="13"/>
      <c r="O8" s="13"/>
      <c r="P8" s="13"/>
      <c r="Q8" s="13"/>
      <c r="R8" s="5" t="s">
        <v>23</v>
      </c>
      <c r="S8" s="14"/>
      <c r="T8" s="14"/>
      <c r="U8" s="14"/>
      <c r="V8" s="14"/>
      <c r="W8" s="14"/>
      <c r="X8" s="14"/>
      <c r="Z8" t="s">
        <v>24</v>
      </c>
      <c r="AA8" s="15">
        <f>-(T27-S27+ABS(T8))</f>
        <v>-6002.5196524075873</v>
      </c>
      <c r="AB8" s="15">
        <f t="shared" ref="AB8:AE8" si="13">-(U27-T27+ABS(U8))</f>
        <v>-5872.4773410576163</v>
      </c>
      <c r="AC8" s="15">
        <f t="shared" si="13"/>
        <v>-6614.7584769672976</v>
      </c>
      <c r="AD8" s="15">
        <f t="shared" si="13"/>
        <v>-7450.8639484559535</v>
      </c>
      <c r="AE8" s="15">
        <f t="shared" si="13"/>
        <v>-8392.6531515407987</v>
      </c>
    </row>
    <row r="9" spans="1:33" x14ac:dyDescent="0.15">
      <c r="A9" t="s">
        <v>25</v>
      </c>
      <c r="B9" s="20">
        <v>-6513</v>
      </c>
      <c r="C9" s="20">
        <v>-8991</v>
      </c>
      <c r="D9" s="20">
        <v>-10834</v>
      </c>
      <c r="E9" s="14"/>
      <c r="F9" s="14"/>
      <c r="G9" t="s">
        <v>25</v>
      </c>
      <c r="H9" s="16">
        <f>B9/B4</f>
        <v>-2.8412015669577812E-2</v>
      </c>
      <c r="I9" s="16">
        <f t="shared" ref="I9:J9" si="14">C9/C4</f>
        <v>-3.3852293906135283E-2</v>
      </c>
      <c r="J9" s="16">
        <f t="shared" si="14"/>
        <v>-4.1641363087779715E-2</v>
      </c>
      <c r="K9" s="17">
        <f t="shared" si="10"/>
        <v>-3.3852293906135283E-2</v>
      </c>
      <c r="L9" t="s">
        <v>25</v>
      </c>
      <c r="M9" s="17">
        <f>K9</f>
        <v>-3.3852293906135283E-2</v>
      </c>
      <c r="N9" s="17"/>
      <c r="O9" s="17"/>
      <c r="P9" s="17"/>
      <c r="Q9" s="17"/>
      <c r="R9" t="s">
        <v>25</v>
      </c>
      <c r="S9" s="14">
        <f>S4*$M$9</f>
        <v>-9293.1317231122575</v>
      </c>
      <c r="T9" s="14">
        <f t="shared" ref="T9:X9" si="15">T4*$M$9</f>
        <v>-10671.935653909148</v>
      </c>
      <c r="U9" s="14">
        <f t="shared" si="15"/>
        <v>-12020.868320563266</v>
      </c>
      <c r="V9" s="14">
        <f t="shared" si="15"/>
        <v>-13540.306076282464</v>
      </c>
      <c r="W9" s="14">
        <f t="shared" si="15"/>
        <v>-15251.800764324567</v>
      </c>
      <c r="X9" s="14">
        <f t="shared" si="15"/>
        <v>-17179.628380935195</v>
      </c>
      <c r="Z9" t="s">
        <v>26</v>
      </c>
      <c r="AA9" s="15">
        <f>ABS(S11*(1-$M$13))</f>
        <v>8761.6409990657212</v>
      </c>
      <c r="AB9" s="15">
        <f t="shared" ref="AB9:AE9" si="16">ABS(T11*(1-$M$13))</f>
        <v>10061.588681901023</v>
      </c>
      <c r="AC9" s="15">
        <f t="shared" si="16"/>
        <v>11333.373491293311</v>
      </c>
      <c r="AD9" s="15">
        <f t="shared" si="16"/>
        <v>12765.911900592788</v>
      </c>
      <c r="AE9" s="15">
        <f t="shared" si="16"/>
        <v>14379.523164827717</v>
      </c>
    </row>
    <row r="10" spans="1:33" x14ac:dyDescent="0.15">
      <c r="A10" s="2" t="s">
        <v>27</v>
      </c>
      <c r="B10" s="41">
        <f>SUM(B6:B9)</f>
        <v>66412</v>
      </c>
      <c r="C10" s="41">
        <f t="shared" ref="C10:D10" si="17">SUM(C6:C9)</f>
        <v>76143</v>
      </c>
      <c r="D10" s="41">
        <f t="shared" si="17"/>
        <v>69313</v>
      </c>
      <c r="E10" s="14"/>
      <c r="F10" s="14"/>
      <c r="G10" s="2"/>
      <c r="H10" s="16"/>
      <c r="I10" s="16"/>
      <c r="J10" s="16"/>
      <c r="K10" s="17"/>
      <c r="L10" s="2"/>
      <c r="M10" s="17"/>
      <c r="N10" s="13"/>
      <c r="O10" s="17"/>
      <c r="P10" s="17"/>
      <c r="Q10" s="17"/>
      <c r="R10" s="2" t="s">
        <v>27</v>
      </c>
      <c r="S10" s="18">
        <f>SUM(S6:S9)</f>
        <v>77692.179821286583</v>
      </c>
      <c r="T10" s="18">
        <f t="shared" ref="T10:X10" si="18">SUM(T6:T9)</f>
        <v>89219.217866314284</v>
      </c>
      <c r="U10" s="18">
        <f t="shared" si="18"/>
        <v>100496.52700461642</v>
      </c>
      <c r="V10" s="18">
        <f t="shared" si="18"/>
        <v>113199.28801799995</v>
      </c>
      <c r="W10" s="18">
        <f t="shared" si="18"/>
        <v>127507.67802347518</v>
      </c>
      <c r="X10" s="18">
        <f t="shared" si="18"/>
        <v>143624.64852564238</v>
      </c>
      <c r="Z10" s="2" t="s">
        <v>28</v>
      </c>
      <c r="AA10" s="21">
        <f>SUM(AA4:AA9)</f>
        <v>73663.947981249526</v>
      </c>
      <c r="AB10" s="21">
        <f t="shared" ref="AB10:AE10" si="19">SUM(AB4:AB9)</f>
        <v>83317.02127746465</v>
      </c>
      <c r="AC10" s="21">
        <f t="shared" si="19"/>
        <v>93848.292766936182</v>
      </c>
      <c r="AD10" s="21">
        <f t="shared" si="19"/>
        <v>105710.71697267699</v>
      </c>
      <c r="AE10" s="21">
        <f t="shared" si="19"/>
        <v>119072.55159802323</v>
      </c>
    </row>
    <row r="11" spans="1:33" x14ac:dyDescent="0.15">
      <c r="A11" s="5" t="s">
        <v>29</v>
      </c>
      <c r="B11" s="11">
        <v>-2323</v>
      </c>
      <c r="C11" s="11">
        <v>-3240</v>
      </c>
      <c r="D11" s="11">
        <v>-3576</v>
      </c>
      <c r="E11" s="18"/>
      <c r="F11" s="18"/>
      <c r="G11" s="5" t="s">
        <v>30</v>
      </c>
      <c r="H11" s="16">
        <f>B11/(B34+B38)</f>
        <v>-2.0081258644536654E-2</v>
      </c>
      <c r="I11" s="16">
        <f t="shared" ref="I11:J11" si="20">C11/(C34+C38)</f>
        <v>-2.8301145148187941E-2</v>
      </c>
      <c r="J11" s="16">
        <f t="shared" si="20"/>
        <v>-3.3096707914148475E-2</v>
      </c>
      <c r="K11" s="17">
        <f t="shared" si="10"/>
        <v>-2.8301145148187941E-2</v>
      </c>
      <c r="L11" s="5" t="s">
        <v>30</v>
      </c>
      <c r="M11" s="17">
        <f>K11</f>
        <v>-2.8301145148187941E-2</v>
      </c>
      <c r="N11" s="13"/>
      <c r="O11" s="22"/>
      <c r="P11" s="22"/>
      <c r="Q11" s="22"/>
      <c r="R11" s="5" t="s">
        <v>29</v>
      </c>
      <c r="S11" s="78">
        <f>$M$11*(S34+S38)</f>
        <v>-7403.6501159650916</v>
      </c>
      <c r="T11" s="78">
        <f t="shared" ref="T11:X11" si="21">$M$11*(T34+T38)</f>
        <v>-8502.1153251420492</v>
      </c>
      <c r="U11" s="78">
        <f t="shared" si="21"/>
        <v>-9576.7827022400033</v>
      </c>
      <c r="V11" s="78">
        <f t="shared" si="21"/>
        <v>-10787.288035803142</v>
      </c>
      <c r="W11" s="78">
        <f t="shared" si="21"/>
        <v>-12150.80124352866</v>
      </c>
      <c r="X11" s="78">
        <f t="shared" si="21"/>
        <v>-13686.662520710683</v>
      </c>
      <c r="Y11" s="14">
        <f t="shared" ref="Y11" si="22">$M11*(Y35+Y39)</f>
        <v>0</v>
      </c>
    </row>
    <row r="12" spans="1:33" x14ac:dyDescent="0.15">
      <c r="A12" s="2" t="s">
        <v>31</v>
      </c>
      <c r="B12" s="18">
        <f>SUM(B10:B11)</f>
        <v>64089</v>
      </c>
      <c r="C12" s="18">
        <f t="shared" ref="C12:D12" si="23">SUM(C10:C11)</f>
        <v>72903</v>
      </c>
      <c r="D12" s="18">
        <f t="shared" si="23"/>
        <v>65737</v>
      </c>
      <c r="E12" s="14"/>
      <c r="F12" s="14"/>
      <c r="G12" s="2"/>
      <c r="H12" s="16"/>
      <c r="I12" s="16"/>
      <c r="J12" s="16"/>
      <c r="K12" s="17"/>
      <c r="L12" s="2"/>
      <c r="M12" s="17"/>
      <c r="N12" s="13"/>
      <c r="O12" s="17"/>
      <c r="P12" s="17"/>
      <c r="Q12" s="17"/>
      <c r="R12" s="2" t="s">
        <v>31</v>
      </c>
      <c r="S12" s="18">
        <f>SUM(S10:S11)</f>
        <v>70288.529705321489</v>
      </c>
      <c r="T12" s="18">
        <f t="shared" ref="T12:X12" si="24">SUM(T10:T11)</f>
        <v>80717.102541172237</v>
      </c>
      <c r="U12" s="18">
        <f t="shared" si="24"/>
        <v>90919.744302376421</v>
      </c>
      <c r="V12" s="18">
        <f t="shared" si="24"/>
        <v>102411.99998219681</v>
      </c>
      <c r="W12" s="18">
        <f t="shared" si="24"/>
        <v>115356.87677994651</v>
      </c>
      <c r="X12" s="18">
        <f t="shared" si="24"/>
        <v>129937.98600493169</v>
      </c>
      <c r="Y12" s="18"/>
      <c r="Z12" s="23" t="s">
        <v>32</v>
      </c>
      <c r="AA12" s="24">
        <v>122.72</v>
      </c>
      <c r="AB12" s="23"/>
      <c r="AC12" s="23" t="s">
        <v>33</v>
      </c>
      <c r="AD12" s="23"/>
      <c r="AE12" s="23"/>
      <c r="AF12" s="25">
        <v>7.4999999999999997E-3</v>
      </c>
      <c r="AG12" s="16"/>
    </row>
    <row r="13" spans="1:33" x14ac:dyDescent="0.15">
      <c r="A13" s="5" t="s">
        <v>34</v>
      </c>
      <c r="B13" s="11">
        <v>-15738</v>
      </c>
      <c r="C13" s="11">
        <v>-13372</v>
      </c>
      <c r="D13" s="11">
        <v>-10481</v>
      </c>
      <c r="E13" s="14"/>
      <c r="F13" s="14"/>
      <c r="G13" s="5" t="s">
        <v>35</v>
      </c>
      <c r="H13" s="16">
        <f>B13/B12</f>
        <v>-0.24556476150353415</v>
      </c>
      <c r="I13" s="16">
        <f t="shared" ref="I13:J13" si="25">C13/C12</f>
        <v>-0.18342180705869443</v>
      </c>
      <c r="J13" s="16">
        <f t="shared" si="25"/>
        <v>-0.15943836804235059</v>
      </c>
      <c r="K13" s="17">
        <f t="shared" si="10"/>
        <v>-0.18342180705869443</v>
      </c>
      <c r="L13" s="5" t="s">
        <v>36</v>
      </c>
      <c r="M13" s="17">
        <f>K13</f>
        <v>-0.18342180705869443</v>
      </c>
      <c r="N13" s="17"/>
      <c r="O13" s="17"/>
      <c r="P13" s="17"/>
      <c r="Q13" s="17"/>
      <c r="R13" s="5" t="s">
        <v>34</v>
      </c>
      <c r="S13" s="14">
        <f>$M$13*S12</f>
        <v>-12892.449134048789</v>
      </c>
      <c r="T13" s="14">
        <f t="shared" ref="T13:X13" si="26">$M$13*T12</f>
        <v>-14805.276808643748</v>
      </c>
      <c r="U13" s="14">
        <f t="shared" si="26"/>
        <v>-16676.663797256319</v>
      </c>
      <c r="V13" s="14">
        <f t="shared" si="26"/>
        <v>-18784.594101229519</v>
      </c>
      <c r="W13" s="14">
        <f t="shared" si="26"/>
        <v>-21158.966795624936</v>
      </c>
      <c r="X13" s="14">
        <f t="shared" si="26"/>
        <v>-23833.460198591918</v>
      </c>
      <c r="Y13" s="14">
        <f t="shared" ref="Y13" si="27">Y12*$M13</f>
        <v>0</v>
      </c>
      <c r="Z13" s="23" t="s">
        <v>37</v>
      </c>
      <c r="AA13" s="26">
        <v>17100</v>
      </c>
      <c r="AB13" s="23"/>
      <c r="AC13" s="23" t="s">
        <v>38</v>
      </c>
      <c r="AD13" s="23"/>
      <c r="AE13" s="23"/>
      <c r="AF13" s="25">
        <v>8.0500000000000002E-2</v>
      </c>
    </row>
    <row r="14" spans="1:33" x14ac:dyDescent="0.15">
      <c r="A14" s="2" t="s">
        <v>39</v>
      </c>
      <c r="B14" s="18">
        <f>SUM(B12:B13)</f>
        <v>48351</v>
      </c>
      <c r="C14" s="18">
        <f t="shared" ref="C14:D14" si="28">SUM(C12:C13)</f>
        <v>59531</v>
      </c>
      <c r="D14" s="18">
        <f t="shared" si="28"/>
        <v>55256</v>
      </c>
      <c r="E14" s="18"/>
      <c r="F14" s="18"/>
      <c r="H14" s="16"/>
      <c r="I14" s="16"/>
      <c r="J14" s="16"/>
      <c r="K14" s="17"/>
      <c r="M14" s="17"/>
      <c r="O14" s="22"/>
      <c r="P14" s="22"/>
      <c r="Q14" s="22"/>
      <c r="R14" s="2" t="s">
        <v>39</v>
      </c>
      <c r="S14" s="18">
        <f>SUM(S12:S13)</f>
        <v>57396.080571272701</v>
      </c>
      <c r="T14" s="18">
        <f t="shared" ref="T14:X14" si="29">SUM(T12:T13)</f>
        <v>65911.825732528494</v>
      </c>
      <c r="U14" s="18">
        <f t="shared" si="29"/>
        <v>74243.080505120102</v>
      </c>
      <c r="V14" s="18">
        <f t="shared" si="29"/>
        <v>83627.405880967286</v>
      </c>
      <c r="W14" s="18">
        <f t="shared" si="29"/>
        <v>94197.909984321581</v>
      </c>
      <c r="X14" s="18">
        <f t="shared" si="29"/>
        <v>106104.52580633978</v>
      </c>
      <c r="Y14" s="18"/>
      <c r="Z14" s="23" t="s">
        <v>40</v>
      </c>
      <c r="AA14" s="27">
        <f>AA12*AA13</f>
        <v>2098512</v>
      </c>
      <c r="AB14" s="23"/>
      <c r="AC14" s="5" t="s">
        <v>41</v>
      </c>
      <c r="AD14" s="23"/>
      <c r="AE14" s="23"/>
      <c r="AF14" s="24">
        <v>1.35</v>
      </c>
    </row>
    <row r="15" spans="1:33" x14ac:dyDescent="0.15">
      <c r="A15" s="5" t="s">
        <v>42</v>
      </c>
      <c r="B15" s="11"/>
      <c r="C15" s="11"/>
      <c r="D15" s="11"/>
      <c r="E15" s="14"/>
      <c r="F15" s="14"/>
      <c r="G15" s="5" t="s">
        <v>42</v>
      </c>
      <c r="H15" s="16"/>
      <c r="I15" s="16"/>
      <c r="J15" s="16"/>
      <c r="K15" s="17"/>
      <c r="L15" s="5" t="s">
        <v>42</v>
      </c>
      <c r="M15" s="17"/>
      <c r="N15" s="17"/>
      <c r="O15" s="17"/>
      <c r="P15" s="22"/>
      <c r="Q15" s="17"/>
      <c r="R15" s="5" t="s">
        <v>42</v>
      </c>
      <c r="S15" s="14"/>
      <c r="T15" s="14"/>
      <c r="U15" s="14"/>
      <c r="V15" s="14"/>
      <c r="W15" s="14"/>
      <c r="X15" s="14"/>
      <c r="Y15" s="14"/>
      <c r="Z15" s="23" t="s">
        <v>43</v>
      </c>
      <c r="AA15" s="26">
        <v>122280</v>
      </c>
      <c r="AB15" s="23"/>
      <c r="AC15" s="23" t="s">
        <v>44</v>
      </c>
      <c r="AD15" s="23"/>
      <c r="AE15" s="23"/>
      <c r="AF15" s="28">
        <f>(2/3)*(AF14)+(1/3)</f>
        <v>1.2333333333333334</v>
      </c>
    </row>
    <row r="16" spans="1:33" x14ac:dyDescent="0.15">
      <c r="A16" s="5" t="s">
        <v>45</v>
      </c>
      <c r="B16" s="29"/>
      <c r="C16" s="29"/>
      <c r="D16" s="29"/>
      <c r="E16" s="18"/>
      <c r="F16" s="18"/>
      <c r="G16" s="5" t="s">
        <v>45</v>
      </c>
      <c r="H16" s="16"/>
      <c r="I16" s="16"/>
      <c r="J16" s="16"/>
      <c r="K16" s="17"/>
      <c r="L16" s="5" t="s">
        <v>45</v>
      </c>
      <c r="M16" s="17"/>
      <c r="O16" s="22"/>
      <c r="R16" s="5" t="s">
        <v>45</v>
      </c>
      <c r="S16" s="14"/>
      <c r="T16" s="14"/>
      <c r="U16" s="14"/>
      <c r="V16" s="14"/>
      <c r="W16" s="14"/>
      <c r="X16" s="14"/>
      <c r="Y16" s="18">
        <f t="shared" ref="Y16" si="30">Y$4*$M16</f>
        <v>0</v>
      </c>
      <c r="Z16" s="23" t="s">
        <v>46</v>
      </c>
      <c r="AA16" s="30">
        <f>AA14+AA15</f>
        <v>2220792</v>
      </c>
      <c r="AB16" s="23"/>
      <c r="AC16" s="23" t="s">
        <v>47</v>
      </c>
      <c r="AD16" s="23"/>
      <c r="AE16" s="23"/>
      <c r="AF16" s="31">
        <f>AF12+AF13*AF15</f>
        <v>0.10678333333333334</v>
      </c>
    </row>
    <row r="17" spans="1:33" x14ac:dyDescent="0.15">
      <c r="A17" s="2" t="s">
        <v>15</v>
      </c>
      <c r="B17" s="18">
        <f>SUM(B14:B16)</f>
        <v>48351</v>
      </c>
      <c r="C17" s="18">
        <f t="shared" ref="C17:D17" si="31">SUM(C14:C16)</f>
        <v>59531</v>
      </c>
      <c r="D17" s="18">
        <f t="shared" si="31"/>
        <v>55256</v>
      </c>
      <c r="E17" s="14"/>
      <c r="F17" s="14"/>
      <c r="H17" s="16"/>
      <c r="I17" s="16"/>
      <c r="J17" s="16"/>
      <c r="K17" s="17"/>
      <c r="N17" s="17"/>
      <c r="O17" s="17"/>
      <c r="R17" s="2" t="s">
        <v>15</v>
      </c>
      <c r="S17" s="18">
        <f>SUM(S14:S16)</f>
        <v>57396.080571272701</v>
      </c>
      <c r="T17" s="18">
        <f t="shared" ref="T17:X17" si="32">SUM(T14:T16)</f>
        <v>65911.825732528494</v>
      </c>
      <c r="U17" s="18">
        <f t="shared" si="32"/>
        <v>74243.080505120102</v>
      </c>
      <c r="V17" s="18">
        <f t="shared" si="32"/>
        <v>83627.405880967286</v>
      </c>
      <c r="W17" s="18">
        <f t="shared" si="32"/>
        <v>94197.909984321581</v>
      </c>
      <c r="X17" s="18">
        <f t="shared" si="32"/>
        <v>106104.52580633978</v>
      </c>
      <c r="Y17" s="14"/>
      <c r="Z17" s="23" t="s">
        <v>48</v>
      </c>
      <c r="AA17" s="16">
        <f>AA14/AA16</f>
        <v>0.94493856245879848</v>
      </c>
      <c r="AB17" s="23"/>
      <c r="AC17" s="23" t="s">
        <v>49</v>
      </c>
      <c r="AE17" s="23"/>
      <c r="AF17" s="32">
        <f>ABS(M11)</f>
        <v>2.8301145148187941E-2</v>
      </c>
    </row>
    <row r="18" spans="1:33" x14ac:dyDescent="0.15">
      <c r="A18" s="5"/>
      <c r="E18" s="18"/>
      <c r="F18" s="18"/>
      <c r="H18" s="16"/>
      <c r="I18" s="16"/>
      <c r="J18" s="16"/>
      <c r="K18" s="17"/>
      <c r="N18" s="33"/>
      <c r="O18" s="22"/>
      <c r="P18" s="17"/>
      <c r="Q18" s="22"/>
      <c r="R18" s="5"/>
      <c r="S18" s="34"/>
      <c r="T18" s="34"/>
      <c r="U18" s="34"/>
      <c r="V18" s="34"/>
      <c r="W18" s="34"/>
      <c r="X18" s="34"/>
      <c r="Z18" s="23" t="s">
        <v>50</v>
      </c>
      <c r="AA18" s="16">
        <f>AA15/AA16</f>
        <v>5.5061437541201519E-2</v>
      </c>
      <c r="AB18" s="23"/>
      <c r="AC18" s="23" t="s">
        <v>51</v>
      </c>
      <c r="AE18" s="23"/>
      <c r="AF18" s="32">
        <f>ABS(M13)</f>
        <v>0.18342180705869443</v>
      </c>
    </row>
    <row r="19" spans="1:33" x14ac:dyDescent="0.15">
      <c r="A19" s="2" t="s">
        <v>52</v>
      </c>
      <c r="B19" s="3" t="s">
        <v>6</v>
      </c>
      <c r="C19" s="4"/>
      <c r="D19" s="4"/>
      <c r="E19" s="14"/>
      <c r="F19" s="14"/>
      <c r="G19" s="2" t="s">
        <v>53</v>
      </c>
      <c r="H19" s="17"/>
      <c r="I19" s="17"/>
      <c r="J19" s="17"/>
      <c r="K19" s="17"/>
      <c r="Q19" s="17"/>
      <c r="R19" s="2" t="s">
        <v>52</v>
      </c>
      <c r="S19" s="3" t="s">
        <v>6</v>
      </c>
      <c r="T19" s="4"/>
      <c r="U19" s="4"/>
      <c r="V19" s="4"/>
      <c r="W19" s="4"/>
      <c r="X19" s="4"/>
      <c r="Y19" s="30"/>
      <c r="Z19" s="23" t="s">
        <v>54</v>
      </c>
      <c r="AA19" s="31">
        <f>MIN(M3,5%)</f>
        <v>0.05</v>
      </c>
      <c r="AB19" s="23"/>
      <c r="AC19" s="23" t="s">
        <v>55</v>
      </c>
      <c r="AD19" s="23"/>
      <c r="AE19" s="23"/>
      <c r="AF19" s="31">
        <f>AA17*AF16+AA18*AF17*(1-AF18)</f>
        <v>0.10217616471013473</v>
      </c>
    </row>
    <row r="20" spans="1:33" x14ac:dyDescent="0.15">
      <c r="B20" s="8">
        <f>B3</f>
        <v>43008</v>
      </c>
      <c r="C20" s="8">
        <f>C3</f>
        <v>43373</v>
      </c>
      <c r="D20" s="8">
        <f>D3</f>
        <v>43738</v>
      </c>
      <c r="E20" s="18"/>
      <c r="F20" s="18"/>
      <c r="H20" s="8">
        <f>B3</f>
        <v>43008</v>
      </c>
      <c r="I20" s="8">
        <f>C3</f>
        <v>43373</v>
      </c>
      <c r="J20" s="8">
        <f>D3</f>
        <v>43738</v>
      </c>
      <c r="K20" s="4" t="s">
        <v>10</v>
      </c>
      <c r="L20" s="2" t="s">
        <v>56</v>
      </c>
      <c r="M20" s="17"/>
      <c r="P20" s="22"/>
      <c r="Q20" s="22"/>
      <c r="S20" s="10">
        <f>S3</f>
        <v>44104</v>
      </c>
      <c r="T20" s="10">
        <f t="shared" ref="T20:X20" si="33">T3</f>
        <v>44469</v>
      </c>
      <c r="U20" s="10">
        <f t="shared" si="33"/>
        <v>44834</v>
      </c>
      <c r="V20" s="10">
        <f t="shared" si="33"/>
        <v>45199</v>
      </c>
      <c r="W20" s="10">
        <f t="shared" si="33"/>
        <v>45564</v>
      </c>
      <c r="X20" s="10">
        <f t="shared" si="33"/>
        <v>45929</v>
      </c>
      <c r="Y20" s="14"/>
      <c r="Z20" s="23"/>
      <c r="AA20" s="2" t="s">
        <v>6</v>
      </c>
      <c r="AB20" s="23"/>
      <c r="AC20" s="23"/>
      <c r="AD20" s="23"/>
      <c r="AE20" s="23"/>
      <c r="AF20" s="23"/>
    </row>
    <row r="21" spans="1:33" x14ac:dyDescent="0.15">
      <c r="A21" t="s">
        <v>57</v>
      </c>
      <c r="B21" s="11">
        <v>20289</v>
      </c>
      <c r="C21" s="11">
        <v>25913</v>
      </c>
      <c r="D21" s="11">
        <v>48844</v>
      </c>
      <c r="E21" s="14"/>
      <c r="F21" s="14"/>
      <c r="G21" t="s">
        <v>57</v>
      </c>
      <c r="H21" s="16">
        <f>B21/B4</f>
        <v>8.8507812977132533E-2</v>
      </c>
      <c r="I21" s="16">
        <f t="shared" ref="I21:J21" si="34">C21/C4</f>
        <v>9.7565842730473085E-2</v>
      </c>
      <c r="J21" s="16">
        <f t="shared" si="34"/>
        <v>0.18773589982088909</v>
      </c>
      <c r="K21" s="17">
        <f>MEDIAN(H21:J21)</f>
        <v>9.7565842730473085E-2</v>
      </c>
      <c r="L21" t="s">
        <v>58</v>
      </c>
      <c r="M21" s="35">
        <f>K21</f>
        <v>9.7565842730473085E-2</v>
      </c>
      <c r="N21" s="17"/>
      <c r="O21" s="17"/>
      <c r="P21" s="17"/>
      <c r="Q21" s="17"/>
      <c r="R21" t="s">
        <v>57</v>
      </c>
      <c r="S21" s="14">
        <f>$M$21*S4</f>
        <v>26783.775146369469</v>
      </c>
      <c r="T21" s="14">
        <f t="shared" ref="T21:X21" si="35">$M$21*T4</f>
        <v>30757.631920781641</v>
      </c>
      <c r="U21" s="14">
        <f t="shared" si="35"/>
        <v>34645.39659556844</v>
      </c>
      <c r="V21" s="14">
        <f t="shared" si="35"/>
        <v>39024.574725248298</v>
      </c>
      <c r="W21" s="14">
        <f t="shared" si="35"/>
        <v>43957.280970519685</v>
      </c>
      <c r="X21" s="14">
        <f t="shared" si="35"/>
        <v>49513.481285193375</v>
      </c>
      <c r="Z21" s="36" t="s">
        <v>59</v>
      </c>
      <c r="AA21" s="37">
        <v>44166</v>
      </c>
      <c r="AB21" s="38">
        <f>T3</f>
        <v>44469</v>
      </c>
      <c r="AC21" s="38">
        <f>U3</f>
        <v>44834</v>
      </c>
      <c r="AD21" s="38">
        <f>V3</f>
        <v>45199</v>
      </c>
      <c r="AE21" s="38">
        <f>W3</f>
        <v>45564</v>
      </c>
      <c r="AF21" s="38">
        <f>X3</f>
        <v>45929</v>
      </c>
    </row>
    <row r="22" spans="1:33" x14ac:dyDescent="0.15">
      <c r="A22" t="s">
        <v>60</v>
      </c>
      <c r="B22" s="11">
        <v>53892</v>
      </c>
      <c r="C22" s="11">
        <v>40388</v>
      </c>
      <c r="D22" s="11">
        <v>51713</v>
      </c>
      <c r="G22" t="s">
        <v>60</v>
      </c>
      <c r="H22" s="16">
        <f>B22/B4</f>
        <v>0.23509601542528596</v>
      </c>
      <c r="I22" s="16">
        <f t="shared" ref="I22:J22" si="36">C22/C4</f>
        <v>0.15206611570247933</v>
      </c>
      <c r="J22" s="16">
        <f t="shared" si="36"/>
        <v>0.19876313544012852</v>
      </c>
      <c r="K22" s="17">
        <f t="shared" ref="K22:K41" si="37">MEDIAN(H22:J22)</f>
        <v>0.19876313544012852</v>
      </c>
      <c r="L22" t="s">
        <v>60</v>
      </c>
      <c r="M22" s="39" t="s">
        <v>61</v>
      </c>
      <c r="O22" s="17"/>
      <c r="P22" s="22"/>
      <c r="Q22" s="22"/>
      <c r="R22" t="s">
        <v>60</v>
      </c>
      <c r="S22" s="14">
        <f>S49-S21-SUM(S23:S25)-SUM(S27:S30)</f>
        <v>122389.4005932053</v>
      </c>
      <c r="T22" s="14">
        <f t="shared" ref="T22:X22" si="38">T49-T21-SUM(T23:T25)-SUM(T27:T30)</f>
        <v>175498.70207387191</v>
      </c>
      <c r="U22" s="14">
        <f t="shared" si="38"/>
        <v>234850.98778197635</v>
      </c>
      <c r="V22" s="14">
        <f t="shared" si="38"/>
        <v>301705.40240358515</v>
      </c>
      <c r="W22" s="14">
        <f t="shared" si="38"/>
        <v>377010.21503336518</v>
      </c>
      <c r="X22" s="14">
        <f t="shared" si="38"/>
        <v>461833.55597954965</v>
      </c>
      <c r="Z22" s="2" t="s">
        <v>62</v>
      </c>
      <c r="AG22" s="23"/>
    </row>
    <row r="23" spans="1:33" x14ac:dyDescent="0.15">
      <c r="A23" s="5" t="s">
        <v>63</v>
      </c>
      <c r="B23" s="11">
        <v>35673</v>
      </c>
      <c r="C23" s="11">
        <v>48995</v>
      </c>
      <c r="D23" s="11">
        <v>45804</v>
      </c>
      <c r="F23" s="8"/>
      <c r="G23" s="5" t="s">
        <v>63</v>
      </c>
      <c r="H23" s="16">
        <f>B23/B4</f>
        <v>0.15561827652093493</v>
      </c>
      <c r="I23" s="16">
        <f t="shared" ref="I23:J23" si="39">C23/C4</f>
        <v>0.18447259925826917</v>
      </c>
      <c r="J23" s="16">
        <f t="shared" si="39"/>
        <v>0.17605141174752281</v>
      </c>
      <c r="K23" s="17">
        <f t="shared" si="37"/>
        <v>0.17605141174752281</v>
      </c>
      <c r="L23" s="5" t="s">
        <v>64</v>
      </c>
      <c r="M23" s="35">
        <f>K23</f>
        <v>0.17605141174752281</v>
      </c>
      <c r="N23" s="33"/>
      <c r="O23" s="17"/>
      <c r="Q23" s="17"/>
      <c r="R23" s="5" t="s">
        <v>63</v>
      </c>
      <c r="S23" s="14">
        <f>$M$23*S4</f>
        <v>48329.633552929961</v>
      </c>
      <c r="T23" s="14">
        <f t="shared" ref="T23:X23" si="40">$M$23*T4</f>
        <v>55500.207553406566</v>
      </c>
      <c r="U23" s="14">
        <f t="shared" si="40"/>
        <v>62515.433788157163</v>
      </c>
      <c r="V23" s="14">
        <f t="shared" si="40"/>
        <v>70417.384618980243</v>
      </c>
      <c r="W23" s="14">
        <f t="shared" si="40"/>
        <v>79318.142034819335</v>
      </c>
      <c r="X23" s="14">
        <f t="shared" si="40"/>
        <v>89343.955188020511</v>
      </c>
      <c r="Z23" t="s">
        <v>65</v>
      </c>
      <c r="AB23" s="30">
        <f>(T38+T34)-(S38+S34)</f>
        <v>38813.454488335061</v>
      </c>
      <c r="AC23" s="30">
        <f t="shared" ref="AC23:AF23" si="41">(U38+U34)-(T38+T34)</f>
        <v>37972.575719847286</v>
      </c>
      <c r="AD23" s="30">
        <f t="shared" si="41"/>
        <v>42772.309290836041</v>
      </c>
      <c r="AE23" s="30">
        <f t="shared" si="41"/>
        <v>48178.729185197677</v>
      </c>
      <c r="AF23" s="30">
        <f t="shared" si="41"/>
        <v>54268.520554206625</v>
      </c>
      <c r="AG23" s="23"/>
    </row>
    <row r="24" spans="1:33" x14ac:dyDescent="0.15">
      <c r="A24" t="s">
        <v>66</v>
      </c>
      <c r="B24" s="11">
        <v>4855</v>
      </c>
      <c r="C24" s="11">
        <v>3956</v>
      </c>
      <c r="D24" s="11">
        <v>4106</v>
      </c>
      <c r="F24" s="14"/>
      <c r="G24" t="s">
        <v>66</v>
      </c>
      <c r="H24" s="16">
        <f>B24/B4</f>
        <v>2.1179231702103528E-2</v>
      </c>
      <c r="I24" s="16">
        <f t="shared" ref="I24:J24" si="42">C24/C4</f>
        <v>1.4894858713454697E-2</v>
      </c>
      <c r="J24" s="16">
        <f t="shared" si="42"/>
        <v>1.5781746062250648E-2</v>
      </c>
      <c r="K24" s="17">
        <f t="shared" si="37"/>
        <v>1.5781746062250648E-2</v>
      </c>
      <c r="L24" t="s">
        <v>66</v>
      </c>
      <c r="M24" s="35">
        <f>K24</f>
        <v>1.5781746062250648E-2</v>
      </c>
      <c r="O24" s="4"/>
      <c r="P24" s="17"/>
      <c r="Q24" s="17"/>
      <c r="R24" t="s">
        <v>66</v>
      </c>
      <c r="S24" s="14">
        <f>$M$24*S4</f>
        <v>4332.4049290090479</v>
      </c>
      <c r="T24" s="14">
        <f t="shared" ref="T24:X24" si="43">$M$24*T4</f>
        <v>4975.1954461245168</v>
      </c>
      <c r="U24" s="14">
        <f t="shared" si="43"/>
        <v>5604.060150514656</v>
      </c>
      <c r="V24" s="14">
        <f t="shared" si="43"/>
        <v>6312.4133535397095</v>
      </c>
      <c r="W24" s="14">
        <f t="shared" si="43"/>
        <v>7110.3024014271296</v>
      </c>
      <c r="X24" s="14">
        <f t="shared" si="43"/>
        <v>8009.0446249675188</v>
      </c>
      <c r="Z24" t="s">
        <v>67</v>
      </c>
      <c r="AA24" s="40">
        <v>0</v>
      </c>
      <c r="AB24" s="30">
        <f>AA10-AA9+AB23</f>
        <v>103715.76147051886</v>
      </c>
      <c r="AC24" s="30">
        <f t="shared" ref="AC24:AF24" si="44">AB10-AB9+AC23</f>
        <v>111228.00831541092</v>
      </c>
      <c r="AD24" s="30">
        <f t="shared" si="44"/>
        <v>125287.22856647891</v>
      </c>
      <c r="AE24" s="30">
        <f t="shared" si="44"/>
        <v>141123.53425728186</v>
      </c>
      <c r="AF24" s="30">
        <f t="shared" si="44"/>
        <v>158961.54898740214</v>
      </c>
      <c r="AG24" s="23"/>
    </row>
    <row r="25" spans="1:33" x14ac:dyDescent="0.15">
      <c r="A25" s="5" t="s">
        <v>68</v>
      </c>
      <c r="B25" s="20">
        <v>13936</v>
      </c>
      <c r="C25" s="20">
        <v>12087</v>
      </c>
      <c r="D25" s="20">
        <v>12352</v>
      </c>
      <c r="F25" s="14"/>
      <c r="G25" s="5" t="s">
        <v>68</v>
      </c>
      <c r="H25" s="16">
        <f>B25/B4</f>
        <v>6.0793774047479869E-2</v>
      </c>
      <c r="I25" s="16">
        <f t="shared" ref="I25:J25" si="45">C25/C4</f>
        <v>4.550913985579548E-2</v>
      </c>
      <c r="J25" s="16">
        <f t="shared" si="45"/>
        <v>4.7475919961256698E-2</v>
      </c>
      <c r="K25" s="17">
        <f t="shared" si="37"/>
        <v>4.7475919961256698E-2</v>
      </c>
      <c r="L25" s="5" t="s">
        <v>68</v>
      </c>
      <c r="M25" s="35">
        <f>K25</f>
        <v>4.7475919961256698E-2</v>
      </c>
      <c r="O25" s="17"/>
      <c r="P25" s="17"/>
      <c r="Q25" s="17"/>
      <c r="R25" s="5" t="s">
        <v>68</v>
      </c>
      <c r="S25" s="14">
        <f>$M$25*S4</f>
        <v>13033.089547764188</v>
      </c>
      <c r="T25" s="14">
        <f t="shared" ref="T25:X25" si="46">$M$25*T4</f>
        <v>14966.783767786173</v>
      </c>
      <c r="U25" s="14">
        <f t="shared" si="46"/>
        <v>16858.585236034349</v>
      </c>
      <c r="V25" s="14">
        <f t="shared" si="46"/>
        <v>18989.510409869094</v>
      </c>
      <c r="W25" s="14">
        <f t="shared" si="46"/>
        <v>21389.784525676547</v>
      </c>
      <c r="X25" s="14">
        <f t="shared" si="46"/>
        <v>24093.453289722063</v>
      </c>
      <c r="Y25" s="14" t="e">
        <f>#REF!-Y24</f>
        <v>#REF!</v>
      </c>
      <c r="Z25" t="s">
        <v>69</v>
      </c>
      <c r="AB25" s="30"/>
      <c r="AC25" s="30"/>
      <c r="AD25" s="30"/>
      <c r="AE25" s="30"/>
      <c r="AF25" s="14">
        <f>AF24*(1+AA19)/(AF16-AA19)</f>
        <v>2939412.264809608</v>
      </c>
      <c r="AG25" s="23"/>
    </row>
    <row r="26" spans="1:33" x14ac:dyDescent="0.15">
      <c r="A26" s="2" t="s">
        <v>70</v>
      </c>
      <c r="B26" s="18">
        <f>SUM(B21:B25)</f>
        <v>128645</v>
      </c>
      <c r="C26" s="18">
        <f t="shared" ref="C26:D26" si="47">SUM(C21:C25)</f>
        <v>131339</v>
      </c>
      <c r="D26" s="18">
        <f t="shared" si="47"/>
        <v>162819</v>
      </c>
      <c r="F26" s="14"/>
      <c r="G26" s="2"/>
      <c r="H26" s="16"/>
      <c r="I26" s="16"/>
      <c r="J26" s="16"/>
      <c r="K26" s="17"/>
      <c r="N26" s="17"/>
      <c r="O26" s="17"/>
      <c r="P26" s="17"/>
      <c r="Q26" s="4"/>
      <c r="R26" s="2" t="s">
        <v>70</v>
      </c>
      <c r="S26" s="18">
        <f>SUM(S21:S25)</f>
        <v>214868.30376927796</v>
      </c>
      <c r="T26" s="18">
        <f t="shared" ref="T26:X26" si="48">SUM(T21:T25)</f>
        <v>281698.52076197078</v>
      </c>
      <c r="U26" s="18">
        <f t="shared" si="48"/>
        <v>354474.46355225099</v>
      </c>
      <c r="V26" s="18">
        <f t="shared" si="48"/>
        <v>436449.28551122244</v>
      </c>
      <c r="W26" s="18">
        <f t="shared" si="48"/>
        <v>528785.72496580787</v>
      </c>
      <c r="X26" s="18">
        <f t="shared" si="48"/>
        <v>632793.49036745308</v>
      </c>
      <c r="Y26" s="14" t="e">
        <f>Y24-Y25</f>
        <v>#REF!</v>
      </c>
      <c r="Z26" t="s">
        <v>71</v>
      </c>
      <c r="AA26" s="40">
        <f>AA24</f>
        <v>0</v>
      </c>
      <c r="AB26" s="30">
        <f>AB24</f>
        <v>103715.76147051886</v>
      </c>
      <c r="AC26" s="30">
        <f t="shared" ref="AC26:AE26" si="49">AC24</f>
        <v>111228.00831541092</v>
      </c>
      <c r="AD26" s="30">
        <f t="shared" si="49"/>
        <v>125287.22856647891</v>
      </c>
      <c r="AE26" s="30">
        <f t="shared" si="49"/>
        <v>141123.53425728186</v>
      </c>
      <c r="AF26" s="30">
        <f>AF24+AF25</f>
        <v>3098373.8137970101</v>
      </c>
      <c r="AG26" s="23"/>
    </row>
    <row r="27" spans="1:33" x14ac:dyDescent="0.15">
      <c r="A27" s="5" t="s">
        <v>72</v>
      </c>
      <c r="B27" s="11">
        <v>33783</v>
      </c>
      <c r="C27" s="11">
        <v>41304</v>
      </c>
      <c r="D27" s="11">
        <v>37378</v>
      </c>
      <c r="F27" s="14"/>
      <c r="G27" s="5" t="s">
        <v>72</v>
      </c>
      <c r="H27" s="16">
        <f>B27/B4</f>
        <v>0.14737342628056921</v>
      </c>
      <c r="I27" s="16">
        <f t="shared" ref="I27:J27" si="50">C27/C4</f>
        <v>0.15551497580903256</v>
      </c>
      <c r="J27" s="16">
        <f t="shared" si="50"/>
        <v>0.14366539315996218</v>
      </c>
      <c r="K27" s="17">
        <f t="shared" si="37"/>
        <v>0.14737342628056921</v>
      </c>
      <c r="L27" s="5" t="s">
        <v>72</v>
      </c>
      <c r="M27" s="35">
        <f>K27</f>
        <v>0.14737342628056921</v>
      </c>
      <c r="N27" s="33"/>
      <c r="O27" s="17"/>
      <c r="P27" s="4"/>
      <c r="Q27" s="17"/>
      <c r="R27" s="5" t="s">
        <v>72</v>
      </c>
      <c r="S27" s="14">
        <f>$M$27*S4</f>
        <v>40456.952982541858</v>
      </c>
      <c r="T27" s="14">
        <f t="shared" ref="T27:X27" si="51">$M$27*T4</f>
        <v>46459.472634949445</v>
      </c>
      <c r="U27" s="14">
        <f t="shared" si="51"/>
        <v>52331.949976007061</v>
      </c>
      <c r="V27" s="14">
        <f t="shared" si="51"/>
        <v>58946.708452974359</v>
      </c>
      <c r="W27" s="14">
        <f t="shared" si="51"/>
        <v>66397.572401430312</v>
      </c>
      <c r="X27" s="14">
        <f t="shared" si="51"/>
        <v>74790.225552971111</v>
      </c>
      <c r="Y27" s="14">
        <f>Y$5*$M21</f>
        <v>0</v>
      </c>
      <c r="Z27" s="2" t="s">
        <v>73</v>
      </c>
      <c r="AA27" s="41">
        <f>XNPV(AF16, AA26:AF26,AA21:AF21)*(1+AF16)^(1/2)</f>
        <v>2393865.9145486793</v>
      </c>
      <c r="AF27" s="30"/>
      <c r="AG27" s="23"/>
    </row>
    <row r="28" spans="1:33" x14ac:dyDescent="0.15">
      <c r="A28" s="5" t="s">
        <v>74</v>
      </c>
      <c r="B28" s="11">
        <v>194714</v>
      </c>
      <c r="C28" s="11">
        <v>170799</v>
      </c>
      <c r="D28" s="11">
        <v>105341</v>
      </c>
      <c r="F28" s="18"/>
      <c r="G28" s="5" t="s">
        <v>74</v>
      </c>
      <c r="H28" s="16">
        <f>B28/B4</f>
        <v>0.84941151836115059</v>
      </c>
      <c r="I28" s="16">
        <f t="shared" ref="I28:J28" si="52">C28/C4</f>
        <v>0.64308063028294959</v>
      </c>
      <c r="J28" s="16">
        <f t="shared" si="52"/>
        <v>0.40488672965015721</v>
      </c>
      <c r="K28" s="17">
        <f t="shared" si="37"/>
        <v>0.64308063028294959</v>
      </c>
      <c r="L28" s="5" t="s">
        <v>74</v>
      </c>
      <c r="M28" s="35">
        <f>K28</f>
        <v>0.64308063028294959</v>
      </c>
      <c r="N28" s="17"/>
      <c r="O28" s="17"/>
      <c r="P28" s="17"/>
      <c r="Q28" s="17"/>
      <c r="R28" s="5" t="s">
        <v>74</v>
      </c>
      <c r="S28" s="14">
        <f>$M$28*S4</f>
        <v>176538.49462527531</v>
      </c>
      <c r="T28" s="14">
        <f t="shared" ref="T28:X28" si="53">$M$28*T4</f>
        <v>202731.16869669987</v>
      </c>
      <c r="U28" s="14">
        <f t="shared" si="53"/>
        <v>228356.38841996275</v>
      </c>
      <c r="V28" s="14">
        <f t="shared" si="53"/>
        <v>257220.63591624607</v>
      </c>
      <c r="W28" s="14">
        <f t="shared" si="53"/>
        <v>289733.32429605955</v>
      </c>
      <c r="X28" s="14">
        <f t="shared" si="53"/>
        <v>326355.61648708151</v>
      </c>
      <c r="Y28" s="14">
        <f>Y$4*$M21</f>
        <v>4240.6993542800128</v>
      </c>
      <c r="Z28" s="2" t="s">
        <v>75</v>
      </c>
      <c r="AA28" s="42">
        <f>AA27/AA13</f>
        <v>139.99215874553681</v>
      </c>
      <c r="AG28" s="23"/>
    </row>
    <row r="29" spans="1:33" x14ac:dyDescent="0.15">
      <c r="A29" s="5" t="s">
        <v>76</v>
      </c>
      <c r="B29" s="11">
        <v>8015</v>
      </c>
      <c r="C29" s="11"/>
      <c r="D29" s="11"/>
      <c r="F29" s="14"/>
      <c r="H29" s="16"/>
      <c r="I29" s="16"/>
      <c r="J29" s="16"/>
      <c r="K29" s="17"/>
      <c r="L29" s="5" t="s">
        <v>76</v>
      </c>
      <c r="M29" s="35" t="s">
        <v>77</v>
      </c>
      <c r="N29" s="17"/>
      <c r="O29" s="22"/>
      <c r="P29" s="17"/>
      <c r="Q29" s="17"/>
      <c r="R29" s="5" t="s">
        <v>76</v>
      </c>
      <c r="S29" s="14">
        <f>$D$29</f>
        <v>0</v>
      </c>
      <c r="T29" s="14">
        <f t="shared" ref="T29:X29" si="54">$D$29</f>
        <v>0</v>
      </c>
      <c r="U29" s="14">
        <f t="shared" si="54"/>
        <v>0</v>
      </c>
      <c r="V29" s="14">
        <f t="shared" si="54"/>
        <v>0</v>
      </c>
      <c r="W29" s="14">
        <f t="shared" si="54"/>
        <v>0</v>
      </c>
      <c r="X29" s="14">
        <f t="shared" si="54"/>
        <v>0</v>
      </c>
      <c r="Y29" s="14">
        <f>Y$4*$M21</f>
        <v>4240.6993542800128</v>
      </c>
      <c r="AG29" s="23"/>
    </row>
    <row r="30" spans="1:33" x14ac:dyDescent="0.15">
      <c r="A30" s="5" t="s">
        <v>78</v>
      </c>
      <c r="B30" s="20">
        <v>10162</v>
      </c>
      <c r="C30" s="20">
        <v>22283</v>
      </c>
      <c r="D30" s="20">
        <v>32978</v>
      </c>
      <c r="F30" s="14"/>
      <c r="K30" s="17"/>
      <c r="L30" s="5" t="s">
        <v>78</v>
      </c>
      <c r="M30" s="35" t="s">
        <v>77</v>
      </c>
      <c r="N30" s="17"/>
      <c r="O30" s="17"/>
      <c r="P30" s="17"/>
      <c r="Q30" s="17"/>
      <c r="R30" s="5" t="s">
        <v>78</v>
      </c>
      <c r="S30" s="14">
        <f>$D$30</f>
        <v>32978</v>
      </c>
      <c r="T30" s="14">
        <f t="shared" ref="T30:X30" si="55">$D$30</f>
        <v>32978</v>
      </c>
      <c r="U30" s="14">
        <f t="shared" si="55"/>
        <v>32978</v>
      </c>
      <c r="V30" s="14">
        <f t="shared" si="55"/>
        <v>32978</v>
      </c>
      <c r="W30" s="14">
        <f t="shared" si="55"/>
        <v>32978</v>
      </c>
      <c r="X30" s="14">
        <f t="shared" si="55"/>
        <v>32978</v>
      </c>
      <c r="Z30" s="2" t="s">
        <v>79</v>
      </c>
      <c r="AG30" s="23"/>
    </row>
    <row r="31" spans="1:33" x14ac:dyDescent="0.15">
      <c r="A31" s="2" t="s">
        <v>80</v>
      </c>
      <c r="B31" s="18">
        <f>SUM(B26:B30)</f>
        <v>375319</v>
      </c>
      <c r="C31" s="18">
        <f t="shared" ref="C31:D31" si="56">SUM(C26:C30)</f>
        <v>365725</v>
      </c>
      <c r="D31" s="18">
        <f t="shared" si="56"/>
        <v>338516</v>
      </c>
      <c r="F31" s="14"/>
      <c r="H31" s="16"/>
      <c r="I31" s="16"/>
      <c r="J31" s="16"/>
      <c r="K31" s="17"/>
      <c r="M31" s="35"/>
      <c r="N31" s="17"/>
      <c r="O31" s="17"/>
      <c r="P31" s="17"/>
      <c r="Q31" s="22"/>
      <c r="R31" s="2" t="s">
        <v>80</v>
      </c>
      <c r="S31" s="18">
        <f>S26+SUM(S27:S30)</f>
        <v>464841.75137709512</v>
      </c>
      <c r="T31" s="18">
        <f t="shared" ref="T31:X31" si="57">T26+SUM(T27:T30)</f>
        <v>563867.16209362005</v>
      </c>
      <c r="U31" s="18">
        <f t="shared" si="57"/>
        <v>668140.80194822082</v>
      </c>
      <c r="V31" s="18">
        <f t="shared" si="57"/>
        <v>785594.62988044287</v>
      </c>
      <c r="W31" s="18">
        <f t="shared" si="57"/>
        <v>917894.62166329776</v>
      </c>
      <c r="X31" s="18">
        <f t="shared" si="57"/>
        <v>1066917.3324075057</v>
      </c>
      <c r="Z31" t="s">
        <v>28</v>
      </c>
      <c r="AA31" s="40">
        <v>0</v>
      </c>
      <c r="AB31" s="47">
        <f>AA10</f>
        <v>73663.947981249526</v>
      </c>
      <c r="AC31" s="47">
        <f>AB10</f>
        <v>83317.02127746465</v>
      </c>
      <c r="AD31" s="47">
        <f>AC10</f>
        <v>93848.292766936182</v>
      </c>
      <c r="AE31" s="47">
        <f>AD10</f>
        <v>105710.71697267699</v>
      </c>
      <c r="AF31" s="47">
        <f>AE10</f>
        <v>119072.55159802323</v>
      </c>
      <c r="AG31" s="23"/>
    </row>
    <row r="32" spans="1:33" x14ac:dyDescent="0.15">
      <c r="F32" s="14"/>
      <c r="G32" s="5"/>
      <c r="H32" s="16"/>
      <c r="I32" s="16"/>
      <c r="J32" s="16"/>
      <c r="K32" s="17"/>
      <c r="M32" s="35"/>
      <c r="N32" s="33"/>
      <c r="O32" s="17"/>
      <c r="P32" s="22"/>
      <c r="Q32" s="17"/>
      <c r="S32" s="18"/>
      <c r="T32" s="18"/>
      <c r="U32" s="18"/>
      <c r="V32" s="18"/>
      <c r="W32" s="18"/>
      <c r="X32" s="18"/>
      <c r="Z32" s="5" t="s">
        <v>81</v>
      </c>
      <c r="AB32" s="43"/>
      <c r="AC32" s="43"/>
      <c r="AD32" s="43"/>
      <c r="AE32" s="79"/>
      <c r="AF32" s="43">
        <f>AF25+X34+X38</f>
        <v>3423020.3467103862</v>
      </c>
      <c r="AG32" s="23"/>
    </row>
    <row r="33" spans="1:34" x14ac:dyDescent="0.15">
      <c r="A33" s="5" t="s">
        <v>82</v>
      </c>
      <c r="B33" s="11">
        <v>49049</v>
      </c>
      <c r="C33" s="11">
        <v>55888</v>
      </c>
      <c r="D33" s="11">
        <v>46236</v>
      </c>
      <c r="F33" s="14"/>
      <c r="G33" s="5" t="s">
        <v>82</v>
      </c>
      <c r="H33" s="16">
        <f>B33/B4</f>
        <v>0.21396913197867681</v>
      </c>
      <c r="I33" s="16">
        <f t="shared" ref="I33:J33" si="58">C33/C4</f>
        <v>0.21042564807319414</v>
      </c>
      <c r="J33" s="16">
        <f t="shared" si="58"/>
        <v>0.1777118390000538</v>
      </c>
      <c r="K33" s="17">
        <f t="shared" si="37"/>
        <v>0.21042564807319414</v>
      </c>
      <c r="L33" s="5" t="s">
        <v>82</v>
      </c>
      <c r="M33" s="35">
        <f>K33</f>
        <v>0.21042564807319414</v>
      </c>
      <c r="N33" s="33"/>
      <c r="O33" s="17"/>
      <c r="P33" s="17"/>
      <c r="Q33" s="17"/>
      <c r="R33" t="s">
        <v>83</v>
      </c>
      <c r="S33" s="14">
        <f>$M$33*S4</f>
        <v>57766.048909053257</v>
      </c>
      <c r="T33" s="14">
        <f t="shared" ref="T33:X33" si="59">$M$33*T4</f>
        <v>66336.685555074451</v>
      </c>
      <c r="U33" s="14">
        <f t="shared" si="59"/>
        <v>74721.642609235874</v>
      </c>
      <c r="V33" s="14">
        <f t="shared" si="59"/>
        <v>84166.45823504329</v>
      </c>
      <c r="W33" s="14">
        <f t="shared" si="59"/>
        <v>94805.098555952776</v>
      </c>
      <c r="X33" s="14">
        <f t="shared" si="59"/>
        <v>106788.46301342521</v>
      </c>
      <c r="Y33" s="14" t="e">
        <f>Y$5*#REF!</f>
        <v>#REF!</v>
      </c>
      <c r="Z33" s="5" t="s">
        <v>84</v>
      </c>
      <c r="AA33" s="80">
        <f>SUM(AA31:AA32)</f>
        <v>0</v>
      </c>
      <c r="AB33" s="81">
        <f t="shared" ref="AB33:AF33" si="60">SUM(AB31:AB32)</f>
        <v>73663.947981249526</v>
      </c>
      <c r="AC33" s="81">
        <f t="shared" si="60"/>
        <v>83317.02127746465</v>
      </c>
      <c r="AD33" s="81">
        <f t="shared" si="60"/>
        <v>93848.292766936182</v>
      </c>
      <c r="AE33" s="81">
        <f t="shared" si="60"/>
        <v>105710.71697267699</v>
      </c>
      <c r="AF33" s="81">
        <f t="shared" si="60"/>
        <v>3542092.8983084094</v>
      </c>
      <c r="AG33" s="23"/>
    </row>
    <row r="34" spans="1:34" x14ac:dyDescent="0.15">
      <c r="A34" s="5" t="s">
        <v>85</v>
      </c>
      <c r="B34" s="11">
        <v>18473</v>
      </c>
      <c r="C34" s="11">
        <v>20748</v>
      </c>
      <c r="D34" s="11">
        <v>16240</v>
      </c>
      <c r="F34" s="14"/>
      <c r="G34" s="5" t="s">
        <v>85</v>
      </c>
      <c r="H34" s="16">
        <f>B34/B4</f>
        <v>8.0585776978982171E-2</v>
      </c>
      <c r="I34" s="16">
        <f t="shared" ref="I34:J34" si="61">C34/C4</f>
        <v>7.8118940492102634E-2</v>
      </c>
      <c r="J34" s="16">
        <f t="shared" si="61"/>
        <v>6.2419765234035682E-2</v>
      </c>
      <c r="K34" s="17">
        <f t="shared" si="37"/>
        <v>7.8118940492102634E-2</v>
      </c>
      <c r="L34" s="5" t="s">
        <v>85</v>
      </c>
      <c r="M34" s="35">
        <f>K34</f>
        <v>7.8118940492102634E-2</v>
      </c>
      <c r="N34" s="33"/>
      <c r="O34" s="17"/>
      <c r="P34" s="17"/>
      <c r="Q34" s="17"/>
      <c r="R34" s="5" t="s">
        <v>85</v>
      </c>
      <c r="S34" s="14">
        <f>$M$34*S4</f>
        <v>21445.211543892015</v>
      </c>
      <c r="T34" s="14">
        <f t="shared" ref="T34:X34" si="62">$M$34*T4</f>
        <v>24626.995990135354</v>
      </c>
      <c r="U34" s="14">
        <f t="shared" si="62"/>
        <v>27739.848283288466</v>
      </c>
      <c r="V34" s="14">
        <f t="shared" si="62"/>
        <v>31246.165106296132</v>
      </c>
      <c r="W34" s="14">
        <f t="shared" si="62"/>
        <v>35195.680375731965</v>
      </c>
      <c r="X34" s="14">
        <f t="shared" si="62"/>
        <v>39644.414375224485</v>
      </c>
      <c r="Z34" s="2" t="s">
        <v>86</v>
      </c>
      <c r="AA34" s="45">
        <f>XNPV(AF19,AA33:AF33,AA21:AF21)*(1+AF19)^(1/2)</f>
        <v>2620189.995699429</v>
      </c>
      <c r="AB34" s="46"/>
      <c r="AC34" s="46"/>
      <c r="AD34" s="46"/>
      <c r="AE34" s="46"/>
      <c r="AF34" s="45"/>
      <c r="AG34" s="23"/>
    </row>
    <row r="35" spans="1:34" x14ac:dyDescent="0.15">
      <c r="A35" s="5" t="s">
        <v>87</v>
      </c>
      <c r="B35" s="11">
        <v>7548</v>
      </c>
      <c r="C35" s="11">
        <v>7543</v>
      </c>
      <c r="D35" s="11">
        <v>5522</v>
      </c>
      <c r="E35" s="30"/>
      <c r="F35" s="14"/>
      <c r="G35" s="5" t="s">
        <v>88</v>
      </c>
      <c r="H35" s="16">
        <f>B35/B4</f>
        <v>3.2927052705968574E-2</v>
      </c>
      <c r="I35" s="16">
        <f t="shared" ref="I35:J35" si="63">C35/C4</f>
        <v>2.8400384043374312E-2</v>
      </c>
      <c r="J35" s="16">
        <f t="shared" si="63"/>
        <v>2.1224257612213363E-2</v>
      </c>
      <c r="K35" s="17">
        <f t="shared" si="37"/>
        <v>2.8400384043374312E-2</v>
      </c>
      <c r="L35" s="5" t="s">
        <v>88</v>
      </c>
      <c r="M35" s="35">
        <f>K35</f>
        <v>2.8400384043374312E-2</v>
      </c>
      <c r="N35" s="35"/>
      <c r="O35" s="17"/>
      <c r="P35" s="17"/>
      <c r="Q35" s="17"/>
      <c r="R35" s="5" t="s">
        <v>88</v>
      </c>
      <c r="S35" s="14">
        <f>$M$35*S4</f>
        <v>7796.473427587116</v>
      </c>
      <c r="T35" s="14">
        <f t="shared" ref="T35:X35" si="64">$M$35*T4</f>
        <v>8953.2210696737511</v>
      </c>
      <c r="U35" s="14">
        <f t="shared" si="64"/>
        <v>10084.908212880515</v>
      </c>
      <c r="V35" s="14">
        <f t="shared" si="64"/>
        <v>11359.640610988614</v>
      </c>
      <c r="W35" s="14">
        <f t="shared" si="64"/>
        <v>12795.499184217575</v>
      </c>
      <c r="X35" s="14">
        <f t="shared" si="64"/>
        <v>14412.850281102677</v>
      </c>
      <c r="Z35" t="s">
        <v>89</v>
      </c>
      <c r="AA35" s="47">
        <v>90940</v>
      </c>
      <c r="AB35" s="46"/>
      <c r="AC35" s="46"/>
      <c r="AD35" s="46"/>
      <c r="AE35" s="46"/>
      <c r="AF35" s="43"/>
      <c r="AG35" s="23"/>
    </row>
    <row r="36" spans="1:34" x14ac:dyDescent="0.15">
      <c r="A36" t="s">
        <v>90</v>
      </c>
      <c r="B36" s="20">
        <v>25744</v>
      </c>
      <c r="C36" s="20">
        <v>32687</v>
      </c>
      <c r="D36" s="20">
        <v>37720</v>
      </c>
      <c r="F36" s="18"/>
      <c r="G36" t="s">
        <v>90</v>
      </c>
      <c r="H36" s="16">
        <f>B36/B4</f>
        <v>0.11230445745395534</v>
      </c>
      <c r="I36" s="16">
        <f t="shared" ref="I36:J36" si="65">C36/C4</f>
        <v>0.12307084094203581</v>
      </c>
      <c r="J36" s="16">
        <f t="shared" si="65"/>
        <v>0.14497989806821587</v>
      </c>
      <c r="K36" s="17">
        <f t="shared" si="37"/>
        <v>0.12307084094203581</v>
      </c>
      <c r="L36" t="s">
        <v>90</v>
      </c>
      <c r="M36" s="35">
        <f>K36</f>
        <v>0.12307084094203581</v>
      </c>
      <c r="O36" s="17"/>
      <c r="P36" s="17"/>
      <c r="Q36" s="17"/>
      <c r="R36" t="s">
        <v>90</v>
      </c>
      <c r="S36" s="14">
        <f>$M$36*S4</f>
        <v>33785.40725540767</v>
      </c>
      <c r="T36" s="14">
        <f t="shared" ref="T36:X36" si="66">$M$36*T4</f>
        <v>38798.082606976786</v>
      </c>
      <c r="U36" s="14">
        <f t="shared" si="66"/>
        <v>43702.160248498658</v>
      </c>
      <c r="V36" s="14">
        <f t="shared" si="66"/>
        <v>49226.113303908896</v>
      </c>
      <c r="W36" s="14">
        <f t="shared" si="66"/>
        <v>55448.294025522984</v>
      </c>
      <c r="X36" s="14">
        <f t="shared" si="66"/>
        <v>62456.958390349093</v>
      </c>
      <c r="Z36" s="2" t="s">
        <v>91</v>
      </c>
      <c r="AA36" s="45">
        <f>SUM(AA34:AA35)</f>
        <v>2711129.995699429</v>
      </c>
      <c r="AB36" s="46"/>
      <c r="AC36" s="46"/>
      <c r="AD36" s="46"/>
      <c r="AE36" s="46"/>
      <c r="AF36" s="45"/>
      <c r="AG36" s="23"/>
    </row>
    <row r="37" spans="1:34" x14ac:dyDescent="0.15">
      <c r="A37" s="2" t="s">
        <v>92</v>
      </c>
      <c r="B37" s="18">
        <f>SUM(B33:B36)</f>
        <v>100814</v>
      </c>
      <c r="C37" s="18">
        <f t="shared" ref="C37:D37" si="67">SUM(C33:C36)</f>
        <v>116866</v>
      </c>
      <c r="D37" s="18">
        <f t="shared" si="67"/>
        <v>105718</v>
      </c>
      <c r="E37" s="30"/>
      <c r="F37" s="14"/>
      <c r="K37" s="17"/>
      <c r="N37" s="17"/>
      <c r="P37" s="17"/>
      <c r="Q37" s="17"/>
      <c r="R37" s="2" t="s">
        <v>92</v>
      </c>
      <c r="S37" s="18">
        <f>SUM(S33:S36)</f>
        <v>120793.14113594007</v>
      </c>
      <c r="T37" s="18">
        <f t="shared" ref="T37:X37" si="68">SUM(T33:T36)</f>
        <v>138714.98522186035</v>
      </c>
      <c r="U37" s="18">
        <f t="shared" si="68"/>
        <v>156248.55935390352</v>
      </c>
      <c r="V37" s="18">
        <f t="shared" si="68"/>
        <v>175998.37725623694</v>
      </c>
      <c r="W37" s="18">
        <f t="shared" si="68"/>
        <v>198244.57214142528</v>
      </c>
      <c r="X37" s="18">
        <f t="shared" si="68"/>
        <v>223302.68606010143</v>
      </c>
      <c r="Z37" s="5" t="s">
        <v>43</v>
      </c>
      <c r="AA37" s="48">
        <f>AA15</f>
        <v>122280</v>
      </c>
      <c r="AB37" s="46"/>
      <c r="AC37" s="46"/>
      <c r="AD37" s="46"/>
      <c r="AE37" s="46"/>
      <c r="AF37" s="43"/>
      <c r="AG37" s="23"/>
    </row>
    <row r="38" spans="1:34" x14ac:dyDescent="0.15">
      <c r="A38" t="s">
        <v>93</v>
      </c>
      <c r="B38" s="11">
        <v>97207</v>
      </c>
      <c r="C38" s="11">
        <v>93735</v>
      </c>
      <c r="D38" s="11">
        <v>91807</v>
      </c>
      <c r="F38" s="14"/>
      <c r="G38" s="5" t="s">
        <v>94</v>
      </c>
      <c r="H38" s="16">
        <f>B38/B48</f>
        <v>0.72517102210418738</v>
      </c>
      <c r="I38" s="16">
        <f t="shared" ref="I38:J38" si="69">C38/C48</f>
        <v>0.87482617338796231</v>
      </c>
      <c r="J38" s="16">
        <f t="shared" si="69"/>
        <v>1.0145765184333835</v>
      </c>
      <c r="K38" s="17">
        <f t="shared" si="37"/>
        <v>0.87482617338796231</v>
      </c>
      <c r="L38" s="5" t="s">
        <v>94</v>
      </c>
      <c r="M38" s="35">
        <f>K38</f>
        <v>0.87482617338796231</v>
      </c>
      <c r="N38" s="22"/>
      <c r="O38" s="17"/>
      <c r="P38" s="17"/>
      <c r="Q38" s="17"/>
      <c r="R38" t="s">
        <v>93</v>
      </c>
      <c r="S38" s="14">
        <f>$M$38*S4</f>
        <v>240157.2811184634</v>
      </c>
      <c r="T38" s="14">
        <f t="shared" ref="T38:X38" si="70">$M$38*T4</f>
        <v>275788.95116055512</v>
      </c>
      <c r="U38" s="14">
        <f t="shared" si="70"/>
        <v>310648.67458724929</v>
      </c>
      <c r="V38" s="14">
        <f t="shared" si="70"/>
        <v>349914.66705507768</v>
      </c>
      <c r="W38" s="14">
        <f t="shared" si="70"/>
        <v>394143.88097083953</v>
      </c>
      <c r="X38" s="14">
        <f t="shared" si="70"/>
        <v>443963.66752555361</v>
      </c>
      <c r="Z38" s="2" t="s">
        <v>95</v>
      </c>
      <c r="AA38" s="45">
        <f>AA36-AA37</f>
        <v>2588849.995699429</v>
      </c>
      <c r="AB38" s="46"/>
      <c r="AC38" s="46"/>
      <c r="AD38" s="46"/>
      <c r="AE38" s="46"/>
      <c r="AF38" s="45"/>
      <c r="AG38" s="23"/>
    </row>
    <row r="39" spans="1:34" x14ac:dyDescent="0.15">
      <c r="A39" s="5" t="s">
        <v>96</v>
      </c>
      <c r="B39" s="11">
        <v>34340</v>
      </c>
      <c r="C39" s="11"/>
      <c r="D39" s="11"/>
      <c r="F39" s="14"/>
      <c r="G39" s="5" t="s">
        <v>96</v>
      </c>
      <c r="H39" s="16">
        <f>B39/B4</f>
        <v>0.14980325780643361</v>
      </c>
      <c r="I39" s="16"/>
      <c r="J39" s="16"/>
      <c r="K39" s="17">
        <f t="shared" si="37"/>
        <v>0.14980325780643361</v>
      </c>
      <c r="L39" s="5" t="s">
        <v>96</v>
      </c>
      <c r="M39" s="35">
        <f>K39</f>
        <v>0.14980325780643361</v>
      </c>
      <c r="N39" s="17"/>
      <c r="P39" s="17"/>
      <c r="Q39" s="17"/>
      <c r="R39" s="5" t="s">
        <v>96</v>
      </c>
      <c r="S39" s="14">
        <f>$M$39*S4</f>
        <v>41123.990333022157</v>
      </c>
      <c r="T39" s="14">
        <f t="shared" ref="T39:X39" si="71">$M$39*T4</f>
        <v>47225.477023478197</v>
      </c>
      <c r="U39" s="14">
        <f t="shared" si="71"/>
        <v>53194.777319245848</v>
      </c>
      <c r="V39" s="14">
        <f t="shared" si="71"/>
        <v>59918.597172398528</v>
      </c>
      <c r="W39" s="14">
        <f t="shared" si="71"/>
        <v>67492.307854989704</v>
      </c>
      <c r="X39" s="14">
        <f t="shared" si="71"/>
        <v>76023.335567860398</v>
      </c>
      <c r="Z39" s="2" t="s">
        <v>97</v>
      </c>
      <c r="AA39" s="49">
        <f>AA38/AA13</f>
        <v>151.39473659060988</v>
      </c>
      <c r="AB39" s="46"/>
      <c r="AC39" s="46"/>
      <c r="AD39" s="46"/>
      <c r="AE39" s="46"/>
      <c r="AF39" s="49"/>
      <c r="AG39" s="23"/>
    </row>
    <row r="40" spans="1:34" x14ac:dyDescent="0.15">
      <c r="A40" s="5" t="s">
        <v>98</v>
      </c>
      <c r="B40" s="11"/>
      <c r="C40" s="11"/>
      <c r="D40" s="11"/>
      <c r="E40" s="30"/>
      <c r="F40" s="14"/>
      <c r="G40" s="5" t="s">
        <v>98</v>
      </c>
      <c r="H40" s="16"/>
      <c r="I40" s="16"/>
      <c r="J40" s="16"/>
      <c r="K40" s="17"/>
      <c r="L40" s="5" t="s">
        <v>98</v>
      </c>
      <c r="M40" s="35"/>
      <c r="N40" s="17"/>
      <c r="P40" s="17"/>
      <c r="Q40" s="17"/>
      <c r="R40" s="5" t="s">
        <v>98</v>
      </c>
      <c r="S40" s="14"/>
      <c r="T40" s="14"/>
      <c r="U40" s="14"/>
      <c r="V40" s="14"/>
      <c r="W40" s="14"/>
      <c r="X40" s="14"/>
      <c r="Z40" s="50"/>
      <c r="AA40" s="51"/>
      <c r="AB40" s="23"/>
      <c r="AC40" s="23"/>
      <c r="AD40" s="23"/>
      <c r="AE40" s="23"/>
      <c r="AF40" s="23"/>
      <c r="AG40" s="23"/>
    </row>
    <row r="41" spans="1:34" x14ac:dyDescent="0.15">
      <c r="A41" s="5" t="s">
        <v>99</v>
      </c>
      <c r="B41" s="20">
        <v>8911</v>
      </c>
      <c r="C41" s="20">
        <v>47977</v>
      </c>
      <c r="D41" s="20">
        <v>50503</v>
      </c>
      <c r="E41" s="30"/>
      <c r="F41" s="18"/>
      <c r="G41" s="5" t="s">
        <v>99</v>
      </c>
      <c r="H41" s="16">
        <f>B41/B4</f>
        <v>3.8872942059205877E-2</v>
      </c>
      <c r="I41" s="16">
        <f t="shared" ref="I41:J41" si="72">C41/C4</f>
        <v>0.18063969577740543</v>
      </c>
      <c r="J41" s="16">
        <f t="shared" si="72"/>
        <v>0.19411240170040051</v>
      </c>
      <c r="K41" s="17">
        <f t="shared" si="37"/>
        <v>0.18063969577740543</v>
      </c>
      <c r="L41" s="5" t="s">
        <v>99</v>
      </c>
      <c r="M41" s="35">
        <f>K41</f>
        <v>0.18063969577740543</v>
      </c>
      <c r="N41" s="17"/>
      <c r="O41" s="17"/>
      <c r="P41" s="17"/>
      <c r="Q41" s="17"/>
      <c r="R41" s="5" t="s">
        <v>99</v>
      </c>
      <c r="S41" s="14">
        <f>$M$41*S4</f>
        <v>49589.20928481334</v>
      </c>
      <c r="T41" s="14">
        <f t="shared" ref="T41:X41" si="73">$M$41*T4</f>
        <v>56946.664093827065</v>
      </c>
      <c r="U41" s="14">
        <f t="shared" si="73"/>
        <v>64144.722435286807</v>
      </c>
      <c r="V41" s="14">
        <f t="shared" si="73"/>
        <v>72252.615351107073</v>
      </c>
      <c r="W41" s="14">
        <f t="shared" si="73"/>
        <v>81385.345931487012</v>
      </c>
      <c r="X41" s="14">
        <f t="shared" si="73"/>
        <v>91672.453657226972</v>
      </c>
      <c r="Y41" s="18" t="e">
        <f>SUM(Y33:Y40)</f>
        <v>#REF!</v>
      </c>
      <c r="Z41" s="50" t="s">
        <v>100</v>
      </c>
      <c r="AA41" s="52" t="s">
        <v>129</v>
      </c>
      <c r="AB41" s="52"/>
      <c r="AC41" s="52"/>
      <c r="AD41" s="23"/>
      <c r="AE41" s="23"/>
      <c r="AF41" s="23"/>
      <c r="AG41" s="23"/>
    </row>
    <row r="42" spans="1:34" x14ac:dyDescent="0.15">
      <c r="A42" s="2" t="s">
        <v>101</v>
      </c>
      <c r="B42" s="18">
        <f>SUM(B37:B41)</f>
        <v>241272</v>
      </c>
      <c r="C42" s="18">
        <f t="shared" ref="C42:D42" si="74">SUM(C37:C41)</f>
        <v>258578</v>
      </c>
      <c r="D42" s="18">
        <f t="shared" si="74"/>
        <v>248028</v>
      </c>
      <c r="F42" s="14"/>
      <c r="L42" s="5"/>
      <c r="M42" s="53"/>
      <c r="N42" s="17"/>
      <c r="O42" s="17"/>
      <c r="P42" s="17"/>
      <c r="Q42" s="22"/>
      <c r="R42" s="2" t="s">
        <v>101</v>
      </c>
      <c r="S42" s="18">
        <f>SUM(S38:S41)</f>
        <v>330870.48073629889</v>
      </c>
      <c r="T42" s="18">
        <f t="shared" ref="T42:X42" si="75">SUM(T38:T41)</f>
        <v>379961.09227786039</v>
      </c>
      <c r="U42" s="18">
        <f t="shared" si="75"/>
        <v>427988.17434178194</v>
      </c>
      <c r="V42" s="18">
        <f t="shared" si="75"/>
        <v>482085.87957858329</v>
      </c>
      <c r="W42" s="18">
        <f t="shared" si="75"/>
        <v>543021.53475731623</v>
      </c>
      <c r="X42" s="18">
        <f t="shared" si="75"/>
        <v>611659.45675064099</v>
      </c>
      <c r="Y42" s="14" t="e">
        <f>Y39-Y41-Y43-SUM(Y45:Y48)-Y57</f>
        <v>#REF!</v>
      </c>
      <c r="Z42" s="23" t="s">
        <v>102</v>
      </c>
      <c r="AA42" s="54">
        <v>10.3</v>
      </c>
      <c r="AB42" s="23"/>
      <c r="AC42" s="23"/>
      <c r="AD42" s="23"/>
      <c r="AE42" s="23"/>
      <c r="AF42" s="23"/>
      <c r="AG42" s="23"/>
    </row>
    <row r="43" spans="1:34" x14ac:dyDescent="0.15">
      <c r="A43" s="5" t="s">
        <v>103</v>
      </c>
      <c r="B43" s="40"/>
      <c r="C43" s="40"/>
      <c r="D43" s="40"/>
      <c r="F43" s="14"/>
      <c r="G43" s="5"/>
      <c r="H43" s="16"/>
      <c r="I43" s="16"/>
      <c r="J43" s="16"/>
      <c r="K43" s="17"/>
      <c r="L43" s="5" t="s">
        <v>103</v>
      </c>
      <c r="M43" s="35" t="s">
        <v>77</v>
      </c>
      <c r="N43" s="17"/>
      <c r="O43" s="22"/>
      <c r="P43" s="22"/>
      <c r="Q43" s="17"/>
      <c r="R43" s="5" t="s">
        <v>103</v>
      </c>
      <c r="S43" s="55">
        <f>$D$43</f>
        <v>0</v>
      </c>
      <c r="T43" s="55">
        <f t="shared" ref="T43:X43" si="76">$D$43</f>
        <v>0</v>
      </c>
      <c r="U43" s="55">
        <f t="shared" si="76"/>
        <v>0</v>
      </c>
      <c r="V43" s="55">
        <f t="shared" si="76"/>
        <v>0</v>
      </c>
      <c r="W43" s="55">
        <f t="shared" si="76"/>
        <v>0</v>
      </c>
      <c r="X43" s="55">
        <f t="shared" si="76"/>
        <v>0</v>
      </c>
      <c r="Y43" s="14">
        <f>Y$5*$M36</f>
        <v>0</v>
      </c>
      <c r="Z43" s="23" t="s">
        <v>104</v>
      </c>
      <c r="AA43" s="26">
        <v>77340</v>
      </c>
      <c r="AB43" s="23"/>
      <c r="AC43" s="23"/>
      <c r="AD43" s="23"/>
      <c r="AE43" s="23"/>
      <c r="AF43" s="23"/>
      <c r="AG43" s="23"/>
      <c r="AH43" s="56"/>
    </row>
    <row r="44" spans="1:34" x14ac:dyDescent="0.15">
      <c r="A44" t="s">
        <v>105</v>
      </c>
      <c r="B44" s="11">
        <v>35867</v>
      </c>
      <c r="C44" s="11">
        <v>40201</v>
      </c>
      <c r="D44" s="11">
        <v>45174</v>
      </c>
      <c r="F44" s="14"/>
      <c r="L44" t="s">
        <v>105</v>
      </c>
      <c r="M44" s="35" t="s">
        <v>77</v>
      </c>
      <c r="N44" s="17"/>
      <c r="O44" s="17"/>
      <c r="P44" s="17"/>
      <c r="Q44" s="17"/>
      <c r="R44" t="s">
        <v>105</v>
      </c>
      <c r="S44" s="55">
        <f>$D$44</f>
        <v>45174</v>
      </c>
      <c r="T44" s="55">
        <f t="shared" ref="T44:X44" si="77">$D$44</f>
        <v>45174</v>
      </c>
      <c r="U44" s="55">
        <f t="shared" si="77"/>
        <v>45174</v>
      </c>
      <c r="V44" s="55">
        <f t="shared" si="77"/>
        <v>45174</v>
      </c>
      <c r="W44" s="55">
        <f t="shared" si="77"/>
        <v>45174</v>
      </c>
      <c r="X44" s="55">
        <f t="shared" si="77"/>
        <v>45174</v>
      </c>
      <c r="Y44" s="14" t="e">
        <f>Y$4*#REF!</f>
        <v>#REF!</v>
      </c>
      <c r="Z44" s="23" t="s">
        <v>86</v>
      </c>
      <c r="AA44" s="57">
        <f>AA42*AA43</f>
        <v>796602</v>
      </c>
      <c r="AB44" s="23"/>
      <c r="AC44" s="23"/>
      <c r="AD44" s="23"/>
      <c r="AE44" s="23"/>
      <c r="AF44" s="23"/>
      <c r="AG44" s="23"/>
      <c r="AH44" s="58"/>
    </row>
    <row r="45" spans="1:34" x14ac:dyDescent="0.15">
      <c r="A45" t="s">
        <v>106</v>
      </c>
      <c r="B45" s="11">
        <v>98330</v>
      </c>
      <c r="C45" s="11">
        <v>70400</v>
      </c>
      <c r="D45" s="11">
        <v>45898</v>
      </c>
      <c r="F45" s="14"/>
      <c r="H45" s="16"/>
      <c r="I45" s="16"/>
      <c r="J45" s="16"/>
      <c r="K45" s="17"/>
      <c r="L45" t="s">
        <v>106</v>
      </c>
      <c r="M45" s="33" t="s">
        <v>107</v>
      </c>
      <c r="O45" s="17"/>
      <c r="P45" s="17"/>
      <c r="Q45" s="17"/>
      <c r="R45" t="s">
        <v>106</v>
      </c>
      <c r="S45" s="55">
        <f>$D$45+S17*(1-$M$3)</f>
        <v>89381.270640796196</v>
      </c>
      <c r="T45" s="55">
        <f>S45+T17*(1-$M$3)</f>
        <v>139316.06981575978</v>
      </c>
      <c r="U45" s="55">
        <f t="shared" ref="U45:X45" si="78">T45+U17*(1-$M$3)</f>
        <v>195562.62760643876</v>
      </c>
      <c r="V45" s="55">
        <f t="shared" si="78"/>
        <v>258918.75030185957</v>
      </c>
      <c r="W45" s="55">
        <f t="shared" si="78"/>
        <v>330283.08690598159</v>
      </c>
      <c r="X45" s="55">
        <f t="shared" si="78"/>
        <v>410667.87565686461</v>
      </c>
      <c r="Y45" s="55">
        <f t="shared" ref="Y45" si="79">X45+Y17*(1-$M3)</f>
        <v>410667.87565686461</v>
      </c>
      <c r="Z45" s="23" t="s">
        <v>108</v>
      </c>
      <c r="AA45" s="57">
        <f>AA44+AA35</f>
        <v>887542</v>
      </c>
      <c r="AG45" s="23"/>
      <c r="AH45" s="59"/>
    </row>
    <row r="46" spans="1:34" x14ac:dyDescent="0.15">
      <c r="A46" t="s">
        <v>109</v>
      </c>
      <c r="B46" s="11"/>
      <c r="C46" s="11"/>
      <c r="D46" s="11"/>
      <c r="F46" s="14"/>
      <c r="L46" t="s">
        <v>109</v>
      </c>
      <c r="M46" s="35" t="s">
        <v>77</v>
      </c>
      <c r="N46" s="30"/>
      <c r="O46" s="17"/>
      <c r="P46" s="17"/>
      <c r="Q46" s="17"/>
      <c r="R46" t="s">
        <v>109</v>
      </c>
      <c r="S46" s="55">
        <f>$D$46</f>
        <v>0</v>
      </c>
      <c r="T46" s="55">
        <f t="shared" ref="T46:X46" si="80">$D$46</f>
        <v>0</v>
      </c>
      <c r="U46" s="55">
        <f t="shared" si="80"/>
        <v>0</v>
      </c>
      <c r="V46" s="55">
        <f t="shared" si="80"/>
        <v>0</v>
      </c>
      <c r="W46" s="55">
        <f t="shared" si="80"/>
        <v>0</v>
      </c>
      <c r="X46" s="55">
        <f t="shared" si="80"/>
        <v>0</v>
      </c>
      <c r="Y46" s="14">
        <f>Y$5*$M38</f>
        <v>0</v>
      </c>
      <c r="Z46" s="23" t="s">
        <v>110</v>
      </c>
      <c r="AA46" s="57">
        <f>AA45-AA15</f>
        <v>765262</v>
      </c>
      <c r="AG46" s="23"/>
      <c r="AH46" s="58"/>
    </row>
    <row r="47" spans="1:34" x14ac:dyDescent="0.15">
      <c r="A47" t="s">
        <v>111</v>
      </c>
      <c r="B47" s="20">
        <v>-150</v>
      </c>
      <c r="C47" s="20">
        <v>-3454</v>
      </c>
      <c r="D47" s="20">
        <v>-584</v>
      </c>
      <c r="F47" s="14"/>
      <c r="G47" s="2"/>
      <c r="H47" s="16"/>
      <c r="I47" s="16"/>
      <c r="J47" s="16"/>
      <c r="K47" s="17"/>
      <c r="L47" t="s">
        <v>111</v>
      </c>
      <c r="M47" s="35" t="s">
        <v>77</v>
      </c>
      <c r="N47" s="17"/>
      <c r="O47" s="17"/>
      <c r="P47" s="17"/>
      <c r="Q47" s="17"/>
      <c r="R47" t="s">
        <v>111</v>
      </c>
      <c r="S47" s="55">
        <f>$D$47</f>
        <v>-584</v>
      </c>
      <c r="T47" s="55">
        <f t="shared" ref="T47:X47" si="81">$D$47</f>
        <v>-584</v>
      </c>
      <c r="U47" s="55">
        <f t="shared" si="81"/>
        <v>-584</v>
      </c>
      <c r="V47" s="55">
        <f t="shared" si="81"/>
        <v>-584</v>
      </c>
      <c r="W47" s="55">
        <f t="shared" si="81"/>
        <v>-584</v>
      </c>
      <c r="X47" s="55">
        <f t="shared" si="81"/>
        <v>-584</v>
      </c>
      <c r="Y47" s="14">
        <f>Y60*$M38</f>
        <v>0</v>
      </c>
      <c r="Z47" s="50" t="s">
        <v>112</v>
      </c>
      <c r="AA47" s="60">
        <f>AA46/AA13</f>
        <v>44.752163742690058</v>
      </c>
      <c r="AG47" s="23"/>
      <c r="AH47" s="61"/>
    </row>
    <row r="48" spans="1:34" x14ac:dyDescent="0.15">
      <c r="A48" s="2" t="s">
        <v>113</v>
      </c>
      <c r="B48" s="41">
        <f>SUM(B43:B47)</f>
        <v>134047</v>
      </c>
      <c r="C48" s="41">
        <f t="shared" ref="C48:D48" si="82">SUM(C43:C47)</f>
        <v>107147</v>
      </c>
      <c r="D48" s="41">
        <f t="shared" si="82"/>
        <v>90488</v>
      </c>
      <c r="F48" s="18"/>
      <c r="G48" s="5"/>
      <c r="H48" s="16"/>
      <c r="I48" s="16"/>
      <c r="J48" s="16"/>
      <c r="K48" s="17"/>
      <c r="N48" s="17"/>
      <c r="O48" s="17"/>
      <c r="P48" s="17"/>
      <c r="Q48" s="17"/>
      <c r="R48" s="2" t="s">
        <v>113</v>
      </c>
      <c r="S48" s="18">
        <f>SUM(S43:S47)</f>
        <v>133971.2706407962</v>
      </c>
      <c r="T48" s="18">
        <f t="shared" ref="T48:X48" si="83">SUM(T43:T47)</f>
        <v>183906.06981575978</v>
      </c>
      <c r="U48" s="18">
        <f t="shared" si="83"/>
        <v>240152.62760643876</v>
      </c>
      <c r="V48" s="18">
        <f t="shared" si="83"/>
        <v>303508.75030185957</v>
      </c>
      <c r="W48" s="18">
        <f t="shared" si="83"/>
        <v>374873.08690598159</v>
      </c>
      <c r="X48" s="18">
        <f t="shared" si="83"/>
        <v>455257.87565686461</v>
      </c>
      <c r="Y48" s="14">
        <f>Y$5*$M39</f>
        <v>0</v>
      </c>
      <c r="AG48" s="23"/>
      <c r="AH48" s="62"/>
    </row>
    <row r="49" spans="1:33" x14ac:dyDescent="0.15">
      <c r="A49" s="2" t="s">
        <v>114</v>
      </c>
      <c r="B49" s="41">
        <f>B42+B48</f>
        <v>375319</v>
      </c>
      <c r="C49" s="41">
        <f t="shared" ref="C49:D49" si="84">C42+C48</f>
        <v>365725</v>
      </c>
      <c r="D49" s="41">
        <f t="shared" si="84"/>
        <v>338516</v>
      </c>
      <c r="H49" s="16"/>
      <c r="I49" s="16"/>
      <c r="J49" s="16"/>
      <c r="K49" s="17"/>
      <c r="M49" s="35"/>
      <c r="N49" s="17"/>
      <c r="O49" s="17"/>
      <c r="P49" s="17"/>
      <c r="Q49" s="22"/>
      <c r="R49" s="2" t="s">
        <v>114</v>
      </c>
      <c r="S49" s="18">
        <f>S42+S48</f>
        <v>464841.75137709512</v>
      </c>
      <c r="T49" s="18">
        <f t="shared" ref="T49:X49" si="85">T42+T48</f>
        <v>563867.16209362017</v>
      </c>
      <c r="U49" s="18">
        <f t="shared" si="85"/>
        <v>668140.8019482207</v>
      </c>
      <c r="V49" s="18">
        <f t="shared" si="85"/>
        <v>785594.62988044287</v>
      </c>
      <c r="W49" s="18">
        <f t="shared" si="85"/>
        <v>917894.62166329776</v>
      </c>
      <c r="X49" s="18">
        <f t="shared" si="85"/>
        <v>1066917.3324075057</v>
      </c>
      <c r="Y49" s="14">
        <f>Y$5*$M41</f>
        <v>0</v>
      </c>
      <c r="Z49" s="50" t="s">
        <v>115</v>
      </c>
      <c r="AA49" s="63">
        <f>MEDIAN(AA28,AA39,AA47)</f>
        <v>139.99215874553681</v>
      </c>
      <c r="AB49" s="50" t="s">
        <v>116</v>
      </c>
      <c r="AC49" s="23"/>
      <c r="AD49" s="23"/>
      <c r="AE49" s="23"/>
      <c r="AG49" s="23"/>
    </row>
    <row r="50" spans="1:33" x14ac:dyDescent="0.15">
      <c r="F50" s="14"/>
      <c r="N50" s="17"/>
      <c r="O50" s="22"/>
      <c r="P50" s="22"/>
      <c r="Q50" s="17"/>
      <c r="Y50" s="14"/>
      <c r="Z50" s="23"/>
      <c r="AA50" s="23"/>
      <c r="AB50" s="23" t="s">
        <v>117</v>
      </c>
      <c r="AC50" s="5"/>
      <c r="AD50" s="23"/>
      <c r="AE50" s="64">
        <v>150</v>
      </c>
      <c r="AG50" s="23"/>
    </row>
    <row r="51" spans="1:33" x14ac:dyDescent="0.15">
      <c r="F51" s="14"/>
      <c r="N51" s="65"/>
      <c r="O51" s="17"/>
      <c r="P51" s="17"/>
      <c r="Q51" s="17"/>
      <c r="S51" s="55"/>
      <c r="T51" s="55"/>
      <c r="U51" s="55"/>
      <c r="V51" s="55"/>
      <c r="W51" s="55"/>
      <c r="X51" s="55"/>
      <c r="Y51" s="14">
        <f>Y$4*$M42</f>
        <v>0</v>
      </c>
      <c r="Z51" s="2" t="s">
        <v>118</v>
      </c>
      <c r="AA51" s="66">
        <f>AA49*(1+AF16)</f>
        <v>154.9409880969144</v>
      </c>
      <c r="AB51" s="23" t="s">
        <v>119</v>
      </c>
      <c r="AC51" s="5"/>
      <c r="AD51" s="23"/>
      <c r="AE51" s="64">
        <v>125.92</v>
      </c>
      <c r="AG51" s="23"/>
    </row>
    <row r="52" spans="1:33" x14ac:dyDescent="0.15">
      <c r="O52" s="17"/>
      <c r="P52" s="17"/>
      <c r="Q52" s="17"/>
      <c r="S52" s="67"/>
      <c r="T52" s="67"/>
      <c r="U52" s="67"/>
      <c r="V52" s="67"/>
      <c r="W52" s="67"/>
      <c r="X52" s="67"/>
      <c r="Y52" s="18" t="e">
        <f>SUM(Y44:Y49)</f>
        <v>#REF!</v>
      </c>
      <c r="Z52" s="2" t="s">
        <v>120</v>
      </c>
      <c r="AA52" s="68">
        <f>(AA51-AA12)/AA12</f>
        <v>0.26255694342335723</v>
      </c>
      <c r="AB52" s="23" t="s">
        <v>121</v>
      </c>
      <c r="AC52" s="5"/>
      <c r="AD52" s="23"/>
      <c r="AE52" s="64">
        <v>74.099999999999994</v>
      </c>
      <c r="AG52" s="23"/>
    </row>
    <row r="53" spans="1:33" x14ac:dyDescent="0.15">
      <c r="F53" s="14"/>
      <c r="G53" s="2"/>
      <c r="H53" s="69"/>
      <c r="I53" s="69"/>
      <c r="J53" s="69"/>
      <c r="K53" s="65"/>
      <c r="O53" s="17"/>
      <c r="P53" s="17"/>
      <c r="Q53" s="17"/>
      <c r="S53" s="67"/>
      <c r="T53" s="67"/>
      <c r="U53" s="67"/>
      <c r="V53" s="67"/>
      <c r="W53" s="67"/>
      <c r="X53" s="67"/>
      <c r="Y53" s="14"/>
      <c r="Z53" s="50" t="s">
        <v>122</v>
      </c>
      <c r="AA53" s="70">
        <v>7.0000000000000001E-3</v>
      </c>
      <c r="AB53" s="23" t="s">
        <v>123</v>
      </c>
      <c r="AC53" s="5"/>
      <c r="AD53" s="23"/>
      <c r="AE53" s="44">
        <v>38</v>
      </c>
      <c r="AG53" s="23"/>
    </row>
    <row r="54" spans="1:33" x14ac:dyDescent="0.15">
      <c r="F54" s="14"/>
      <c r="G54" s="2"/>
      <c r="H54" s="69"/>
      <c r="I54" s="69"/>
      <c r="J54" s="69"/>
      <c r="K54" s="65"/>
      <c r="O54" s="17"/>
      <c r="P54" s="17"/>
      <c r="Q54" s="17"/>
      <c r="R54" s="2"/>
      <c r="Y54" s="14">
        <f>$B$44</f>
        <v>35867</v>
      </c>
      <c r="Z54" s="50" t="s">
        <v>124</v>
      </c>
      <c r="AA54" s="71">
        <f>AA52+AA53</f>
        <v>0.26955694342335723</v>
      </c>
      <c r="AB54" s="23" t="s">
        <v>125</v>
      </c>
      <c r="AC54" s="23"/>
      <c r="AD54" s="23"/>
      <c r="AE54" s="72">
        <v>2</v>
      </c>
      <c r="AG54" s="23"/>
    </row>
    <row r="55" spans="1:33" x14ac:dyDescent="0.15">
      <c r="F55" s="14"/>
      <c r="O55" s="17"/>
      <c r="P55" s="17"/>
      <c r="Q55" s="17"/>
      <c r="R55" s="2"/>
      <c r="Y55" s="14"/>
      <c r="Z55" s="50" t="s">
        <v>126</v>
      </c>
      <c r="AA55" s="73">
        <f>(AA54-AF12)/AF15</f>
        <v>0.21247860277569502</v>
      </c>
      <c r="AB55" s="23"/>
      <c r="AC55" s="23"/>
      <c r="AD55" s="23"/>
      <c r="AE55" s="23"/>
      <c r="AF55" s="23"/>
      <c r="AG55" s="23"/>
    </row>
    <row r="56" spans="1:33" x14ac:dyDescent="0.15">
      <c r="F56" s="41"/>
      <c r="O56" s="17"/>
      <c r="P56" s="17"/>
      <c r="Q56" s="65"/>
      <c r="Y56" s="14"/>
      <c r="Z56" s="50" t="s">
        <v>127</v>
      </c>
      <c r="AA56" s="74" t="str">
        <f>IF(AA54&gt;AF16*2,"STRONG BUY", IF(AA54&gt;AF16*1.5,"BUY", IF(AA54&lt;0,"STRONG SELL", IF(AA54&lt;AF16*0.5,"SELL","HOLD"))))</f>
        <v>STRONG BUY</v>
      </c>
      <c r="AB56" s="23"/>
      <c r="AC56" s="23"/>
      <c r="AD56" s="23"/>
      <c r="AE56" s="23"/>
      <c r="AF56" s="23"/>
      <c r="AG56" s="23"/>
    </row>
    <row r="57" spans="1:33" x14ac:dyDescent="0.15">
      <c r="E57" s="2"/>
      <c r="F57" s="2"/>
      <c r="O57" s="65"/>
      <c r="P57" s="65"/>
      <c r="Q57" s="65"/>
      <c r="Y57" s="14"/>
      <c r="AG57" s="23"/>
    </row>
    <row r="58" spans="1:33" x14ac:dyDescent="0.15">
      <c r="E58" s="41"/>
      <c r="F58" s="41"/>
      <c r="L58" s="65"/>
      <c r="M58" s="65"/>
      <c r="N58" s="65"/>
      <c r="O58" s="65"/>
      <c r="P58" s="65"/>
      <c r="Q58" s="65"/>
      <c r="Y58" s="14"/>
      <c r="AG58" s="23"/>
    </row>
    <row r="59" spans="1:33" x14ac:dyDescent="0.15">
      <c r="Y59" s="41"/>
      <c r="AB59" s="75"/>
      <c r="AC59" s="75"/>
      <c r="AD59" s="75"/>
      <c r="AE59" s="75"/>
      <c r="AF59" s="23"/>
      <c r="AG59" s="75"/>
    </row>
    <row r="60" spans="1:33" x14ac:dyDescent="0.15">
      <c r="Y60" s="2"/>
      <c r="AB60" s="75"/>
      <c r="AC60" s="75"/>
      <c r="AD60" s="75"/>
      <c r="AE60" s="75"/>
      <c r="AF60" s="23"/>
      <c r="AG60" s="75"/>
    </row>
    <row r="61" spans="1:33" x14ac:dyDescent="0.15">
      <c r="AB61" s="75"/>
      <c r="AC61" s="75"/>
      <c r="AD61" s="75"/>
      <c r="AE61" s="75"/>
      <c r="AF61" s="23"/>
      <c r="AG61" s="75"/>
    </row>
    <row r="62" spans="1:33" x14ac:dyDescent="0.15">
      <c r="AB62" s="75"/>
      <c r="AC62" s="75"/>
      <c r="AD62" s="75"/>
      <c r="AE62" s="75"/>
      <c r="AF62" s="23"/>
      <c r="AG62" s="75"/>
    </row>
    <row r="63" spans="1:33" x14ac:dyDescent="0.15">
      <c r="Z63" s="23"/>
      <c r="AA63" s="76"/>
      <c r="AB63" s="77"/>
      <c r="AC63" s="23"/>
      <c r="AD63" s="23"/>
      <c r="AE63" s="23"/>
      <c r="AF63" s="23"/>
      <c r="AG63" s="23"/>
    </row>
    <row r="89" spans="25:25" x14ac:dyDescent="0.15">
      <c r="Y89" s="16"/>
    </row>
  </sheetData>
  <phoneticPr fontId="6" type="noConversion"/>
  <printOptions headings="1"/>
  <pageMargins left="0.75" right="0.75" top="1" bottom="1" header="0.5" footer="0.5"/>
  <pageSetup scale="85" orientation="portrait" verticalDpi="300" r:id="rId1"/>
  <headerFooter alignWithMargins="0"/>
  <ignoredErrors>
    <ignoredError sqref="B6:D6" formulaRange="1"/>
    <ignoredError sqref="S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Nance</dc:creator>
  <cp:lastModifiedBy>Justin Nance</cp:lastModifiedBy>
  <dcterms:created xsi:type="dcterms:W3CDTF">2020-12-01T00:00:00Z</dcterms:created>
  <dcterms:modified xsi:type="dcterms:W3CDTF">2022-10-06T17:03:33Z</dcterms:modified>
</cp:coreProperties>
</file>