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tpaq\Documents\Goodminton\"/>
    </mc:Choice>
  </mc:AlternateContent>
  <xr:revisionPtr revIDLastSave="0" documentId="13_ncr:1_{DC9D483C-1FCD-4485-BE3E-E01BAA7289FF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Best" sheetId="2" r:id="rId2"/>
    <sheet name="Grade 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9" i="1" l="1"/>
  <c r="G120" i="1"/>
  <c r="G20" i="2"/>
  <c r="K20" i="2" s="1"/>
  <c r="G116" i="1"/>
  <c r="G117" i="1"/>
  <c r="G118" i="1"/>
  <c r="G19" i="2"/>
  <c r="K19" i="2" s="1"/>
  <c r="G18" i="2"/>
  <c r="K18" i="2" s="1"/>
  <c r="G114" i="1"/>
  <c r="G8" i="2"/>
  <c r="K8" i="2" s="1"/>
  <c r="G67" i="1"/>
  <c r="G108" i="1"/>
  <c r="G119" i="1"/>
  <c r="G218" i="1"/>
  <c r="K29" i="2"/>
  <c r="G153" i="1"/>
  <c r="G212" i="1"/>
  <c r="G191" i="1"/>
  <c r="G101" i="1"/>
  <c r="G193" i="1"/>
  <c r="G113" i="1"/>
  <c r="G74" i="1"/>
  <c r="G22" i="2"/>
  <c r="K22" i="2" s="1"/>
  <c r="G123" i="1"/>
  <c r="G127" i="1"/>
  <c r="K37" i="2"/>
  <c r="G43" i="2" l="1"/>
  <c r="K43" i="2" s="1"/>
  <c r="G165" i="1"/>
  <c r="G115" i="1"/>
  <c r="G121" i="1"/>
  <c r="G125" i="1"/>
  <c r="G133" i="1"/>
  <c r="G174" i="1"/>
  <c r="G215" i="1"/>
  <c r="G220" i="1"/>
  <c r="G202" i="1"/>
  <c r="G210" i="1"/>
  <c r="G229" i="1"/>
  <c r="G244" i="1"/>
  <c r="G236" i="1"/>
  <c r="F7" i="2"/>
  <c r="G7" i="2" s="1"/>
  <c r="K7" i="2" s="1"/>
  <c r="F6" i="2"/>
  <c r="G6" i="2" s="1"/>
  <c r="K6" i="2" s="1"/>
  <c r="F39" i="1"/>
  <c r="G39" i="1" s="1"/>
  <c r="F37" i="1"/>
  <c r="G37" i="1" s="1"/>
  <c r="F64" i="1"/>
  <c r="G64" i="1" s="1"/>
  <c r="F61" i="1"/>
  <c r="G61" i="1" s="1"/>
  <c r="G58" i="1"/>
  <c r="F34" i="2"/>
  <c r="G34" i="2" s="1"/>
  <c r="K34" i="2" s="1"/>
  <c r="F184" i="1"/>
  <c r="G184" i="1" s="1"/>
  <c r="F3" i="2"/>
  <c r="G3" i="2" s="1"/>
  <c r="K3" i="2" s="1"/>
  <c r="F31" i="2"/>
  <c r="G31" i="2" s="1"/>
  <c r="K31" i="2" s="1"/>
  <c r="G226" i="1"/>
  <c r="G241" i="1"/>
  <c r="G172" i="1"/>
  <c r="G205" i="1"/>
  <c r="G217" i="1"/>
  <c r="G223" i="1"/>
  <c r="G211" i="1"/>
  <c r="G251" i="1"/>
  <c r="G243" i="1"/>
  <c r="G245" i="1"/>
  <c r="F24" i="1"/>
  <c r="G24" i="1" s="1"/>
  <c r="F19" i="1"/>
  <c r="G19" i="1" s="1"/>
  <c r="F20" i="1"/>
  <c r="G20" i="1" s="1"/>
  <c r="F21" i="1"/>
  <c r="G21" i="1" s="1"/>
  <c r="F75" i="1"/>
  <c r="G75" i="1" s="1"/>
  <c r="F7" i="1"/>
  <c r="G7" i="1" s="1"/>
  <c r="G231" i="1"/>
  <c r="F41" i="2"/>
  <c r="G41" i="2" s="1"/>
  <c r="K41" i="2" s="1"/>
  <c r="G239" i="1"/>
  <c r="F225" i="1"/>
  <c r="G225" i="1" s="1"/>
  <c r="F222" i="1"/>
  <c r="G222" i="1" s="1"/>
  <c r="F203" i="1"/>
  <c r="G203" i="1" s="1"/>
  <c r="F209" i="1"/>
  <c r="G209" i="1" s="1"/>
  <c r="F182" i="1"/>
  <c r="G182" i="1" s="1"/>
  <c r="F186" i="1"/>
  <c r="G186" i="1" s="1"/>
  <c r="F254" i="1"/>
  <c r="G254" i="1" s="1"/>
  <c r="F235" i="1"/>
  <c r="G235" i="1" s="1"/>
  <c r="F189" i="1"/>
  <c r="G189" i="1" s="1"/>
  <c r="F166" i="1"/>
  <c r="G166" i="1" s="1"/>
  <c r="F168" i="1"/>
  <c r="G168" i="1" s="1"/>
  <c r="F167" i="1"/>
  <c r="G167" i="1" s="1"/>
  <c r="F138" i="1"/>
  <c r="G138" i="1" s="1"/>
  <c r="F129" i="1"/>
  <c r="G129" i="1" s="1"/>
  <c r="F124" i="1"/>
  <c r="G124" i="1" s="1"/>
  <c r="F149" i="1"/>
  <c r="G149" i="1" s="1"/>
  <c r="F94" i="1"/>
  <c r="G94" i="1" s="1"/>
  <c r="F42" i="1"/>
  <c r="G42" i="1" s="1"/>
  <c r="F38" i="1"/>
  <c r="G38" i="1" s="1"/>
  <c r="F40" i="1"/>
  <c r="G40" i="1" s="1"/>
  <c r="F44" i="1"/>
  <c r="G44" i="1" s="1"/>
  <c r="F45" i="1"/>
  <c r="G45" i="1" s="1"/>
  <c r="F5" i="2"/>
  <c r="G5" i="2" s="1"/>
  <c r="K5" i="2" s="1"/>
  <c r="F47" i="1"/>
  <c r="G47" i="1" s="1"/>
  <c r="F25" i="1"/>
  <c r="G25" i="1" s="1"/>
  <c r="F42" i="2"/>
  <c r="G42" i="2" s="1"/>
  <c r="K42" i="2" s="1"/>
  <c r="F234" i="1"/>
  <c r="G234" i="1" s="1"/>
  <c r="G159" i="1"/>
  <c r="G158" i="1"/>
  <c r="G157" i="1"/>
  <c r="F155" i="1"/>
  <c r="G155" i="1" s="1"/>
  <c r="G154" i="1"/>
  <c r="F156" i="1"/>
  <c r="G156" i="1" s="1"/>
  <c r="F21" i="2"/>
  <c r="G21" i="2" s="1"/>
  <c r="K21" i="2" s="1"/>
  <c r="F122" i="1"/>
  <c r="G122" i="1" s="1"/>
  <c r="F26" i="2"/>
  <c r="G26" i="2" s="1"/>
  <c r="K26" i="2" s="1"/>
  <c r="F144" i="1"/>
  <c r="G144" i="1" s="1"/>
  <c r="G28" i="2"/>
  <c r="K28" i="2" s="1"/>
  <c r="G151" i="1"/>
  <c r="F27" i="2"/>
  <c r="G27" i="2" s="1"/>
  <c r="K27" i="2" s="1"/>
  <c r="G146" i="1"/>
  <c r="F147" i="1"/>
  <c r="G147" i="1" s="1"/>
  <c r="G213" i="1"/>
  <c r="G207" i="1"/>
  <c r="G4" i="1"/>
  <c r="G163" i="1"/>
  <c r="G131" i="1"/>
  <c r="F15" i="2"/>
  <c r="G15" i="2" s="1"/>
  <c r="K15" i="2" s="1"/>
  <c r="F13" i="2"/>
  <c r="G13" i="2" s="1"/>
  <c r="K13" i="2" s="1"/>
  <c r="F11" i="2"/>
  <c r="G11" i="2" s="1"/>
  <c r="K11" i="2" s="1"/>
  <c r="F10" i="2"/>
  <c r="G10" i="2" s="1"/>
  <c r="K10" i="2" s="1"/>
  <c r="F17" i="2"/>
  <c r="G17" i="2" s="1"/>
  <c r="K17" i="2" s="1"/>
  <c r="F109" i="1"/>
  <c r="G109" i="1" s="1"/>
  <c r="F111" i="1"/>
  <c r="G111" i="1" s="1"/>
  <c r="G110" i="1"/>
  <c r="G112" i="1"/>
  <c r="G78" i="1"/>
  <c r="G81" i="1"/>
  <c r="G85" i="1"/>
  <c r="G106" i="1"/>
  <c r="G98" i="1"/>
  <c r="F14" i="2"/>
  <c r="G14" i="2" s="1"/>
  <c r="K14" i="2" s="1"/>
  <c r="F12" i="2"/>
  <c r="G12" i="2" s="1"/>
  <c r="K12" i="2" s="1"/>
  <c r="F83" i="1"/>
  <c r="G83" i="1" s="1"/>
  <c r="F9" i="2"/>
  <c r="G9" i="2" s="1"/>
  <c r="K9" i="2" s="1"/>
  <c r="F82" i="1"/>
  <c r="G82" i="1" s="1"/>
  <c r="F79" i="1"/>
  <c r="G79" i="1" s="1"/>
  <c r="F100" i="1"/>
  <c r="G100" i="1" s="1"/>
  <c r="F86" i="1"/>
  <c r="G86" i="1" s="1"/>
  <c r="F73" i="1"/>
  <c r="G73" i="1" s="1"/>
  <c r="F16" i="2"/>
  <c r="G16" i="2" s="1"/>
  <c r="K16" i="2" s="1"/>
  <c r="G32" i="2"/>
  <c r="K32" i="2" s="1"/>
  <c r="G176" i="1"/>
  <c r="F9" i="1"/>
  <c r="F6" i="1"/>
  <c r="F40" i="2"/>
  <c r="G40" i="2" s="1"/>
  <c r="K40" i="2" s="1"/>
  <c r="G224" i="1"/>
  <c r="F80" i="1"/>
  <c r="G80" i="1" s="1"/>
  <c r="F221" i="1"/>
  <c r="G221" i="1" s="1"/>
  <c r="F84" i="1"/>
  <c r="G84" i="1" s="1"/>
  <c r="F87" i="1"/>
  <c r="G87" i="1" s="1"/>
  <c r="F216" i="1"/>
  <c r="G216" i="1" s="1"/>
  <c r="F102" i="1"/>
  <c r="G102" i="1" s="1"/>
  <c r="F195" i="1"/>
  <c r="G195" i="1" s="1"/>
  <c r="F188" i="1"/>
  <c r="G188" i="1" s="1"/>
  <c r="F77" i="1"/>
  <c r="G77" i="1" s="1"/>
  <c r="F92" i="1"/>
  <c r="G92" i="1" s="1"/>
  <c r="G56" i="1"/>
  <c r="F55" i="1"/>
  <c r="G55" i="1" s="1"/>
  <c r="G48" i="1"/>
  <c r="G66" i="1"/>
  <c r="G63" i="1"/>
  <c r="G69" i="1"/>
  <c r="F62" i="1"/>
  <c r="G62" i="1" s="1"/>
  <c r="F68" i="1"/>
  <c r="G68" i="1" s="1"/>
  <c r="F65" i="1"/>
  <c r="G65" i="1" s="1"/>
  <c r="F39" i="2"/>
  <c r="G39" i="2" s="1"/>
  <c r="K39" i="2" s="1"/>
  <c r="F33" i="2"/>
  <c r="G33" i="2" s="1"/>
  <c r="K33" i="2" s="1"/>
  <c r="F35" i="2"/>
  <c r="G35" i="2" s="1"/>
  <c r="K35" i="2" s="1"/>
  <c r="F208" i="1"/>
  <c r="G208" i="1" s="1"/>
  <c r="F214" i="1"/>
  <c r="G214" i="1" s="1"/>
  <c r="F219" i="1"/>
  <c r="G219" i="1" s="1"/>
  <c r="F181" i="1"/>
  <c r="G181" i="1" s="1"/>
  <c r="F187" i="1"/>
  <c r="G187" i="1" s="1"/>
  <c r="F200" i="1"/>
  <c r="G200" i="1" s="1"/>
  <c r="F170" i="1"/>
  <c r="G170" i="1" s="1"/>
  <c r="G22" i="1"/>
  <c r="G23" i="1"/>
  <c r="G17" i="1"/>
  <c r="G18" i="1"/>
  <c r="F169" i="1"/>
  <c r="G169" i="1" s="1"/>
  <c r="F32" i="1"/>
  <c r="G32" i="1" s="1"/>
  <c r="F29" i="1"/>
  <c r="G29" i="1" s="1"/>
  <c r="F30" i="1"/>
  <c r="G30" i="1" s="1"/>
  <c r="G31" i="1"/>
  <c r="G33" i="1"/>
  <c r="F35" i="1"/>
  <c r="G35" i="1" s="1"/>
  <c r="F34" i="1"/>
  <c r="G34" i="1" s="1"/>
  <c r="F36" i="1"/>
  <c r="G36" i="1" s="1"/>
  <c r="F28" i="1"/>
  <c r="G28" i="1" s="1"/>
  <c r="F25" i="2"/>
  <c r="G25" i="2" s="1"/>
  <c r="K25" i="2" s="1"/>
  <c r="F30" i="2"/>
  <c r="G30" i="2" s="1"/>
  <c r="K30" i="2" s="1"/>
  <c r="G10" i="1"/>
  <c r="F4" i="2"/>
  <c r="G4" i="2" s="1"/>
  <c r="K4" i="2" s="1"/>
  <c r="F2" i="2"/>
  <c r="G2" i="2" s="1"/>
  <c r="K2" i="2" s="1"/>
  <c r="F36" i="2"/>
  <c r="G36" i="2" s="1"/>
  <c r="K36" i="2" s="1"/>
  <c r="F38" i="2"/>
  <c r="G38" i="2" s="1"/>
  <c r="K38" i="2" s="1"/>
  <c r="F23" i="2"/>
  <c r="G23" i="2" s="1"/>
  <c r="K23" i="2" s="1"/>
  <c r="F24" i="2"/>
  <c r="G24" i="2" s="1"/>
  <c r="K24" i="2" s="1"/>
  <c r="F5" i="1"/>
  <c r="G5" i="1" s="1"/>
  <c r="F2" i="1"/>
  <c r="G2" i="1" s="1"/>
  <c r="F70" i="1"/>
  <c r="G70" i="1" s="1"/>
  <c r="F89" i="1"/>
  <c r="G89" i="1" s="1"/>
  <c r="F103" i="1"/>
  <c r="G103" i="1" s="1"/>
  <c r="F43" i="1"/>
  <c r="G43" i="1" s="1"/>
  <c r="F41" i="1"/>
  <c r="G41" i="1" s="1"/>
  <c r="F152" i="1"/>
  <c r="G152" i="1" s="1"/>
  <c r="F132" i="1"/>
  <c r="G132" i="1" s="1"/>
  <c r="F50" i="1"/>
  <c r="G50" i="1" s="1"/>
  <c r="F57" i="1"/>
  <c r="G57" i="1" s="1"/>
  <c r="F52" i="1"/>
  <c r="G52" i="1" s="1"/>
  <c r="F161" i="1"/>
  <c r="G161" i="1" s="1"/>
  <c r="F137" i="1"/>
  <c r="G137" i="1" s="1"/>
  <c r="F160" i="1"/>
  <c r="G160" i="1" s="1"/>
  <c r="F128" i="1"/>
  <c r="G128" i="1" s="1"/>
  <c r="F192" i="1"/>
  <c r="G192" i="1" s="1"/>
  <c r="G253" i="1" l="1"/>
  <c r="G190" i="1"/>
  <c r="G185" i="1"/>
  <c r="G194" i="1"/>
  <c r="G196" i="1"/>
  <c r="G15" i="1"/>
  <c r="G104" i="1"/>
  <c r="G95" i="1"/>
  <c r="G130" i="1"/>
  <c r="G139" i="1"/>
  <c r="G107" i="1"/>
  <c r="G12" i="1"/>
  <c r="G233" i="1"/>
  <c r="G252" i="1"/>
  <c r="G3" i="1"/>
  <c r="G91" i="1"/>
  <c r="G140" i="1"/>
  <c r="G148" i="1"/>
  <c r="G197" i="1"/>
  <c r="G227" i="1"/>
  <c r="G164" i="1"/>
  <c r="G238" i="1"/>
  <c r="G134" i="1"/>
  <c r="G247" i="1"/>
  <c r="G145" i="1"/>
  <c r="G240" i="1"/>
  <c r="G230" i="1"/>
  <c r="G204" i="1"/>
  <c r="F228" i="1"/>
  <c r="G228" i="1" s="1"/>
  <c r="F246" i="1"/>
  <c r="G246" i="1" s="1"/>
  <c r="F237" i="1"/>
  <c r="G237" i="1" s="1"/>
  <c r="F14" i="1"/>
  <c r="G14" i="1" s="1"/>
  <c r="F8" i="1"/>
  <c r="G8" i="1" s="1"/>
  <c r="G72" i="1"/>
  <c r="G26" i="1"/>
  <c r="G27" i="1"/>
  <c r="G232" i="1"/>
  <c r="G250" i="1"/>
  <c r="G242" i="1"/>
  <c r="G206" i="1"/>
  <c r="G179" i="1"/>
  <c r="G143" i="1"/>
  <c r="G9" i="1"/>
  <c r="G6" i="1"/>
  <c r="G175" i="1"/>
  <c r="G199" i="1"/>
  <c r="G49" i="1"/>
  <c r="G198" i="1"/>
  <c r="G171" i="1"/>
  <c r="G13" i="1"/>
  <c r="G11" i="1"/>
  <c r="G90" i="1"/>
  <c r="G93" i="1"/>
  <c r="G54" i="1"/>
  <c r="G201" i="1"/>
  <c r="G183" i="1"/>
  <c r="G105" i="1"/>
  <c r="G96" i="1"/>
  <c r="G180" i="1"/>
  <c r="G88" i="1"/>
  <c r="G97" i="1"/>
  <c r="G76" i="1"/>
  <c r="G178" i="1"/>
  <c r="G248" i="1"/>
  <c r="G177" i="1"/>
  <c r="G141" i="1"/>
  <c r="G150" i="1"/>
  <c r="G126" i="1"/>
  <c r="G162" i="1"/>
  <c r="G16" i="1"/>
  <c r="G135" i="1"/>
  <c r="G142" i="1"/>
  <c r="G60" i="1"/>
  <c r="G99" i="1"/>
  <c r="G53" i="1"/>
  <c r="G59" i="1"/>
  <c r="G51" i="1"/>
  <c r="G46" i="1"/>
  <c r="G71" i="1"/>
  <c r="G173" i="1"/>
  <c r="G136" i="1"/>
</calcChain>
</file>

<file path=xl/sharedStrings.xml><?xml version="1.0" encoding="utf-8"?>
<sst xmlns="http://schemas.openxmlformats.org/spreadsheetml/2006/main" count="1332" uniqueCount="448">
  <si>
    <t>Supplier</t>
  </si>
  <si>
    <t>Brand</t>
  </si>
  <si>
    <t>Model</t>
  </si>
  <si>
    <t>Qty</t>
  </si>
  <si>
    <t>Link</t>
  </si>
  <si>
    <t>Price/tube</t>
  </si>
  <si>
    <t>Victor</t>
  </si>
  <si>
    <t>Champion No. 7</t>
  </si>
  <si>
    <t>Racquet Network</t>
  </si>
  <si>
    <t>Elite Badminton</t>
  </si>
  <si>
    <t xml:space="preserve">Special </t>
  </si>
  <si>
    <t>Speed</t>
  </si>
  <si>
    <t>Baton</t>
  </si>
  <si>
    <t>Green</t>
  </si>
  <si>
    <t>Yumo Pro Shop</t>
  </si>
  <si>
    <t>No. 5</t>
  </si>
  <si>
    <t>Gold</t>
  </si>
  <si>
    <t>Li-Ning</t>
  </si>
  <si>
    <t>G600</t>
  </si>
  <si>
    <t>RSL</t>
  </si>
  <si>
    <t>G300</t>
  </si>
  <si>
    <t>Shop Badminton Online</t>
  </si>
  <si>
    <t>G100</t>
  </si>
  <si>
    <t>C20</t>
  </si>
  <si>
    <t>X800</t>
  </si>
  <si>
    <t>Sportchek</t>
  </si>
  <si>
    <t>Yonex</t>
  </si>
  <si>
    <t>Aeroclub TR</t>
  </si>
  <si>
    <t>https://www.sportchek.ca/en/pdp/yonex-aeroclub-tr-badminton-shuttles-70306771f.331759048.html?loc=plp</t>
  </si>
  <si>
    <t>Champion No. 5</t>
  </si>
  <si>
    <t>Master No. 3</t>
  </si>
  <si>
    <t>Notes</t>
  </si>
  <si>
    <t>Free shipping 150$+</t>
  </si>
  <si>
    <t>Price (CAD)</t>
  </si>
  <si>
    <t>MaxSports</t>
  </si>
  <si>
    <t>Mavis 350</t>
  </si>
  <si>
    <t>Sports Direct</t>
  </si>
  <si>
    <t>Classic Tourney</t>
  </si>
  <si>
    <t>SmashNation</t>
  </si>
  <si>
    <t>Shopnings</t>
  </si>
  <si>
    <t>Aerosensa 02</t>
  </si>
  <si>
    <t>Aerosensa 20</t>
  </si>
  <si>
    <t>Badminton Deal</t>
  </si>
  <si>
    <t>Aeroplane</t>
  </si>
  <si>
    <t>G1101</t>
  </si>
  <si>
    <t>?</t>
  </si>
  <si>
    <t>G1130</t>
  </si>
  <si>
    <t>Badminton Alley</t>
  </si>
  <si>
    <t>Aeroclub 03</t>
  </si>
  <si>
    <t>Aerosensa 10</t>
  </si>
  <si>
    <t>Badminton Direct</t>
  </si>
  <si>
    <t>Racquet Guys</t>
  </si>
  <si>
    <t>Badminton Warehouse</t>
  </si>
  <si>
    <t>Shuttlecock 101</t>
  </si>
  <si>
    <t>EG1130</t>
  </si>
  <si>
    <t>Badminton Toronto</t>
  </si>
  <si>
    <t>Mavis 300</t>
  </si>
  <si>
    <t>Mavis 2000</t>
  </si>
  <si>
    <t>90 Pro</t>
  </si>
  <si>
    <t>Ling-Mei</t>
  </si>
  <si>
    <t>10 Pro</t>
  </si>
  <si>
    <t>J Zone</t>
  </si>
  <si>
    <t>ORI</t>
  </si>
  <si>
    <t>My Badminton Store</t>
  </si>
  <si>
    <t>Master Ace No. 3</t>
  </si>
  <si>
    <t>TennisZon</t>
  </si>
  <si>
    <t>e78 shop</t>
  </si>
  <si>
    <t>https://e78shop.com/products/victor-master-no-3-shuttlecock-shuttlecock-victor-master-no-3</t>
  </si>
  <si>
    <t>EG1101</t>
  </si>
  <si>
    <t>bbeshop</t>
  </si>
  <si>
    <t>Champion No. 3</t>
  </si>
  <si>
    <t>No. 7</t>
  </si>
  <si>
    <t>Mavis 300 bad</t>
  </si>
  <si>
    <t>Babolat</t>
  </si>
  <si>
    <t>Hybrid Challenge</t>
  </si>
  <si>
    <t>6/tube, nylon</t>
  </si>
  <si>
    <t>Aerosensa 09</t>
  </si>
  <si>
    <t>Can get 10% discount for members</t>
  </si>
  <si>
    <t>Aerosensa 03</t>
  </si>
  <si>
    <t>Aerosensa 05</t>
  </si>
  <si>
    <t>Mavis 500</t>
  </si>
  <si>
    <t>Lei Store</t>
  </si>
  <si>
    <t>bbesports</t>
  </si>
  <si>
    <t>Gold No. 1</t>
  </si>
  <si>
    <t>Silver No. 1</t>
  </si>
  <si>
    <t>A+90</t>
  </si>
  <si>
    <t>http://www.bbesports.com/English/index_shuttle.htm</t>
  </si>
  <si>
    <t>PN3000</t>
  </si>
  <si>
    <t>http://www.bbesports.com/wzgl/ProductShow.asp?ID=886</t>
  </si>
  <si>
    <t>Master No. 5</t>
  </si>
  <si>
    <t>A+50</t>
  </si>
  <si>
    <t>A+80</t>
  </si>
  <si>
    <t>http://www.bbesports.com/wzgl/ProductShow.asp?ID=2420</t>
  </si>
  <si>
    <t>http://www.bbesports.com/wzgl/ProductShow.asp?ID=1253</t>
  </si>
  <si>
    <t>http://www.bbesports.com/wzgl/ProductShow.asp?ID=1251</t>
  </si>
  <si>
    <t>http://www.bbesports.com/wzgl/ProductShow.asp?ID=1220</t>
  </si>
  <si>
    <t>Shuttlecock China</t>
  </si>
  <si>
    <t>https://www.cbsa-asfc.gc.ca/trade-commerce/tariff-tarif/2018/01-99/ch95-2018-eng.pdf</t>
  </si>
  <si>
    <t>Customs fees</t>
  </si>
  <si>
    <t>Asymmetrical feathers :( Makes the bird spin</t>
  </si>
  <si>
    <t>A+60, Asymmetrical feathers :( Makes the bird spin</t>
  </si>
  <si>
    <t>0.50$ discount if you buy 100 and 1.00$ discount if you buy 200+, Asymmetrical feathers :( Makes the bird spin</t>
  </si>
  <si>
    <t>A+70, Asymmetrical feathers :( Makes the bird spin</t>
  </si>
  <si>
    <t>C60</t>
  </si>
  <si>
    <t>C60, ok</t>
  </si>
  <si>
    <t>Probably in USD$</t>
  </si>
  <si>
    <t>Red</t>
  </si>
  <si>
    <t>LM90=AS30, LM70=AS20, LM60=AS10</t>
  </si>
  <si>
    <t>kayliu2016@gmail.com</t>
  </si>
  <si>
    <t>Anhei Lingmei Sporting Goods</t>
  </si>
  <si>
    <t>LM90</t>
  </si>
  <si>
    <t>LM70</t>
  </si>
  <si>
    <t>LM80</t>
  </si>
  <si>
    <t>LM60</t>
  </si>
  <si>
    <t>AS20 grade</t>
  </si>
  <si>
    <t>AS10 grade</t>
  </si>
  <si>
    <t>LM20</t>
  </si>
  <si>
    <t>LM10</t>
  </si>
  <si>
    <t>AS 30 Grade</t>
  </si>
  <si>
    <t>Yehlex</t>
  </si>
  <si>
    <t>Orange</t>
  </si>
  <si>
    <t>Chao Pai</t>
  </si>
  <si>
    <t>Lian Sporting Store</t>
  </si>
  <si>
    <t>Honkoo Sports</t>
  </si>
  <si>
    <t>AS30</t>
  </si>
  <si>
    <t>Purple</t>
  </si>
  <si>
    <t>http://www.bbesports.com/wzgl/ProductShow.asp?ID=496</t>
  </si>
  <si>
    <t>http://www.bbesports.com/wzgl/ProductShow.asp?ID=2157</t>
  </si>
  <si>
    <t>Aerosensa 30</t>
  </si>
  <si>
    <t>Aerosensa 50</t>
  </si>
  <si>
    <t>Aerosensa 40</t>
  </si>
  <si>
    <t>http://www.bbesports.com/wzgl/Product.asp?BigClassName=%D3%F0%C3%AB%C7%F2&amp;Smallclassname=YONEX+%D3%F0%C3%AB%C7%F2</t>
  </si>
  <si>
    <t>Ling Mei</t>
  </si>
  <si>
    <t>No. 4</t>
  </si>
  <si>
    <t>G500, G600</t>
  </si>
  <si>
    <t>Gold, Champion No. 1</t>
  </si>
  <si>
    <t>G700</t>
  </si>
  <si>
    <t>Supreme</t>
  </si>
  <si>
    <t>AS20-40</t>
  </si>
  <si>
    <t>A+100</t>
  </si>
  <si>
    <t>G800</t>
  </si>
  <si>
    <t>A+300</t>
  </si>
  <si>
    <t>G900</t>
  </si>
  <si>
    <t>A+600</t>
  </si>
  <si>
    <t>A+100, Yumo sells 35$</t>
  </si>
  <si>
    <t>G500</t>
  </si>
  <si>
    <t>Yumo Por Shop</t>
  </si>
  <si>
    <t>A+300, Yumo sells 38$</t>
  </si>
  <si>
    <t>Alibaba</t>
  </si>
  <si>
    <t>Dongguan Dongan Sports Products</t>
  </si>
  <si>
    <t>No. 6</t>
  </si>
  <si>
    <t>No. 3</t>
  </si>
  <si>
    <t>Black label</t>
  </si>
  <si>
    <t>Black label, Probably USD$</t>
  </si>
  <si>
    <t>Yumo sells 29$</t>
  </si>
  <si>
    <t>No. 8</t>
  </si>
  <si>
    <t>No. 1</t>
  </si>
  <si>
    <t>No. 1 not worth compared to classic</t>
  </si>
  <si>
    <t>http://www.bbesports.com/wzgl/ProductShow.asp?ID=1240</t>
  </si>
  <si>
    <t>http://www.bbesports.com/wzgl/ProductShow.asp?ID=1237</t>
  </si>
  <si>
    <t>http://www.bbesports.com/wzgl/Product.asp?BigClassName=%D3%F0%C3%AB%C7%F2&amp;Smallclassname=RSL+%D1%C7%CA%A8%C1%FA%D3%F0%C3%AB%C7%F2</t>
  </si>
  <si>
    <t>No. 2</t>
  </si>
  <si>
    <t>https://titanbadminton.com/products/rsl-supreme-shuttlecock</t>
  </si>
  <si>
    <t>Titan Badminton Store</t>
  </si>
  <si>
    <t>Yumo sells 29$, Dongguan 21$</t>
  </si>
  <si>
    <t>Yumo not selling</t>
  </si>
  <si>
    <t>Yumo sells 24.50$</t>
  </si>
  <si>
    <t>Yumo sells 28$</t>
  </si>
  <si>
    <t>Yumo sells 20.50$</t>
  </si>
  <si>
    <t>Green label</t>
  </si>
  <si>
    <t>Hangyan Sports</t>
  </si>
  <si>
    <t>AS20-AS40 grade, Yumo not selling</t>
  </si>
  <si>
    <t>C60 equivalent. Symmetrical feathers ok. Yumo sells 28.50$</t>
  </si>
  <si>
    <t>AS20-AS40 grade. Yumo sells 45$</t>
  </si>
  <si>
    <t>Duck feather, practice line of AS-50. Yumo not selling</t>
  </si>
  <si>
    <t>Yumo sells 40.25$</t>
  </si>
  <si>
    <t>Yumo sells 44$</t>
  </si>
  <si>
    <t>Goose feather. Yumo sells 51$</t>
  </si>
  <si>
    <t>Master No. 1</t>
  </si>
  <si>
    <t>http://www.bbesports.com/wzgl/Product.asp?BigClassName=%D3%F0%C3%AB%C7%F2&amp;Smallclassname=VICTOR+%CA%A4%C0%FB%D3%F0%C3%AB%C7%F2</t>
  </si>
  <si>
    <t>Duck. Yumo sells 23.50$</t>
  </si>
  <si>
    <t>Duck. Yumo sells 27$</t>
  </si>
  <si>
    <t>Goose. Full cork. Yumo sells 42.50$</t>
  </si>
  <si>
    <t>Goose. Composite cork. Yumo sells 33.50$</t>
  </si>
  <si>
    <t>Apparently more durable than Classic. Yumo sells 43.50$</t>
  </si>
  <si>
    <t>Master Ace</t>
  </si>
  <si>
    <t>Yumo sells 44.50$</t>
  </si>
  <si>
    <t>Champion Ace</t>
  </si>
  <si>
    <t>45$ grade</t>
  </si>
  <si>
    <t>kwflex</t>
  </si>
  <si>
    <t>Queen</t>
  </si>
  <si>
    <t>Racket outlet</t>
  </si>
  <si>
    <t>Direct Badminton</t>
  </si>
  <si>
    <t>Badminton HQ</t>
  </si>
  <si>
    <t>Champion No. 1</t>
  </si>
  <si>
    <t>Central Sports</t>
  </si>
  <si>
    <t>Mavis 600</t>
  </si>
  <si>
    <t>https://www.alibaba.com/product-detail/YonexUnix-badminton-hit-resistant-YY-nylon_1600904504646.html?spm=a2700.shop_plgr.41413.19.43ab3e71JHNzES</t>
  </si>
  <si>
    <t>Special Red</t>
  </si>
  <si>
    <t>Hangzhou Sunsine Trading</t>
  </si>
  <si>
    <t>https://shopbadmintononline.com/badminton-feather-shuttlecocks-c60-77-p-320.html</t>
  </si>
  <si>
    <t>Wecan</t>
  </si>
  <si>
    <t>Black</t>
  </si>
  <si>
    <t>https://www.alibaba.com/product-detail/WECAN-RED-Class-A-Water-Duck_62480481958.html?spm=a2700.shop_plgr.41413.87.1c8623c3VuSqPF</t>
  </si>
  <si>
    <t>https://www.alibaba.com/product-detail/Yonex-Nylon-Badminton-Shuttlecock-MAVIS-2000_62475271974.html?spm=a2700.shop_plgr.41413.111.1c8623c3VuSqPF</t>
  </si>
  <si>
    <t>Yumo sells 18.50$. Tennis zone sells 17$.</t>
  </si>
  <si>
    <t>Shenzhen Chao Pai</t>
  </si>
  <si>
    <t>https://www.alibaba.com/product-detail/chaopai-special-RED-cheap-high-quality_1600062600596.html?spm=a2700.shop_plgr.41413.3.1d76209brrKUrX</t>
  </si>
  <si>
    <t>Pink</t>
  </si>
  <si>
    <t>Special Plus</t>
  </si>
  <si>
    <t>Distributor Store</t>
  </si>
  <si>
    <t>Aeroclub 33</t>
  </si>
  <si>
    <t>On Sale</t>
  </si>
  <si>
    <t>Cheap but sucky sucky</t>
  </si>
  <si>
    <t>Profit (%)</t>
  </si>
  <si>
    <t>Selling price (CAD)</t>
  </si>
  <si>
    <t>http://www.bbesports.com/wzgl/ProductShow.asp?ID=497</t>
  </si>
  <si>
    <t>https://badmintontoronto.com/index.php?route=product/product&amp;path=90_92_119&amp;product_id=659</t>
  </si>
  <si>
    <t>https://badmintontoronto.com/index.php?route=product/product&amp;path=90_92_119&amp;product_id=882</t>
  </si>
  <si>
    <t>.</t>
  </si>
  <si>
    <t>Fradette Sports</t>
  </si>
  <si>
    <t>Blue</t>
  </si>
  <si>
    <t>https://www.fradettesport.com/collections/yonex-badminton/products/yonex-mavis-350-jaune-50-tubes</t>
  </si>
  <si>
    <t>39$/un.</t>
  </si>
  <si>
    <t>45$/un.</t>
  </si>
  <si>
    <t>15$/un.</t>
  </si>
  <si>
    <t>48$/un.</t>
  </si>
  <si>
    <t>30$/un.</t>
  </si>
  <si>
    <t>42$/un.</t>
  </si>
  <si>
    <t>16.49$/un.</t>
  </si>
  <si>
    <t>Carbonsonic #1</t>
  </si>
  <si>
    <t>Carbonsonic #2</t>
  </si>
  <si>
    <t>19$/un.</t>
  </si>
  <si>
    <t>17.50$/un.</t>
  </si>
  <si>
    <t>35$/un.</t>
  </si>
  <si>
    <t>26$/un.</t>
  </si>
  <si>
    <t>Tourney</t>
  </si>
  <si>
    <t>30$ch./10</t>
  </si>
  <si>
    <t>Yumo sells 14.50$. Tennis zone sells 14$. Fradette 12.50$</t>
  </si>
  <si>
    <t>http://www.bbesports.com/wzgl/ProductShow.asp?ID=1219</t>
  </si>
  <si>
    <t>https://e78shop.com/products/aeroplane-eg1101-shuttlecock-shuttlecock-eg1101</t>
  </si>
  <si>
    <t>http://www.hangyansports.com/en/product_list.asp?pid=394&amp;sid=74</t>
  </si>
  <si>
    <t>https://badmintontoronto.com/index.php?route=product/product&amp;path=97&amp;product_id=175</t>
  </si>
  <si>
    <t>https://www.alibaba.com/product-detail/Aeroplane-EG1130-Black-Label-Class-A_62403979687.html?spm=a2700.7735675.0.0.4c96CkpjCkpjaJ</t>
  </si>
  <si>
    <t>https://jzonebadminton.com/shop/ols/products/aeroplane-shuttlecock-black-label</t>
  </si>
  <si>
    <t>https://www.shuttlecock101.com/50-tubes-of-aeroplane-shuttlecock-excellent-grade-eg1130-black-label-bulk-discount/</t>
  </si>
  <si>
    <t>http://www.shuttlecockchina.com/xiao/aeroplaneeg1130.asp</t>
  </si>
  <si>
    <t>https://badmintondeal.com/collections/shuttlecocks/products/aeroplane-excellent-g1101-black-label-goose-feather-shuttlecocks</t>
  </si>
  <si>
    <t>https://e78shop.com/products/aeroplane-g1101-shuttlecock-shuttlecock-g1101</t>
  </si>
  <si>
    <t>https://badmintondeal.com/collections/shuttlecocks/products/aeroplane-super-g1130-red-label-goose-feather-shuttlecocks</t>
  </si>
  <si>
    <t>https://jzonebadminton.com/shop/ols/products/aeroplane-shuttlecock-green-label</t>
  </si>
  <si>
    <t>https://tenniszon.com/products/babolat-hybrid-challlenge-77?_pos=1&amp;_fid=b66f94666&amp;_ss=c</t>
  </si>
  <si>
    <t>https://elitebadminton.net/collections/feather-shuttles/products/baton-green?variant=39947545870470</t>
  </si>
  <si>
    <t>https://www.aliexpress.com/i/4000305466969.html</t>
  </si>
  <si>
    <t>https://www.aliexpress.com/item/4000305501019.html</t>
  </si>
  <si>
    <t>https://www.alibaba.com/product-detail/DEEPPINK-CHAOPAI-badminton-goose-feather-indoor_1600107820133.html?spm=a2700.shop_plgr.41413.21.1d76209brrKUrX</t>
  </si>
  <si>
    <t>https://www.alibaba.com/product-detail/chaopai-purple-cheap-high-quality-class_1600067196143.html?spm=a2700.shop_plgr.41413.5.1d76209brrKUrX</t>
  </si>
  <si>
    <t>https://www.aliexpress.com/item/32304196039.html</t>
  </si>
  <si>
    <t>https://www.aliexpress.com/item/4000266668739.html?spm=a2g0o.store_pc_groupList.8148356.6.573d26e5TbMNnl&amp;pdp_npi=4%40dis%21CAD%21C%24%20564.00%21C%24%20394.80%21%21%21411.29%21287.90%21%4021038edc17027040840867474e6ec0%2110000001079012499%21sh%21CA%210%21</t>
  </si>
  <si>
    <t>https://www.alibaba.com/product-detail/chaopai-special-plus-high-quality-BWF_1600068701628.html?spm=a2700.shop_plgr.41413.11.1d76209brrKUrX</t>
  </si>
  <si>
    <t>https://www.alibaba.com/product-detail/CHAOPAI-Badminton-Shuttlecock-SPECIAL-RED-class_62464413888.html?spm=a2700.shop_plgr.41413.7.1c8623c3VuSqPF</t>
  </si>
  <si>
    <t>https://www.lingmeistore.com/Badminton-Feather-Shuttlecock/lingmei-10-pro/lingmei-10-pro-goose-feather-shuttlecock.html</t>
  </si>
  <si>
    <t>https://badmintontoronto.com/index.php?route=product/product&amp;path=90_92_96&amp;product_id=871</t>
  </si>
  <si>
    <t>https://www.badmintonwarehouse.com/collections/lingmei-badminton-shuttlecocks/products/ling-mei-90-pro-badminton-shuttlecock-goose-feather</t>
  </si>
  <si>
    <t>https://www.alibaba.com/product-detail/training-high-durability-goose-feather-shuttlecock_1600362252246.html?spm=a2700.shop_plfe.41413.57.2b7a3743Z09GPe</t>
  </si>
  <si>
    <t>https://www.alibaba.com/product-detail/lingmei-model-20-goose-feather-badminton_1600704343826.html?spm=a2700.shop_plfe.41413.69.2b7a3743Z09GPe</t>
  </si>
  <si>
    <t>https://www.alibaba.com/product-detail/Top-quality-shuttlecock-badminton-supplier-badminton_1600705810380.html?spm=a2700.shop_plfe.41413.73.2b7a3743Z09GPe</t>
  </si>
  <si>
    <t>https://www.alibaba.com/product-detail/Hot-Sale-Wholesale-New-Design-Factory_1600264091144.html?spm=a2700.shop_plfe.41413.81.2b7a3743Z09GPe</t>
  </si>
  <si>
    <t>https://www.alibaba.com/product-detail/High-competitiveness-class-A-badminton-of_1600712874472.html?spm=a2700.shop_plfe.41413.113.2b7a3743Z09GPe</t>
  </si>
  <si>
    <t>https://www.alibaba.com/product-detail/High-Quality-Lingmei90-Top-Quality-Badminton_1600358119711.html</t>
  </si>
  <si>
    <t>https://www.alibaba.com/product-detail/lingmei-90-Pro-natural-cork-class_1600829462735.html?spm=a2700.shop_index.111720.6.539e7143e6dwXm</t>
  </si>
  <si>
    <t>https://www.badmintonwarehouse.com/collections/lingmei-badminton-shuttlecocks/products/lingmei-red-badminton-shuttlecocks</t>
  </si>
  <si>
    <t>http://www.bbesports.com/wzgl/Product.asp?BigClassName=%D3%F0%C3%AB%C7%F2&amp;Smallclassname=LINING+%C0%EE%C4%FE%D3%F0%C3%AB%C7%F2</t>
  </si>
  <si>
    <t>https://www.alibaba.com/product-detail/Lining-A-100-G700-Badminton-Shuttlecock_1600073051928.html?spm=a2700.shop_plgr.41413.23.1c8623c3VuSqPF</t>
  </si>
  <si>
    <t>https://www.alibaba.com/product-detail/A-300-G800-Badminton-Shuttlecock-for_62441856238.html?spm=a2700.shop_plgr.41413.19.1c8623c3VuSqPF</t>
  </si>
  <si>
    <t>http://www.bbesports.com/wzgl/ProductShow.asp?ID=2226</t>
  </si>
  <si>
    <t>https://www.alibaba.com/product-detail/Lining-A-600-G900-Badminton-Shuttlecock_1600073076642.html?spm=a2700.shop_plgr.41413.25.1c8623c3VuSqPF</t>
  </si>
  <si>
    <t>https://www.alibaba.com/product-detail/Lining-A-80-C60-Badminton-Shuttlecock_62441616471.html?spm=a2700.shop_plgr.41413.15.1c8623c3VuSqPF</t>
  </si>
  <si>
    <t>https://www.alibaba.com/product-detail/Lining-A-90-G600-Badminton-Shuttlecock_62441856226.html?spm=a2700.shop_plgr.41413.17.1c8623c3VuSqPF</t>
  </si>
  <si>
    <t>https://shopbadmintononline.com/badminton-feather-shuttlecocks-c20-77-p-52.html</t>
  </si>
  <si>
    <t>https://yumo.ca/collections/badminton-shuttles/products/li-ning-c-60-77-speed-feather-shuttle?variant=39328097370199</t>
  </si>
  <si>
    <t>https://shopbadmintononline.com/badminton-feather-shuttlecocks-g100-77-p-321.html</t>
  </si>
  <si>
    <t>https://www.shopnings.com/li-ning-g300-badminton-shuttlecock-12-pcs-shuttle-cocks-2021-summer/</t>
  </si>
  <si>
    <t>https://yumo.ca/collections/badminton-shuttles/products/li-ning-a-70-76-speed-feather-shuttle</t>
  </si>
  <si>
    <t>https://shopbadmintononline.com/badminton-feather-shuttlecocks-g500-77-p-3101.html</t>
  </si>
  <si>
    <t>https://yumo.ca/collections/badminton-shuttles/products/li-ning-g500-77-speed-feather-shuttle?variant=39522116304983</t>
  </si>
  <si>
    <t>https://badmintontoronto.com/index.php?route=product/product&amp;path=90_92_119&amp;product_id=176</t>
  </si>
  <si>
    <t>https://shopbadmintononline.com/badminton-feather-shuttlecocks-g600-77-p-429.html</t>
  </si>
  <si>
    <t>https://yumo.ca/collections/badminton-shuttles/products/li-ning-a-90-77-speed-feather-shuttle?variant=39250619334743</t>
  </si>
  <si>
    <t>https://shopbadmintononline.com/badminton-feather-shuttlecocks-g700-77-p-319.html</t>
  </si>
  <si>
    <t>https://yumo.ca/collections/badminton-shuttles/products/li-ning-a-100-77-speed-feather-shuttle-yumo-pro-shop?variant=39295827673175</t>
  </si>
  <si>
    <t>https://shopbadmintononline.com/badminton-feather-shuttlecocks-g800-77-p-303.html</t>
  </si>
  <si>
    <t>https://yumo.ca/collections/badminton-shuttles/products/li-ning-a-300-g800-76-speed-feather-shuttle?variant=39780229447767</t>
  </si>
  <si>
    <t>https://shopbadmintononline.com/badminton-feather-shuttlecocks-g900-77-p-347.html</t>
  </si>
  <si>
    <t>https://yumo.ca/collections/badminton-shuttles/products/li-ning-a-600-77-speed-feather-shuttle-yumo-pro-shop?variant=39296530448471</t>
  </si>
  <si>
    <t>https://shopbadmintononline.com/badminton-birdies-mark-x800-medium-p-568.html</t>
  </si>
  <si>
    <t>https://jzonebadminton.com/shop/ols/products/ori-shuttlecock</t>
  </si>
  <si>
    <t>https://www.alibaba.com/pla/RSL-C-Classic-Class-A-Goose_1600799663376.html?mark=google_shopping&amp;biz=pla&amp;searchText=shuttlecocks&amp;product_id=1600799663376&amp;pcy=US&amp;src=sem_ggl&amp;field=UG&amp;from=sem_ggl&amp;cmpgn=20527067700&amp;adgrp=&amp;fditm=&amp;tgt=&amp;locintrst=&amp;locphyscl=9000712&amp;mtchtyp=&amp;ntwrk=x&amp;device=c&amp;dvcmdl=&amp;creative=&amp;plcmnt=&amp;plcmntcat=&amp;aceid=&amp;position=&amp;gad_source=1&amp;gclid=Cj0KCQiAj_CrBhD-ARIsAIiMxT_jQz53yyb7Q7RTlF3o44HPiGcqHSOUW1Ai72_FCn2uP6nD9LPxOlIaAsgTEALw_wcB</t>
  </si>
  <si>
    <t>https://www.alibaba.com/product-detail/RSL-Classic-Class-A-Goose-Feather_62388585819.html?spm=a2700.7735675.0.0.4c96CkpjCkpjaJ</t>
  </si>
  <si>
    <t>https://sg.sportsdirect.com/rsl-classic-tourney-78-unisex-shuttlecock-725003#colcode=72500301</t>
  </si>
  <si>
    <t>https://yumo.ca/products/rsl-classic-tourney-feather-shuttles?variant=39648002310231&amp;currency=CAD&amp;utm_medium=product_sync&amp;utm_source=google&amp;utm_content=sag_organic&amp;utm_campaign=sag_organic&amp;utm_campaign=gs-2019-11-06&amp;utm_source=google&amp;utm_medium=smart_campaign&amp;gclid=Cj0KCQiAj_CrBhD-ARIsAIiMxT-ANFQXlnDR0elnrtNDD4Qz9AInAMoDI22jUwz_AJqBfrglFMBKhrgaAt7XEALw_wcB</t>
  </si>
  <si>
    <t>https://badmintondeal.com/en-ca/products/rsl-performance-series-tourney-no-1-shuttlecocks?variant=42428892283055</t>
  </si>
  <si>
    <t>https://www.alibaba.com/product-detail/RSL-ASHLONG-3-RSL-Badminton-NO3_1600986342891.html?spm=a2700.shop_plgr.41413.27.43ab3e71JS6s93</t>
  </si>
  <si>
    <t>https://www.alibaba.com/product-detail/Asian-Lion-Dragon-RSL-Badminton-No_1600896187025.html?spm=a2700.shop_plgr.41413.7.43ab3e71JS6s93</t>
  </si>
  <si>
    <t>https://www.smashnation.ca/products/rsl-tourney-no-4-feather-shuttles</t>
  </si>
  <si>
    <t>https://badmintondeal.com/en-ca/products/rsl-classic-series-no-5-tourney-shuttlecocks?variant=42429257285807</t>
  </si>
  <si>
    <t>https://www-bbeshop-com.translate.goog/index_shuttle.htm?_x_tr_sl=fr&amp;_x_tr_tl=en&amp;_x_tr_hl=en&amp;_x_tr_pto=wapp&amp;_x_tr_sch=http</t>
  </si>
  <si>
    <t>https://www.alibaba.com/pla/RSL-Badminton-No5-Duck-Feather-Stable_1600895983777.html?mark=google_shopping&amp;biz=pla&amp;searchText=shuttlecocks&amp;product_id=1600895983777&amp;pcy=US&amp;src=sem_ggl&amp;field=UG&amp;from=sem_ggl&amp;cmpgn=20527067700&amp;adgrp=&amp;fditm=&amp;tgt=&amp;locintrst=&amp;locphyscl=9000712&amp;mtchtyp=&amp;ntwrk=x&amp;device=c&amp;dvcmdl=&amp;creative=&amp;plcmnt=&amp;plcmntcat=&amp;aceid=&amp;position=&amp;gad_source=1&amp;gclid=Cj0KCQiAj_CrBhD-ARIsAIiMxT_PkCzdrnws3eRbaTYG5RkHv9qEsxmat-tsgmckuL-1k4NXmhIyNq0aArn5EALw_wcB</t>
  </si>
  <si>
    <t>https://e78shop.com/products/rsl-tourney-no-6-shuttlecock-shuttlecock-rsl6</t>
  </si>
  <si>
    <t>https://www.alibaba.com/product-detail/RSL-No-5-Class-A-Cigu_62389202991.html?spm=a2700.shop_plgr.41413.45.1c8623c3VuSqPF</t>
  </si>
  <si>
    <t>https://www.shopnings.com/rsl-badminton-shuttlecocks/</t>
  </si>
  <si>
    <t>https://www.smashnation.ca/collections/feather-shuttles/products/rsl-tourney-no-5-feather-shuttles</t>
  </si>
  <si>
    <t>https://yumo.ca/products/rsl-no-5-tourney-feather-shuttles?variant=29633822217</t>
  </si>
  <si>
    <t>https://yumo.ca/collections/badminton-shuttles/products/rsl-no-5-tourney-feather-shuttles?variant=29633822217</t>
  </si>
  <si>
    <t>https://www.alibaba.com/product-detail/RSL-Badminton-No-6-Duck-Feather_1600896111379.html?spm=a2700.shop_oth.82.9.48a23e71ZB9SEd</t>
  </si>
  <si>
    <t>https://e78shop.com/products/rsl-tourney-no-8-shuttlecock</t>
  </si>
  <si>
    <t>https://badmintondeal.com/en-ca/products/rsl-classic-series-supreme-badminton-shuttlecocks?variant=42428886679727</t>
  </si>
  <si>
    <t>https://e78shop.com/products/rsl-supreme</t>
  </si>
  <si>
    <t>https://yumo.ca/products/rsl-supreme-feather-shuttles?variant=31105913865</t>
  </si>
  <si>
    <t>https://tenniszon.com/fr/products/victor-carbon-sonic-1?_pos=5&amp;_fid=6c2cbc1c9&amp;_ss=c</t>
  </si>
  <si>
    <t>https://www.alibaba.com/product-detail/Victor-No-1-Duck-Feather-Badminton_62456820332.html?spm=a2700.shop_plgr.41413.67.1c8623c3VuSqPF</t>
  </si>
  <si>
    <t>https://racquetnetwork.com/product/victor-champion-1-badminton-shuttlecocks/</t>
  </si>
  <si>
    <t>https://www.alibaba.com/product-detail/Victor-No-3-Duck-Feather-all_62458504940.html?spm=a2700.shop_plgr.41413.69.1c8623c3VuSqPF</t>
  </si>
  <si>
    <t>https://yumo.ca/collections/badminton-shuttles/products/victor-champion-3-feather-shuttle?variant=29558024329</t>
  </si>
  <si>
    <t>https://tenniszon.com/products/victor-feather-shuttlecocks-champion-no-5</t>
  </si>
  <si>
    <t>https://yumo.ca/collections/victor-shuttles/products/victor-champion-no-5-feather-shuttle?variant=29562875657</t>
  </si>
  <si>
    <t>https://racquetnetwork.com/product/victor-champion-no-7-badminton-shuttlecocks/</t>
  </si>
  <si>
    <t>https://www.badmintonwarehouse.com/collections/victor-badminton-shuttlecocks/products/victor-gold-badminton-shuttlecock</t>
  </si>
  <si>
    <t>https://e78shop.com/products/victor-gold-shuttlecock-shuttlecock-victor-gold</t>
  </si>
  <si>
    <t>https://www.alibaba.com/product-detail/Victor-GOLD-Duck-Feather-Badminton-Shuttlecock_62456805957.html?spm=a2700.shop_plgr.41413.71.1c8623c3VuSqPF</t>
  </si>
  <si>
    <t>https://racquetnetwork.com/product/victor-gold-badminton-shuttlecocks/</t>
  </si>
  <si>
    <t>https://yumo.ca/collections/victor-shuttles/products/victor-no-1-gold-feather-shuttle?variant=39924543520855</t>
  </si>
  <si>
    <t>https://mybadmintonstore.com/shop/product_info.php?cPath=25_58_59&amp;products_id=3173</t>
  </si>
  <si>
    <t>https://yumo.ca/collections/badminton-shuttles/products/victor-master-no-1-feather-shuttle-1</t>
  </si>
  <si>
    <t>https://www.alibaba.com/product-detail/Victor-MASTER-No-3-Class-C_62458420968.html?spm=a2700.shop_plgr.41413.61.1c8623c3VuSqPF</t>
  </si>
  <si>
    <t>https://racquetnetwork.com/product/victor-master-no-3-badminton-shuttlecocks-speed-75-25-dozen/</t>
  </si>
  <si>
    <t>https://yumo.ca/collections/badminton-shuttles/products/victor-master-no-3-feather-shuttle?variant=39352075747415</t>
  </si>
  <si>
    <t>http://www.bbesports.com/wzgl/ProductShow.asp?ID=2210</t>
  </si>
  <si>
    <t>https://badmintonhq.co.uk/products/victor-queen-feather-shuttlecocks</t>
  </si>
  <si>
    <t>https://centralsports.co.uk/products/victor-queen-feather-shuttle</t>
  </si>
  <si>
    <t>https://www.directbadminton.co.uk/victor-queen-feather-shuttlecocks-308C</t>
  </si>
  <si>
    <t>https://www.kwflex.nl/en/victor-queen-shuttles.html</t>
  </si>
  <si>
    <t>https://www.racket-outlet.com/badminton/victor-queen.html</t>
  </si>
  <si>
    <t>https://www.victor-europe.com/en/product-page/victor-queen</t>
  </si>
  <si>
    <t>https://elitebadminton.net/collections/feather-shuttles/products/victor-special-feather-shuttle?variant=30155841765447</t>
  </si>
  <si>
    <t>https://tenniszon.com/products/victor-shuttlecocks-special-training</t>
  </si>
  <si>
    <t>https://yumo.ca/collections/badminton-shuttles/products/victor-special-feather-shuttle?variant=19433723494487</t>
  </si>
  <si>
    <t>https://www.alibaba.com/product-detail/WECAN-BLACK-badminton-shuttlecock_1600929854096.html?spm=a2700.shop_plgr.41413.88.1c8623c3VuSqPF</t>
  </si>
  <si>
    <t>https://www.alibaba.com/product-detail/WECAN-GOLD-Water-Duck-all-round_62482864975.html?spm=a2700.shop_plgr.41413.85.1c8623c3VuSqPF</t>
  </si>
  <si>
    <t>https://www.yehlex.co.uk/collections/shuttlecocks/products/yehlex-championship-grade-shuttles</t>
  </si>
  <si>
    <t>https://www.yehlex.co.uk/products/yehlex-tournament-grade-shuttles</t>
  </si>
  <si>
    <t>https://www.badmintonalley.com/Yonex_Aero_Club_03_AC_03_Feather_Shuttlecock_p/shuttlecock-yonex-ac-03.htm</t>
  </si>
  <si>
    <t>https://racquetnetwork.com/product/yonex-aeroclub-33-badminton-shuttlecocks/</t>
  </si>
  <si>
    <t>https://badmintontoronto.com/index.php?route=product/product&amp;path=90_92_96&amp;product_id=1119</t>
  </si>
  <si>
    <t>https://racquetguys.ca/products/yonex-aeroclub-tr-feather-badminton-shuttlecocks-77-speed?currency=CAD</t>
  </si>
  <si>
    <t>https://racquetnetwork.com/product/yonex-aeroclub-feather-shuttlecocks/</t>
  </si>
  <si>
    <t>https://www.smashnation.ca/collections/feather-shuttles/products/yonex-aeroclub-tr-feather-shuttles</t>
  </si>
  <si>
    <t>https://yumo.ca/products/yonex-aeroclub-tr-feather-shuttles?variant=29598989641</t>
  </si>
  <si>
    <t>https://www.alibaba.com/product-detail/YONEX-AS02-Class-A-Duck-Feather_62413582310.html?spm=a2700.shop_plgr.41413.93.1c8623c3VuSqPF</t>
  </si>
  <si>
    <t>https://www.shopnings.com/yonex-aerosensa-as-02-badminton-12-pcs-shuttlecock/</t>
  </si>
  <si>
    <t>http://www.bbeshop.com/index_shuttle.htm</t>
  </si>
  <si>
    <t>https://www.alibaba.com/product-detail/YONEX-AS03-Class-A-Duck-Feather_62421127446.html?spm=a2700.shop_plgr.41413.97.1c8623c3VuSqPF</t>
  </si>
  <si>
    <t>https://www.alibaba.com/product-detail/YONEXyy-AS05EX-Badminton_1600923979899.html?spm=a2700.shop_oth.84.32.48a23e71ZB9SEd</t>
  </si>
  <si>
    <t>https://e78shop.com/products/as-05</t>
  </si>
  <si>
    <t>https://www.alibaba.com/product-detail/YONEX-AS05-Class-A-Duck-Feather_62421988946.html?spm=a2700.shop_plgr.41413.99.1c8623c3VuSqPF</t>
  </si>
  <si>
    <t>https://www.alibaba.com/product-detail/Yonexyy-unix-Badminton-12-sets-with_1600892550417.html?spm=a2700.shop_oth.84.34.48a23e71ZB9SEd</t>
  </si>
  <si>
    <t>https://e78shop.com/products/as-9</t>
  </si>
  <si>
    <t>https://www.shopnings.com/yonex-aerosensa-as-9-badminton-12-pcs-shuttlecock/</t>
  </si>
  <si>
    <t>https://www.badmintonalley.com/Yonex_Aerosensa_10_AS_10_Feather_Shuttlecock_p/shuttlecock-yonex-as10.htm</t>
  </si>
  <si>
    <t>https://badmintondirect.com/products/yonex-aerosensa-feather-shuttlecocks-as-10</t>
  </si>
  <si>
    <t>https://e78shop.com/products/yonex-aerosensa-10</t>
  </si>
  <si>
    <t>https://badmintontoronto.com/index.php?route=product/product&amp;path=90_92_96&amp;product_id=1120</t>
  </si>
  <si>
    <t>https://www.alibaba.com/product-detail/Yonex-AS20-Badminton-Shuttlecock_62423146077.html?spm=a2700.shop_plgr.41413.103.1c8623c3VuSqPF</t>
  </si>
  <si>
    <t>https://maxsports.ca/fr/products/yonex-badminton-shuttlecock-aerosensa-20?variant=43382883778784</t>
  </si>
  <si>
    <t>https://racquetnetwork.com/product/yonex-aerosensa-20-badminton-shuttlecocks-50-dozen/</t>
  </si>
  <si>
    <t>https://www.shopnings.com/yonex-aerosensa-as-20-badminton-12-pcs-shuttlecock/</t>
  </si>
  <si>
    <t>https://yumo.ca/products/yonex-aerosensa-20-feather-shuttles?variant=29598723849</t>
  </si>
  <si>
    <t>https://www.alibaba.com/product-detail/YONEX-AS30-Badminton-Shuttlecock_62422742991.html?spm=a2700.shop_plgr.41413.105.1c8623c3VuSqPF</t>
  </si>
  <si>
    <t>https://racquetnetwork.com/product/yonex-aerosensa-30-badminton-shuttlecocks-50-dozen/</t>
  </si>
  <si>
    <t>https://yumo.ca/products/yonex-aerosensa-30-feather-shuttles?variant=29598190025</t>
  </si>
  <si>
    <t>https://www.alibaba.com/product-detail/YONEXYunix-Official-Website-Badminton-AS-40EX12_1600972702089.html?spm=a2700.shop_oth.82.11.48a23e71ZB9SEd</t>
  </si>
  <si>
    <t>https://racquetnetwork.com/product/yonex-aerosensa-40-badminton-shuttlecocks-25-dozen/</t>
  </si>
  <si>
    <t>https://www.alibaba.com/product-detail/YONEXUnix-Badminton-12-Pack-AS50-International_1600980970947.html?spm=a2700.shop_plgr.41413.25.43ab3e71JS6s93</t>
  </si>
  <si>
    <t>https://www.alibaba.com/product-detail/YONEX-AS50-Badminton-Shuttlecock_62423256673.html?spm=a2700.shop_plgr.41413.109.1c8623c3VuSqPF</t>
  </si>
  <si>
    <t>https://racquetnetwork.com/product/yonex-aerosensa-50-badminton-shuttlecocks-25-dozen/</t>
  </si>
  <si>
    <t>https://yumo.ca/collections/badminton-shuttles/products/yonex-aerosensa-50-feather-shuttles?variant=29564121801</t>
  </si>
  <si>
    <t>https://badmintontoronto.com/index.php?route=product/product&amp;path=90_92_96&amp;product_id=1114</t>
  </si>
  <si>
    <t>https://e78shop.com/products/yonex-mavis-2000-shuttlecock-m-2000p</t>
  </si>
  <si>
    <t>https://jzonebadminton.com/shop/ols/products/yonex-mavis-2000</t>
  </si>
  <si>
    <t>https://maxsports.ca/fr/products/yonex-badminton-shuttlecock-mavis-2000</t>
  </si>
  <si>
    <t>https://racquetnetwork.com/product/yonex-mavis-2000-badminton-shuttlecocks/</t>
  </si>
  <si>
    <t>https://tenniszon.com/products/yonex-mavis-2000-yellow-case-10-cans-of-6</t>
  </si>
  <si>
    <t>https://yumo.ca/products/yonex-mavis-2000-nylon-shuttles</t>
  </si>
  <si>
    <t>https://badmintontoronto.com/index.php?route=product/product&amp;path=90_92_96&amp;product_id=1113</t>
  </si>
  <si>
    <t>https://www.aliexpress.com/item/1005004814787216.html?spm=a2g0o.productlist.main.5.3f993817Dx7bZh&amp;algo_pvid=10e9acb5-8674-428e-8efd-a76433e9bf0f&amp;algo_exp_id=10e9acb5-8674-428e-8efd-a76433e9bf0f-2&amp;pdp_npi=4%40dis%21CAD%2122.16%2114.45%21%21%2116.16%21%21%40210318ec17027141882954958e5a02%2112000034348283301%21sea%21CA%210%21AB&amp;curPageLogUid=9uNnIyz7jw6z</t>
  </si>
  <si>
    <t>https://www.alibaba.com/product-detail/YONEX-Nylon-Badminton-Shuttlecock-MAVIS-300_62414450829.html?spm=a2700.shop_plgr.41413.95.1c8623c3VuSqPF</t>
  </si>
  <si>
    <t>https://jzonebadminton.com/shop/ols/products/yonex-mavis-300</t>
  </si>
  <si>
    <t>https://maxsports.ca/fr/products/yonex-badminton-shuttlecock-mavis-300</t>
  </si>
  <si>
    <t>https://racquetnetwork.com/product/yonex-mavis-300-badminton-shuttlecocks/</t>
  </si>
  <si>
    <t>https://www.sportchek.ca/en/pdp/yonex-mavis-300-medium-speed-nylon-shuttlecock-6-count-70310613f.116280001720000.html?gad_source=4&amp;gclid=Cj0KCQiAsvWrBhC0ARIsAO4E6f9xLv_z1X9McpRqNXE1sevDQ43hEChXRkIdwGjN6e252F2yMYH0WLEaAkqqEALw_wcB&amp;gclsrc=aw.ds#store=322</t>
  </si>
  <si>
    <t>https://tenniszon.com/products/yonex-mavis-300-yellow-case-10-cans-of-6</t>
  </si>
  <si>
    <t>https://badmintontoronto.com/index.php?route=product/product&amp;path=90_92_96&amp;product_id=1112</t>
  </si>
  <si>
    <t>https://e78shop.com/products/yonex-mavis-350-shuttlecock-m-350cp</t>
  </si>
  <si>
    <t>https://jzonebadminton.com/shop/ols/products/yonex-mavis-350</t>
  </si>
  <si>
    <t>https://maxsports.ca/products/yonex-badminton-shuttlecock-mavis-350?variant=43382940664032</t>
  </si>
  <si>
    <t>https://racquetguys.ca/products/yonex-mavis-350-nylon-badminton-shuttlecocks</t>
  </si>
  <si>
    <t>https://racquetnetwork.com/product/yonex-mavis-350-badminton-shuttlecocks/</t>
  </si>
  <si>
    <t>https://tenniszon.com/products/yonex-mavis-350-yellow-case-10-cans-of-6</t>
  </si>
  <si>
    <t>https://www.alibaba.com/product-detail/YONEX-Nylon-Badminton-Shuttlecock-MAVIS-600_62414045471.html?spm=a2700.shop_plgr.41413.91.1c8623c3VuSqPF</t>
  </si>
  <si>
    <t>https://www.fradettesport.com/collections/volants/products/yonex-aero-sensa-21</t>
  </si>
  <si>
    <t>https://www.fradettesport.com/collections/volants/products/yonex-aero-sensa-30-50-tubes</t>
  </si>
  <si>
    <t>https://www.fradettesport.com/collections/volants/products/yonex-aero-sensa-40-50-tubes</t>
  </si>
  <si>
    <t>https://www.fradettesport.com/collections/volants/products/yonex-aero-sensa-50-50-tubes</t>
  </si>
  <si>
    <t>https://www.fradettesport.com/collections/volants/products/vb-yonex-mavis-2000-jaune</t>
  </si>
  <si>
    <t>https://www.fradettesport.com/collections/volants/products/yonex-mavis-300-jaune-50-tubes</t>
  </si>
  <si>
    <t>https://www.fradettesport.com/collections/volants/products/yonex-mavis-350-jaune-50-tubes</t>
  </si>
  <si>
    <t>https://www.fradettesport.com/collections/volants/products/victor-a-plume-carbon-sonic-2-10-tubes</t>
  </si>
  <si>
    <t>https://www.fradettesport.com/collections/volants/products/victor-a-plume-carbon-sonic-1-10-tubes</t>
  </si>
  <si>
    <t>https://www.fradettesport.com/collections/volants/products/victor-a-plume-champion-n-1-50-tubes</t>
  </si>
  <si>
    <t>https://www.fradettesport.com/collections/volants/products/victor-a-plume-champion-n-5-50-tubes</t>
  </si>
  <si>
    <t>https://www.fradettesport.com/collections/volants/products/victor-a-plume-tourney-50-tubes</t>
  </si>
  <si>
    <t>https://www.fradettesport.com/collections/volants/products/yonex-aeroclub-tr-50-tubes</t>
  </si>
  <si>
    <t>https://yumo.ca/products/victor-champion-green-feather-shuttle?variant=31525271625</t>
  </si>
  <si>
    <t>https://e78shop.com/products/victor-champion-no-1</t>
  </si>
  <si>
    <t>Fradette 32$. Yumo sells 32.50$</t>
  </si>
  <si>
    <t>https://e78shop.com/collections/shuttlecock/products/rsl-tourney-classic-shuttlecock-shuttlecock-rslc</t>
  </si>
  <si>
    <t>Ultimate</t>
  </si>
  <si>
    <t>https://e78shop.com/collections/shuttlecock/products/rsl-ultimate</t>
  </si>
  <si>
    <t>https://e78shop.com/collections/shuttlecock/products/rsl-tourney-no-6-shuttlecock-shuttlecock-rsl6</t>
  </si>
  <si>
    <t>https://e78shop.com/collections/shuttlecock/products/as-30</t>
  </si>
  <si>
    <t>https://e78shop.com/collections/shuttlecock/products/victor-master-no-5-shuttlecock</t>
  </si>
  <si>
    <t>https://e78shop.com/collections/shuttlecock/products/as-40</t>
  </si>
  <si>
    <t>https://e78shop.com/collections/shuttlecock/products/cs1</t>
  </si>
  <si>
    <t>https://e78shop.com/collections/shuttlecock/products/rsl-silver-shuttlecock</t>
  </si>
  <si>
    <t>https://e78shop.com/collections/shuttlecock/products/li-ning-g900-international-grade-shuttlecocks-ayqr002-10</t>
  </si>
  <si>
    <t>Li-Ning sells 43$. Yumo Pro Shop sells 48$</t>
  </si>
  <si>
    <t>https://yumo.ca/products/rsl-ultimate-feather-shuttles?variant=32361660121175</t>
  </si>
  <si>
    <t>Yumo sells 45$</t>
  </si>
  <si>
    <t>https://yumo.ca/products/victor-carbonsonic-no-1-synthetic-feather-shuttle?variant=3746304262172</t>
  </si>
  <si>
    <t>22$/un.</t>
  </si>
  <si>
    <t xml:space="preserve">Fradette 19$/un. Yumo sells 19$ch./50. CS No. 1 - real cork </t>
  </si>
  <si>
    <t>https://yumo.ca/products/victor-carbonsonic-no-2-synthetic-feather-shuttle?variant=3746364686364</t>
  </si>
  <si>
    <t>CS No. 2 - synthetic cork. Fradette 17.50$/ch. Yumo Pro Shop sells 18$ch./50 and 21$/ch.</t>
  </si>
  <si>
    <t>https://yumo.ca/products/yonex-mavis-350-nylon-shuttles?variant=29600145865</t>
  </si>
  <si>
    <t>Fradette Sports sells 16.50/un.$ . Yumo sells 16.50$</t>
  </si>
  <si>
    <t>CHAOPAI. Not really worth</t>
  </si>
  <si>
    <t>A+80. Yumo sells 30$/un. 28.50$ch./50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</si>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</sst>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164" fontId="0" fillId="0" borderId="0" xfId="0" applyNumberFormat="1"/>
    <xf numFmtId="2" fontId="0" fillId="0" borderId="0" xfId="0" applyNumberFormat="1"/>
    <xf numFmtId="0" fontId="1" fillId="0" borderId="0" xfId="1" applyFill="1"/>
    <xf numFmtId="0" fontId="3" fillId="0" borderId="1" xfId="0" applyFont="1" applyBorder="1"/>
    <xf numFmtId="2" fontId="1" fillId="0" borderId="0" xfId="1" applyNumberFormat="1"/>
    <xf numFmtId="0" fontId="0" fillId="0" borderId="0" xfId="0" applyFont="1" applyFill="1"/>
    <xf numFmtId="2" fontId="0" fillId="0" borderId="0" xfId="0" applyNumberFormat="1" applyFont="1" applyFill="1"/>
    <xf numFmtId="0" fontId="1" fillId="0" borderId="0" xfId="1" applyFont="1" applyFill="1"/>
  </cellXfs>
  <cellStyles count="2">
    <cellStyle name="Hyperlink" xfId="1" builtinId="8"/>
    <cellStyle name="Normal" xfId="0" builtinId="0"/>
  </cellStyles>
  <dxfs count="16">
    <dxf>
      <numFmt numFmtId="164" formatCode="0.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0438D2-8B3A-4829-97D5-14A43E5941E4}" name="Table3" displayName="Table3" ref="A1:I256" totalsRowShown="0">
  <autoFilter ref="A1:I256" xr:uid="{EB0438D2-8B3A-4829-97D5-14A43E5941E4}"/>
  <sortState xmlns:xlrd2="http://schemas.microsoft.com/office/spreadsheetml/2017/richdata2" ref="A2:I256">
    <sortCondition ref="B1:B256"/>
  </sortState>
  <tableColumns count="9">
    <tableColumn id="1" xr3:uid="{5B1BC528-64BC-4D38-837B-53244E90AF02}" name="Supplier"/>
    <tableColumn id="2" xr3:uid="{5984EB0D-2EFE-4EC3-AAD5-72DD1369905C}" name="Brand"/>
    <tableColumn id="3" xr3:uid="{6D8EEDA9-C495-41E3-A1B3-703823D52984}" name="Model"/>
    <tableColumn id="4" xr3:uid="{E31CCA3B-9DC2-468B-BA70-532FF8FA5EBE}" name="Speed"/>
    <tableColumn id="5" xr3:uid="{33911EEE-F99F-4BB4-BF34-0FAAEC53565D}" name="Qty"/>
    <tableColumn id="6" xr3:uid="{8AB92D8F-7F98-4B4A-9805-15F54CA87EF1}" name="Price (CAD)"/>
    <tableColumn id="7" xr3:uid="{09464F87-3663-48DC-8289-F5022B49B499}" name="Price/tube" dataDxfId="15">
      <calculatedColumnFormula>F2/E2</calculatedColumnFormula>
    </tableColumn>
    <tableColumn id="8" xr3:uid="{12E762C7-3B63-42D7-8AE6-11CE0C42EF02}" name="Link" dataDxfId="14"/>
    <tableColumn id="9" xr3:uid="{30DB935E-C2EC-421B-B6D0-7CEFE31C8F97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DE1BA5-D7FC-46E4-BADD-432D1B890DC9}" name="Table2" displayName="Table2" ref="A1:K43" totalsRowShown="0" headerRowDxfId="13" headerRowBorderDxfId="12" tableBorderDxfId="11">
  <autoFilter ref="A1:K43" xr:uid="{49DE1BA5-D7FC-46E4-BADD-432D1B890DC9}"/>
  <sortState xmlns:xlrd2="http://schemas.microsoft.com/office/spreadsheetml/2017/richdata2" ref="A2:K43">
    <sortCondition ref="B1:B43"/>
  </sortState>
  <tableColumns count="11">
    <tableColumn id="1" xr3:uid="{DC923144-7480-4D9A-8EFB-837BA7CE0D52}" name="Supplier" dataDxfId="10"/>
    <tableColumn id="2" xr3:uid="{3DB934FA-367C-493A-84ED-BFA00D558CB8}" name="Brand" dataDxfId="9"/>
    <tableColumn id="3" xr3:uid="{3DFF25A0-DC99-4F64-91B3-6F2844A91B10}" name="Model" dataDxfId="8"/>
    <tableColumn id="4" xr3:uid="{4E5A153A-A52B-4B98-830E-4A892C32DD50}" name="Speed" dataDxfId="7"/>
    <tableColumn id="5" xr3:uid="{0182FFEF-03E5-4487-81AE-07E89B202299}" name="Qty" dataDxfId="6"/>
    <tableColumn id="6" xr3:uid="{EB97E7CD-3EEB-4B2B-84D5-6067696D96BB}" name="Price (CAD)" dataDxfId="5"/>
    <tableColumn id="7" xr3:uid="{7EEEAD5B-A725-456F-B5FD-2B9B824B7D16}" name="Price/tube" dataDxfId="4">
      <calculatedColumnFormula>F2/E2</calculatedColumnFormula>
    </tableColumn>
    <tableColumn id="8" xr3:uid="{CC057D18-A88E-4735-9BC1-C385F7D328A2}" name="Link" dataDxfId="3" dataCellStyle="Hyperlink"/>
    <tableColumn id="9" xr3:uid="{3DEE32C4-5B3A-47EC-98EB-0E2F14AF8308}" name="Notes" dataDxfId="2"/>
    <tableColumn id="16386" xr3:uid="{ED535BAF-F79D-4EA4-8863-E9905E8D3A0B}" name="Selling price (CAD)" dataDxfId="1"/>
    <tableColumn id="16387" xr3:uid="{6C07B638-B95D-4FBB-9F9A-2196929B7C4E}" name="Profit (%)" dataDxfId="0">
      <calculatedColumnFormula>(Table2[[#This Row],[Selling price (CAD)]]-Table2[[#This Row],[Price/tube]])/Table2[[#This Row],[Price/tube]]*100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besports.com/wzgl/ProductShow.asp?ID=2420" TargetMode="External"/><Relationship Id="rId18" Type="http://schemas.openxmlformats.org/officeDocument/2006/relationships/hyperlink" Target="https://www.smashnation.ca/products/rsl-tourney-no-4-feather-shuttles" TargetMode="External"/><Relationship Id="rId26" Type="http://schemas.openxmlformats.org/officeDocument/2006/relationships/hyperlink" Target="https://yumo.ca/collections/victor-shuttles/products/victor-no-1-gold-feather-shuttle?variant=39924543520855" TargetMode="External"/><Relationship Id="rId39" Type="http://schemas.openxmlformats.org/officeDocument/2006/relationships/hyperlink" Target="https://jzonebadminton.com/shop/ols/products/yonex-mavis-300" TargetMode="External"/><Relationship Id="rId21" Type="http://schemas.openxmlformats.org/officeDocument/2006/relationships/hyperlink" Target="https://badmintondeal.com/en-ca/products/rsl-classic-series-no-5-tourney-shuttlecocks?variant=42429257285807" TargetMode="External"/><Relationship Id="rId34" Type="http://schemas.openxmlformats.org/officeDocument/2006/relationships/hyperlink" Target="https://badmintonhq.co.uk/products/victor-queen-feather-shuttlecocks" TargetMode="External"/><Relationship Id="rId42" Type="http://schemas.openxmlformats.org/officeDocument/2006/relationships/hyperlink" Target="https://e78shop.com/products/yonex-mavis-2000-shuttlecock-m-2000p" TargetMode="External"/><Relationship Id="rId47" Type="http://schemas.openxmlformats.org/officeDocument/2006/relationships/hyperlink" Target="https://www.fradettesport.com/collections/volants/products/yonex-mavis-300-jaune-50-tubes" TargetMode="External"/><Relationship Id="rId50" Type="http://schemas.openxmlformats.org/officeDocument/2006/relationships/hyperlink" Target="https://www.fradettesport.com/collections/volants/products/victor-a-plume-champion-n-5-50-tubes" TargetMode="External"/><Relationship Id="rId55" Type="http://schemas.openxmlformats.org/officeDocument/2006/relationships/hyperlink" Target="https://www.shopnings.com/yonex-aerosensa-as-20-badminton-12-pcs-shuttlecock/" TargetMode="External"/><Relationship Id="rId7" Type="http://schemas.openxmlformats.org/officeDocument/2006/relationships/hyperlink" Target="https://shopbadmintononline.com/badminton-feather-shuttlecocks-g600-77-p-429.html" TargetMode="External"/><Relationship Id="rId2" Type="http://schemas.openxmlformats.org/officeDocument/2006/relationships/hyperlink" Target="https://e78shop.com/products/aeroplane-g1101-shuttlecock-shuttlecock-g1101" TargetMode="External"/><Relationship Id="rId16" Type="http://schemas.openxmlformats.org/officeDocument/2006/relationships/hyperlink" Target="https://sg.sportsdirect.com/rsl-classic-tourney-78-unisex-shuttlecock-725003" TargetMode="External"/><Relationship Id="rId29" Type="http://schemas.openxmlformats.org/officeDocument/2006/relationships/hyperlink" Target="https://www-bbeshop-com.translate.goog/index_shuttle.htm?_x_tr_sl=fr&amp;_x_tr_tl=en&amp;_x_tr_hl=en&amp;_x_tr_pto=wapp&amp;_x_tr_sch=http" TargetMode="External"/><Relationship Id="rId11" Type="http://schemas.openxmlformats.org/officeDocument/2006/relationships/hyperlink" Target="https://yumo.ca/collections/badminton-shuttles/products/li-ning-a-90-77-speed-feather-shuttle?variant=39250619334743" TargetMode="External"/><Relationship Id="rId24" Type="http://schemas.openxmlformats.org/officeDocument/2006/relationships/hyperlink" Target="https://racquetnetwork.com/product/victor-champion-1-badminton-shuttlecocks/" TargetMode="External"/><Relationship Id="rId32" Type="http://schemas.openxmlformats.org/officeDocument/2006/relationships/hyperlink" Target="https://e78shop.com/products/victor-master-no-3-shuttlecock-shuttlecock-victor-master-no-3" TargetMode="External"/><Relationship Id="rId37" Type="http://schemas.openxmlformats.org/officeDocument/2006/relationships/hyperlink" Target="https://www.shopnings.com/yonex-aerosensa-as-20-badminton-12-pcs-shuttlecock/" TargetMode="External"/><Relationship Id="rId40" Type="http://schemas.openxmlformats.org/officeDocument/2006/relationships/hyperlink" Target="https://maxsports.ca/products/yonex-badminton-shuttlecock-mavis-350?variant=43382940664032" TargetMode="External"/><Relationship Id="rId45" Type="http://schemas.openxmlformats.org/officeDocument/2006/relationships/hyperlink" Target="https://www.fradettesport.com/collections/volants/products/yonex-aero-sensa-40-50-tubes" TargetMode="External"/><Relationship Id="rId53" Type="http://schemas.openxmlformats.org/officeDocument/2006/relationships/hyperlink" Target="https://www.fradettesport.com/collections/volants/products/victor-a-plume-tourney-50-tubes" TargetMode="External"/><Relationship Id="rId58" Type="http://schemas.openxmlformats.org/officeDocument/2006/relationships/hyperlink" Target="https://maxsports.ca/products/yonex-badminton-shuttlecock-mavis-350?variant=43382940664032" TargetMode="External"/><Relationship Id="rId5" Type="http://schemas.openxmlformats.org/officeDocument/2006/relationships/hyperlink" Target="https://tenniszon.com/products/babolat-hybrid-challlenge-77?_pos=1&amp;_fid=b66f94666&amp;_ss=c" TargetMode="External"/><Relationship Id="rId61" Type="http://schemas.openxmlformats.org/officeDocument/2006/relationships/table" Target="../tables/table1.xml"/><Relationship Id="rId19" Type="http://schemas.openxmlformats.org/officeDocument/2006/relationships/hyperlink" Target="https://www.shopnings.com/rsl-badminton-shuttlecocks/" TargetMode="External"/><Relationship Id="rId14" Type="http://schemas.openxmlformats.org/officeDocument/2006/relationships/hyperlink" Target="https://yumo.ca/collections/badminton-shuttles/products/li-ning-a-100-77-speed-feather-shuttle-yumo-pro-shop?variant=39295827673175" TargetMode="External"/><Relationship Id="rId22" Type="http://schemas.openxmlformats.org/officeDocument/2006/relationships/hyperlink" Target="https://e78shop.com/products/rsl-tourney-no-6-shuttlecock-shuttlecock-rsl6" TargetMode="External"/><Relationship Id="rId27" Type="http://schemas.openxmlformats.org/officeDocument/2006/relationships/hyperlink" Target="https://racquetnetwork.com/product/victor-champion-no-7-badminton-shuttlecocks/" TargetMode="External"/><Relationship Id="rId30" Type="http://schemas.openxmlformats.org/officeDocument/2006/relationships/hyperlink" Target="https://elitebadminton.net/collections/feather-shuttles/products/victor-special-feather-shuttle?variant=30155841765447" TargetMode="External"/><Relationship Id="rId35" Type="http://schemas.openxmlformats.org/officeDocument/2006/relationships/hyperlink" Target="https://www.directbadminton.co.uk/victor-queen-feather-shuttlecocks-308C" TargetMode="External"/><Relationship Id="rId43" Type="http://schemas.openxmlformats.org/officeDocument/2006/relationships/hyperlink" Target="https://www.alibaba.com/product-detail/YONEX-AS50-Badminton-Shuttlecock_62423256673.html?spm=a2700.shop_plgr.41413.109.1c8623c3VuSqPF" TargetMode="External"/><Relationship Id="rId48" Type="http://schemas.openxmlformats.org/officeDocument/2006/relationships/hyperlink" Target="https://www.fradettesport.com/collections/volants/products/victor-a-plume-carbon-sonic-2-10-tubes" TargetMode="External"/><Relationship Id="rId56" Type="http://schemas.openxmlformats.org/officeDocument/2006/relationships/hyperlink" Target="https://www.alibaba.com/product-detail/YONEXYunix-Official-Website-Badminton-AS-40EX12_1600972702089.html?spm=a2700.shop_oth.82.11.48a23e71ZB9SEd" TargetMode="External"/><Relationship Id="rId8" Type="http://schemas.openxmlformats.org/officeDocument/2006/relationships/hyperlink" Target="https://shopbadmintononline.com/badminton-feather-shuttlecocks-c20-77-p-52.html" TargetMode="External"/><Relationship Id="rId51" Type="http://schemas.openxmlformats.org/officeDocument/2006/relationships/hyperlink" Target="https://www.fradettesport.com/collections/volants/products/yonex-aeroclub-tr-50-tubes" TargetMode="External"/><Relationship Id="rId3" Type="http://schemas.openxmlformats.org/officeDocument/2006/relationships/hyperlink" Target="https://badmintontoronto.com/index.php?route=product/product&amp;path=97&amp;product_id=175" TargetMode="External"/><Relationship Id="rId12" Type="http://schemas.openxmlformats.org/officeDocument/2006/relationships/hyperlink" Target="https://www.shopnings.com/li-ning-g300-badminton-shuttlecock-12-pcs-shuttle-cocks-2021-summer/" TargetMode="External"/><Relationship Id="rId17" Type="http://schemas.openxmlformats.org/officeDocument/2006/relationships/hyperlink" Target="https://www.smashnation.ca/collections/feather-shuttles/products/rsl-tourney-no-5-feather-shuttles" TargetMode="External"/><Relationship Id="rId25" Type="http://schemas.openxmlformats.org/officeDocument/2006/relationships/hyperlink" Target="http://www.bbesports.com/English/index_shuttle.htm" TargetMode="External"/><Relationship Id="rId33" Type="http://schemas.openxmlformats.org/officeDocument/2006/relationships/hyperlink" Target="http://www.bbesports.com/wzgl/ProductShow.asp?ID=2210" TargetMode="External"/><Relationship Id="rId38" Type="http://schemas.openxmlformats.org/officeDocument/2006/relationships/hyperlink" Target="https://www.alibaba.com/product-detail/YONEXYunix-Official-Website-Badminton-AS-40EX12_1600972702089.html?spm=a2700.shop_oth.82.11.48a23e71ZB9SEd" TargetMode="External"/><Relationship Id="rId46" Type="http://schemas.openxmlformats.org/officeDocument/2006/relationships/hyperlink" Target="https://www.fradettesport.com/collections/volants/products/yonex-aero-sensa-50-50-tubes" TargetMode="External"/><Relationship Id="rId59" Type="http://schemas.openxmlformats.org/officeDocument/2006/relationships/hyperlink" Target="http://www.bbeshop.com/index_shuttle.htm" TargetMode="External"/><Relationship Id="rId20" Type="http://schemas.openxmlformats.org/officeDocument/2006/relationships/hyperlink" Target="https://www.shopnings.com/rsl-badminton-shuttlecocks/" TargetMode="External"/><Relationship Id="rId41" Type="http://schemas.openxmlformats.org/officeDocument/2006/relationships/hyperlink" Target="http://www.bbeshop.com/index_shuttle.htm" TargetMode="External"/><Relationship Id="rId54" Type="http://schemas.openxmlformats.org/officeDocument/2006/relationships/hyperlink" Target="http://www.bbesports.com/English/index_shuttle.htm" TargetMode="External"/><Relationship Id="rId1" Type="http://schemas.openxmlformats.org/officeDocument/2006/relationships/hyperlink" Target="https://www.cbsa-asfc.gc.ca/trade-commerce/tariff-tarif/2018/01-99/ch95-2018-eng.pdf" TargetMode="External"/><Relationship Id="rId6" Type="http://schemas.openxmlformats.org/officeDocument/2006/relationships/hyperlink" Target="https://yumo.ca/collections/badminton-shuttles/products/li-ning-a-70-76-speed-feather-shuttle" TargetMode="External"/><Relationship Id="rId15" Type="http://schemas.openxmlformats.org/officeDocument/2006/relationships/hyperlink" Target="https://yumo.ca/collections/badminton-shuttles/products/rsl-no-5-tourney-feather-shuttles?variant=29633822217" TargetMode="External"/><Relationship Id="rId23" Type="http://schemas.openxmlformats.org/officeDocument/2006/relationships/hyperlink" Target="https://www.alibaba.com/product-detail/RSL-ASHLONG-3-RSL-Badminton-NO3_1600986342891.html?spm=a2700.shop_plgr.41413.27.43ab3e71JS6s93" TargetMode="External"/><Relationship Id="rId28" Type="http://schemas.openxmlformats.org/officeDocument/2006/relationships/hyperlink" Target="https://racquetnetwork.com/product/victor-gold-badminton-shuttlecocks/" TargetMode="External"/><Relationship Id="rId36" Type="http://schemas.openxmlformats.org/officeDocument/2006/relationships/hyperlink" Target="http://www.bbesports.com/English/index_shuttle.htm" TargetMode="External"/><Relationship Id="rId49" Type="http://schemas.openxmlformats.org/officeDocument/2006/relationships/hyperlink" Target="https://www.fradettesport.com/collections/volants/products/victor-a-plume-carbon-sonic-1-10-tubes" TargetMode="External"/><Relationship Id="rId57" Type="http://schemas.openxmlformats.org/officeDocument/2006/relationships/hyperlink" Target="https://jzonebadminton.com/shop/ols/products/yonex-mavis-300" TargetMode="External"/><Relationship Id="rId10" Type="http://schemas.openxmlformats.org/officeDocument/2006/relationships/hyperlink" Target="https://shopbadmintononline.com/badminton-feather-shuttlecocks-g100-77-p-321.html" TargetMode="External"/><Relationship Id="rId31" Type="http://schemas.openxmlformats.org/officeDocument/2006/relationships/hyperlink" Target="https://racquetnetwork.com/product/victor-master-no-3-badminton-shuttlecocks-speed-75-25-dozen/" TargetMode="External"/><Relationship Id="rId44" Type="http://schemas.openxmlformats.org/officeDocument/2006/relationships/hyperlink" Target="https://www.fradettesport.com/collections/volants/products/yonex-aero-sensa-21" TargetMode="External"/><Relationship Id="rId52" Type="http://schemas.openxmlformats.org/officeDocument/2006/relationships/hyperlink" Target="https://www.fradettesport.com/collections/volants/products/victor-a-plume-champion-n-1-50-tubes" TargetMode="External"/><Relationship Id="rId60" Type="http://schemas.openxmlformats.org/officeDocument/2006/relationships/hyperlink" Target="https://e78shop.com/products/yonex-mavis-2000-shuttlecock-m-2000p" TargetMode="External"/><Relationship Id="rId4" Type="http://schemas.openxmlformats.org/officeDocument/2006/relationships/hyperlink" Target="https://elitebadminton.net/collections/feather-shuttles/products/baton-green?variant=39947545870470" TargetMode="External"/><Relationship Id="rId9" Type="http://schemas.openxmlformats.org/officeDocument/2006/relationships/hyperlink" Target="https://shopbadmintononline.com/badminton-birdies-mark-x800-medium-p-568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besports.com/wzgl/ProductShow.asp?ID=1220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e78shop.com/products/victor-master-no-3-shuttlecock-shuttlecock-victor-master-no-3" TargetMode="External"/><Relationship Id="rId1" Type="http://schemas.openxmlformats.org/officeDocument/2006/relationships/hyperlink" Target="https://www.sportchek.ca/en/pdp/yonex-aeroclub-tr-badminton-shuttles-70306771f.331759048.html?loc=plp" TargetMode="External"/><Relationship Id="rId6" Type="http://schemas.openxmlformats.org/officeDocument/2006/relationships/hyperlink" Target="https://www.fradettesport.com/collections/volants/products/victor-a-plume-carbon-sonic-2-10-tubes" TargetMode="External"/><Relationship Id="rId5" Type="http://schemas.openxmlformats.org/officeDocument/2006/relationships/hyperlink" Target="https://www.fradettesport.com/collections/volants/products/victor-a-plume-carbon-sonic-1-10-tubes" TargetMode="External"/><Relationship Id="rId4" Type="http://schemas.openxmlformats.org/officeDocument/2006/relationships/hyperlink" Target="https://www.cbsa-asfc.gc.ca/trade-commerce/tariff-tarif/2018/01-99/ch95-2018-en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1"/>
  <sheetViews>
    <sheetView topLeftCell="A10" zoomScaleNormal="100" workbookViewId="0">
      <selection activeCell="C18" sqref="C18"/>
    </sheetView>
  </sheetViews>
  <sheetFormatPr defaultRowHeight="15" x14ac:dyDescent="0.25"/>
  <cols>
    <col min="1" max="1" width="22.42578125" bestFit="1" customWidth="1"/>
    <col min="2" max="2" width="10.28515625" bestFit="1" customWidth="1"/>
    <col min="3" max="3" width="16.28515625" bestFit="1" customWidth="1"/>
    <col min="4" max="4" width="8.85546875" bestFit="1" customWidth="1"/>
    <col min="5" max="5" width="6.42578125" bestFit="1" customWidth="1"/>
    <col min="6" max="6" width="13.28515625" bestFit="1" customWidth="1"/>
    <col min="7" max="7" width="12.7109375" bestFit="1" customWidth="1"/>
    <col min="8" max="8" width="53.85546875" customWidth="1"/>
    <col min="9" max="9" width="120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33</v>
      </c>
      <c r="G1" t="s">
        <v>5</v>
      </c>
      <c r="H1" t="s">
        <v>4</v>
      </c>
      <c r="I1" t="s">
        <v>31</v>
      </c>
    </row>
    <row r="2" spans="1:9" x14ac:dyDescent="0.25">
      <c r="A2" t="s">
        <v>82</v>
      </c>
      <c r="B2" t="s">
        <v>43</v>
      </c>
      <c r="C2" t="s">
        <v>68</v>
      </c>
      <c r="E2">
        <v>1</v>
      </c>
      <c r="F2" s="3">
        <f>150/5.21</f>
        <v>28.790786948176585</v>
      </c>
      <c r="G2" s="3">
        <f>F2/E2</f>
        <v>28.790786948176585</v>
      </c>
      <c r="H2" s="1" t="s">
        <v>239</v>
      </c>
    </row>
    <row r="3" spans="1:9" x14ac:dyDescent="0.25">
      <c r="A3" t="s">
        <v>66</v>
      </c>
      <c r="B3" t="s">
        <v>43</v>
      </c>
      <c r="C3" t="s">
        <v>68</v>
      </c>
      <c r="D3">
        <v>50</v>
      </c>
      <c r="E3">
        <v>50</v>
      </c>
      <c r="F3" s="3">
        <v>1700</v>
      </c>
      <c r="G3" s="3">
        <f>F3/E3</f>
        <v>34</v>
      </c>
      <c r="H3" s="1" t="s">
        <v>240</v>
      </c>
    </row>
    <row r="4" spans="1:9" x14ac:dyDescent="0.25">
      <c r="A4" t="s">
        <v>170</v>
      </c>
      <c r="B4" t="s">
        <v>43</v>
      </c>
      <c r="C4" t="s">
        <v>68</v>
      </c>
      <c r="G4" s="3" t="e">
        <f>F4/E4</f>
        <v>#DIV/0!</v>
      </c>
      <c r="H4" s="1" t="s">
        <v>241</v>
      </c>
    </row>
    <row r="5" spans="1:9" x14ac:dyDescent="0.25">
      <c r="A5" t="s">
        <v>82</v>
      </c>
      <c r="B5" t="s">
        <v>43</v>
      </c>
      <c r="C5" t="s">
        <v>54</v>
      </c>
      <c r="E5">
        <v>1</v>
      </c>
      <c r="F5" s="3">
        <f>150/5.21</f>
        <v>28.790786948176585</v>
      </c>
      <c r="G5" s="3">
        <f>F5/E5</f>
        <v>28.790786948176585</v>
      </c>
      <c r="H5" s="1" t="s">
        <v>95</v>
      </c>
      <c r="I5" t="s">
        <v>152</v>
      </c>
    </row>
    <row r="6" spans="1:9" x14ac:dyDescent="0.25">
      <c r="A6" t="s">
        <v>55</v>
      </c>
      <c r="B6" t="s">
        <v>43</v>
      </c>
      <c r="C6" t="s">
        <v>54</v>
      </c>
      <c r="E6">
        <v>50</v>
      </c>
      <c r="F6" s="3">
        <f>32.1*50</f>
        <v>1605</v>
      </c>
      <c r="G6" s="3">
        <f>F6/E6</f>
        <v>32.1</v>
      </c>
      <c r="H6" s="1" t="s">
        <v>242</v>
      </c>
      <c r="I6" t="s">
        <v>152</v>
      </c>
    </row>
    <row r="7" spans="1:9" x14ac:dyDescent="0.25">
      <c r="A7" t="s">
        <v>199</v>
      </c>
      <c r="B7" t="s">
        <v>43</v>
      </c>
      <c r="C7" t="s">
        <v>54</v>
      </c>
      <c r="E7">
        <v>50</v>
      </c>
      <c r="F7">
        <f>33.44*50</f>
        <v>1672</v>
      </c>
      <c r="G7" s="3">
        <f>F7/E7</f>
        <v>33.44</v>
      </c>
      <c r="H7" s="1" t="s">
        <v>243</v>
      </c>
    </row>
    <row r="8" spans="1:9" x14ac:dyDescent="0.25">
      <c r="A8" t="s">
        <v>61</v>
      </c>
      <c r="B8" t="s">
        <v>43</v>
      </c>
      <c r="C8" t="s">
        <v>54</v>
      </c>
      <c r="E8">
        <v>50</v>
      </c>
      <c r="F8" s="3">
        <f>34*50</f>
        <v>1700</v>
      </c>
      <c r="G8" s="3">
        <f>F8/E8</f>
        <v>34</v>
      </c>
      <c r="H8" s="1" t="s">
        <v>244</v>
      </c>
      <c r="I8" t="s">
        <v>152</v>
      </c>
    </row>
    <row r="9" spans="1:9" x14ac:dyDescent="0.25">
      <c r="A9" t="s">
        <v>53</v>
      </c>
      <c r="B9" t="s">
        <v>43</v>
      </c>
      <c r="C9" t="s">
        <v>54</v>
      </c>
      <c r="D9">
        <v>50</v>
      </c>
      <c r="E9">
        <v>50</v>
      </c>
      <c r="F9" s="3">
        <f>1310*1.34</f>
        <v>1755.4</v>
      </c>
      <c r="G9" s="3">
        <f>F9/E9</f>
        <v>35.108000000000004</v>
      </c>
      <c r="H9" s="1" t="s">
        <v>245</v>
      </c>
      <c r="I9" t="s">
        <v>153</v>
      </c>
    </row>
    <row r="10" spans="1:9" x14ac:dyDescent="0.25">
      <c r="A10" t="s">
        <v>96</v>
      </c>
      <c r="B10" t="s">
        <v>43</v>
      </c>
      <c r="C10" t="s">
        <v>54</v>
      </c>
      <c r="G10" s="3" t="e">
        <f>F10/E10</f>
        <v>#DIV/0!</v>
      </c>
      <c r="H10" s="1" t="s">
        <v>246</v>
      </c>
      <c r="I10" t="s">
        <v>152</v>
      </c>
    </row>
    <row r="11" spans="1:9" x14ac:dyDescent="0.25">
      <c r="A11" t="s">
        <v>42</v>
      </c>
      <c r="B11" t="s">
        <v>43</v>
      </c>
      <c r="C11" t="s">
        <v>44</v>
      </c>
      <c r="D11" t="s">
        <v>45</v>
      </c>
      <c r="E11">
        <v>50</v>
      </c>
      <c r="F11">
        <v>1288</v>
      </c>
      <c r="G11" s="3">
        <f>F11/E11</f>
        <v>25.76</v>
      </c>
      <c r="H11" s="1" t="s">
        <v>247</v>
      </c>
    </row>
    <row r="12" spans="1:9" x14ac:dyDescent="0.25">
      <c r="A12" t="s">
        <v>66</v>
      </c>
      <c r="B12" t="s">
        <v>43</v>
      </c>
      <c r="C12" t="s">
        <v>44</v>
      </c>
      <c r="D12">
        <v>50</v>
      </c>
      <c r="E12">
        <v>25</v>
      </c>
      <c r="F12">
        <v>650</v>
      </c>
      <c r="G12" s="3">
        <f>F12/E12</f>
        <v>26</v>
      </c>
      <c r="H12" s="1" t="s">
        <v>248</v>
      </c>
      <c r="I12" t="s">
        <v>169</v>
      </c>
    </row>
    <row r="13" spans="1:9" x14ac:dyDescent="0.25">
      <c r="A13" t="s">
        <v>42</v>
      </c>
      <c r="B13" t="s">
        <v>43</v>
      </c>
      <c r="C13" t="s">
        <v>46</v>
      </c>
      <c r="D13" t="s">
        <v>45</v>
      </c>
      <c r="E13">
        <v>25</v>
      </c>
      <c r="F13">
        <v>600</v>
      </c>
      <c r="G13" s="3">
        <f>F13/E13</f>
        <v>24</v>
      </c>
      <c r="H13" s="1" t="s">
        <v>249</v>
      </c>
      <c r="I13" t="s">
        <v>169</v>
      </c>
    </row>
    <row r="14" spans="1:9" x14ac:dyDescent="0.25">
      <c r="A14" t="s">
        <v>61</v>
      </c>
      <c r="B14" t="s">
        <v>43</v>
      </c>
      <c r="C14" t="s">
        <v>46</v>
      </c>
      <c r="E14">
        <v>50</v>
      </c>
      <c r="F14">
        <f>29*50</f>
        <v>1450</v>
      </c>
      <c r="G14" s="3">
        <f>F14/E14</f>
        <v>29</v>
      </c>
      <c r="H14" s="1" t="s">
        <v>250</v>
      </c>
    </row>
    <row r="15" spans="1:9" x14ac:dyDescent="0.25">
      <c r="A15" t="s">
        <v>65</v>
      </c>
      <c r="B15" t="s">
        <v>73</v>
      </c>
      <c r="C15" t="s">
        <v>74</v>
      </c>
      <c r="D15">
        <v>77</v>
      </c>
      <c r="E15">
        <v>1</v>
      </c>
      <c r="F15">
        <v>30</v>
      </c>
      <c r="G15" s="3">
        <f>F15/E15</f>
        <v>30</v>
      </c>
      <c r="H15" s="1" t="s">
        <v>251</v>
      </c>
    </row>
    <row r="16" spans="1:9" x14ac:dyDescent="0.25">
      <c r="A16" t="s">
        <v>9</v>
      </c>
      <c r="B16" t="s">
        <v>12</v>
      </c>
      <c r="C16" t="s">
        <v>13</v>
      </c>
      <c r="D16">
        <v>77</v>
      </c>
      <c r="E16">
        <v>50</v>
      </c>
      <c r="F16">
        <v>825</v>
      </c>
      <c r="G16" s="3">
        <f>F16/E16</f>
        <v>16.5</v>
      </c>
      <c r="H16" s="1" t="s">
        <v>252</v>
      </c>
    </row>
    <row r="17" spans="1:9" x14ac:dyDescent="0.25">
      <c r="A17" t="s">
        <v>122</v>
      </c>
      <c r="B17" t="s">
        <v>121</v>
      </c>
      <c r="C17" t="s">
        <v>13</v>
      </c>
      <c r="E17">
        <v>9</v>
      </c>
      <c r="F17" s="3">
        <v>194.22</v>
      </c>
      <c r="G17" s="3">
        <f>F17/E17</f>
        <v>21.58</v>
      </c>
      <c r="H17" s="1" t="s">
        <v>253</v>
      </c>
    </row>
    <row r="18" spans="1:9" x14ac:dyDescent="0.25">
      <c r="A18" t="s">
        <v>122</v>
      </c>
      <c r="B18" t="s">
        <v>121</v>
      </c>
      <c r="C18" t="s">
        <v>120</v>
      </c>
      <c r="D18">
        <v>77</v>
      </c>
      <c r="E18">
        <v>5</v>
      </c>
      <c r="F18" s="3">
        <v>87.84</v>
      </c>
      <c r="G18" s="3">
        <f>F18/E18</f>
        <v>17.568000000000001</v>
      </c>
      <c r="H18" s="1" t="s">
        <v>254</v>
      </c>
    </row>
    <row r="19" spans="1:9" x14ac:dyDescent="0.25">
      <c r="A19" t="s">
        <v>206</v>
      </c>
      <c r="B19" t="s">
        <v>121</v>
      </c>
      <c r="C19" t="s">
        <v>208</v>
      </c>
      <c r="E19">
        <v>10</v>
      </c>
      <c r="F19" s="3">
        <f>21.67*10</f>
        <v>216.70000000000002</v>
      </c>
      <c r="G19" s="3">
        <f>F19/E19</f>
        <v>21.67</v>
      </c>
      <c r="H19" s="1" t="s">
        <v>255</v>
      </c>
    </row>
    <row r="20" spans="1:9" x14ac:dyDescent="0.25">
      <c r="A20" t="s">
        <v>206</v>
      </c>
      <c r="B20" t="s">
        <v>121</v>
      </c>
      <c r="C20" t="s">
        <v>125</v>
      </c>
      <c r="E20">
        <v>10</v>
      </c>
      <c r="F20" s="3">
        <f>25.73*10</f>
        <v>257.3</v>
      </c>
      <c r="G20" s="3">
        <f>F20/E20</f>
        <v>25.73</v>
      </c>
      <c r="H20" s="1" t="s">
        <v>256</v>
      </c>
    </row>
    <row r="21" spans="1:9" x14ac:dyDescent="0.25">
      <c r="A21" t="s">
        <v>206</v>
      </c>
      <c r="B21" t="s">
        <v>121</v>
      </c>
      <c r="C21" t="s">
        <v>106</v>
      </c>
      <c r="E21">
        <v>10</v>
      </c>
      <c r="F21" s="3">
        <f>26.4*10</f>
        <v>264</v>
      </c>
      <c r="G21" s="3">
        <f>F21/E21</f>
        <v>26.4</v>
      </c>
      <c r="H21" s="1" t="s">
        <v>207</v>
      </c>
    </row>
    <row r="22" spans="1:9" x14ac:dyDescent="0.25">
      <c r="A22" t="s">
        <v>123</v>
      </c>
      <c r="B22" t="s">
        <v>121</v>
      </c>
      <c r="C22" t="s">
        <v>106</v>
      </c>
      <c r="E22">
        <v>4</v>
      </c>
      <c r="F22" s="3">
        <v>170.05</v>
      </c>
      <c r="G22" s="3">
        <f>F22/E22</f>
        <v>42.512500000000003</v>
      </c>
      <c r="H22" s="1" t="s">
        <v>257</v>
      </c>
      <c r="I22" t="s">
        <v>124</v>
      </c>
    </row>
    <row r="23" spans="1:9" x14ac:dyDescent="0.25">
      <c r="A23" t="s">
        <v>122</v>
      </c>
      <c r="B23" t="s">
        <v>121</v>
      </c>
      <c r="C23" t="s">
        <v>106</v>
      </c>
      <c r="E23">
        <v>9</v>
      </c>
      <c r="F23" s="3">
        <v>394.8</v>
      </c>
      <c r="G23" s="3">
        <f>F23/E23</f>
        <v>43.866666666666667</v>
      </c>
      <c r="H23" s="1" t="s">
        <v>258</v>
      </c>
      <c r="I23" t="s">
        <v>124</v>
      </c>
    </row>
    <row r="24" spans="1:9" x14ac:dyDescent="0.25">
      <c r="A24" t="s">
        <v>206</v>
      </c>
      <c r="B24" t="s">
        <v>121</v>
      </c>
      <c r="C24" t="s">
        <v>209</v>
      </c>
      <c r="E24">
        <v>50</v>
      </c>
      <c r="F24" s="3">
        <f>29.79*50</f>
        <v>1489.5</v>
      </c>
      <c r="G24" s="3">
        <f>F24/E24</f>
        <v>29.79</v>
      </c>
      <c r="H24" s="1" t="s">
        <v>259</v>
      </c>
    </row>
    <row r="25" spans="1:9" x14ac:dyDescent="0.25">
      <c r="A25" t="s">
        <v>199</v>
      </c>
      <c r="B25" t="s">
        <v>121</v>
      </c>
      <c r="C25" t="s">
        <v>198</v>
      </c>
      <c r="E25">
        <v>10</v>
      </c>
      <c r="F25" s="3">
        <f>29.52*10</f>
        <v>295.2</v>
      </c>
      <c r="G25" s="3">
        <f>F25/E25</f>
        <v>29.52</v>
      </c>
      <c r="H25" s="1" t="s">
        <v>260</v>
      </c>
    </row>
    <row r="26" spans="1:9" x14ac:dyDescent="0.25">
      <c r="A26" t="s">
        <v>59</v>
      </c>
      <c r="B26" t="s">
        <v>59</v>
      </c>
      <c r="C26" t="s">
        <v>60</v>
      </c>
      <c r="E26">
        <v>50</v>
      </c>
      <c r="F26" s="3">
        <v>1095</v>
      </c>
      <c r="G26" s="3">
        <f>F26/E26</f>
        <v>21.9</v>
      </c>
      <c r="H26" s="1" t="s">
        <v>261</v>
      </c>
    </row>
    <row r="27" spans="1:9" x14ac:dyDescent="0.25">
      <c r="A27" t="s">
        <v>55</v>
      </c>
      <c r="B27" t="s">
        <v>59</v>
      </c>
      <c r="C27" t="s">
        <v>58</v>
      </c>
      <c r="E27">
        <v>1</v>
      </c>
      <c r="F27" s="3">
        <v>30</v>
      </c>
      <c r="G27" s="3">
        <f>F27/E27</f>
        <v>30</v>
      </c>
      <c r="H27" s="1" t="s">
        <v>262</v>
      </c>
    </row>
    <row r="28" spans="1:9" x14ac:dyDescent="0.25">
      <c r="A28" t="s">
        <v>52</v>
      </c>
      <c r="B28" t="s">
        <v>59</v>
      </c>
      <c r="C28" t="s">
        <v>58</v>
      </c>
      <c r="D28">
        <v>77</v>
      </c>
      <c r="E28">
        <v>1</v>
      </c>
      <c r="F28" s="3">
        <f>31*1.34</f>
        <v>41.54</v>
      </c>
      <c r="G28" s="3">
        <f>F28/E28</f>
        <v>41.54</v>
      </c>
      <c r="H28" s="1" t="s">
        <v>263</v>
      </c>
      <c r="I28" t="s">
        <v>107</v>
      </c>
    </row>
    <row r="29" spans="1:9" x14ac:dyDescent="0.25">
      <c r="A29" t="s">
        <v>109</v>
      </c>
      <c r="B29" t="s">
        <v>59</v>
      </c>
      <c r="C29" t="s">
        <v>117</v>
      </c>
      <c r="E29">
        <v>10</v>
      </c>
      <c r="F29" s="3">
        <f>10*11.51</f>
        <v>115.1</v>
      </c>
      <c r="G29" s="3">
        <f>F29/E29</f>
        <v>11.51</v>
      </c>
      <c r="H29" s="1" t="s">
        <v>264</v>
      </c>
    </row>
    <row r="30" spans="1:9" x14ac:dyDescent="0.25">
      <c r="A30" t="s">
        <v>109</v>
      </c>
      <c r="B30" t="s">
        <v>59</v>
      </c>
      <c r="C30" t="s">
        <v>116</v>
      </c>
      <c r="E30">
        <v>50</v>
      </c>
      <c r="F30" s="3">
        <f>17.35</f>
        <v>17.350000000000001</v>
      </c>
      <c r="G30" s="3">
        <f>F30/E30</f>
        <v>0.34700000000000003</v>
      </c>
      <c r="H30" s="1" t="s">
        <v>265</v>
      </c>
    </row>
    <row r="31" spans="1:9" x14ac:dyDescent="0.25">
      <c r="A31" t="s">
        <v>109</v>
      </c>
      <c r="B31" t="s">
        <v>59</v>
      </c>
      <c r="C31" t="s">
        <v>113</v>
      </c>
      <c r="E31">
        <v>1</v>
      </c>
      <c r="F31" s="3">
        <v>18.96</v>
      </c>
      <c r="G31" s="3">
        <f>F31/E31</f>
        <v>18.96</v>
      </c>
      <c r="H31" s="1" t="s">
        <v>266</v>
      </c>
      <c r="I31" t="s">
        <v>115</v>
      </c>
    </row>
    <row r="32" spans="1:9" x14ac:dyDescent="0.25">
      <c r="A32" t="s">
        <v>109</v>
      </c>
      <c r="B32" t="s">
        <v>59</v>
      </c>
      <c r="C32" t="s">
        <v>111</v>
      </c>
      <c r="E32">
        <v>50</v>
      </c>
      <c r="F32" s="3">
        <f>50*20.11</f>
        <v>1005.5</v>
      </c>
      <c r="G32" s="3">
        <f>F32/E32</f>
        <v>20.11</v>
      </c>
      <c r="H32" s="1" t="s">
        <v>267</v>
      </c>
      <c r="I32" t="s">
        <v>114</v>
      </c>
    </row>
    <row r="33" spans="1:9" x14ac:dyDescent="0.25">
      <c r="A33" t="s">
        <v>109</v>
      </c>
      <c r="B33" t="s">
        <v>59</v>
      </c>
      <c r="C33" t="s">
        <v>112</v>
      </c>
      <c r="E33">
        <v>1</v>
      </c>
      <c r="F33" s="3">
        <v>22.88</v>
      </c>
      <c r="G33" s="3">
        <f>F33/E33</f>
        <v>22.88</v>
      </c>
      <c r="H33" s="1" t="s">
        <v>268</v>
      </c>
      <c r="I33" t="s">
        <v>118</v>
      </c>
    </row>
    <row r="34" spans="1:9" x14ac:dyDescent="0.25">
      <c r="A34" t="s">
        <v>109</v>
      </c>
      <c r="B34" t="s">
        <v>59</v>
      </c>
      <c r="C34" t="s">
        <v>110</v>
      </c>
      <c r="E34">
        <v>50</v>
      </c>
      <c r="F34" s="3">
        <f>50*25.55</f>
        <v>1277.5</v>
      </c>
      <c r="G34" s="3">
        <f>F34/E34</f>
        <v>25.55</v>
      </c>
      <c r="H34" s="1" t="s">
        <v>269</v>
      </c>
      <c r="I34" t="s">
        <v>108</v>
      </c>
    </row>
    <row r="35" spans="1:9" x14ac:dyDescent="0.25">
      <c r="A35" t="s">
        <v>109</v>
      </c>
      <c r="B35" t="s">
        <v>59</v>
      </c>
      <c r="C35" t="s">
        <v>110</v>
      </c>
      <c r="E35">
        <v>50</v>
      </c>
      <c r="F35" s="3">
        <f>50*27.76</f>
        <v>1388</v>
      </c>
      <c r="G35" s="3">
        <f>F35/E35</f>
        <v>27.76</v>
      </c>
      <c r="H35" s="1" t="s">
        <v>270</v>
      </c>
    </row>
    <row r="36" spans="1:9" x14ac:dyDescent="0.25">
      <c r="A36" t="s">
        <v>52</v>
      </c>
      <c r="B36" t="s">
        <v>59</v>
      </c>
      <c r="C36" t="s">
        <v>106</v>
      </c>
      <c r="D36">
        <v>77</v>
      </c>
      <c r="E36">
        <v>1</v>
      </c>
      <c r="F36" s="3">
        <f>23.5</f>
        <v>23.5</v>
      </c>
      <c r="G36" s="3">
        <f>F36/E36</f>
        <v>23.5</v>
      </c>
      <c r="H36" s="1" t="s">
        <v>271</v>
      </c>
    </row>
    <row r="37" spans="1:9" x14ac:dyDescent="0.25">
      <c r="A37" t="s">
        <v>82</v>
      </c>
      <c r="B37" t="s">
        <v>17</v>
      </c>
      <c r="C37" t="s">
        <v>139</v>
      </c>
      <c r="D37">
        <v>77</v>
      </c>
      <c r="E37">
        <v>1</v>
      </c>
      <c r="F37">
        <f>120/5.21</f>
        <v>23.032629558541267</v>
      </c>
      <c r="G37" s="3">
        <f>F37/E37</f>
        <v>23.032629558541267</v>
      </c>
      <c r="H37" s="1" t="s">
        <v>272</v>
      </c>
      <c r="I37" t="s">
        <v>136</v>
      </c>
    </row>
    <row r="38" spans="1:9" x14ac:dyDescent="0.25">
      <c r="A38" t="s">
        <v>199</v>
      </c>
      <c r="B38" t="s">
        <v>17</v>
      </c>
      <c r="C38" t="s">
        <v>139</v>
      </c>
      <c r="D38">
        <v>77</v>
      </c>
      <c r="E38">
        <v>50</v>
      </c>
      <c r="F38">
        <f>27.08*50</f>
        <v>1354</v>
      </c>
      <c r="G38" s="3">
        <f>F38/E38</f>
        <v>27.08</v>
      </c>
      <c r="H38" s="1" t="s">
        <v>273</v>
      </c>
      <c r="I38" t="s">
        <v>136</v>
      </c>
    </row>
    <row r="39" spans="1:9" x14ac:dyDescent="0.25">
      <c r="A39" t="s">
        <v>82</v>
      </c>
      <c r="B39" t="s">
        <v>17</v>
      </c>
      <c r="C39" t="s">
        <v>141</v>
      </c>
      <c r="D39">
        <v>77</v>
      </c>
      <c r="E39">
        <v>1</v>
      </c>
      <c r="F39">
        <f>139/5.21</f>
        <v>26.679462571976966</v>
      </c>
      <c r="G39" s="3">
        <f>F39/E39</f>
        <v>26.679462571976966</v>
      </c>
      <c r="H39" s="1" t="s">
        <v>272</v>
      </c>
      <c r="I39" t="s">
        <v>140</v>
      </c>
    </row>
    <row r="40" spans="1:9" x14ac:dyDescent="0.25">
      <c r="A40" t="s">
        <v>199</v>
      </c>
      <c r="B40" t="s">
        <v>17</v>
      </c>
      <c r="C40" t="s">
        <v>141</v>
      </c>
      <c r="D40">
        <v>77</v>
      </c>
      <c r="E40">
        <v>50</v>
      </c>
      <c r="F40">
        <f>31.14*50</f>
        <v>1557</v>
      </c>
      <c r="G40" s="3">
        <f>F40/E40</f>
        <v>31.14</v>
      </c>
      <c r="H40" s="1" t="s">
        <v>274</v>
      </c>
      <c r="I40" t="s">
        <v>140</v>
      </c>
    </row>
    <row r="41" spans="1:9" x14ac:dyDescent="0.25">
      <c r="A41" t="s">
        <v>82</v>
      </c>
      <c r="B41" t="s">
        <v>17</v>
      </c>
      <c r="C41" t="s">
        <v>90</v>
      </c>
      <c r="D41">
        <v>77</v>
      </c>
      <c r="E41">
        <v>1</v>
      </c>
      <c r="F41" s="3">
        <f>65/5.21</f>
        <v>12.476007677543187</v>
      </c>
      <c r="G41" s="3">
        <f>F41/E41</f>
        <v>12.476007677543187</v>
      </c>
      <c r="H41" s="1" t="s">
        <v>275</v>
      </c>
      <c r="I41" t="s">
        <v>99</v>
      </c>
    </row>
    <row r="42" spans="1:9" x14ac:dyDescent="0.25">
      <c r="A42" t="s">
        <v>199</v>
      </c>
      <c r="B42" t="s">
        <v>17</v>
      </c>
      <c r="C42" t="s">
        <v>143</v>
      </c>
      <c r="D42">
        <v>77</v>
      </c>
      <c r="E42">
        <v>50</v>
      </c>
      <c r="F42">
        <f>36.56*50</f>
        <v>1828</v>
      </c>
      <c r="G42" s="3">
        <f>F42/E42</f>
        <v>36.56</v>
      </c>
      <c r="H42" s="1" t="s">
        <v>276</v>
      </c>
      <c r="I42" t="s">
        <v>142</v>
      </c>
    </row>
    <row r="43" spans="1:9" x14ac:dyDescent="0.25">
      <c r="A43" t="s">
        <v>82</v>
      </c>
      <c r="B43" t="s">
        <v>17</v>
      </c>
      <c r="C43" t="s">
        <v>91</v>
      </c>
      <c r="D43">
        <v>77</v>
      </c>
      <c r="E43">
        <v>1</v>
      </c>
      <c r="F43" s="3">
        <f>74/5.21</f>
        <v>14.203454894433781</v>
      </c>
      <c r="G43" s="3">
        <f>F43/E43</f>
        <v>14.203454894433781</v>
      </c>
      <c r="H43" s="1" t="s">
        <v>92</v>
      </c>
      <c r="I43" t="s">
        <v>104</v>
      </c>
    </row>
    <row r="44" spans="1:9" x14ac:dyDescent="0.25">
      <c r="A44" t="s">
        <v>199</v>
      </c>
      <c r="B44" t="s">
        <v>17</v>
      </c>
      <c r="C44" t="s">
        <v>91</v>
      </c>
      <c r="D44">
        <v>77</v>
      </c>
      <c r="E44">
        <v>50</v>
      </c>
      <c r="F44" s="3">
        <f>19.91*50</f>
        <v>995.5</v>
      </c>
      <c r="G44" s="3">
        <f>F44/E44</f>
        <v>19.91</v>
      </c>
      <c r="H44" s="1" t="s">
        <v>277</v>
      </c>
    </row>
    <row r="45" spans="1:9" x14ac:dyDescent="0.25">
      <c r="A45" t="s">
        <v>199</v>
      </c>
      <c r="B45" t="s">
        <v>17</v>
      </c>
      <c r="C45" t="s">
        <v>85</v>
      </c>
      <c r="D45">
        <v>77</v>
      </c>
      <c r="E45">
        <v>50</v>
      </c>
      <c r="F45">
        <f>24.37*50</f>
        <v>1218.5</v>
      </c>
      <c r="G45" s="3">
        <f>F45/E45</f>
        <v>24.37</v>
      </c>
      <c r="H45" s="1" t="s">
        <v>278</v>
      </c>
      <c r="I45" t="s">
        <v>18</v>
      </c>
    </row>
    <row r="46" spans="1:9" x14ac:dyDescent="0.25">
      <c r="A46" t="s">
        <v>21</v>
      </c>
      <c r="B46" t="s">
        <v>17</v>
      </c>
      <c r="C46" t="s">
        <v>23</v>
      </c>
      <c r="D46">
        <v>77</v>
      </c>
      <c r="E46">
        <v>50</v>
      </c>
      <c r="F46" s="3">
        <v>850</v>
      </c>
      <c r="G46" s="3">
        <f>F46/E46</f>
        <v>17</v>
      </c>
      <c r="H46" s="1" t="s">
        <v>279</v>
      </c>
      <c r="I46" t="s">
        <v>99</v>
      </c>
    </row>
    <row r="47" spans="1:9" x14ac:dyDescent="0.25">
      <c r="A47" t="s">
        <v>21</v>
      </c>
      <c r="B47" t="s">
        <v>17</v>
      </c>
      <c r="C47" t="s">
        <v>103</v>
      </c>
      <c r="D47">
        <v>77</v>
      </c>
      <c r="E47">
        <v>50</v>
      </c>
      <c r="F47" s="3">
        <f>22*50</f>
        <v>1100</v>
      </c>
      <c r="G47" s="3">
        <f>F47/E47</f>
        <v>22</v>
      </c>
      <c r="H47" s="1" t="s">
        <v>200</v>
      </c>
    </row>
    <row r="48" spans="1:9" x14ac:dyDescent="0.25">
      <c r="A48" t="s">
        <v>14</v>
      </c>
      <c r="B48" t="s">
        <v>17</v>
      </c>
      <c r="C48" t="s">
        <v>103</v>
      </c>
      <c r="D48">
        <v>77</v>
      </c>
      <c r="E48">
        <v>50</v>
      </c>
      <c r="F48">
        <v>1425</v>
      </c>
      <c r="G48" s="3">
        <f>F48/E48</f>
        <v>28.5</v>
      </c>
      <c r="H48" s="1" t="s">
        <v>280</v>
      </c>
      <c r="I48" t="s">
        <v>227</v>
      </c>
    </row>
    <row r="49" spans="1:9" x14ac:dyDescent="0.25">
      <c r="A49" t="s">
        <v>81</v>
      </c>
      <c r="B49" t="s">
        <v>17</v>
      </c>
      <c r="C49" t="s">
        <v>22</v>
      </c>
      <c r="D49">
        <v>77</v>
      </c>
      <c r="E49">
        <v>50</v>
      </c>
      <c r="F49">
        <v>565</v>
      </c>
      <c r="G49" s="3">
        <f>F49/E49</f>
        <v>11.3</v>
      </c>
      <c r="H49" s="1"/>
      <c r="I49" t="s">
        <v>99</v>
      </c>
    </row>
    <row r="50" spans="1:9" x14ac:dyDescent="0.25">
      <c r="A50" t="s">
        <v>82</v>
      </c>
      <c r="B50" t="s">
        <v>17</v>
      </c>
      <c r="C50" t="s">
        <v>22</v>
      </c>
      <c r="D50">
        <v>77</v>
      </c>
      <c r="E50">
        <v>1</v>
      </c>
      <c r="F50" s="2">
        <f>73.8/5.21</f>
        <v>14.165067178502879</v>
      </c>
      <c r="G50" s="3">
        <f>F50/E50</f>
        <v>14.165067178502879</v>
      </c>
      <c r="H50" s="1" t="s">
        <v>86</v>
      </c>
      <c r="I50" t="s">
        <v>100</v>
      </c>
    </row>
    <row r="51" spans="1:9" x14ac:dyDescent="0.25">
      <c r="A51" t="s">
        <v>21</v>
      </c>
      <c r="B51" t="s">
        <v>17</v>
      </c>
      <c r="C51" t="s">
        <v>22</v>
      </c>
      <c r="D51">
        <v>77</v>
      </c>
      <c r="E51">
        <v>50</v>
      </c>
      <c r="F51">
        <v>950</v>
      </c>
      <c r="G51" s="3">
        <f>F51/E51</f>
        <v>19</v>
      </c>
      <c r="H51" s="1" t="s">
        <v>281</v>
      </c>
      <c r="I51" t="s">
        <v>101</v>
      </c>
    </row>
    <row r="52" spans="1:9" x14ac:dyDescent="0.25">
      <c r="A52" t="s">
        <v>82</v>
      </c>
      <c r="B52" t="s">
        <v>17</v>
      </c>
      <c r="C52" t="s">
        <v>20</v>
      </c>
      <c r="D52">
        <v>77</v>
      </c>
      <c r="E52">
        <v>1</v>
      </c>
      <c r="F52" s="2">
        <f>75/5.21</f>
        <v>14.395393474088293</v>
      </c>
      <c r="G52" s="3">
        <f>F52/E52</f>
        <v>14.395393474088293</v>
      </c>
      <c r="H52" s="1" t="s">
        <v>86</v>
      </c>
      <c r="I52" t="s">
        <v>102</v>
      </c>
    </row>
    <row r="53" spans="1:9" x14ac:dyDescent="0.25">
      <c r="A53" t="s">
        <v>14</v>
      </c>
      <c r="B53" t="s">
        <v>17</v>
      </c>
      <c r="C53" t="s">
        <v>20</v>
      </c>
      <c r="D53">
        <v>77</v>
      </c>
      <c r="E53">
        <v>50</v>
      </c>
      <c r="F53">
        <v>1200</v>
      </c>
      <c r="G53" s="3">
        <f>F53/E53</f>
        <v>24</v>
      </c>
      <c r="H53" s="1" t="s">
        <v>283</v>
      </c>
      <c r="I53" t="s">
        <v>99</v>
      </c>
    </row>
    <row r="54" spans="1:9" x14ac:dyDescent="0.25">
      <c r="A54" t="s">
        <v>39</v>
      </c>
      <c r="B54" t="s">
        <v>17</v>
      </c>
      <c r="C54" t="s">
        <v>20</v>
      </c>
      <c r="D54">
        <v>1</v>
      </c>
      <c r="E54">
        <v>1</v>
      </c>
      <c r="F54">
        <v>26</v>
      </c>
      <c r="G54" s="3">
        <f>F54/E54</f>
        <v>26</v>
      </c>
      <c r="H54" s="1" t="s">
        <v>282</v>
      </c>
      <c r="I54" t="s">
        <v>99</v>
      </c>
    </row>
    <row r="55" spans="1:9" x14ac:dyDescent="0.25">
      <c r="A55" t="s">
        <v>21</v>
      </c>
      <c r="B55" t="s">
        <v>17</v>
      </c>
      <c r="C55" t="s">
        <v>145</v>
      </c>
      <c r="D55">
        <v>77</v>
      </c>
      <c r="E55">
        <v>50</v>
      </c>
      <c r="F55">
        <f>24*50</f>
        <v>1200</v>
      </c>
      <c r="G55" s="3">
        <f>F55/E55</f>
        <v>24</v>
      </c>
      <c r="H55" s="1" t="s">
        <v>284</v>
      </c>
    </row>
    <row r="56" spans="1:9" x14ac:dyDescent="0.25">
      <c r="A56" t="s">
        <v>146</v>
      </c>
      <c r="B56" t="s">
        <v>17</v>
      </c>
      <c r="C56" t="s">
        <v>145</v>
      </c>
      <c r="D56">
        <v>77</v>
      </c>
      <c r="E56">
        <v>50</v>
      </c>
      <c r="F56">
        <v>1400</v>
      </c>
      <c r="G56" s="3">
        <f>F56/E56</f>
        <v>28</v>
      </c>
      <c r="H56" s="1" t="s">
        <v>285</v>
      </c>
    </row>
    <row r="57" spans="1:9" x14ac:dyDescent="0.25">
      <c r="A57" t="s">
        <v>82</v>
      </c>
      <c r="B57" t="s">
        <v>17</v>
      </c>
      <c r="C57" t="s">
        <v>18</v>
      </c>
      <c r="D57">
        <v>77</v>
      </c>
      <c r="E57">
        <v>1</v>
      </c>
      <c r="F57" s="2">
        <f>92/5.21</f>
        <v>17.658349328214971</v>
      </c>
      <c r="G57" s="3">
        <f>F57/E57</f>
        <v>17.658349328214971</v>
      </c>
      <c r="H57" s="1" t="s">
        <v>86</v>
      </c>
      <c r="I57" t="s">
        <v>85</v>
      </c>
    </row>
    <row r="58" spans="1:9" x14ac:dyDescent="0.25">
      <c r="A58" t="s">
        <v>55</v>
      </c>
      <c r="B58" t="s">
        <v>17</v>
      </c>
      <c r="C58" t="s">
        <v>18</v>
      </c>
      <c r="D58">
        <v>77</v>
      </c>
      <c r="E58">
        <v>1</v>
      </c>
      <c r="F58">
        <v>25</v>
      </c>
      <c r="G58" s="3">
        <f>F58/E58</f>
        <v>25</v>
      </c>
      <c r="H58" s="1" t="s">
        <v>286</v>
      </c>
    </row>
    <row r="59" spans="1:9" x14ac:dyDescent="0.25">
      <c r="A59" t="s">
        <v>21</v>
      </c>
      <c r="B59" t="s">
        <v>17</v>
      </c>
      <c r="C59" t="s">
        <v>18</v>
      </c>
      <c r="D59">
        <v>77</v>
      </c>
      <c r="E59">
        <v>50</v>
      </c>
      <c r="F59">
        <v>1350</v>
      </c>
      <c r="G59" s="3">
        <f>F59/E59</f>
        <v>27</v>
      </c>
      <c r="H59" s="1" t="s">
        <v>287</v>
      </c>
      <c r="I59" t="s">
        <v>32</v>
      </c>
    </row>
    <row r="60" spans="1:9" x14ac:dyDescent="0.25">
      <c r="A60" t="s">
        <v>14</v>
      </c>
      <c r="B60" t="s">
        <v>17</v>
      </c>
      <c r="C60" t="s">
        <v>18</v>
      </c>
      <c r="D60">
        <v>77</v>
      </c>
      <c r="E60">
        <v>50</v>
      </c>
      <c r="F60">
        <v>1500</v>
      </c>
      <c r="G60" s="3">
        <f>F60/E60</f>
        <v>30</v>
      </c>
      <c r="H60" s="1" t="s">
        <v>288</v>
      </c>
    </row>
    <row r="61" spans="1:9" x14ac:dyDescent="0.25">
      <c r="A61" t="s">
        <v>55</v>
      </c>
      <c r="B61" t="s">
        <v>17</v>
      </c>
      <c r="C61" t="s">
        <v>136</v>
      </c>
      <c r="D61">
        <v>77</v>
      </c>
      <c r="E61">
        <v>5</v>
      </c>
      <c r="F61">
        <f>28*5</f>
        <v>140</v>
      </c>
      <c r="G61" s="3">
        <f>F61/E61</f>
        <v>28</v>
      </c>
      <c r="H61" s="1" t="s">
        <v>217</v>
      </c>
    </row>
    <row r="62" spans="1:9" x14ac:dyDescent="0.25">
      <c r="A62" t="s">
        <v>21</v>
      </c>
      <c r="B62" t="s">
        <v>17</v>
      </c>
      <c r="C62" t="s">
        <v>136</v>
      </c>
      <c r="D62">
        <v>77</v>
      </c>
      <c r="E62">
        <v>50</v>
      </c>
      <c r="F62">
        <f>30*50</f>
        <v>1500</v>
      </c>
      <c r="G62" s="3">
        <f>F62/E62</f>
        <v>30</v>
      </c>
      <c r="H62" s="1" t="s">
        <v>289</v>
      </c>
      <c r="I62" t="s">
        <v>139</v>
      </c>
    </row>
    <row r="63" spans="1:9" x14ac:dyDescent="0.25">
      <c r="A63" t="s">
        <v>14</v>
      </c>
      <c r="B63" t="s">
        <v>17</v>
      </c>
      <c r="C63" t="s">
        <v>136</v>
      </c>
      <c r="D63">
        <v>77</v>
      </c>
      <c r="E63">
        <v>50</v>
      </c>
      <c r="F63">
        <v>1750</v>
      </c>
      <c r="G63" s="3">
        <f>F63/E63</f>
        <v>35</v>
      </c>
      <c r="H63" s="1" t="s">
        <v>290</v>
      </c>
      <c r="I63" t="s">
        <v>139</v>
      </c>
    </row>
    <row r="64" spans="1:9" x14ac:dyDescent="0.25">
      <c r="A64" t="s">
        <v>55</v>
      </c>
      <c r="B64" t="s">
        <v>17</v>
      </c>
      <c r="C64" t="s">
        <v>140</v>
      </c>
      <c r="D64">
        <v>77</v>
      </c>
      <c r="E64">
        <v>5</v>
      </c>
      <c r="F64">
        <f>28*5</f>
        <v>140</v>
      </c>
      <c r="G64" s="3">
        <f>F64/E64</f>
        <v>28</v>
      </c>
      <c r="H64" s="1" t="s">
        <v>218</v>
      </c>
    </row>
    <row r="65" spans="1:9" x14ac:dyDescent="0.25">
      <c r="A65" t="s">
        <v>21</v>
      </c>
      <c r="B65" t="s">
        <v>17</v>
      </c>
      <c r="C65" t="s">
        <v>140</v>
      </c>
      <c r="D65">
        <v>77</v>
      </c>
      <c r="E65">
        <v>50</v>
      </c>
      <c r="F65">
        <f>50*32</f>
        <v>1600</v>
      </c>
      <c r="G65" s="3">
        <f>F65/E65</f>
        <v>32</v>
      </c>
      <c r="H65" s="1" t="s">
        <v>291</v>
      </c>
      <c r="I65" t="s">
        <v>141</v>
      </c>
    </row>
    <row r="66" spans="1:9" x14ac:dyDescent="0.25">
      <c r="A66" t="s">
        <v>14</v>
      </c>
      <c r="B66" t="s">
        <v>17</v>
      </c>
      <c r="C66" t="s">
        <v>140</v>
      </c>
      <c r="D66">
        <v>77</v>
      </c>
      <c r="E66">
        <v>50</v>
      </c>
      <c r="F66">
        <v>1900</v>
      </c>
      <c r="G66" s="3">
        <f>F66/E66</f>
        <v>38</v>
      </c>
      <c r="H66" s="1" t="s">
        <v>292</v>
      </c>
      <c r="I66" t="s">
        <v>141</v>
      </c>
    </row>
    <row r="67" spans="1:9" x14ac:dyDescent="0.25">
      <c r="A67" t="s">
        <v>66</v>
      </c>
      <c r="B67" t="s">
        <v>17</v>
      </c>
      <c r="C67" t="s">
        <v>142</v>
      </c>
      <c r="D67">
        <v>77</v>
      </c>
      <c r="E67">
        <v>50</v>
      </c>
      <c r="F67">
        <v>1920</v>
      </c>
      <c r="G67" s="3">
        <f>F67/E67</f>
        <v>38.4</v>
      </c>
      <c r="H67" s="6" t="s">
        <v>434</v>
      </c>
    </row>
    <row r="68" spans="1:9" x14ac:dyDescent="0.25">
      <c r="A68" t="s">
        <v>21</v>
      </c>
      <c r="B68" t="s">
        <v>17</v>
      </c>
      <c r="C68" t="s">
        <v>142</v>
      </c>
      <c r="D68">
        <v>77</v>
      </c>
      <c r="E68">
        <v>50</v>
      </c>
      <c r="F68">
        <f>43*50</f>
        <v>2150</v>
      </c>
      <c r="G68" s="3">
        <f>F68/E68</f>
        <v>43</v>
      </c>
      <c r="H68" s="1" t="s">
        <v>293</v>
      </c>
      <c r="I68" t="s">
        <v>143</v>
      </c>
    </row>
    <row r="69" spans="1:9" x14ac:dyDescent="0.25">
      <c r="A69" t="s">
        <v>14</v>
      </c>
      <c r="B69" t="s">
        <v>17</v>
      </c>
      <c r="C69" t="s">
        <v>142</v>
      </c>
      <c r="D69">
        <v>77</v>
      </c>
      <c r="E69">
        <v>50</v>
      </c>
      <c r="F69">
        <v>2400</v>
      </c>
      <c r="G69" s="3">
        <f>F69/E69</f>
        <v>48</v>
      </c>
      <c r="H69" s="1" t="s">
        <v>294</v>
      </c>
      <c r="I69" t="s">
        <v>143</v>
      </c>
    </row>
    <row r="70" spans="1:9" x14ac:dyDescent="0.25">
      <c r="A70" t="s">
        <v>82</v>
      </c>
      <c r="B70" t="s">
        <v>17</v>
      </c>
      <c r="C70" t="s">
        <v>87</v>
      </c>
      <c r="D70">
        <v>77</v>
      </c>
      <c r="E70">
        <v>1</v>
      </c>
      <c r="F70" s="2">
        <f>40/5.21</f>
        <v>7.6775431861804222</v>
      </c>
      <c r="G70" s="3">
        <f>F70/E70</f>
        <v>7.6775431861804222</v>
      </c>
      <c r="H70" s="1" t="s">
        <v>86</v>
      </c>
    </row>
    <row r="71" spans="1:9" x14ac:dyDescent="0.25">
      <c r="A71" t="s">
        <v>21</v>
      </c>
      <c r="B71" t="s">
        <v>17</v>
      </c>
      <c r="C71" t="s">
        <v>24</v>
      </c>
      <c r="D71">
        <v>77</v>
      </c>
      <c r="E71">
        <v>50</v>
      </c>
      <c r="F71">
        <v>550</v>
      </c>
      <c r="G71" s="3">
        <f>F71/E71</f>
        <v>11</v>
      </c>
      <c r="H71" s="1" t="s">
        <v>295</v>
      </c>
    </row>
    <row r="72" spans="1:9" x14ac:dyDescent="0.25">
      <c r="A72" t="s">
        <v>61</v>
      </c>
      <c r="B72" t="s">
        <v>62</v>
      </c>
      <c r="C72" t="s">
        <v>62</v>
      </c>
      <c r="E72">
        <v>50</v>
      </c>
      <c r="F72">
        <v>1000</v>
      </c>
      <c r="G72" s="3">
        <f>F72/E72</f>
        <v>20</v>
      </c>
      <c r="H72" s="1" t="s">
        <v>296</v>
      </c>
    </row>
    <row r="73" spans="1:9" x14ac:dyDescent="0.25">
      <c r="A73" t="s">
        <v>82</v>
      </c>
      <c r="B73" t="s">
        <v>19</v>
      </c>
      <c r="C73" t="s">
        <v>37</v>
      </c>
      <c r="E73">
        <v>1</v>
      </c>
      <c r="F73">
        <f>135/5.21</f>
        <v>25.911708253358924</v>
      </c>
      <c r="G73" s="3">
        <f>F73/E73</f>
        <v>25.911708253358924</v>
      </c>
      <c r="H73" s="1" t="s">
        <v>159</v>
      </c>
    </row>
    <row r="74" spans="1:9" x14ac:dyDescent="0.25">
      <c r="A74" t="s">
        <v>66</v>
      </c>
      <c r="B74" t="s">
        <v>19</v>
      </c>
      <c r="C74" t="s">
        <v>37</v>
      </c>
      <c r="D74">
        <v>77</v>
      </c>
      <c r="E74">
        <v>50</v>
      </c>
      <c r="F74">
        <v>1432</v>
      </c>
      <c r="G74" s="3">
        <f>F74/E74</f>
        <v>28.64</v>
      </c>
      <c r="H74" s="6" t="s">
        <v>425</v>
      </c>
    </row>
    <row r="75" spans="1:9" x14ac:dyDescent="0.25">
      <c r="A75" t="s">
        <v>199</v>
      </c>
      <c r="B75" t="s">
        <v>19</v>
      </c>
      <c r="C75" t="s">
        <v>37</v>
      </c>
      <c r="E75">
        <v>10</v>
      </c>
      <c r="F75">
        <f>29.79*10</f>
        <v>297.89999999999998</v>
      </c>
      <c r="G75" s="3">
        <f>F75/E75</f>
        <v>29.79</v>
      </c>
      <c r="H75" s="1" t="s">
        <v>298</v>
      </c>
    </row>
    <row r="76" spans="1:9" x14ac:dyDescent="0.25">
      <c r="A76" t="s">
        <v>36</v>
      </c>
      <c r="B76" t="s">
        <v>19</v>
      </c>
      <c r="C76" t="s">
        <v>37</v>
      </c>
      <c r="D76">
        <v>78</v>
      </c>
      <c r="E76">
        <v>1</v>
      </c>
      <c r="F76" s="3">
        <v>30</v>
      </c>
      <c r="G76" s="3">
        <f>F76/E76</f>
        <v>30</v>
      </c>
      <c r="H76" s="1" t="s">
        <v>299</v>
      </c>
    </row>
    <row r="77" spans="1:9" x14ac:dyDescent="0.25">
      <c r="A77" t="s">
        <v>148</v>
      </c>
      <c r="B77" t="s">
        <v>19</v>
      </c>
      <c r="C77" t="s">
        <v>37</v>
      </c>
      <c r="D77">
        <v>77</v>
      </c>
      <c r="E77">
        <v>50</v>
      </c>
      <c r="F77" s="3">
        <f>50*30.6</f>
        <v>1530</v>
      </c>
      <c r="G77" s="3">
        <f>F77/E77</f>
        <v>30.6</v>
      </c>
      <c r="H77" s="1" t="s">
        <v>297</v>
      </c>
    </row>
    <row r="78" spans="1:9" x14ac:dyDescent="0.25">
      <c r="A78" t="s">
        <v>14</v>
      </c>
      <c r="B78" t="s">
        <v>19</v>
      </c>
      <c r="C78" t="s">
        <v>37</v>
      </c>
      <c r="D78">
        <v>77</v>
      </c>
      <c r="E78">
        <v>50</v>
      </c>
      <c r="F78">
        <v>2250</v>
      </c>
      <c r="G78" s="3">
        <f>F78/E78</f>
        <v>45</v>
      </c>
      <c r="H78" s="1" t="s">
        <v>300</v>
      </c>
    </row>
    <row r="79" spans="1:9" x14ac:dyDescent="0.25">
      <c r="A79" t="s">
        <v>82</v>
      </c>
      <c r="B79" t="s">
        <v>19</v>
      </c>
      <c r="C79" t="s">
        <v>156</v>
      </c>
      <c r="D79">
        <v>77</v>
      </c>
      <c r="E79">
        <v>1</v>
      </c>
      <c r="F79">
        <f>122/5.21</f>
        <v>23.416506717850289</v>
      </c>
      <c r="G79" s="3">
        <f>F79/E79</f>
        <v>23.416506717850289</v>
      </c>
      <c r="H79" s="1" t="s">
        <v>160</v>
      </c>
    </row>
    <row r="80" spans="1:9" x14ac:dyDescent="0.25">
      <c r="A80" t="s">
        <v>42</v>
      </c>
      <c r="B80" t="s">
        <v>19</v>
      </c>
      <c r="C80" t="s">
        <v>156</v>
      </c>
      <c r="D80">
        <v>77</v>
      </c>
      <c r="E80">
        <v>50</v>
      </c>
      <c r="F80">
        <f>1273*1.34</f>
        <v>1705.8200000000002</v>
      </c>
      <c r="G80" s="3">
        <f>F80/E80</f>
        <v>34.116400000000006</v>
      </c>
      <c r="H80" s="1" t="s">
        <v>301</v>
      </c>
    </row>
    <row r="81" spans="1:9" x14ac:dyDescent="0.25">
      <c r="A81" t="s">
        <v>14</v>
      </c>
      <c r="B81" t="s">
        <v>19</v>
      </c>
      <c r="C81" t="s">
        <v>156</v>
      </c>
      <c r="G81" s="3" t="e">
        <f>F81/E81</f>
        <v>#DIV/0!</v>
      </c>
      <c r="H81" s="1"/>
    </row>
    <row r="82" spans="1:9" x14ac:dyDescent="0.25">
      <c r="A82" t="s">
        <v>82</v>
      </c>
      <c r="B82" t="s">
        <v>19</v>
      </c>
      <c r="C82" t="s">
        <v>161</v>
      </c>
      <c r="D82">
        <v>77</v>
      </c>
      <c r="E82">
        <v>1</v>
      </c>
      <c r="F82">
        <f>112/5.21</f>
        <v>21.497120921305182</v>
      </c>
      <c r="G82" s="3">
        <f>F82/E82</f>
        <v>21.497120921305182</v>
      </c>
      <c r="H82" s="1" t="s">
        <v>160</v>
      </c>
    </row>
    <row r="83" spans="1:9" x14ac:dyDescent="0.25">
      <c r="A83" t="s">
        <v>82</v>
      </c>
      <c r="B83" t="s">
        <v>19</v>
      </c>
      <c r="C83" t="s">
        <v>151</v>
      </c>
      <c r="D83">
        <v>77</v>
      </c>
      <c r="E83">
        <v>1</v>
      </c>
      <c r="F83" s="3">
        <f>99/5.21</f>
        <v>19.001919385796544</v>
      </c>
      <c r="G83" s="3">
        <f>F83/E83</f>
        <v>19.001919385796544</v>
      </c>
      <c r="H83" s="1" t="s">
        <v>158</v>
      </c>
    </row>
    <row r="84" spans="1:9" x14ac:dyDescent="0.25">
      <c r="A84" t="s">
        <v>149</v>
      </c>
      <c r="B84" t="s">
        <v>19</v>
      </c>
      <c r="C84" t="s">
        <v>151</v>
      </c>
      <c r="D84">
        <v>77</v>
      </c>
      <c r="E84">
        <v>50</v>
      </c>
      <c r="F84" s="3">
        <f>20.99*50</f>
        <v>1049.5</v>
      </c>
      <c r="G84" s="3">
        <f>F84/E84</f>
        <v>20.99</v>
      </c>
      <c r="H84" s="1" t="s">
        <v>302</v>
      </c>
    </row>
    <row r="85" spans="1:9" x14ac:dyDescent="0.25">
      <c r="A85" t="s">
        <v>14</v>
      </c>
      <c r="B85" t="s">
        <v>19</v>
      </c>
      <c r="C85" t="s">
        <v>151</v>
      </c>
      <c r="G85" s="3" t="e">
        <f>F85/E85</f>
        <v>#DIV/0!</v>
      </c>
      <c r="H85" s="1"/>
    </row>
    <row r="86" spans="1:9" x14ac:dyDescent="0.25">
      <c r="A86" t="s">
        <v>82</v>
      </c>
      <c r="B86" t="s">
        <v>19</v>
      </c>
      <c r="C86" t="s">
        <v>133</v>
      </c>
      <c r="D86">
        <v>77</v>
      </c>
      <c r="E86">
        <v>1</v>
      </c>
      <c r="F86">
        <f>89/5.21</f>
        <v>17.08253358925144</v>
      </c>
      <c r="G86" s="3">
        <f>F86/E86</f>
        <v>17.08253358925144</v>
      </c>
      <c r="H86" s="1" t="s">
        <v>160</v>
      </c>
    </row>
    <row r="87" spans="1:9" x14ac:dyDescent="0.25">
      <c r="A87" t="s">
        <v>149</v>
      </c>
      <c r="B87" t="s">
        <v>19</v>
      </c>
      <c r="C87" t="s">
        <v>133</v>
      </c>
      <c r="D87">
        <v>77</v>
      </c>
      <c r="E87">
        <v>50</v>
      </c>
      <c r="F87" s="3">
        <f>50*20.99</f>
        <v>1049.5</v>
      </c>
      <c r="G87" s="3">
        <f>F87/E87</f>
        <v>20.99</v>
      </c>
      <c r="H87" s="1" t="s">
        <v>303</v>
      </c>
    </row>
    <row r="88" spans="1:9" x14ac:dyDescent="0.25">
      <c r="A88" t="s">
        <v>38</v>
      </c>
      <c r="B88" t="s">
        <v>19</v>
      </c>
      <c r="C88" t="s">
        <v>133</v>
      </c>
      <c r="D88">
        <v>78</v>
      </c>
      <c r="E88">
        <v>1</v>
      </c>
      <c r="F88">
        <v>28.5</v>
      </c>
      <c r="G88" s="3">
        <f>F88/E88</f>
        <v>28.5</v>
      </c>
      <c r="H88" s="1" t="s">
        <v>304</v>
      </c>
    </row>
    <row r="89" spans="1:9" x14ac:dyDescent="0.25">
      <c r="A89" t="s">
        <v>82</v>
      </c>
      <c r="B89" t="s">
        <v>19</v>
      </c>
      <c r="C89" t="s">
        <v>15</v>
      </c>
      <c r="D89">
        <v>77</v>
      </c>
      <c r="E89">
        <v>1</v>
      </c>
      <c r="F89" s="2">
        <f>83/5.21</f>
        <v>15.930902111324377</v>
      </c>
      <c r="G89" s="3">
        <f>F89/E89</f>
        <v>15.930902111324377</v>
      </c>
      <c r="H89" s="1" t="s">
        <v>94</v>
      </c>
    </row>
    <row r="90" spans="1:9" x14ac:dyDescent="0.25">
      <c r="A90" t="s">
        <v>81</v>
      </c>
      <c r="B90" t="s">
        <v>19</v>
      </c>
      <c r="C90" t="s">
        <v>15</v>
      </c>
      <c r="D90">
        <v>77</v>
      </c>
      <c r="E90">
        <v>50</v>
      </c>
      <c r="F90">
        <v>815.5</v>
      </c>
      <c r="G90" s="3">
        <f>F90/E90</f>
        <v>16.309999999999999</v>
      </c>
      <c r="H90" s="1"/>
    </row>
    <row r="91" spans="1:9" x14ac:dyDescent="0.25">
      <c r="A91" t="s">
        <v>66</v>
      </c>
      <c r="B91" t="s">
        <v>19</v>
      </c>
      <c r="C91" t="s">
        <v>15</v>
      </c>
      <c r="D91">
        <v>50</v>
      </c>
      <c r="E91">
        <v>25</v>
      </c>
      <c r="F91">
        <v>432</v>
      </c>
      <c r="G91" s="3">
        <f>F91/E91</f>
        <v>17.28</v>
      </c>
      <c r="H91" s="1" t="s">
        <v>308</v>
      </c>
    </row>
    <row r="92" spans="1:9" x14ac:dyDescent="0.25">
      <c r="A92" t="s">
        <v>149</v>
      </c>
      <c r="B92" t="s">
        <v>19</v>
      </c>
      <c r="C92" t="s">
        <v>15</v>
      </c>
      <c r="D92">
        <v>77</v>
      </c>
      <c r="E92">
        <v>50</v>
      </c>
      <c r="F92" s="3">
        <f>18.82*50</f>
        <v>941</v>
      </c>
      <c r="G92" s="3">
        <f>F92/E92</f>
        <v>18.82</v>
      </c>
      <c r="H92" s="1" t="s">
        <v>307</v>
      </c>
    </row>
    <row r="93" spans="1:9" x14ac:dyDescent="0.25">
      <c r="A93" t="s">
        <v>42</v>
      </c>
      <c r="B93" t="s">
        <v>19</v>
      </c>
      <c r="C93" t="s">
        <v>15</v>
      </c>
      <c r="D93">
        <v>50</v>
      </c>
      <c r="E93">
        <v>50</v>
      </c>
      <c r="F93">
        <v>953</v>
      </c>
      <c r="G93" s="3">
        <f>F93/E93</f>
        <v>19.059999999999999</v>
      </c>
      <c r="H93" s="1" t="s">
        <v>305</v>
      </c>
    </row>
    <row r="94" spans="1:9" x14ac:dyDescent="0.25">
      <c r="A94" t="s">
        <v>199</v>
      </c>
      <c r="B94" t="s">
        <v>19</v>
      </c>
      <c r="C94" t="s">
        <v>15</v>
      </c>
      <c r="D94">
        <v>77</v>
      </c>
      <c r="E94">
        <v>50</v>
      </c>
      <c r="F94">
        <f>50*19.09</f>
        <v>954.5</v>
      </c>
      <c r="G94" s="3">
        <f>F94/E94</f>
        <v>19.09</v>
      </c>
      <c r="H94" s="1" t="s">
        <v>309</v>
      </c>
    </row>
    <row r="95" spans="1:9" x14ac:dyDescent="0.25">
      <c r="A95" t="s">
        <v>69</v>
      </c>
      <c r="B95" t="s">
        <v>19</v>
      </c>
      <c r="C95" t="s">
        <v>15</v>
      </c>
      <c r="E95">
        <v>1</v>
      </c>
      <c r="F95">
        <v>19.8</v>
      </c>
      <c r="G95" s="3">
        <f>F95/E95</f>
        <v>19.8</v>
      </c>
      <c r="H95" s="1" t="s">
        <v>306</v>
      </c>
      <c r="I95" t="s">
        <v>77</v>
      </c>
    </row>
    <row r="96" spans="1:9" x14ac:dyDescent="0.25">
      <c r="A96" t="s">
        <v>39</v>
      </c>
      <c r="B96" t="s">
        <v>19</v>
      </c>
      <c r="C96" t="s">
        <v>15</v>
      </c>
      <c r="D96">
        <v>77</v>
      </c>
      <c r="E96">
        <v>1</v>
      </c>
      <c r="F96">
        <v>24</v>
      </c>
      <c r="G96" s="3">
        <f>F96/E96</f>
        <v>24</v>
      </c>
      <c r="H96" s="1" t="s">
        <v>310</v>
      </c>
    </row>
    <row r="97" spans="1:9" x14ac:dyDescent="0.25">
      <c r="A97" t="s">
        <v>38</v>
      </c>
      <c r="B97" t="s">
        <v>19</v>
      </c>
      <c r="C97" t="s">
        <v>15</v>
      </c>
      <c r="D97">
        <v>76</v>
      </c>
      <c r="E97">
        <v>1</v>
      </c>
      <c r="F97">
        <v>24.5</v>
      </c>
      <c r="G97" s="3">
        <f>F97/E97</f>
        <v>24.5</v>
      </c>
      <c r="H97" s="1" t="s">
        <v>311</v>
      </c>
    </row>
    <row r="98" spans="1:9" x14ac:dyDescent="0.25">
      <c r="A98" t="s">
        <v>14</v>
      </c>
      <c r="B98" t="s">
        <v>19</v>
      </c>
      <c r="C98" t="s">
        <v>15</v>
      </c>
      <c r="D98">
        <v>77</v>
      </c>
      <c r="E98">
        <v>50</v>
      </c>
      <c r="F98">
        <v>1225</v>
      </c>
      <c r="G98" s="3">
        <f>F98/E98</f>
        <v>24.5</v>
      </c>
      <c r="H98" s="1" t="s">
        <v>312</v>
      </c>
    </row>
    <row r="99" spans="1:9" x14ac:dyDescent="0.25">
      <c r="A99" t="s">
        <v>14</v>
      </c>
      <c r="B99" t="s">
        <v>19</v>
      </c>
      <c r="C99" t="s">
        <v>15</v>
      </c>
      <c r="D99">
        <v>77</v>
      </c>
      <c r="E99">
        <v>50</v>
      </c>
      <c r="F99">
        <v>1225</v>
      </c>
      <c r="G99" s="3">
        <f>F99/E99</f>
        <v>24.5</v>
      </c>
      <c r="H99" s="1" t="s">
        <v>313</v>
      </c>
    </row>
    <row r="100" spans="1:9" x14ac:dyDescent="0.25">
      <c r="A100" t="s">
        <v>82</v>
      </c>
      <c r="B100" t="s">
        <v>19</v>
      </c>
      <c r="C100" t="s">
        <v>150</v>
      </c>
      <c r="D100">
        <v>77</v>
      </c>
      <c r="E100">
        <v>1</v>
      </c>
      <c r="F100">
        <f>77/5.21</f>
        <v>14.779270633397314</v>
      </c>
      <c r="G100" s="3">
        <f>F100/E100</f>
        <v>14.779270633397314</v>
      </c>
      <c r="H100" s="1" t="s">
        <v>160</v>
      </c>
    </row>
    <row r="101" spans="1:9" x14ac:dyDescent="0.25">
      <c r="A101" t="s">
        <v>66</v>
      </c>
      <c r="B101" t="s">
        <v>19</v>
      </c>
      <c r="C101" t="s">
        <v>150</v>
      </c>
      <c r="D101">
        <v>50</v>
      </c>
      <c r="E101">
        <v>25</v>
      </c>
      <c r="F101">
        <v>430</v>
      </c>
      <c r="G101" s="3">
        <f>F101/E101</f>
        <v>17.2</v>
      </c>
      <c r="H101" s="6" t="s">
        <v>428</v>
      </c>
    </row>
    <row r="102" spans="1:9" x14ac:dyDescent="0.25">
      <c r="A102" t="s">
        <v>149</v>
      </c>
      <c r="B102" t="s">
        <v>19</v>
      </c>
      <c r="C102" t="s">
        <v>150</v>
      </c>
      <c r="D102">
        <v>77</v>
      </c>
      <c r="E102">
        <v>50</v>
      </c>
      <c r="F102" s="3">
        <f>50*17.47</f>
        <v>873.5</v>
      </c>
      <c r="G102" s="3">
        <f>F102/E102</f>
        <v>17.47</v>
      </c>
      <c r="H102" s="1" t="s">
        <v>314</v>
      </c>
    </row>
    <row r="103" spans="1:9" x14ac:dyDescent="0.25">
      <c r="A103" t="s">
        <v>82</v>
      </c>
      <c r="B103" t="s">
        <v>19</v>
      </c>
      <c r="C103" t="s">
        <v>71</v>
      </c>
      <c r="D103">
        <v>77</v>
      </c>
      <c r="E103">
        <v>1</v>
      </c>
      <c r="F103" s="2">
        <f>71/5.21</f>
        <v>13.62763915547025</v>
      </c>
      <c r="G103" s="3">
        <f>F103/E103</f>
        <v>13.62763915547025</v>
      </c>
      <c r="H103" s="1" t="s">
        <v>93</v>
      </c>
    </row>
    <row r="104" spans="1:9" x14ac:dyDescent="0.25">
      <c r="A104" t="s">
        <v>69</v>
      </c>
      <c r="B104" t="s">
        <v>19</v>
      </c>
      <c r="C104" t="s">
        <v>71</v>
      </c>
      <c r="E104">
        <v>1</v>
      </c>
      <c r="F104">
        <v>16.8</v>
      </c>
      <c r="G104" s="3">
        <f>F104/E104</f>
        <v>16.8</v>
      </c>
      <c r="H104" s="1" t="s">
        <v>306</v>
      </c>
      <c r="I104" t="s">
        <v>77</v>
      </c>
    </row>
    <row r="105" spans="1:9" x14ac:dyDescent="0.25">
      <c r="A105" t="s">
        <v>39</v>
      </c>
      <c r="B105" t="s">
        <v>19</v>
      </c>
      <c r="C105" t="s">
        <v>71</v>
      </c>
      <c r="D105">
        <v>77</v>
      </c>
      <c r="E105">
        <v>1</v>
      </c>
      <c r="F105">
        <v>22</v>
      </c>
      <c r="G105" s="3">
        <f>F105/E105</f>
        <v>22</v>
      </c>
      <c r="H105" s="1" t="s">
        <v>310</v>
      </c>
      <c r="I105" t="s">
        <v>105</v>
      </c>
    </row>
    <row r="106" spans="1:9" x14ac:dyDescent="0.25">
      <c r="A106" t="s">
        <v>14</v>
      </c>
      <c r="B106" t="s">
        <v>19</v>
      </c>
      <c r="C106" t="s">
        <v>71</v>
      </c>
      <c r="G106" s="3" t="e">
        <f>F106/E106</f>
        <v>#DIV/0!</v>
      </c>
      <c r="H106" s="1"/>
    </row>
    <row r="107" spans="1:9" x14ac:dyDescent="0.25">
      <c r="A107" t="s">
        <v>66</v>
      </c>
      <c r="B107" t="s">
        <v>19</v>
      </c>
      <c r="C107" t="s">
        <v>155</v>
      </c>
      <c r="E107">
        <v>25</v>
      </c>
      <c r="F107">
        <v>330</v>
      </c>
      <c r="G107" s="3">
        <f>F107/E107</f>
        <v>13.2</v>
      </c>
      <c r="H107" s="1" t="s">
        <v>315</v>
      </c>
    </row>
    <row r="108" spans="1:9" x14ac:dyDescent="0.25">
      <c r="A108" t="s">
        <v>66</v>
      </c>
      <c r="B108" t="s">
        <v>19</v>
      </c>
      <c r="C108" t="s">
        <v>84</v>
      </c>
      <c r="D108">
        <v>50</v>
      </c>
      <c r="E108">
        <v>50</v>
      </c>
      <c r="F108">
        <v>1175</v>
      </c>
      <c r="G108" s="3">
        <f>F108/E108</f>
        <v>23.5</v>
      </c>
      <c r="H108" s="6" t="s">
        <v>433</v>
      </c>
    </row>
    <row r="109" spans="1:9" x14ac:dyDescent="0.25">
      <c r="A109" t="s">
        <v>163</v>
      </c>
      <c r="B109" t="s">
        <v>19</v>
      </c>
      <c r="C109" t="s">
        <v>137</v>
      </c>
      <c r="D109">
        <v>77</v>
      </c>
      <c r="E109">
        <v>1</v>
      </c>
      <c r="F109">
        <f>94*0.29</f>
        <v>27.259999999999998</v>
      </c>
      <c r="G109" s="3">
        <f>F109/E109</f>
        <v>27.259999999999998</v>
      </c>
      <c r="H109" s="1" t="s">
        <v>162</v>
      </c>
    </row>
    <row r="110" spans="1:9" x14ac:dyDescent="0.25">
      <c r="A110" t="s">
        <v>66</v>
      </c>
      <c r="B110" t="s">
        <v>19</v>
      </c>
      <c r="C110" t="s">
        <v>137</v>
      </c>
      <c r="D110">
        <v>77</v>
      </c>
      <c r="E110">
        <v>50</v>
      </c>
      <c r="F110">
        <v>1552</v>
      </c>
      <c r="G110" s="3">
        <f>F110/E110</f>
        <v>31.04</v>
      </c>
      <c r="H110" s="1" t="s">
        <v>317</v>
      </c>
    </row>
    <row r="111" spans="1:9" x14ac:dyDescent="0.25">
      <c r="A111" t="s">
        <v>42</v>
      </c>
      <c r="B111" t="s">
        <v>19</v>
      </c>
      <c r="C111" t="s">
        <v>137</v>
      </c>
      <c r="D111">
        <v>77</v>
      </c>
      <c r="E111">
        <v>50</v>
      </c>
      <c r="F111">
        <f>1589*1.34</f>
        <v>2129.2600000000002</v>
      </c>
      <c r="G111" s="3">
        <f>F111/E111</f>
        <v>42.585200000000007</v>
      </c>
      <c r="H111" s="1" t="s">
        <v>316</v>
      </c>
    </row>
    <row r="112" spans="1:9" x14ac:dyDescent="0.25">
      <c r="A112" t="s">
        <v>14</v>
      </c>
      <c r="B112" t="s">
        <v>19</v>
      </c>
      <c r="C112" t="s">
        <v>137</v>
      </c>
      <c r="D112">
        <v>77</v>
      </c>
      <c r="E112">
        <v>50</v>
      </c>
      <c r="F112">
        <v>2175</v>
      </c>
      <c r="G112" s="3">
        <f>F112/E112</f>
        <v>43.5</v>
      </c>
      <c r="H112" s="1" t="s">
        <v>318</v>
      </c>
    </row>
    <row r="113" spans="1:9" x14ac:dyDescent="0.25">
      <c r="A113" t="s">
        <v>66</v>
      </c>
      <c r="B113" t="s">
        <v>19</v>
      </c>
      <c r="C113" t="s">
        <v>426</v>
      </c>
      <c r="D113">
        <v>77</v>
      </c>
      <c r="E113">
        <v>50</v>
      </c>
      <c r="F113">
        <v>1640</v>
      </c>
      <c r="G113" s="3">
        <f>F113/E113</f>
        <v>32.799999999999997</v>
      </c>
      <c r="H113" s="6" t="s">
        <v>427</v>
      </c>
    </row>
    <row r="114" spans="1:9" x14ac:dyDescent="0.25">
      <c r="A114" t="s">
        <v>14</v>
      </c>
      <c r="B114" t="s">
        <v>19</v>
      </c>
      <c r="C114" t="s">
        <v>426</v>
      </c>
      <c r="D114">
        <v>77</v>
      </c>
      <c r="E114">
        <v>50</v>
      </c>
      <c r="F114">
        <v>2250</v>
      </c>
      <c r="G114" s="3">
        <f>F114/E114</f>
        <v>45</v>
      </c>
      <c r="H114" s="3" t="s">
        <v>436</v>
      </c>
    </row>
    <row r="115" spans="1:9" x14ac:dyDescent="0.25">
      <c r="A115" t="s">
        <v>220</v>
      </c>
      <c r="B115" t="s">
        <v>6</v>
      </c>
      <c r="C115" t="s">
        <v>230</v>
      </c>
      <c r="E115">
        <v>10</v>
      </c>
      <c r="F115">
        <v>169.9</v>
      </c>
      <c r="G115" s="3">
        <f>F115/E115</f>
        <v>16.990000000000002</v>
      </c>
      <c r="H115" s="6" t="s">
        <v>417</v>
      </c>
      <c r="I115" t="s">
        <v>232</v>
      </c>
    </row>
    <row r="116" spans="1:9" x14ac:dyDescent="0.25">
      <c r="A116" t="s">
        <v>8</v>
      </c>
      <c r="B116" t="s">
        <v>6</v>
      </c>
      <c r="C116" t="s">
        <v>230</v>
      </c>
      <c r="D116">
        <v>77</v>
      </c>
      <c r="E116">
        <v>1</v>
      </c>
      <c r="F116">
        <v>22</v>
      </c>
      <c r="G116" s="3">
        <f>F116/E116</f>
        <v>22</v>
      </c>
      <c r="H116" s="6" t="s">
        <v>438</v>
      </c>
    </row>
    <row r="117" spans="1:9" x14ac:dyDescent="0.25">
      <c r="A117" t="s">
        <v>14</v>
      </c>
      <c r="B117" t="s">
        <v>6</v>
      </c>
      <c r="C117" t="s">
        <v>230</v>
      </c>
      <c r="D117">
        <v>77</v>
      </c>
      <c r="E117">
        <v>50</v>
      </c>
      <c r="F117">
        <v>950</v>
      </c>
      <c r="G117" s="3">
        <f>F117/E117</f>
        <v>19</v>
      </c>
      <c r="H117" s="6" t="s">
        <v>438</v>
      </c>
      <c r="I117" t="s">
        <v>439</v>
      </c>
    </row>
    <row r="118" spans="1:9" x14ac:dyDescent="0.25">
      <c r="A118" t="s">
        <v>65</v>
      </c>
      <c r="B118" t="s">
        <v>6</v>
      </c>
      <c r="C118" t="s">
        <v>230</v>
      </c>
      <c r="D118">
        <v>77</v>
      </c>
      <c r="E118">
        <v>1</v>
      </c>
      <c r="F118" s="3">
        <v>22</v>
      </c>
      <c r="G118" s="3">
        <f>F118/E118</f>
        <v>22</v>
      </c>
      <c r="H118" s="1" t="s">
        <v>319</v>
      </c>
      <c r="I118" t="s">
        <v>75</v>
      </c>
    </row>
    <row r="119" spans="1:9" x14ac:dyDescent="0.25">
      <c r="A119" t="s">
        <v>66</v>
      </c>
      <c r="B119" t="s">
        <v>6</v>
      </c>
      <c r="C119" t="s">
        <v>230</v>
      </c>
      <c r="G119" s="3" t="e">
        <f>F119/E119</f>
        <v>#DIV/0!</v>
      </c>
      <c r="H119" s="6" t="s">
        <v>432</v>
      </c>
    </row>
    <row r="120" spans="1:9" x14ac:dyDescent="0.25">
      <c r="A120" t="s">
        <v>14</v>
      </c>
      <c r="B120" t="s">
        <v>6</v>
      </c>
      <c r="C120" t="s">
        <v>231</v>
      </c>
      <c r="D120">
        <v>78</v>
      </c>
      <c r="E120">
        <v>50</v>
      </c>
      <c r="F120">
        <v>900</v>
      </c>
      <c r="G120" s="3">
        <f>F120/E120</f>
        <v>18</v>
      </c>
      <c r="H120" s="6" t="s">
        <v>441</v>
      </c>
    </row>
    <row r="121" spans="1:9" x14ac:dyDescent="0.25">
      <c r="A121" t="s">
        <v>220</v>
      </c>
      <c r="B121" t="s">
        <v>6</v>
      </c>
      <c r="C121" t="s">
        <v>231</v>
      </c>
      <c r="E121">
        <v>10</v>
      </c>
      <c r="F121">
        <v>154.9</v>
      </c>
      <c r="G121" s="3">
        <f>F121/E121</f>
        <v>15.49</v>
      </c>
      <c r="H121" s="6" t="s">
        <v>416</v>
      </c>
      <c r="I121" t="s">
        <v>233</v>
      </c>
    </row>
    <row r="122" spans="1:9" x14ac:dyDescent="0.25">
      <c r="A122" t="s">
        <v>82</v>
      </c>
      <c r="B122" t="s">
        <v>6</v>
      </c>
      <c r="C122" t="s">
        <v>187</v>
      </c>
      <c r="D122">
        <v>77</v>
      </c>
      <c r="E122">
        <v>1</v>
      </c>
      <c r="F122" s="3">
        <f>152/5.21</f>
        <v>29.174664107485604</v>
      </c>
      <c r="G122" s="3">
        <f>F122/E122</f>
        <v>29.174664107485604</v>
      </c>
      <c r="H122" s="1" t="s">
        <v>179</v>
      </c>
    </row>
    <row r="123" spans="1:9" x14ac:dyDescent="0.25">
      <c r="A123" t="s">
        <v>66</v>
      </c>
      <c r="B123" t="s">
        <v>6</v>
      </c>
      <c r="C123" t="s">
        <v>194</v>
      </c>
      <c r="D123">
        <v>77</v>
      </c>
      <c r="E123">
        <v>50</v>
      </c>
      <c r="F123">
        <v>1175</v>
      </c>
      <c r="G123" s="3">
        <f>F123/E123</f>
        <v>23.5</v>
      </c>
      <c r="H123" s="6" t="s">
        <v>423</v>
      </c>
    </row>
    <row r="124" spans="1:9" x14ac:dyDescent="0.25">
      <c r="A124" t="s">
        <v>199</v>
      </c>
      <c r="B124" t="s">
        <v>6</v>
      </c>
      <c r="C124" t="s">
        <v>194</v>
      </c>
      <c r="D124">
        <v>77</v>
      </c>
      <c r="E124">
        <v>50</v>
      </c>
      <c r="F124" s="3">
        <f>25.05*50</f>
        <v>1252.5</v>
      </c>
      <c r="G124" s="3">
        <f>F124/E124</f>
        <v>25.05</v>
      </c>
      <c r="H124" s="1" t="s">
        <v>320</v>
      </c>
    </row>
    <row r="125" spans="1:9" x14ac:dyDescent="0.25">
      <c r="A125" t="s">
        <v>220</v>
      </c>
      <c r="B125" t="s">
        <v>6</v>
      </c>
      <c r="C125" t="s">
        <v>194</v>
      </c>
      <c r="E125">
        <v>50</v>
      </c>
      <c r="F125">
        <v>1599.5</v>
      </c>
      <c r="G125" s="3">
        <f>F125/E125</f>
        <v>31.99</v>
      </c>
      <c r="H125" s="6" t="s">
        <v>418</v>
      </c>
      <c r="I125" t="s">
        <v>234</v>
      </c>
    </row>
    <row r="126" spans="1:9" x14ac:dyDescent="0.25">
      <c r="A126" t="s">
        <v>8</v>
      </c>
      <c r="B126" t="s">
        <v>6</v>
      </c>
      <c r="C126" t="s">
        <v>194</v>
      </c>
      <c r="D126">
        <v>77</v>
      </c>
      <c r="E126">
        <v>25</v>
      </c>
      <c r="F126" s="3">
        <v>800</v>
      </c>
      <c r="G126" s="3">
        <f>F126/E126</f>
        <v>32</v>
      </c>
      <c r="H126" s="1" t="s">
        <v>321</v>
      </c>
    </row>
    <row r="127" spans="1:9" x14ac:dyDescent="0.25">
      <c r="A127" t="s">
        <v>14</v>
      </c>
      <c r="B127" t="s">
        <v>6</v>
      </c>
      <c r="C127" t="s">
        <v>194</v>
      </c>
      <c r="D127">
        <v>77</v>
      </c>
      <c r="E127">
        <v>50</v>
      </c>
      <c r="F127">
        <v>1625</v>
      </c>
      <c r="G127" s="3">
        <f>F127/E127</f>
        <v>32.5</v>
      </c>
      <c r="H127" s="6" t="s">
        <v>422</v>
      </c>
    </row>
    <row r="128" spans="1:9" x14ac:dyDescent="0.25">
      <c r="A128" t="s">
        <v>82</v>
      </c>
      <c r="B128" t="s">
        <v>6</v>
      </c>
      <c r="C128" t="s">
        <v>70</v>
      </c>
      <c r="D128">
        <v>77</v>
      </c>
      <c r="E128">
        <v>1</v>
      </c>
      <c r="F128" s="3">
        <f>90/5.21</f>
        <v>17.274472168905952</v>
      </c>
      <c r="G128" s="3">
        <f>F128/E128</f>
        <v>17.274472168905952</v>
      </c>
      <c r="H128" s="1" t="s">
        <v>86</v>
      </c>
    </row>
    <row r="129" spans="1:9" x14ac:dyDescent="0.25">
      <c r="A129" t="s">
        <v>199</v>
      </c>
      <c r="B129" t="s">
        <v>6</v>
      </c>
      <c r="C129" t="s">
        <v>70</v>
      </c>
      <c r="D129">
        <v>77</v>
      </c>
      <c r="E129">
        <v>50</v>
      </c>
      <c r="F129" s="3">
        <f>20.04*50</f>
        <v>1002</v>
      </c>
      <c r="G129" s="3">
        <f>F129/E129</f>
        <v>20.04</v>
      </c>
      <c r="H129" s="1" t="s">
        <v>322</v>
      </c>
    </row>
    <row r="130" spans="1:9" x14ac:dyDescent="0.25">
      <c r="A130" t="s">
        <v>69</v>
      </c>
      <c r="B130" t="s">
        <v>6</v>
      </c>
      <c r="C130" t="s">
        <v>70</v>
      </c>
      <c r="E130">
        <v>1</v>
      </c>
      <c r="F130" s="3">
        <v>20.9</v>
      </c>
      <c r="G130" s="3">
        <f>F130/E130</f>
        <v>20.9</v>
      </c>
      <c r="H130" s="1" t="s">
        <v>306</v>
      </c>
      <c r="I130" t="s">
        <v>77</v>
      </c>
    </row>
    <row r="131" spans="1:9" x14ac:dyDescent="0.25">
      <c r="A131" t="s">
        <v>14</v>
      </c>
      <c r="B131" t="s">
        <v>6</v>
      </c>
      <c r="C131" t="s">
        <v>70</v>
      </c>
      <c r="D131">
        <v>77</v>
      </c>
      <c r="E131">
        <v>50</v>
      </c>
      <c r="F131" s="3">
        <v>1400</v>
      </c>
      <c r="G131" s="3">
        <f>F131/E131</f>
        <v>28</v>
      </c>
      <c r="H131" s="1" t="s">
        <v>323</v>
      </c>
    </row>
    <row r="132" spans="1:9" x14ac:dyDescent="0.25">
      <c r="A132" t="s">
        <v>82</v>
      </c>
      <c r="B132" t="s">
        <v>6</v>
      </c>
      <c r="C132" t="s">
        <v>29</v>
      </c>
      <c r="D132">
        <v>77</v>
      </c>
      <c r="E132">
        <v>1</v>
      </c>
      <c r="F132" s="3">
        <f>76/5.21</f>
        <v>14.587332053742802</v>
      </c>
      <c r="G132" s="3">
        <f>F132/E132</f>
        <v>14.587332053742802</v>
      </c>
      <c r="H132" s="1" t="s">
        <v>86</v>
      </c>
    </row>
    <row r="133" spans="1:9" x14ac:dyDescent="0.25">
      <c r="A133" t="s">
        <v>220</v>
      </c>
      <c r="B133" t="s">
        <v>6</v>
      </c>
      <c r="C133" t="s">
        <v>29</v>
      </c>
      <c r="E133">
        <v>50</v>
      </c>
      <c r="F133">
        <v>1099.5</v>
      </c>
      <c r="G133" s="3">
        <f>F133/E133</f>
        <v>21.99</v>
      </c>
      <c r="H133" s="1" t="s">
        <v>419</v>
      </c>
      <c r="I133" t="s">
        <v>235</v>
      </c>
    </row>
    <row r="134" spans="1:9" x14ac:dyDescent="0.25">
      <c r="A134" t="s">
        <v>65</v>
      </c>
      <c r="B134" t="s">
        <v>6</v>
      </c>
      <c r="C134" t="s">
        <v>29</v>
      </c>
      <c r="D134">
        <v>77</v>
      </c>
      <c r="E134">
        <v>1</v>
      </c>
      <c r="F134" s="3">
        <v>23</v>
      </c>
      <c r="G134" s="3">
        <f>F134/E134</f>
        <v>23</v>
      </c>
      <c r="H134" s="1" t="s">
        <v>324</v>
      </c>
    </row>
    <row r="135" spans="1:9" x14ac:dyDescent="0.25">
      <c r="A135" t="s">
        <v>14</v>
      </c>
      <c r="B135" t="s">
        <v>6</v>
      </c>
      <c r="C135" t="s">
        <v>29</v>
      </c>
      <c r="D135">
        <v>77</v>
      </c>
      <c r="E135">
        <v>50</v>
      </c>
      <c r="F135" s="3">
        <v>1175</v>
      </c>
      <c r="G135" s="3">
        <f>F135/E135</f>
        <v>23.5</v>
      </c>
      <c r="H135" s="1" t="s">
        <v>325</v>
      </c>
    </row>
    <row r="136" spans="1:9" x14ac:dyDescent="0.25">
      <c r="A136" t="s">
        <v>8</v>
      </c>
      <c r="B136" t="s">
        <v>6</v>
      </c>
      <c r="C136" t="s">
        <v>7</v>
      </c>
      <c r="D136">
        <v>77</v>
      </c>
      <c r="E136">
        <v>50</v>
      </c>
      <c r="F136" s="3">
        <v>800</v>
      </c>
      <c r="G136" s="3">
        <f>F136/E136</f>
        <v>16</v>
      </c>
      <c r="H136" s="1" t="s">
        <v>326</v>
      </c>
    </row>
    <row r="137" spans="1:9" x14ac:dyDescent="0.25">
      <c r="A137" t="s">
        <v>82</v>
      </c>
      <c r="B137" t="s">
        <v>6</v>
      </c>
      <c r="C137" t="s">
        <v>83</v>
      </c>
      <c r="D137">
        <v>77</v>
      </c>
      <c r="E137">
        <v>1</v>
      </c>
      <c r="F137" s="2">
        <f>88/5.21</f>
        <v>16.890595009596929</v>
      </c>
      <c r="G137" s="3">
        <f>F137/E137</f>
        <v>16.890595009596929</v>
      </c>
      <c r="H137" s="1" t="s">
        <v>86</v>
      </c>
    </row>
    <row r="138" spans="1:9" x14ac:dyDescent="0.25">
      <c r="A138" t="s">
        <v>199</v>
      </c>
      <c r="B138" t="s">
        <v>6</v>
      </c>
      <c r="C138" t="s">
        <v>83</v>
      </c>
      <c r="D138">
        <v>77</v>
      </c>
      <c r="E138">
        <v>50</v>
      </c>
      <c r="F138" s="3">
        <f>19.64*50</f>
        <v>982</v>
      </c>
      <c r="G138" s="3">
        <f>F138/E138</f>
        <v>19.64</v>
      </c>
      <c r="H138" s="1" t="s">
        <v>329</v>
      </c>
    </row>
    <row r="139" spans="1:9" x14ac:dyDescent="0.25">
      <c r="A139" t="s">
        <v>69</v>
      </c>
      <c r="B139" t="s">
        <v>6</v>
      </c>
      <c r="C139" t="s">
        <v>83</v>
      </c>
      <c r="E139">
        <v>1</v>
      </c>
      <c r="F139">
        <v>19.8</v>
      </c>
      <c r="G139" s="3">
        <f>F139/E139</f>
        <v>19.8</v>
      </c>
      <c r="H139" s="1" t="s">
        <v>306</v>
      </c>
      <c r="I139" t="s">
        <v>77</v>
      </c>
    </row>
    <row r="140" spans="1:9" x14ac:dyDescent="0.25">
      <c r="A140" t="s">
        <v>66</v>
      </c>
      <c r="B140" t="s">
        <v>6</v>
      </c>
      <c r="C140" t="s">
        <v>83</v>
      </c>
      <c r="D140">
        <v>78</v>
      </c>
      <c r="E140">
        <v>50</v>
      </c>
      <c r="F140">
        <v>1000</v>
      </c>
      <c r="G140" s="3">
        <f>F140/E140</f>
        <v>20</v>
      </c>
      <c r="H140" s="1" t="s">
        <v>328</v>
      </c>
    </row>
    <row r="141" spans="1:9" x14ac:dyDescent="0.25">
      <c r="A141" t="s">
        <v>8</v>
      </c>
      <c r="B141" t="s">
        <v>6</v>
      </c>
      <c r="C141" t="s">
        <v>83</v>
      </c>
      <c r="D141">
        <v>77</v>
      </c>
      <c r="E141">
        <v>50</v>
      </c>
      <c r="F141">
        <v>1300</v>
      </c>
      <c r="G141" s="3">
        <f>F141/E141</f>
        <v>26</v>
      </c>
      <c r="H141" s="1" t="s">
        <v>330</v>
      </c>
    </row>
    <row r="142" spans="1:9" x14ac:dyDescent="0.25">
      <c r="A142" t="s">
        <v>14</v>
      </c>
      <c r="B142" t="s">
        <v>6</v>
      </c>
      <c r="C142" t="s">
        <v>83</v>
      </c>
      <c r="D142">
        <v>77</v>
      </c>
      <c r="E142">
        <v>50</v>
      </c>
      <c r="F142">
        <v>1350</v>
      </c>
      <c r="G142" s="3">
        <f>F142/E142</f>
        <v>27</v>
      </c>
      <c r="H142" s="1" t="s">
        <v>331</v>
      </c>
    </row>
    <row r="143" spans="1:9" x14ac:dyDescent="0.25">
      <c r="A143" t="s">
        <v>52</v>
      </c>
      <c r="B143" t="s">
        <v>6</v>
      </c>
      <c r="C143" t="s">
        <v>83</v>
      </c>
      <c r="D143">
        <v>77</v>
      </c>
      <c r="E143">
        <v>1</v>
      </c>
      <c r="F143">
        <v>34.5</v>
      </c>
      <c r="G143" s="3">
        <f>F143/E143</f>
        <v>34.5</v>
      </c>
      <c r="H143" s="1" t="s">
        <v>327</v>
      </c>
    </row>
    <row r="144" spans="1:9" x14ac:dyDescent="0.25">
      <c r="A144" t="s">
        <v>82</v>
      </c>
      <c r="B144" t="s">
        <v>6</v>
      </c>
      <c r="C144" t="s">
        <v>185</v>
      </c>
      <c r="D144">
        <v>77</v>
      </c>
      <c r="E144">
        <v>1</v>
      </c>
      <c r="F144">
        <f>174/5.21</f>
        <v>33.397312859884835</v>
      </c>
      <c r="G144" s="3">
        <f>F144/E144</f>
        <v>33.397312859884835</v>
      </c>
      <c r="H144" s="1" t="s">
        <v>179</v>
      </c>
    </row>
    <row r="145" spans="1:8" x14ac:dyDescent="0.25">
      <c r="A145" t="s">
        <v>63</v>
      </c>
      <c r="B145" t="s">
        <v>6</v>
      </c>
      <c r="C145" t="s">
        <v>64</v>
      </c>
      <c r="D145">
        <v>78</v>
      </c>
      <c r="E145">
        <v>4</v>
      </c>
      <c r="F145">
        <v>126</v>
      </c>
      <c r="G145" s="3">
        <f>F145/E145</f>
        <v>31.5</v>
      </c>
      <c r="H145" s="1" t="s">
        <v>332</v>
      </c>
    </row>
    <row r="146" spans="1:8" x14ac:dyDescent="0.25">
      <c r="A146" t="s">
        <v>14</v>
      </c>
      <c r="B146" t="s">
        <v>6</v>
      </c>
      <c r="C146" t="s">
        <v>178</v>
      </c>
      <c r="D146">
        <v>77</v>
      </c>
      <c r="E146">
        <v>77</v>
      </c>
      <c r="F146">
        <v>42.5</v>
      </c>
      <c r="G146" s="3">
        <f>F146/E146</f>
        <v>0.55194805194805197</v>
      </c>
      <c r="H146" s="1" t="s">
        <v>333</v>
      </c>
    </row>
    <row r="147" spans="1:8" x14ac:dyDescent="0.25">
      <c r="A147" t="s">
        <v>82</v>
      </c>
      <c r="B147" t="s">
        <v>6</v>
      </c>
      <c r="C147" t="s">
        <v>178</v>
      </c>
      <c r="D147">
        <v>77</v>
      </c>
      <c r="E147">
        <v>1</v>
      </c>
      <c r="F147">
        <f>158/5.21</f>
        <v>30.326295585412669</v>
      </c>
      <c r="G147" s="3">
        <f>F147/E147</f>
        <v>30.326295585412669</v>
      </c>
      <c r="H147" s="1" t="s">
        <v>179</v>
      </c>
    </row>
    <row r="148" spans="1:8" x14ac:dyDescent="0.25">
      <c r="A148" t="s">
        <v>66</v>
      </c>
      <c r="B148" t="s">
        <v>6</v>
      </c>
      <c r="C148" t="s">
        <v>30</v>
      </c>
      <c r="D148">
        <v>78</v>
      </c>
      <c r="E148">
        <v>50</v>
      </c>
      <c r="F148">
        <v>1250</v>
      </c>
      <c r="G148" s="3">
        <f>F148/E148</f>
        <v>25</v>
      </c>
      <c r="H148" s="1" t="s">
        <v>67</v>
      </c>
    </row>
    <row r="149" spans="1:8" x14ac:dyDescent="0.25">
      <c r="A149" t="s">
        <v>199</v>
      </c>
      <c r="B149" t="s">
        <v>6</v>
      </c>
      <c r="C149" t="s">
        <v>30</v>
      </c>
      <c r="D149">
        <v>77</v>
      </c>
      <c r="E149">
        <v>50</v>
      </c>
      <c r="F149">
        <f>28.84*50</f>
        <v>1442</v>
      </c>
      <c r="G149" s="3">
        <f>F149/E149</f>
        <v>28.84</v>
      </c>
      <c r="H149" s="1" t="s">
        <v>334</v>
      </c>
    </row>
    <row r="150" spans="1:8" x14ac:dyDescent="0.25">
      <c r="A150" t="s">
        <v>8</v>
      </c>
      <c r="B150" t="s">
        <v>6</v>
      </c>
      <c r="C150" t="s">
        <v>30</v>
      </c>
      <c r="D150">
        <v>77</v>
      </c>
      <c r="E150">
        <v>25</v>
      </c>
      <c r="F150">
        <v>825</v>
      </c>
      <c r="G150" s="3">
        <f>F150/E150</f>
        <v>33</v>
      </c>
      <c r="H150" s="1" t="s">
        <v>335</v>
      </c>
    </row>
    <row r="151" spans="1:8" x14ac:dyDescent="0.25">
      <c r="A151" t="s">
        <v>14</v>
      </c>
      <c r="B151" t="s">
        <v>6</v>
      </c>
      <c r="C151" t="s">
        <v>30</v>
      </c>
      <c r="D151">
        <v>77</v>
      </c>
      <c r="E151">
        <v>50</v>
      </c>
      <c r="F151">
        <v>1675</v>
      </c>
      <c r="G151" s="3">
        <f>F151/E151</f>
        <v>33.5</v>
      </c>
      <c r="H151" s="1" t="s">
        <v>336</v>
      </c>
    </row>
    <row r="152" spans="1:8" x14ac:dyDescent="0.25">
      <c r="A152" t="s">
        <v>82</v>
      </c>
      <c r="B152" t="s">
        <v>6</v>
      </c>
      <c r="C152" t="s">
        <v>89</v>
      </c>
      <c r="D152">
        <v>77</v>
      </c>
      <c r="E152">
        <v>1</v>
      </c>
      <c r="F152" s="2">
        <f>82/5.21</f>
        <v>15.738963531669866</v>
      </c>
      <c r="G152" s="3">
        <f>F152/E152</f>
        <v>15.738963531669866</v>
      </c>
      <c r="H152" s="1" t="s">
        <v>337</v>
      </c>
    </row>
    <row r="153" spans="1:8" x14ac:dyDescent="0.25">
      <c r="A153" t="s">
        <v>66</v>
      </c>
      <c r="B153" t="s">
        <v>6</v>
      </c>
      <c r="C153" t="s">
        <v>89</v>
      </c>
      <c r="D153">
        <v>77</v>
      </c>
      <c r="E153">
        <v>25</v>
      </c>
      <c r="F153">
        <v>530</v>
      </c>
      <c r="G153" s="3">
        <f>F153/E153</f>
        <v>21.2</v>
      </c>
      <c r="H153" s="6" t="s">
        <v>430</v>
      </c>
    </row>
    <row r="154" spans="1:8" x14ac:dyDescent="0.25">
      <c r="A154" t="s">
        <v>193</v>
      </c>
      <c r="B154" t="s">
        <v>6</v>
      </c>
      <c r="C154" t="s">
        <v>190</v>
      </c>
      <c r="D154">
        <v>77</v>
      </c>
      <c r="E154">
        <v>1</v>
      </c>
      <c r="F154" s="3">
        <v>25.61</v>
      </c>
      <c r="G154" s="3">
        <f>F154/E154</f>
        <v>25.61</v>
      </c>
      <c r="H154" s="1" t="s">
        <v>338</v>
      </c>
    </row>
    <row r="155" spans="1:8" x14ac:dyDescent="0.25">
      <c r="A155" t="s">
        <v>191</v>
      </c>
      <c r="B155" t="s">
        <v>6</v>
      </c>
      <c r="C155" t="s">
        <v>190</v>
      </c>
      <c r="D155">
        <v>77</v>
      </c>
      <c r="E155">
        <v>50</v>
      </c>
      <c r="F155" s="3">
        <f>50*19.9*1.46</f>
        <v>1452.6999999999998</v>
      </c>
      <c r="G155" s="3">
        <f>F155/E155</f>
        <v>29.053999999999995</v>
      </c>
      <c r="H155" s="1" t="s">
        <v>342</v>
      </c>
    </row>
    <row r="156" spans="1:8" x14ac:dyDescent="0.25">
      <c r="A156" t="s">
        <v>189</v>
      </c>
      <c r="B156" t="s">
        <v>6</v>
      </c>
      <c r="C156" t="s">
        <v>190</v>
      </c>
      <c r="D156">
        <v>77</v>
      </c>
      <c r="E156">
        <v>50</v>
      </c>
      <c r="F156" s="3">
        <f>50*20*1.46</f>
        <v>1460</v>
      </c>
      <c r="G156" s="3">
        <f>F156/E156</f>
        <v>29.2</v>
      </c>
      <c r="H156" s="1" t="s">
        <v>341</v>
      </c>
    </row>
    <row r="157" spans="1:8" x14ac:dyDescent="0.25">
      <c r="A157" t="s">
        <v>195</v>
      </c>
      <c r="B157" t="s">
        <v>6</v>
      </c>
      <c r="C157" t="s">
        <v>190</v>
      </c>
      <c r="D157">
        <v>77</v>
      </c>
      <c r="E157">
        <v>1</v>
      </c>
      <c r="F157" s="3">
        <v>33</v>
      </c>
      <c r="G157" s="3">
        <f>F157/E157</f>
        <v>33</v>
      </c>
      <c r="H157" s="1" t="s">
        <v>339</v>
      </c>
    </row>
    <row r="158" spans="1:8" x14ac:dyDescent="0.25">
      <c r="A158" t="s">
        <v>192</v>
      </c>
      <c r="B158" t="s">
        <v>6</v>
      </c>
      <c r="C158" t="s">
        <v>190</v>
      </c>
      <c r="D158">
        <v>77</v>
      </c>
      <c r="E158">
        <v>1</v>
      </c>
      <c r="F158" s="3">
        <v>35.83</v>
      </c>
      <c r="G158" s="3">
        <f>F158/E158</f>
        <v>35.83</v>
      </c>
      <c r="H158" s="1" t="s">
        <v>340</v>
      </c>
    </row>
    <row r="159" spans="1:8" x14ac:dyDescent="0.25">
      <c r="A159" t="s">
        <v>6</v>
      </c>
      <c r="B159" t="s">
        <v>6</v>
      </c>
      <c r="C159" t="s">
        <v>190</v>
      </c>
      <c r="D159">
        <v>77</v>
      </c>
      <c r="E159">
        <v>1</v>
      </c>
      <c r="F159" s="3">
        <v>36.56</v>
      </c>
      <c r="G159" s="3">
        <f>F159/E159</f>
        <v>36.56</v>
      </c>
      <c r="H159" s="1" t="s">
        <v>343</v>
      </c>
    </row>
    <row r="160" spans="1:8" x14ac:dyDescent="0.25">
      <c r="A160" t="s">
        <v>82</v>
      </c>
      <c r="B160" t="s">
        <v>6</v>
      </c>
      <c r="C160" t="s">
        <v>84</v>
      </c>
      <c r="D160">
        <v>77</v>
      </c>
      <c r="E160">
        <v>1</v>
      </c>
      <c r="F160" s="2">
        <f>62/5.21</f>
        <v>11.900191938579654</v>
      </c>
      <c r="G160" s="3">
        <f>F160/E160</f>
        <v>11.900191938579654</v>
      </c>
      <c r="H160" s="1" t="s">
        <v>86</v>
      </c>
    </row>
    <row r="161" spans="1:9" x14ac:dyDescent="0.25">
      <c r="A161" t="s">
        <v>82</v>
      </c>
      <c r="B161" t="s">
        <v>6</v>
      </c>
      <c r="C161" t="s">
        <v>10</v>
      </c>
      <c r="D161">
        <v>77</v>
      </c>
      <c r="E161">
        <v>1</v>
      </c>
      <c r="F161" s="2">
        <f>74/5.21</f>
        <v>14.203454894433781</v>
      </c>
      <c r="G161" s="3">
        <f>F161/E161</f>
        <v>14.203454894433781</v>
      </c>
      <c r="H161" s="1" t="s">
        <v>88</v>
      </c>
    </row>
    <row r="162" spans="1:9" x14ac:dyDescent="0.25">
      <c r="A162" t="s">
        <v>9</v>
      </c>
      <c r="B162" t="s">
        <v>6</v>
      </c>
      <c r="C162" t="s">
        <v>10</v>
      </c>
      <c r="D162">
        <v>77</v>
      </c>
      <c r="E162">
        <v>50</v>
      </c>
      <c r="F162">
        <v>1025</v>
      </c>
      <c r="G162" s="3">
        <f>F162/E162</f>
        <v>20.5</v>
      </c>
      <c r="H162" s="1" t="s">
        <v>344</v>
      </c>
    </row>
    <row r="163" spans="1:9" x14ac:dyDescent="0.25">
      <c r="A163" t="s">
        <v>14</v>
      </c>
      <c r="B163" t="s">
        <v>6</v>
      </c>
      <c r="C163" t="s">
        <v>10</v>
      </c>
      <c r="D163">
        <v>77</v>
      </c>
      <c r="E163">
        <v>50</v>
      </c>
      <c r="F163" s="2">
        <v>1025</v>
      </c>
      <c r="G163" s="3">
        <f>F163/E163</f>
        <v>20.5</v>
      </c>
      <c r="H163" s="1" t="s">
        <v>346</v>
      </c>
    </row>
    <row r="164" spans="1:9" x14ac:dyDescent="0.25">
      <c r="A164" t="s">
        <v>65</v>
      </c>
      <c r="B164" t="s">
        <v>6</v>
      </c>
      <c r="C164" t="s">
        <v>10</v>
      </c>
      <c r="D164">
        <v>77</v>
      </c>
      <c r="E164">
        <v>1</v>
      </c>
      <c r="F164">
        <v>21</v>
      </c>
      <c r="G164" s="3">
        <f>F164/E164</f>
        <v>21</v>
      </c>
      <c r="H164" s="1" t="s">
        <v>345</v>
      </c>
    </row>
    <row r="165" spans="1:9" x14ac:dyDescent="0.25">
      <c r="A165" t="s">
        <v>220</v>
      </c>
      <c r="B165" t="s">
        <v>6</v>
      </c>
      <c r="C165" t="s">
        <v>236</v>
      </c>
      <c r="E165">
        <v>50</v>
      </c>
      <c r="F165">
        <v>1299.5</v>
      </c>
      <c r="G165" s="3">
        <f>F165/E165</f>
        <v>25.99</v>
      </c>
      <c r="H165" s="6" t="s">
        <v>420</v>
      </c>
      <c r="I165" t="s">
        <v>237</v>
      </c>
    </row>
    <row r="166" spans="1:9" x14ac:dyDescent="0.25">
      <c r="A166" t="s">
        <v>199</v>
      </c>
      <c r="B166" t="s">
        <v>201</v>
      </c>
      <c r="C166" t="s">
        <v>202</v>
      </c>
      <c r="E166">
        <v>50</v>
      </c>
      <c r="F166">
        <f>14.22*50</f>
        <v>711</v>
      </c>
      <c r="G166" s="3">
        <f>F166/E166</f>
        <v>14.22</v>
      </c>
      <c r="H166" s="1" t="s">
        <v>347</v>
      </c>
    </row>
    <row r="167" spans="1:9" x14ac:dyDescent="0.25">
      <c r="A167" t="s">
        <v>199</v>
      </c>
      <c r="B167" t="s">
        <v>201</v>
      </c>
      <c r="C167" t="s">
        <v>16</v>
      </c>
      <c r="E167">
        <v>50</v>
      </c>
      <c r="F167">
        <f>17.6*50</f>
        <v>880.00000000000011</v>
      </c>
      <c r="G167" s="3">
        <f>F167/E167</f>
        <v>17.600000000000001</v>
      </c>
      <c r="H167" s="1" t="s">
        <v>348</v>
      </c>
    </row>
    <row r="168" spans="1:9" x14ac:dyDescent="0.25">
      <c r="A168" t="s">
        <v>199</v>
      </c>
      <c r="B168" t="s">
        <v>201</v>
      </c>
      <c r="C168" t="s">
        <v>106</v>
      </c>
      <c r="E168">
        <v>50</v>
      </c>
      <c r="F168">
        <f>18.01*50</f>
        <v>900.50000000000011</v>
      </c>
      <c r="G168" s="3">
        <f>F168/E168</f>
        <v>18.010000000000002</v>
      </c>
      <c r="H168" s="1" t="s">
        <v>203</v>
      </c>
    </row>
    <row r="169" spans="1:9" x14ac:dyDescent="0.25">
      <c r="A169" t="s">
        <v>119</v>
      </c>
      <c r="B169" t="s">
        <v>119</v>
      </c>
      <c r="C169" t="s">
        <v>120</v>
      </c>
      <c r="D169">
        <v>77</v>
      </c>
      <c r="E169">
        <v>25</v>
      </c>
      <c r="F169" s="3">
        <f>18.85*1.7*25</f>
        <v>801.125</v>
      </c>
      <c r="G169" s="3">
        <f>F169/E169</f>
        <v>32.045000000000002</v>
      </c>
      <c r="H169" s="1" t="s">
        <v>349</v>
      </c>
    </row>
    <row r="170" spans="1:9" x14ac:dyDescent="0.25">
      <c r="A170" t="s">
        <v>119</v>
      </c>
      <c r="B170" t="s">
        <v>119</v>
      </c>
      <c r="C170" t="s">
        <v>125</v>
      </c>
      <c r="D170">
        <v>77</v>
      </c>
      <c r="E170">
        <v>25</v>
      </c>
      <c r="F170" s="3">
        <f>16.3*1.7*25</f>
        <v>692.75</v>
      </c>
      <c r="G170" s="3">
        <f>F170/E170</f>
        <v>27.71</v>
      </c>
      <c r="H170" s="1" t="s">
        <v>350</v>
      </c>
    </row>
    <row r="171" spans="1:9" x14ac:dyDescent="0.25">
      <c r="A171" t="s">
        <v>47</v>
      </c>
      <c r="B171" t="s">
        <v>26</v>
      </c>
      <c r="C171" t="s">
        <v>48</v>
      </c>
      <c r="D171">
        <v>3</v>
      </c>
      <c r="E171">
        <v>50</v>
      </c>
      <c r="F171" s="3">
        <v>1757</v>
      </c>
      <c r="G171" s="3">
        <f>F171/E171</f>
        <v>35.14</v>
      </c>
      <c r="H171" s="1" t="s">
        <v>351</v>
      </c>
    </row>
    <row r="172" spans="1:9" x14ac:dyDescent="0.25">
      <c r="A172" t="s">
        <v>8</v>
      </c>
      <c r="B172" t="s">
        <v>26</v>
      </c>
      <c r="C172" t="s">
        <v>211</v>
      </c>
      <c r="E172">
        <v>10</v>
      </c>
      <c r="F172" s="3">
        <v>385</v>
      </c>
      <c r="G172" s="3">
        <f>F172/E172</f>
        <v>38.5</v>
      </c>
      <c r="H172" s="1" t="s">
        <v>352</v>
      </c>
    </row>
    <row r="173" spans="1:9" x14ac:dyDescent="0.25">
      <c r="A173" t="s">
        <v>25</v>
      </c>
      <c r="B173" t="s">
        <v>26</v>
      </c>
      <c r="C173" t="s">
        <v>27</v>
      </c>
      <c r="D173">
        <v>3</v>
      </c>
      <c r="E173">
        <v>50</v>
      </c>
      <c r="F173" s="3">
        <v>1250</v>
      </c>
      <c r="G173" s="3">
        <f>F173/E173</f>
        <v>25</v>
      </c>
      <c r="H173" s="1" t="s">
        <v>28</v>
      </c>
    </row>
    <row r="174" spans="1:9" x14ac:dyDescent="0.25">
      <c r="A174" t="s">
        <v>220</v>
      </c>
      <c r="B174" t="s">
        <v>26</v>
      </c>
      <c r="C174" t="s">
        <v>27</v>
      </c>
      <c r="E174">
        <v>50</v>
      </c>
      <c r="F174">
        <v>1299.5</v>
      </c>
      <c r="G174" s="3">
        <f>F174/E174</f>
        <v>25.99</v>
      </c>
      <c r="H174" s="6" t="s">
        <v>421</v>
      </c>
      <c r="I174" t="s">
        <v>227</v>
      </c>
    </row>
    <row r="175" spans="1:9" x14ac:dyDescent="0.25">
      <c r="A175" t="s">
        <v>51</v>
      </c>
      <c r="B175" t="s">
        <v>26</v>
      </c>
      <c r="C175" t="s">
        <v>27</v>
      </c>
      <c r="D175">
        <v>77</v>
      </c>
      <c r="E175">
        <v>1</v>
      </c>
      <c r="F175" s="3">
        <v>28</v>
      </c>
      <c r="G175" s="3">
        <f>F175/E175</f>
        <v>28</v>
      </c>
      <c r="H175" s="1" t="s">
        <v>354</v>
      </c>
    </row>
    <row r="176" spans="1:9" x14ac:dyDescent="0.25">
      <c r="A176" t="s">
        <v>14</v>
      </c>
      <c r="B176" t="s">
        <v>26</v>
      </c>
      <c r="C176" t="s">
        <v>27</v>
      </c>
      <c r="E176">
        <v>50</v>
      </c>
      <c r="F176" s="3">
        <v>1450</v>
      </c>
      <c r="G176" s="3">
        <f>F176/E176</f>
        <v>29</v>
      </c>
      <c r="H176" s="1" t="s">
        <v>357</v>
      </c>
    </row>
    <row r="177" spans="1:9" x14ac:dyDescent="0.25">
      <c r="A177" t="s">
        <v>8</v>
      </c>
      <c r="B177" t="s">
        <v>26</v>
      </c>
      <c r="C177" t="s">
        <v>27</v>
      </c>
      <c r="D177">
        <v>3</v>
      </c>
      <c r="E177">
        <v>10</v>
      </c>
      <c r="F177" s="3">
        <v>300</v>
      </c>
      <c r="G177" s="3">
        <f>F177/E177</f>
        <v>30</v>
      </c>
      <c r="H177" s="1" t="s">
        <v>355</v>
      </c>
    </row>
    <row r="178" spans="1:9" x14ac:dyDescent="0.25">
      <c r="A178" t="s">
        <v>34</v>
      </c>
      <c r="B178" t="s">
        <v>26</v>
      </c>
      <c r="C178" t="s">
        <v>27</v>
      </c>
      <c r="D178">
        <v>3</v>
      </c>
      <c r="E178">
        <v>50</v>
      </c>
      <c r="F178" s="3">
        <v>1650</v>
      </c>
      <c r="G178" s="3">
        <f>F178/E178</f>
        <v>33</v>
      </c>
      <c r="H178" s="1"/>
    </row>
    <row r="179" spans="1:9" x14ac:dyDescent="0.25">
      <c r="A179" t="s">
        <v>55</v>
      </c>
      <c r="B179" t="s">
        <v>26</v>
      </c>
      <c r="C179" t="s">
        <v>27</v>
      </c>
      <c r="E179">
        <v>1</v>
      </c>
      <c r="F179" s="3">
        <v>35</v>
      </c>
      <c r="G179" s="3">
        <f>F179/E179</f>
        <v>35</v>
      </c>
      <c r="H179" s="1" t="s">
        <v>353</v>
      </c>
    </row>
    <row r="180" spans="1:9" x14ac:dyDescent="0.25">
      <c r="A180" t="s">
        <v>38</v>
      </c>
      <c r="B180" t="s">
        <v>26</v>
      </c>
      <c r="C180" t="s">
        <v>27</v>
      </c>
      <c r="D180">
        <v>3</v>
      </c>
      <c r="E180">
        <v>1</v>
      </c>
      <c r="F180" s="3">
        <v>35</v>
      </c>
      <c r="G180" s="3">
        <f>F180/E180</f>
        <v>35</v>
      </c>
      <c r="H180" s="1" t="s">
        <v>356</v>
      </c>
    </row>
    <row r="181" spans="1:9" x14ac:dyDescent="0.25">
      <c r="A181" t="s">
        <v>82</v>
      </c>
      <c r="B181" t="s">
        <v>26</v>
      </c>
      <c r="C181" t="s">
        <v>40</v>
      </c>
      <c r="D181">
        <v>2</v>
      </c>
      <c r="E181">
        <v>1</v>
      </c>
      <c r="F181" s="3">
        <f>80/5.21</f>
        <v>15.355086372360844</v>
      </c>
      <c r="G181" s="3">
        <f>F181/E181</f>
        <v>15.355086372360844</v>
      </c>
      <c r="H181" s="1" t="s">
        <v>127</v>
      </c>
    </row>
    <row r="182" spans="1:9" x14ac:dyDescent="0.25">
      <c r="A182" t="s">
        <v>199</v>
      </c>
      <c r="B182" t="s">
        <v>26</v>
      </c>
      <c r="C182" t="s">
        <v>40</v>
      </c>
      <c r="E182">
        <v>50</v>
      </c>
      <c r="F182">
        <f>20.72*50</f>
        <v>1036</v>
      </c>
      <c r="G182" s="3">
        <f>F182/E182</f>
        <v>20.72</v>
      </c>
      <c r="H182" s="1" t="s">
        <v>358</v>
      </c>
    </row>
    <row r="183" spans="1:9" x14ac:dyDescent="0.25">
      <c r="A183" t="s">
        <v>39</v>
      </c>
      <c r="B183" t="s">
        <v>26</v>
      </c>
      <c r="C183" t="s">
        <v>40</v>
      </c>
      <c r="D183">
        <v>2</v>
      </c>
      <c r="E183">
        <v>1</v>
      </c>
      <c r="F183" s="3">
        <v>24</v>
      </c>
      <c r="G183" s="3">
        <f>F183/E183</f>
        <v>24</v>
      </c>
      <c r="H183" s="1" t="s">
        <v>359</v>
      </c>
    </row>
    <row r="184" spans="1:9" x14ac:dyDescent="0.25">
      <c r="A184" t="s">
        <v>82</v>
      </c>
      <c r="B184" t="s">
        <v>26</v>
      </c>
      <c r="C184" t="s">
        <v>78</v>
      </c>
      <c r="E184">
        <v>1</v>
      </c>
      <c r="F184" s="3">
        <f>90/5.21</f>
        <v>17.274472168905952</v>
      </c>
      <c r="G184" s="3">
        <f>F184/E184</f>
        <v>17.274472168905952</v>
      </c>
      <c r="H184" s="1" t="s">
        <v>216</v>
      </c>
    </row>
    <row r="185" spans="1:9" x14ac:dyDescent="0.25">
      <c r="A185" t="s">
        <v>69</v>
      </c>
      <c r="B185" t="s">
        <v>26</v>
      </c>
      <c r="C185" t="s">
        <v>78</v>
      </c>
      <c r="E185">
        <v>1</v>
      </c>
      <c r="F185" s="3">
        <v>22.25</v>
      </c>
      <c r="G185" s="3">
        <f>F185/E185</f>
        <v>22.25</v>
      </c>
      <c r="H185" s="1" t="s">
        <v>360</v>
      </c>
      <c r="I185" t="s">
        <v>77</v>
      </c>
    </row>
    <row r="186" spans="1:9" x14ac:dyDescent="0.25">
      <c r="A186" t="s">
        <v>199</v>
      </c>
      <c r="B186" t="s">
        <v>26</v>
      </c>
      <c r="C186" t="s">
        <v>78</v>
      </c>
      <c r="E186">
        <v>50</v>
      </c>
      <c r="F186">
        <f>23.7*50</f>
        <v>1185</v>
      </c>
      <c r="G186" s="3">
        <f>F186/E186</f>
        <v>23.7</v>
      </c>
      <c r="H186" s="1" t="s">
        <v>361</v>
      </c>
    </row>
    <row r="187" spans="1:9" x14ac:dyDescent="0.25">
      <c r="A187" t="s">
        <v>82</v>
      </c>
      <c r="B187" t="s">
        <v>26</v>
      </c>
      <c r="C187" t="s">
        <v>79</v>
      </c>
      <c r="D187">
        <v>2</v>
      </c>
      <c r="E187">
        <v>1</v>
      </c>
      <c r="F187" s="3">
        <f>100/5.21</f>
        <v>19.193857965451055</v>
      </c>
      <c r="G187" s="3">
        <f>F187/E187</f>
        <v>19.193857965451055</v>
      </c>
      <c r="H187" s="1" t="s">
        <v>126</v>
      </c>
    </row>
    <row r="188" spans="1:9" x14ac:dyDescent="0.25">
      <c r="A188" t="s">
        <v>149</v>
      </c>
      <c r="B188" t="s">
        <v>26</v>
      </c>
      <c r="C188" t="s">
        <v>79</v>
      </c>
      <c r="D188">
        <v>77</v>
      </c>
      <c r="E188">
        <v>50</v>
      </c>
      <c r="F188" s="3">
        <f>50*26.54</f>
        <v>1327</v>
      </c>
      <c r="G188" s="3">
        <f>F188/E188</f>
        <v>26.54</v>
      </c>
      <c r="H188" s="1" t="s">
        <v>362</v>
      </c>
    </row>
    <row r="189" spans="1:9" x14ac:dyDescent="0.25">
      <c r="A189" t="s">
        <v>199</v>
      </c>
      <c r="B189" t="s">
        <v>26</v>
      </c>
      <c r="C189" t="s">
        <v>79</v>
      </c>
      <c r="E189">
        <v>50</v>
      </c>
      <c r="F189">
        <f>26.67*50</f>
        <v>1333.5</v>
      </c>
      <c r="G189" s="3">
        <f>F189/E189</f>
        <v>26.67</v>
      </c>
      <c r="H189" s="1" t="s">
        <v>364</v>
      </c>
    </row>
    <row r="190" spans="1:9" x14ac:dyDescent="0.25">
      <c r="A190" t="s">
        <v>69</v>
      </c>
      <c r="B190" t="s">
        <v>26</v>
      </c>
      <c r="C190" t="s">
        <v>79</v>
      </c>
      <c r="E190">
        <v>1</v>
      </c>
      <c r="F190" s="3">
        <v>27.2</v>
      </c>
      <c r="G190" s="3">
        <f>F190/E190</f>
        <v>27.2</v>
      </c>
      <c r="H190" s="1" t="s">
        <v>360</v>
      </c>
      <c r="I190" t="s">
        <v>77</v>
      </c>
    </row>
    <row r="191" spans="1:9" x14ac:dyDescent="0.25">
      <c r="A191" t="s">
        <v>66</v>
      </c>
      <c r="B191" t="s">
        <v>26</v>
      </c>
      <c r="C191" t="s">
        <v>79</v>
      </c>
      <c r="D191">
        <v>3</v>
      </c>
      <c r="E191">
        <v>25</v>
      </c>
      <c r="F191">
        <v>685</v>
      </c>
      <c r="G191" s="3">
        <f>F191/E191</f>
        <v>27.4</v>
      </c>
      <c r="H191" s="1" t="s">
        <v>363</v>
      </c>
    </row>
    <row r="192" spans="1:9" x14ac:dyDescent="0.25">
      <c r="A192" t="s">
        <v>82</v>
      </c>
      <c r="B192" t="s">
        <v>26</v>
      </c>
      <c r="C192" t="s">
        <v>76</v>
      </c>
      <c r="D192">
        <v>2</v>
      </c>
      <c r="E192">
        <v>1</v>
      </c>
      <c r="F192" s="3">
        <f>85/5.21</f>
        <v>16.314779270633398</v>
      </c>
      <c r="G192" s="3">
        <f>F192/E192</f>
        <v>16.314779270633398</v>
      </c>
      <c r="H192" s="1" t="s">
        <v>86</v>
      </c>
    </row>
    <row r="193" spans="1:9" x14ac:dyDescent="0.25">
      <c r="A193" t="s">
        <v>66</v>
      </c>
      <c r="B193" t="s">
        <v>26</v>
      </c>
      <c r="C193" t="s">
        <v>76</v>
      </c>
      <c r="D193">
        <v>2</v>
      </c>
      <c r="E193">
        <v>50</v>
      </c>
      <c r="F193">
        <v>1005</v>
      </c>
      <c r="G193" s="3">
        <f>F193/E193</f>
        <v>20.100000000000001</v>
      </c>
      <c r="H193" s="1" t="s">
        <v>366</v>
      </c>
    </row>
    <row r="194" spans="1:9" x14ac:dyDescent="0.25">
      <c r="A194" t="s">
        <v>69</v>
      </c>
      <c r="B194" t="s">
        <v>26</v>
      </c>
      <c r="C194" t="s">
        <v>76</v>
      </c>
      <c r="E194">
        <v>1</v>
      </c>
      <c r="F194" s="3">
        <v>21.2</v>
      </c>
      <c r="G194" s="3">
        <f>F194/E194</f>
        <v>21.2</v>
      </c>
      <c r="H194" s="1" t="s">
        <v>306</v>
      </c>
      <c r="I194" t="s">
        <v>77</v>
      </c>
    </row>
    <row r="195" spans="1:9" x14ac:dyDescent="0.25">
      <c r="A195" t="s">
        <v>149</v>
      </c>
      <c r="B195" t="s">
        <v>26</v>
      </c>
      <c r="C195" t="s">
        <v>76</v>
      </c>
      <c r="D195">
        <v>77</v>
      </c>
      <c r="E195">
        <v>50</v>
      </c>
      <c r="F195" s="3">
        <f>21.67*50</f>
        <v>1083.5</v>
      </c>
      <c r="G195" s="3">
        <f>F195/E195</f>
        <v>21.67</v>
      </c>
      <c r="H195" s="1" t="s">
        <v>365</v>
      </c>
    </row>
    <row r="196" spans="1:9" x14ac:dyDescent="0.25">
      <c r="A196" t="s">
        <v>39</v>
      </c>
      <c r="B196" t="s">
        <v>26</v>
      </c>
      <c r="C196" t="s">
        <v>76</v>
      </c>
      <c r="D196">
        <v>2</v>
      </c>
      <c r="E196">
        <v>1</v>
      </c>
      <c r="F196" s="3">
        <v>29</v>
      </c>
      <c r="G196" s="3">
        <f>F196/E196</f>
        <v>29</v>
      </c>
      <c r="H196" s="1" t="s">
        <v>367</v>
      </c>
    </row>
    <row r="197" spans="1:9" x14ac:dyDescent="0.25">
      <c r="A197" t="s">
        <v>66</v>
      </c>
      <c r="B197" t="s">
        <v>26</v>
      </c>
      <c r="C197" t="s">
        <v>49</v>
      </c>
      <c r="D197">
        <v>3</v>
      </c>
      <c r="E197">
        <v>1</v>
      </c>
      <c r="F197" s="3">
        <v>31</v>
      </c>
      <c r="G197" s="3">
        <f>F197/E197</f>
        <v>31</v>
      </c>
      <c r="H197" s="1" t="s">
        <v>370</v>
      </c>
    </row>
    <row r="198" spans="1:9" x14ac:dyDescent="0.25">
      <c r="A198" t="s">
        <v>47</v>
      </c>
      <c r="B198" t="s">
        <v>26</v>
      </c>
      <c r="C198" t="s">
        <v>49</v>
      </c>
      <c r="D198">
        <v>3</v>
      </c>
      <c r="E198">
        <v>50</v>
      </c>
      <c r="F198" s="3">
        <v>2160</v>
      </c>
      <c r="G198" s="3">
        <f>F198/E198</f>
        <v>43.2</v>
      </c>
      <c r="H198" s="1" t="s">
        <v>368</v>
      </c>
    </row>
    <row r="199" spans="1:9" x14ac:dyDescent="0.25">
      <c r="A199" t="s">
        <v>50</v>
      </c>
      <c r="B199" t="s">
        <v>26</v>
      </c>
      <c r="C199" t="s">
        <v>49</v>
      </c>
      <c r="D199">
        <v>3</v>
      </c>
      <c r="E199">
        <v>1</v>
      </c>
      <c r="F199" s="3">
        <v>44</v>
      </c>
      <c r="G199" s="3">
        <f>F199/E199</f>
        <v>44</v>
      </c>
      <c r="H199" s="1" t="s">
        <v>369</v>
      </c>
    </row>
    <row r="200" spans="1:9" x14ac:dyDescent="0.25">
      <c r="A200" t="s">
        <v>82</v>
      </c>
      <c r="B200" t="s">
        <v>26</v>
      </c>
      <c r="C200" t="s">
        <v>41</v>
      </c>
      <c r="D200">
        <v>2</v>
      </c>
      <c r="E200">
        <v>1</v>
      </c>
      <c r="F200" s="3">
        <f>128/5.21</f>
        <v>24.568138195777351</v>
      </c>
      <c r="G200" s="3">
        <f>F200/E200</f>
        <v>24.568138195777351</v>
      </c>
      <c r="H200" s="1" t="s">
        <v>86</v>
      </c>
    </row>
    <row r="201" spans="1:9" x14ac:dyDescent="0.25">
      <c r="A201" t="s">
        <v>39</v>
      </c>
      <c r="B201" t="s">
        <v>26</v>
      </c>
      <c r="C201" t="s">
        <v>41</v>
      </c>
      <c r="D201">
        <v>2</v>
      </c>
      <c r="E201">
        <v>1</v>
      </c>
      <c r="F201" s="3">
        <v>29</v>
      </c>
      <c r="G201" s="3">
        <f>F201/E201</f>
        <v>29</v>
      </c>
      <c r="H201" s="1" t="s">
        <v>375</v>
      </c>
    </row>
    <row r="202" spans="1:9" x14ac:dyDescent="0.25">
      <c r="A202" t="s">
        <v>220</v>
      </c>
      <c r="B202" t="s">
        <v>26</v>
      </c>
      <c r="C202" t="s">
        <v>41</v>
      </c>
      <c r="E202">
        <v>10</v>
      </c>
      <c r="F202">
        <v>359.9</v>
      </c>
      <c r="G202" s="3">
        <f>F202/E202</f>
        <v>35.989999999999995</v>
      </c>
      <c r="H202" s="6" t="s">
        <v>409</v>
      </c>
      <c r="I202" t="s">
        <v>223</v>
      </c>
    </row>
    <row r="203" spans="1:9" x14ac:dyDescent="0.25">
      <c r="A203" t="s">
        <v>199</v>
      </c>
      <c r="B203" t="s">
        <v>26</v>
      </c>
      <c r="C203" t="s">
        <v>41</v>
      </c>
      <c r="E203">
        <v>50</v>
      </c>
      <c r="F203">
        <f>36.56*50</f>
        <v>1828</v>
      </c>
      <c r="G203" s="3">
        <f>F203/E203</f>
        <v>36.56</v>
      </c>
      <c r="H203" s="1" t="s">
        <v>372</v>
      </c>
    </row>
    <row r="204" spans="1:9" x14ac:dyDescent="0.25">
      <c r="A204" t="s">
        <v>34</v>
      </c>
      <c r="B204" t="s">
        <v>26</v>
      </c>
      <c r="C204" t="s">
        <v>41</v>
      </c>
      <c r="D204">
        <v>3</v>
      </c>
      <c r="E204">
        <v>50</v>
      </c>
      <c r="F204" s="3">
        <v>1900</v>
      </c>
      <c r="G204" s="3">
        <f>F204/E204</f>
        <v>38</v>
      </c>
      <c r="H204" s="1" t="s">
        <v>373</v>
      </c>
    </row>
    <row r="205" spans="1:9" x14ac:dyDescent="0.25">
      <c r="A205" t="s">
        <v>8</v>
      </c>
      <c r="B205" t="s">
        <v>26</v>
      </c>
      <c r="C205" t="s">
        <v>41</v>
      </c>
      <c r="E205">
        <v>50</v>
      </c>
      <c r="F205" s="3">
        <v>1900</v>
      </c>
      <c r="G205" s="3">
        <f>F205/E205</f>
        <v>38</v>
      </c>
      <c r="H205" s="1" t="s">
        <v>374</v>
      </c>
    </row>
    <row r="206" spans="1:9" x14ac:dyDescent="0.25">
      <c r="A206" t="s">
        <v>55</v>
      </c>
      <c r="B206" t="s">
        <v>26</v>
      </c>
      <c r="C206" t="s">
        <v>41</v>
      </c>
      <c r="E206">
        <v>1</v>
      </c>
      <c r="F206" s="3">
        <v>40</v>
      </c>
      <c r="G206" s="3">
        <f>F206/E206</f>
        <v>40</v>
      </c>
      <c r="H206" s="1" t="s">
        <v>371</v>
      </c>
    </row>
    <row r="207" spans="1:9" x14ac:dyDescent="0.25">
      <c r="A207" t="s">
        <v>14</v>
      </c>
      <c r="B207" t="s">
        <v>26</v>
      </c>
      <c r="C207" t="s">
        <v>41</v>
      </c>
      <c r="D207">
        <v>3</v>
      </c>
      <c r="E207">
        <v>50</v>
      </c>
      <c r="F207" s="3">
        <v>2012.5</v>
      </c>
      <c r="G207" s="3">
        <f>F207/E207</f>
        <v>40.25</v>
      </c>
      <c r="H207" s="1" t="s">
        <v>376</v>
      </c>
    </row>
    <row r="208" spans="1:9" x14ac:dyDescent="0.25">
      <c r="A208" t="s">
        <v>82</v>
      </c>
      <c r="B208" t="s">
        <v>26</v>
      </c>
      <c r="C208" t="s">
        <v>128</v>
      </c>
      <c r="D208">
        <v>2</v>
      </c>
      <c r="E208">
        <v>1</v>
      </c>
      <c r="F208" s="3">
        <f>145/5.21</f>
        <v>27.831094049904031</v>
      </c>
      <c r="G208" s="3">
        <f>F208/E208</f>
        <v>27.831094049904031</v>
      </c>
      <c r="H208" s="1" t="s">
        <v>131</v>
      </c>
    </row>
    <row r="209" spans="1:9" x14ac:dyDescent="0.25">
      <c r="A209" t="s">
        <v>199</v>
      </c>
      <c r="B209" t="s">
        <v>26</v>
      </c>
      <c r="C209" t="s">
        <v>128</v>
      </c>
      <c r="E209">
        <v>50</v>
      </c>
      <c r="F209">
        <f>37.91*50</f>
        <v>1895.4999999999998</v>
      </c>
      <c r="G209" s="3">
        <f>F209/E209</f>
        <v>37.909999999999997</v>
      </c>
      <c r="H209" s="1" t="s">
        <v>377</v>
      </c>
    </row>
    <row r="210" spans="1:9" x14ac:dyDescent="0.25">
      <c r="A210" t="s">
        <v>220</v>
      </c>
      <c r="B210" t="s">
        <v>26</v>
      </c>
      <c r="C210" t="s">
        <v>128</v>
      </c>
      <c r="E210">
        <v>50</v>
      </c>
      <c r="F210">
        <v>1899.5</v>
      </c>
      <c r="G210" s="3">
        <f>F210/E210</f>
        <v>37.99</v>
      </c>
      <c r="H210" s="1" t="s">
        <v>410</v>
      </c>
      <c r="I210" t="s">
        <v>228</v>
      </c>
    </row>
    <row r="211" spans="1:9" x14ac:dyDescent="0.25">
      <c r="A211" t="s">
        <v>8</v>
      </c>
      <c r="B211" t="s">
        <v>26</v>
      </c>
      <c r="C211" t="s">
        <v>128</v>
      </c>
      <c r="E211">
        <v>50</v>
      </c>
      <c r="F211" s="3">
        <v>2000</v>
      </c>
      <c r="G211" s="3">
        <f>F211/E211</f>
        <v>40</v>
      </c>
      <c r="H211" s="1" t="s">
        <v>378</v>
      </c>
    </row>
    <row r="212" spans="1:9" x14ac:dyDescent="0.25">
      <c r="A212" t="s">
        <v>66</v>
      </c>
      <c r="B212" t="s">
        <v>26</v>
      </c>
      <c r="C212" t="s">
        <v>128</v>
      </c>
      <c r="D212">
        <v>3</v>
      </c>
      <c r="E212">
        <v>50</v>
      </c>
      <c r="F212">
        <v>2035</v>
      </c>
      <c r="G212" s="3">
        <f>F212/E212</f>
        <v>40.700000000000003</v>
      </c>
      <c r="H212" s="6" t="s">
        <v>429</v>
      </c>
    </row>
    <row r="213" spans="1:9" x14ac:dyDescent="0.25">
      <c r="A213" t="s">
        <v>14</v>
      </c>
      <c r="B213" t="s">
        <v>26</v>
      </c>
      <c r="C213" t="s">
        <v>128</v>
      </c>
      <c r="D213">
        <v>3</v>
      </c>
      <c r="E213">
        <v>50</v>
      </c>
      <c r="F213" s="3">
        <v>2200</v>
      </c>
      <c r="G213" s="3">
        <f>F213/E213</f>
        <v>44</v>
      </c>
      <c r="H213" s="1" t="s">
        <v>379</v>
      </c>
    </row>
    <row r="214" spans="1:9" x14ac:dyDescent="0.25">
      <c r="A214" t="s">
        <v>82</v>
      </c>
      <c r="B214" t="s">
        <v>26</v>
      </c>
      <c r="C214" t="s">
        <v>130</v>
      </c>
      <c r="D214">
        <v>2</v>
      </c>
      <c r="E214">
        <v>1</v>
      </c>
      <c r="F214" s="3">
        <f>155/5.21</f>
        <v>29.750479846449135</v>
      </c>
      <c r="G214" s="3">
        <f>F214/E214</f>
        <v>29.750479846449135</v>
      </c>
      <c r="H214" s="1" t="s">
        <v>131</v>
      </c>
    </row>
    <row r="215" spans="1:9" x14ac:dyDescent="0.25">
      <c r="A215" t="s">
        <v>220</v>
      </c>
      <c r="B215" t="s">
        <v>26</v>
      </c>
      <c r="C215" t="s">
        <v>130</v>
      </c>
      <c r="E215">
        <v>50</v>
      </c>
      <c r="F215">
        <v>1999.5</v>
      </c>
      <c r="G215" s="3">
        <f>F215/E215</f>
        <v>39.99</v>
      </c>
      <c r="H215" s="6" t="s">
        <v>411</v>
      </c>
      <c r="I215" t="s">
        <v>224</v>
      </c>
    </row>
    <row r="216" spans="1:9" x14ac:dyDescent="0.25">
      <c r="A216" t="s">
        <v>149</v>
      </c>
      <c r="B216" t="s">
        <v>26</v>
      </c>
      <c r="C216" t="s">
        <v>130</v>
      </c>
      <c r="D216">
        <v>77</v>
      </c>
      <c r="E216">
        <v>50</v>
      </c>
      <c r="F216" s="3">
        <f>41.97*50</f>
        <v>2098.5</v>
      </c>
      <c r="G216" s="3">
        <f>F216/E216</f>
        <v>41.97</v>
      </c>
      <c r="H216" s="1" t="s">
        <v>380</v>
      </c>
    </row>
    <row r="217" spans="1:9" x14ac:dyDescent="0.25">
      <c r="A217" t="s">
        <v>8</v>
      </c>
      <c r="B217" t="s">
        <v>26</v>
      </c>
      <c r="C217" t="s">
        <v>130</v>
      </c>
      <c r="E217">
        <v>25</v>
      </c>
      <c r="F217" s="3">
        <v>1100</v>
      </c>
      <c r="G217" s="3">
        <f>F217/E217</f>
        <v>44</v>
      </c>
      <c r="H217" s="1" t="s">
        <v>381</v>
      </c>
    </row>
    <row r="218" spans="1:9" x14ac:dyDescent="0.25">
      <c r="A218" t="s">
        <v>66</v>
      </c>
      <c r="B218" t="s">
        <v>26</v>
      </c>
      <c r="C218" t="s">
        <v>130</v>
      </c>
      <c r="D218">
        <v>3</v>
      </c>
      <c r="G218" s="3" t="e">
        <f>F218/E218</f>
        <v>#DIV/0!</v>
      </c>
      <c r="H218" s="6" t="s">
        <v>431</v>
      </c>
    </row>
    <row r="219" spans="1:9" x14ac:dyDescent="0.25">
      <c r="A219" t="s">
        <v>82</v>
      </c>
      <c r="B219" t="s">
        <v>26</v>
      </c>
      <c r="C219" t="s">
        <v>129</v>
      </c>
      <c r="D219">
        <v>2</v>
      </c>
      <c r="E219">
        <v>1</v>
      </c>
      <c r="F219" s="3">
        <f>183/5.21</f>
        <v>35.124760076775431</v>
      </c>
      <c r="G219" s="3">
        <f>F219/E219</f>
        <v>35.124760076775431</v>
      </c>
      <c r="H219" s="1" t="s">
        <v>131</v>
      </c>
    </row>
    <row r="220" spans="1:9" x14ac:dyDescent="0.25">
      <c r="A220" t="s">
        <v>220</v>
      </c>
      <c r="B220" t="s">
        <v>26</v>
      </c>
      <c r="C220" t="s">
        <v>129</v>
      </c>
      <c r="E220">
        <v>50</v>
      </c>
      <c r="F220">
        <v>2149.5</v>
      </c>
      <c r="G220" s="3">
        <f>F220/E220</f>
        <v>42.99</v>
      </c>
      <c r="H220" s="6" t="s">
        <v>412</v>
      </c>
      <c r="I220" t="s">
        <v>226</v>
      </c>
    </row>
    <row r="221" spans="1:9" x14ac:dyDescent="0.25">
      <c r="A221" t="s">
        <v>149</v>
      </c>
      <c r="B221" t="s">
        <v>26</v>
      </c>
      <c r="C221" t="s">
        <v>129</v>
      </c>
      <c r="D221">
        <v>77</v>
      </c>
      <c r="E221">
        <v>50</v>
      </c>
      <c r="F221" s="3">
        <f>43.33*50</f>
        <v>2166.5</v>
      </c>
      <c r="G221" s="3">
        <f>F221/E221</f>
        <v>43.33</v>
      </c>
      <c r="H221" s="1" t="s">
        <v>382</v>
      </c>
    </row>
    <row r="222" spans="1:9" x14ac:dyDescent="0.25">
      <c r="A222" t="s">
        <v>199</v>
      </c>
      <c r="B222" t="s">
        <v>26</v>
      </c>
      <c r="C222" t="s">
        <v>129</v>
      </c>
      <c r="E222">
        <v>50</v>
      </c>
      <c r="F222">
        <f>50*44</f>
        <v>2200</v>
      </c>
      <c r="G222" s="3">
        <f>F222/E222</f>
        <v>44</v>
      </c>
      <c r="H222" s="1" t="s">
        <v>383</v>
      </c>
    </row>
    <row r="223" spans="1:9" x14ac:dyDescent="0.25">
      <c r="A223" t="s">
        <v>8</v>
      </c>
      <c r="B223" t="s">
        <v>26</v>
      </c>
      <c r="C223" t="s">
        <v>129</v>
      </c>
      <c r="E223">
        <v>25</v>
      </c>
      <c r="F223" s="3">
        <v>1200</v>
      </c>
      <c r="G223" s="3">
        <f>F223/E223</f>
        <v>48</v>
      </c>
      <c r="H223" s="1" t="s">
        <v>384</v>
      </c>
    </row>
    <row r="224" spans="1:9" x14ac:dyDescent="0.25">
      <c r="A224" t="s">
        <v>14</v>
      </c>
      <c r="B224" t="s">
        <v>26</v>
      </c>
      <c r="C224" t="s">
        <v>129</v>
      </c>
      <c r="D224">
        <v>3</v>
      </c>
      <c r="E224">
        <v>50</v>
      </c>
      <c r="F224" s="3">
        <v>2550</v>
      </c>
      <c r="G224" s="3">
        <f>F224/E224</f>
        <v>51</v>
      </c>
      <c r="H224" s="1" t="s">
        <v>385</v>
      </c>
    </row>
    <row r="225" spans="1:9" x14ac:dyDescent="0.25">
      <c r="A225" t="s">
        <v>199</v>
      </c>
      <c r="B225" t="s">
        <v>26</v>
      </c>
      <c r="C225" t="s">
        <v>57</v>
      </c>
      <c r="E225">
        <v>50</v>
      </c>
      <c r="F225">
        <f>15.3*50</f>
        <v>765</v>
      </c>
      <c r="G225" s="3">
        <f>F225/E225</f>
        <v>15.3</v>
      </c>
      <c r="H225" s="1" t="s">
        <v>204</v>
      </c>
    </row>
    <row r="226" spans="1:9" x14ac:dyDescent="0.25">
      <c r="A226" t="s">
        <v>8</v>
      </c>
      <c r="B226" t="s">
        <v>26</v>
      </c>
      <c r="C226" t="s">
        <v>57</v>
      </c>
      <c r="E226">
        <v>10</v>
      </c>
      <c r="F226" s="3">
        <v>169</v>
      </c>
      <c r="G226" s="3">
        <f>F226/E226</f>
        <v>16.899999999999999</v>
      </c>
      <c r="H226" s="1" t="s">
        <v>390</v>
      </c>
    </row>
    <row r="227" spans="1:9" x14ac:dyDescent="0.25">
      <c r="A227" t="s">
        <v>65</v>
      </c>
      <c r="B227" t="s">
        <v>26</v>
      </c>
      <c r="C227" t="s">
        <v>57</v>
      </c>
      <c r="D227">
        <v>3</v>
      </c>
      <c r="E227">
        <v>10</v>
      </c>
      <c r="F227">
        <v>170</v>
      </c>
      <c r="G227" s="3">
        <f>F227/E227</f>
        <v>17</v>
      </c>
      <c r="H227" s="1" t="s">
        <v>391</v>
      </c>
    </row>
    <row r="228" spans="1:9" x14ac:dyDescent="0.25">
      <c r="A228" t="s">
        <v>61</v>
      </c>
      <c r="B228" t="s">
        <v>26</v>
      </c>
      <c r="C228" t="s">
        <v>57</v>
      </c>
      <c r="E228">
        <v>20</v>
      </c>
      <c r="F228">
        <f>20*18</f>
        <v>360</v>
      </c>
      <c r="G228" s="3">
        <f>F228/E228</f>
        <v>18</v>
      </c>
      <c r="H228" s="1" t="s">
        <v>388</v>
      </c>
    </row>
    <row r="229" spans="1:9" x14ac:dyDescent="0.25">
      <c r="A229" t="s">
        <v>220</v>
      </c>
      <c r="B229" t="s">
        <v>26</v>
      </c>
      <c r="C229" t="s">
        <v>57</v>
      </c>
      <c r="D229" t="s">
        <v>221</v>
      </c>
      <c r="E229">
        <v>1</v>
      </c>
      <c r="F229">
        <v>18.45</v>
      </c>
      <c r="G229" s="3">
        <f>F229/E229</f>
        <v>18.45</v>
      </c>
      <c r="H229" s="1" t="s">
        <v>413</v>
      </c>
    </row>
    <row r="230" spans="1:9" x14ac:dyDescent="0.25">
      <c r="A230" t="s">
        <v>34</v>
      </c>
      <c r="B230" t="s">
        <v>26</v>
      </c>
      <c r="C230" t="s">
        <v>57</v>
      </c>
      <c r="D230">
        <v>3</v>
      </c>
      <c r="E230">
        <v>10</v>
      </c>
      <c r="F230">
        <v>185</v>
      </c>
      <c r="G230" s="3">
        <f>F230/E230</f>
        <v>18.5</v>
      </c>
      <c r="H230" s="1" t="s">
        <v>389</v>
      </c>
    </row>
    <row r="231" spans="1:9" x14ac:dyDescent="0.25">
      <c r="A231" t="s">
        <v>14</v>
      </c>
      <c r="B231" t="s">
        <v>26</v>
      </c>
      <c r="C231" t="s">
        <v>57</v>
      </c>
      <c r="E231">
        <v>10</v>
      </c>
      <c r="F231">
        <v>185</v>
      </c>
      <c r="G231" s="3">
        <f>F231/E231</f>
        <v>18.5</v>
      </c>
      <c r="H231" s="1" t="s">
        <v>392</v>
      </c>
    </row>
    <row r="232" spans="1:9" x14ac:dyDescent="0.25">
      <c r="A232" t="s">
        <v>55</v>
      </c>
      <c r="B232" t="s">
        <v>26</v>
      </c>
      <c r="C232" t="s">
        <v>57</v>
      </c>
      <c r="E232">
        <v>1</v>
      </c>
      <c r="F232">
        <v>19</v>
      </c>
      <c r="G232" s="3">
        <f>F232/E232</f>
        <v>19</v>
      </c>
      <c r="H232" s="1" t="s">
        <v>386</v>
      </c>
    </row>
    <row r="233" spans="1:9" x14ac:dyDescent="0.25">
      <c r="A233" t="s">
        <v>66</v>
      </c>
      <c r="B233" t="s">
        <v>26</v>
      </c>
      <c r="C233" t="s">
        <v>57</v>
      </c>
      <c r="D233">
        <v>3</v>
      </c>
      <c r="E233">
        <v>1</v>
      </c>
      <c r="F233">
        <v>21</v>
      </c>
      <c r="G233" s="3">
        <f>F233/E233</f>
        <v>21</v>
      </c>
      <c r="H233" s="1" t="s">
        <v>387</v>
      </c>
    </row>
    <row r="234" spans="1:9" x14ac:dyDescent="0.25">
      <c r="A234" t="s">
        <v>149</v>
      </c>
      <c r="B234" t="s">
        <v>26</v>
      </c>
      <c r="C234" t="s">
        <v>56</v>
      </c>
      <c r="D234">
        <v>3</v>
      </c>
      <c r="E234">
        <v>10</v>
      </c>
      <c r="F234">
        <f>9.89*10</f>
        <v>98.9</v>
      </c>
      <c r="G234" s="3">
        <f>F234/E234</f>
        <v>9.89</v>
      </c>
      <c r="H234" s="1" t="s">
        <v>197</v>
      </c>
    </row>
    <row r="235" spans="1:9" x14ac:dyDescent="0.25">
      <c r="A235" t="s">
        <v>199</v>
      </c>
      <c r="B235" t="s">
        <v>26</v>
      </c>
      <c r="C235" t="s">
        <v>56</v>
      </c>
      <c r="E235">
        <v>100</v>
      </c>
      <c r="F235">
        <f>11.24*100</f>
        <v>1124</v>
      </c>
      <c r="G235" s="3">
        <f>F235/E235</f>
        <v>11.24</v>
      </c>
      <c r="H235" s="1" t="s">
        <v>395</v>
      </c>
    </row>
    <row r="236" spans="1:9" x14ac:dyDescent="0.25">
      <c r="A236" t="s">
        <v>220</v>
      </c>
      <c r="B236" t="s">
        <v>26</v>
      </c>
      <c r="C236" t="s">
        <v>56</v>
      </c>
      <c r="D236" t="s">
        <v>221</v>
      </c>
      <c r="E236">
        <v>50</v>
      </c>
      <c r="F236">
        <v>625</v>
      </c>
      <c r="G236" s="3">
        <f>F236/E236</f>
        <v>12.5</v>
      </c>
      <c r="H236" s="6" t="s">
        <v>414</v>
      </c>
      <c r="I236" t="s">
        <v>225</v>
      </c>
    </row>
    <row r="237" spans="1:9" x14ac:dyDescent="0.25">
      <c r="A237" t="s">
        <v>61</v>
      </c>
      <c r="B237" t="s">
        <v>26</v>
      </c>
      <c r="C237" t="s">
        <v>56</v>
      </c>
      <c r="E237">
        <v>20</v>
      </c>
      <c r="F237">
        <f>14*20</f>
        <v>280</v>
      </c>
      <c r="G237" s="3">
        <f>F237/E237</f>
        <v>14</v>
      </c>
      <c r="H237" s="1" t="s">
        <v>396</v>
      </c>
      <c r="I237" t="s">
        <v>72</v>
      </c>
    </row>
    <row r="238" spans="1:9" x14ac:dyDescent="0.25">
      <c r="A238" t="s">
        <v>65</v>
      </c>
      <c r="B238" t="s">
        <v>26</v>
      </c>
      <c r="C238" t="s">
        <v>56</v>
      </c>
      <c r="D238">
        <v>3</v>
      </c>
      <c r="E238">
        <v>10</v>
      </c>
      <c r="F238">
        <v>140</v>
      </c>
      <c r="G238" s="3">
        <f>F238/E238</f>
        <v>14</v>
      </c>
      <c r="H238" s="1" t="s">
        <v>400</v>
      </c>
      <c r="I238" t="s">
        <v>72</v>
      </c>
    </row>
    <row r="239" spans="1:9" x14ac:dyDescent="0.25">
      <c r="A239" t="s">
        <v>210</v>
      </c>
      <c r="B239" t="s">
        <v>26</v>
      </c>
      <c r="C239" t="s">
        <v>56</v>
      </c>
      <c r="E239">
        <v>1</v>
      </c>
      <c r="F239">
        <v>14.45</v>
      </c>
      <c r="G239" s="3">
        <f>F239/E239</f>
        <v>14.45</v>
      </c>
      <c r="H239" s="1" t="s">
        <v>394</v>
      </c>
    </row>
    <row r="240" spans="1:9" x14ac:dyDescent="0.25">
      <c r="A240" t="s">
        <v>34</v>
      </c>
      <c r="B240" t="s">
        <v>26</v>
      </c>
      <c r="C240" t="s">
        <v>56</v>
      </c>
      <c r="D240">
        <v>3</v>
      </c>
      <c r="E240">
        <v>10</v>
      </c>
      <c r="F240">
        <v>145</v>
      </c>
      <c r="G240" s="3">
        <f>F240/E240</f>
        <v>14.5</v>
      </c>
      <c r="H240" s="1" t="s">
        <v>397</v>
      </c>
      <c r="I240" t="s">
        <v>72</v>
      </c>
    </row>
    <row r="241" spans="1:9" x14ac:dyDescent="0.25">
      <c r="A241" t="s">
        <v>8</v>
      </c>
      <c r="B241" t="s">
        <v>26</v>
      </c>
      <c r="C241" t="s">
        <v>56</v>
      </c>
      <c r="E241">
        <v>10</v>
      </c>
      <c r="F241" s="3">
        <v>145</v>
      </c>
      <c r="G241" s="3">
        <f>F241/E241</f>
        <v>14.5</v>
      </c>
      <c r="H241" s="1" t="s">
        <v>398</v>
      </c>
      <c r="I241" t="s">
        <v>212</v>
      </c>
    </row>
    <row r="242" spans="1:9" x14ac:dyDescent="0.25">
      <c r="A242" t="s">
        <v>55</v>
      </c>
      <c r="B242" t="s">
        <v>26</v>
      </c>
      <c r="C242" t="s">
        <v>56</v>
      </c>
      <c r="E242">
        <v>1</v>
      </c>
      <c r="F242">
        <v>15</v>
      </c>
      <c r="G242" s="3">
        <f>F242/E242</f>
        <v>15</v>
      </c>
      <c r="H242" s="1" t="s">
        <v>393</v>
      </c>
      <c r="I242" t="s">
        <v>72</v>
      </c>
    </row>
    <row r="243" spans="1:9" x14ac:dyDescent="0.25">
      <c r="A243" t="s">
        <v>25</v>
      </c>
      <c r="B243" t="s">
        <v>26</v>
      </c>
      <c r="C243" t="s">
        <v>56</v>
      </c>
      <c r="E243">
        <v>1</v>
      </c>
      <c r="F243">
        <v>15</v>
      </c>
      <c r="G243" s="3">
        <f>F243/E243</f>
        <v>15</v>
      </c>
      <c r="H243" s="1" t="s">
        <v>399</v>
      </c>
    </row>
    <row r="244" spans="1:9" x14ac:dyDescent="0.25">
      <c r="A244" t="s">
        <v>220</v>
      </c>
      <c r="B244" t="s">
        <v>26</v>
      </c>
      <c r="C244" t="s">
        <v>35</v>
      </c>
      <c r="D244" t="s">
        <v>221</v>
      </c>
      <c r="E244">
        <v>50</v>
      </c>
      <c r="F244">
        <v>675</v>
      </c>
      <c r="G244" s="3">
        <f>F244/E244</f>
        <v>13.5</v>
      </c>
      <c r="H244" s="1" t="s">
        <v>415</v>
      </c>
      <c r="I244" t="s">
        <v>229</v>
      </c>
    </row>
    <row r="245" spans="1:9" x14ac:dyDescent="0.25">
      <c r="A245" t="s">
        <v>8</v>
      </c>
      <c r="B245" t="s">
        <v>26</v>
      </c>
      <c r="C245" t="s">
        <v>35</v>
      </c>
      <c r="E245">
        <v>10</v>
      </c>
      <c r="F245">
        <v>155</v>
      </c>
      <c r="G245" s="3">
        <f>F245/E245</f>
        <v>15.5</v>
      </c>
      <c r="H245" s="1" t="s">
        <v>406</v>
      </c>
    </row>
    <row r="246" spans="1:9" x14ac:dyDescent="0.25">
      <c r="A246" t="s">
        <v>61</v>
      </c>
      <c r="B246" t="s">
        <v>26</v>
      </c>
      <c r="C246" t="s">
        <v>35</v>
      </c>
      <c r="E246">
        <v>20</v>
      </c>
      <c r="F246">
        <f>20*16</f>
        <v>320</v>
      </c>
      <c r="G246" s="3">
        <f>F246/E246</f>
        <v>16</v>
      </c>
      <c r="H246" s="1" t="s">
        <v>403</v>
      </c>
    </row>
    <row r="247" spans="1:9" x14ac:dyDescent="0.25">
      <c r="A247" t="s">
        <v>65</v>
      </c>
      <c r="B247" t="s">
        <v>26</v>
      </c>
      <c r="C247" t="s">
        <v>35</v>
      </c>
      <c r="D247">
        <v>3</v>
      </c>
      <c r="E247">
        <v>10</v>
      </c>
      <c r="F247">
        <v>160</v>
      </c>
      <c r="G247" s="3">
        <f>F247/E247</f>
        <v>16</v>
      </c>
      <c r="H247" s="1" t="s">
        <v>407</v>
      </c>
    </row>
    <row r="248" spans="1:9" x14ac:dyDescent="0.25">
      <c r="A248" t="s">
        <v>34</v>
      </c>
      <c r="B248" t="s">
        <v>26</v>
      </c>
      <c r="C248" t="s">
        <v>35</v>
      </c>
      <c r="D248">
        <v>3</v>
      </c>
      <c r="E248">
        <v>10</v>
      </c>
      <c r="F248">
        <v>165</v>
      </c>
      <c r="G248" s="3">
        <f>F248/E248</f>
        <v>16.5</v>
      </c>
      <c r="H248" s="1" t="s">
        <v>404</v>
      </c>
    </row>
    <row r="249" spans="1:9" x14ac:dyDescent="0.25">
      <c r="A249" t="s">
        <v>14</v>
      </c>
      <c r="B249" t="s">
        <v>26</v>
      </c>
      <c r="C249" t="s">
        <v>35</v>
      </c>
      <c r="E249">
        <v>10</v>
      </c>
      <c r="F249">
        <v>165</v>
      </c>
      <c r="G249" s="3">
        <f>F249/E249</f>
        <v>16.5</v>
      </c>
      <c r="H249" s="6" t="s">
        <v>443</v>
      </c>
    </row>
    <row r="250" spans="1:9" x14ac:dyDescent="0.25">
      <c r="A250" t="s">
        <v>55</v>
      </c>
      <c r="B250" t="s">
        <v>26</v>
      </c>
      <c r="C250" t="s">
        <v>35</v>
      </c>
      <c r="E250">
        <v>1</v>
      </c>
      <c r="F250">
        <v>17</v>
      </c>
      <c r="G250" s="3">
        <f>F250/E250</f>
        <v>17</v>
      </c>
      <c r="H250" s="1" t="s">
        <v>401</v>
      </c>
    </row>
    <row r="251" spans="1:9" x14ac:dyDescent="0.25">
      <c r="A251" t="s">
        <v>51</v>
      </c>
      <c r="B251" t="s">
        <v>26</v>
      </c>
      <c r="C251" t="s">
        <v>35</v>
      </c>
      <c r="E251">
        <v>1</v>
      </c>
      <c r="F251">
        <v>17</v>
      </c>
      <c r="G251" s="3">
        <f>F251/E251</f>
        <v>17</v>
      </c>
      <c r="H251" s="1" t="s">
        <v>405</v>
      </c>
    </row>
    <row r="252" spans="1:9" x14ac:dyDescent="0.25">
      <c r="A252" t="s">
        <v>66</v>
      </c>
      <c r="B252" t="s">
        <v>26</v>
      </c>
      <c r="C252" t="s">
        <v>35</v>
      </c>
      <c r="D252">
        <v>3</v>
      </c>
      <c r="E252">
        <v>1</v>
      </c>
      <c r="F252">
        <v>19</v>
      </c>
      <c r="G252" s="3">
        <f>F252/E252</f>
        <v>19</v>
      </c>
      <c r="H252" s="1" t="s">
        <v>402</v>
      </c>
    </row>
    <row r="253" spans="1:9" x14ac:dyDescent="0.25">
      <c r="A253" t="s">
        <v>69</v>
      </c>
      <c r="B253" t="s">
        <v>26</v>
      </c>
      <c r="C253" t="s">
        <v>80</v>
      </c>
      <c r="E253">
        <v>1</v>
      </c>
      <c r="F253">
        <v>13.2</v>
      </c>
      <c r="G253" s="3">
        <f>F253/E253</f>
        <v>13.2</v>
      </c>
      <c r="H253" s="1" t="s">
        <v>360</v>
      </c>
      <c r="I253" t="s">
        <v>77</v>
      </c>
    </row>
    <row r="254" spans="1:9" x14ac:dyDescent="0.25">
      <c r="A254" t="s">
        <v>199</v>
      </c>
      <c r="B254" t="s">
        <v>26</v>
      </c>
      <c r="C254" t="s">
        <v>196</v>
      </c>
      <c r="E254">
        <v>100</v>
      </c>
      <c r="F254">
        <f>11.51*100</f>
        <v>1151</v>
      </c>
      <c r="G254" s="3">
        <f>F254/E254</f>
        <v>11.51</v>
      </c>
      <c r="H254" s="1" t="s">
        <v>408</v>
      </c>
    </row>
    <row r="255" spans="1:9" x14ac:dyDescent="0.25">
      <c r="G255" s="3"/>
      <c r="H255" s="3"/>
    </row>
    <row r="256" spans="1:9" x14ac:dyDescent="0.25">
      <c r="G256" s="3"/>
      <c r="H256" s="3"/>
    </row>
    <row r="257" spans="1:9" x14ac:dyDescent="0.25">
      <c r="G257" s="3"/>
      <c r="H257" s="3"/>
      <c r="I257" s="1"/>
    </row>
    <row r="258" spans="1:9" x14ac:dyDescent="0.25">
      <c r="G258" s="3"/>
      <c r="H258" s="3"/>
      <c r="I258" s="1"/>
    </row>
    <row r="259" spans="1:9" x14ac:dyDescent="0.25">
      <c r="G259" s="3"/>
      <c r="H259" s="3"/>
      <c r="I259" s="1"/>
    </row>
    <row r="261" spans="1:9" x14ac:dyDescent="0.25">
      <c r="A261" t="s">
        <v>98</v>
      </c>
      <c r="B261" s="1" t="s">
        <v>97</v>
      </c>
    </row>
  </sheetData>
  <phoneticPr fontId="2" type="noConversion"/>
  <hyperlinks>
    <hyperlink ref="B261" r:id="rId1" xr:uid="{8AC73A48-B626-42A7-8B8E-B3A56D5BDD94}"/>
    <hyperlink ref="H12" r:id="rId2" xr:uid="{CBD4D99B-8FA9-4C21-9D8A-3E47AF3C7BFE}"/>
    <hyperlink ref="H6" r:id="rId3" xr:uid="{1A3497CE-B19F-4A9D-86FE-DF4EDCBCE20A}"/>
    <hyperlink ref="H16" r:id="rId4" xr:uid="{0FC51BF4-40E5-495C-AD29-F0F6FE3276D0}"/>
    <hyperlink ref="H15" r:id="rId5" xr:uid="{C32DCDEC-4BDA-44BF-A092-F09B7028A5D3}"/>
    <hyperlink ref="H53" r:id="rId6" xr:uid="{382D2A69-03D0-4D9E-9E9E-6AB37D7BF28E}"/>
    <hyperlink ref="H59" r:id="rId7" xr:uid="{18784ECD-6065-4FE5-B03A-3DC206FD1F04}"/>
    <hyperlink ref="H46" r:id="rId8" xr:uid="{C345D475-FAB8-471B-B5D1-70F6AE36FBFD}"/>
    <hyperlink ref="H71" r:id="rId9" xr:uid="{A3B7F6C7-BBA7-409B-880E-5F7D6EB796BF}"/>
    <hyperlink ref="H51" r:id="rId10" xr:uid="{00839AAA-EBBF-4341-B1A0-C0818C02D32B}"/>
    <hyperlink ref="H60" r:id="rId11" xr:uid="{DE3F59CF-69BB-40B6-B9C3-D7181C758E4C}"/>
    <hyperlink ref="H54" r:id="rId12" xr:uid="{901802A1-C01C-42DE-8A31-86A705ECCBE2}"/>
    <hyperlink ref="H43" r:id="rId13" xr:uid="{8C086B61-648A-4695-B7D3-900595CA6067}"/>
    <hyperlink ref="H63" r:id="rId14" xr:uid="{FD0B922F-3F80-4B39-87CB-69DCA6D06EBE}"/>
    <hyperlink ref="H99" r:id="rId15" xr:uid="{6D1CC45A-F2A9-498E-9744-11CA110DFD23}"/>
    <hyperlink ref="H76" r:id="rId16" location="colcode=72500301" xr:uid="{7A31BD7E-65F6-4173-BA7F-9DBEAA96B43E}"/>
    <hyperlink ref="H97" r:id="rId17" xr:uid="{37A6C665-70A5-460E-AB00-23A9F059CCFD}"/>
    <hyperlink ref="H88" r:id="rId18" xr:uid="{4F94177A-73A9-4913-BD06-F94810EE762D}"/>
    <hyperlink ref="H96" r:id="rId19" xr:uid="{2F3AC92C-6F22-4776-BC9E-75CC0FDD3361}"/>
    <hyperlink ref="H105" r:id="rId20" xr:uid="{D27CB03B-BE50-4111-99D6-7616DEF08A8D}"/>
    <hyperlink ref="H93" r:id="rId21" xr:uid="{B5108DC9-E7C9-48AB-92CD-540A2F620D19}"/>
    <hyperlink ref="H91" r:id="rId22" xr:uid="{200799DF-5F5D-4D65-9B8B-FB1405DE1B27}"/>
    <hyperlink ref="H84" r:id="rId23" xr:uid="{4E1A2416-B8C3-4BFD-9EB9-07BC60D7FFDA}"/>
    <hyperlink ref="H126" r:id="rId24" xr:uid="{41331813-282D-403C-94EE-99599345C2C0}"/>
    <hyperlink ref="H128" r:id="rId25" xr:uid="{F60D174F-3B64-43AC-B494-F865A966AEB8}"/>
    <hyperlink ref="H142" r:id="rId26" xr:uid="{BF28F42E-D47C-4636-88AA-A20C07766C41}"/>
    <hyperlink ref="H136" r:id="rId27" xr:uid="{03A9799A-A464-4607-9407-D431211C3FD0}"/>
    <hyperlink ref="H141" r:id="rId28" xr:uid="{8FE6AB13-991C-4DAA-80AC-478F83C7D3CE}"/>
    <hyperlink ref="H139" r:id="rId29" xr:uid="{AE8BC1C4-B9B0-45E4-83CF-8471164350CB}"/>
    <hyperlink ref="H162" r:id="rId30" xr:uid="{80A3088F-2A16-42EC-A24F-02A3F0065B1C}"/>
    <hyperlink ref="H150" r:id="rId31" xr:uid="{E468CEB1-2CFA-4686-BE71-D902D1FDBB5E}"/>
    <hyperlink ref="H148" r:id="rId32" xr:uid="{CC601456-0806-4750-BDA2-B1EAEAE73577}"/>
    <hyperlink ref="H152" r:id="rId33" xr:uid="{5B9118F2-E000-4A98-983B-52E1AD8095BD}"/>
    <hyperlink ref="H154" r:id="rId34" xr:uid="{162BF822-487F-479C-98EA-7F5919476C88}"/>
    <hyperlink ref="H158" r:id="rId35" xr:uid="{7CF021C1-72D6-4F2F-B5E8-1CE97CEC0812}"/>
    <hyperlink ref="H200" r:id="rId36" xr:uid="{FB53FCB7-9531-4165-B2CB-84B62E72EF88}"/>
    <hyperlink ref="H201" r:id="rId37" xr:uid="{918329BD-FEFB-4E40-982D-40963C59A8D0}"/>
    <hyperlink ref="H216" r:id="rId38" xr:uid="{AAA9C961-793B-4D9D-BB1E-5B1A067EDFC7}"/>
    <hyperlink ref="H237" r:id="rId39" xr:uid="{E2AE7753-1C87-49A4-AECD-6417DBB98CD2}"/>
    <hyperlink ref="H248" r:id="rId40" xr:uid="{9521C68F-59A5-453F-BCAA-B77D035997C3}"/>
    <hyperlink ref="H253" r:id="rId41" xr:uid="{A0BE1A15-0D3D-485E-80F1-D72AB5F94D64}"/>
    <hyperlink ref="H233" r:id="rId42" xr:uid="{AE08A445-A58E-40C8-9D2C-D3DC0A85EB2D}"/>
    <hyperlink ref="H222" r:id="rId43" xr:uid="{9EE4FBB0-7E95-4467-9394-806F79FC3738}"/>
    <hyperlink ref="H202" r:id="rId44" xr:uid="{281F98C4-CAFA-423A-8CBE-966154F45A78}"/>
    <hyperlink ref="H215" r:id="rId45" xr:uid="{5601CC44-A191-4D0D-AC3E-15CEB0B0347C}"/>
    <hyperlink ref="H220" r:id="rId46" xr:uid="{75FB3467-2E47-4E32-B984-DA0602F94B0C}"/>
    <hyperlink ref="H236" r:id="rId47" xr:uid="{FC0249C9-6BF8-4E2B-9A57-3C24CF487D31}"/>
    <hyperlink ref="H121" r:id="rId48" xr:uid="{C5CE4A33-3E1B-4F73-8FE3-66F2BB0CDFF8}"/>
    <hyperlink ref="H115" r:id="rId49" xr:uid="{97A846EF-AEBA-4848-8BB3-3DA60FC42234}"/>
    <hyperlink ref="H133" r:id="rId50" xr:uid="{E9C24A07-40B1-4491-BEEF-3D547E328A28}"/>
    <hyperlink ref="H174" r:id="rId51" xr:uid="{04F58B6A-31EA-40F0-AF73-C5F55410E6F1}"/>
    <hyperlink ref="H125" r:id="rId52" xr:uid="{80086399-8527-4D18-BFD2-8DE1CBA34A87}"/>
    <hyperlink ref="H165" r:id="rId53" xr:uid="{3703BBC6-BB00-47D2-B24A-615B8997735D}"/>
    <hyperlink ref="H173" r:id="rId54" display="http://www.bbesports.com/English/index_shuttle.htm" xr:uid="{9418F9FA-67AF-4E54-A320-7D9AC9AFC794}"/>
    <hyperlink ref="H180" r:id="rId55" display="https://www.shopnings.com/yonex-aerosensa-as-20-badminton-12-pcs-shuttlecock/" xr:uid="{22D74431-5A48-47D3-808A-8488B5355D8C}"/>
    <hyperlink ref="H185" r:id="rId56" display="https://www.alibaba.com/product-detail/YONEXYunix-Official-Website-Badminton-AS-40EX12_1600972702089.html?spm=a2700.shop_oth.82.11.48a23e71ZB9SEd" xr:uid="{39549E6E-DCF2-45EC-925D-6451B464B1F9}"/>
    <hyperlink ref="H194" r:id="rId57" display="https://jzonebadminton.com/shop/ols/products/yonex-mavis-300" xr:uid="{DCC47ECC-DFB4-4CB2-AB66-160E1EAD67D4}"/>
    <hyperlink ref="H190" r:id="rId58" display="https://maxsports.ca/products/yonex-badminton-shuttlecock-mavis-350?variant=43382940664032" xr:uid="{0ED34ED5-B6E9-4069-BB42-9D5040873A5A}"/>
    <hyperlink ref="H192" r:id="rId59" display="http://www.bbeshop.com/index_shuttle.htm" xr:uid="{B7B8CC81-304B-49F2-802D-948F9EBA5D8A}"/>
    <hyperlink ref="H187" r:id="rId60" display="https://e78shop.com/products/yonex-mavis-2000-shuttlecock-m-2000p" xr:uid="{A777C35E-3292-40DE-8D70-B3DFA46121D8}"/>
  </hyperlinks>
  <pageMargins left="0.7" right="0.7" top="0.75" bottom="0.75" header="0.3" footer="0.3"/>
  <tableParts count="1">
    <tablePart r:id="rId6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E5B4-381A-46C7-86A9-8409C0ECEE3D}">
  <dimension ref="A1:K56"/>
  <sheetViews>
    <sheetView tabSelected="1" workbookViewId="0">
      <selection activeCell="I9" sqref="I9"/>
    </sheetView>
  </sheetViews>
  <sheetFormatPr defaultRowHeight="15" x14ac:dyDescent="0.25"/>
  <cols>
    <col min="1" max="1" width="10.5703125" customWidth="1"/>
    <col min="2" max="2" width="10.28515625" bestFit="1" customWidth="1"/>
    <col min="3" max="3" width="15.140625" bestFit="1" customWidth="1"/>
    <col min="4" max="4" width="8.7109375" customWidth="1"/>
    <col min="5" max="5" width="6.28515625" customWidth="1"/>
    <col min="6" max="6" width="13.140625" customWidth="1"/>
    <col min="7" max="7" width="12.5703125" customWidth="1"/>
    <col min="8" max="8" width="21.140625" customWidth="1"/>
    <col min="9" max="9" width="50.140625" bestFit="1" customWidth="1"/>
    <col min="10" max="10" width="20" bestFit="1" customWidth="1"/>
    <col min="11" max="11" width="11.7109375" bestFit="1" customWidth="1"/>
  </cols>
  <sheetData>
    <row r="1" spans="1:11" s="5" customFormat="1" x14ac:dyDescent="0.25">
      <c r="A1" s="5" t="s">
        <v>0</v>
      </c>
      <c r="B1" s="5" t="s">
        <v>1</v>
      </c>
      <c r="C1" s="5" t="s">
        <v>2</v>
      </c>
      <c r="D1" s="5" t="s">
        <v>11</v>
      </c>
      <c r="E1" s="5" t="s">
        <v>3</v>
      </c>
      <c r="F1" s="5" t="s">
        <v>33</v>
      </c>
      <c r="G1" s="5" t="s">
        <v>5</v>
      </c>
      <c r="H1" s="5" t="s">
        <v>4</v>
      </c>
      <c r="I1" s="5" t="s">
        <v>31</v>
      </c>
      <c r="J1" s="5" t="s">
        <v>215</v>
      </c>
      <c r="K1" s="5" t="s">
        <v>214</v>
      </c>
    </row>
    <row r="2" spans="1:11" x14ac:dyDescent="0.25">
      <c r="A2" t="s">
        <v>82</v>
      </c>
      <c r="B2" t="s">
        <v>43</v>
      </c>
      <c r="C2" t="s">
        <v>54</v>
      </c>
      <c r="D2">
        <v>77</v>
      </c>
      <c r="E2">
        <v>1</v>
      </c>
      <c r="F2" s="3">
        <f>150/5.21</f>
        <v>28.790786948176585</v>
      </c>
      <c r="G2" s="3">
        <f>F2/E2</f>
        <v>28.790786948176585</v>
      </c>
      <c r="H2" s="4" t="s">
        <v>95</v>
      </c>
      <c r="I2" t="s">
        <v>171</v>
      </c>
      <c r="J2" s="3">
        <v>33.5</v>
      </c>
      <c r="K2" s="2">
        <f>(Table2[[#This Row],[Selling price (CAD)]]-Table2[[#This Row],[Price/tube]])/Table2[[#This Row],[Price/tube]]*100</f>
        <v>16.356666666666662</v>
      </c>
    </row>
    <row r="3" spans="1:11" x14ac:dyDescent="0.25">
      <c r="A3" t="s">
        <v>206</v>
      </c>
      <c r="B3" t="s">
        <v>121</v>
      </c>
      <c r="C3" t="s">
        <v>106</v>
      </c>
      <c r="E3">
        <v>10</v>
      </c>
      <c r="F3" s="3">
        <f>26.4*10</f>
        <v>264</v>
      </c>
      <c r="G3" s="3">
        <f>F3/E3</f>
        <v>26.4</v>
      </c>
      <c r="H3" s="4" t="s">
        <v>207</v>
      </c>
      <c r="I3" t="s">
        <v>445</v>
      </c>
      <c r="J3" s="3">
        <v>32</v>
      </c>
      <c r="K3" s="2">
        <f>(Table2[[#This Row],[Selling price (CAD)]]-Table2[[#This Row],[Price/tube]])/Table2[[#This Row],[Price/tube]]*100</f>
        <v>21.212121212121218</v>
      </c>
    </row>
    <row r="4" spans="1:11" x14ac:dyDescent="0.25">
      <c r="A4" t="s">
        <v>82</v>
      </c>
      <c r="B4" t="s">
        <v>17</v>
      </c>
      <c r="C4" t="s">
        <v>91</v>
      </c>
      <c r="D4">
        <v>77</v>
      </c>
      <c r="E4">
        <v>1</v>
      </c>
      <c r="F4" s="3">
        <f>74/5.21</f>
        <v>14.203454894433781</v>
      </c>
      <c r="G4" s="3">
        <f>F4/E4</f>
        <v>14.203454894433781</v>
      </c>
      <c r="H4" s="4" t="s">
        <v>92</v>
      </c>
      <c r="I4" t="s">
        <v>172</v>
      </c>
      <c r="J4" s="3">
        <v>23</v>
      </c>
      <c r="K4" s="2">
        <f>(Table2[[#This Row],[Selling price (CAD)]]-Table2[[#This Row],[Price/tube]])/Table2[[#This Row],[Price/tube]]*100</f>
        <v>61.932432432432435</v>
      </c>
    </row>
    <row r="5" spans="1:11" x14ac:dyDescent="0.25">
      <c r="A5" t="s">
        <v>21</v>
      </c>
      <c r="B5" t="s">
        <v>17</v>
      </c>
      <c r="C5" t="s">
        <v>103</v>
      </c>
      <c r="D5">
        <v>77</v>
      </c>
      <c r="E5">
        <v>50</v>
      </c>
      <c r="F5" s="3">
        <f>22*50</f>
        <v>1100</v>
      </c>
      <c r="G5" s="3">
        <f>F5/E5</f>
        <v>22</v>
      </c>
      <c r="H5" s="1" t="s">
        <v>200</v>
      </c>
      <c r="I5" t="s">
        <v>446</v>
      </c>
      <c r="J5" s="3">
        <v>28</v>
      </c>
      <c r="K5" s="2">
        <f>(Table2[[#This Row],[Selling price (CAD)]]-Table2[[#This Row],[Price/tube]])/Table2[[#This Row],[Price/tube]]*100</f>
        <v>27.27272727272727</v>
      </c>
    </row>
    <row r="6" spans="1:11" x14ac:dyDescent="0.25">
      <c r="A6" t="s">
        <v>55</v>
      </c>
      <c r="B6" t="s">
        <v>17</v>
      </c>
      <c r="C6" t="s">
        <v>136</v>
      </c>
      <c r="D6">
        <v>77</v>
      </c>
      <c r="E6">
        <v>5</v>
      </c>
      <c r="F6">
        <f>28*5</f>
        <v>140</v>
      </c>
      <c r="G6" s="3">
        <f>F6/E6</f>
        <v>28</v>
      </c>
      <c r="H6" s="1" t="s">
        <v>217</v>
      </c>
      <c r="I6" t="s">
        <v>144</v>
      </c>
      <c r="J6" s="3">
        <v>34</v>
      </c>
      <c r="K6" s="2">
        <f>(Table2[[#This Row],[Selling price (CAD)]]-Table2[[#This Row],[Price/tube]])/Table2[[#This Row],[Price/tube]]*100</f>
        <v>21.428571428571427</v>
      </c>
    </row>
    <row r="7" spans="1:11" x14ac:dyDescent="0.25">
      <c r="A7" t="s">
        <v>55</v>
      </c>
      <c r="B7" t="s">
        <v>17</v>
      </c>
      <c r="C7" t="s">
        <v>140</v>
      </c>
      <c r="D7">
        <v>77</v>
      </c>
      <c r="E7">
        <v>5</v>
      </c>
      <c r="F7">
        <f>28*5</f>
        <v>140</v>
      </c>
      <c r="G7" s="3">
        <f>F7/E7</f>
        <v>28</v>
      </c>
      <c r="H7" s="1" t="s">
        <v>218</v>
      </c>
      <c r="I7" t="s">
        <v>147</v>
      </c>
      <c r="J7" s="3">
        <v>37</v>
      </c>
      <c r="K7" s="2">
        <f>(Table2[[#This Row],[Selling price (CAD)]]-Table2[[#This Row],[Price/tube]])/Table2[[#This Row],[Price/tube]]*100</f>
        <v>32.142857142857146</v>
      </c>
    </row>
    <row r="8" spans="1:11" x14ac:dyDescent="0.25">
      <c r="A8" t="s">
        <v>66</v>
      </c>
      <c r="B8" t="s">
        <v>17</v>
      </c>
      <c r="C8" t="s">
        <v>142</v>
      </c>
      <c r="D8">
        <v>77</v>
      </c>
      <c r="E8">
        <v>50</v>
      </c>
      <c r="F8" t="s">
        <v>447</v>
      </c>
      <c r="G8" s="3" t="e">
        <f>F8/E8</f>
        <v>#VALUE!</v>
      </c>
      <c r="H8" s="6" t="s">
        <v>434</v>
      </c>
      <c r="I8" s="7" t="s">
        <v>435</v>
      </c>
      <c r="J8" s="3">
        <v>47</v>
      </c>
      <c r="K8" s="2" t="e">
        <f>(Table2[[#This Row],[Selling price (CAD)]]-Table2[[#This Row],[Price/tube]])/Table2[[#This Row],[Price/tube]]*100</f>
        <v>#VALUE!</v>
      </c>
    </row>
    <row r="9" spans="1:11" x14ac:dyDescent="0.25">
      <c r="A9" t="s">
        <v>82</v>
      </c>
      <c r="B9" t="s">
        <v>19</v>
      </c>
      <c r="C9" t="s">
        <v>37</v>
      </c>
      <c r="D9">
        <v>77</v>
      </c>
      <c r="E9">
        <v>1</v>
      </c>
      <c r="F9" s="3">
        <f>135/5.21</f>
        <v>25.911708253358924</v>
      </c>
      <c r="G9" s="3">
        <f>F9/E9</f>
        <v>25.911708253358924</v>
      </c>
      <c r="H9" s="1" t="s">
        <v>159</v>
      </c>
      <c r="I9" t="s">
        <v>173</v>
      </c>
      <c r="J9" s="3">
        <v>38</v>
      </c>
      <c r="K9" s="2">
        <f>(Table2[[#This Row],[Selling price (CAD)]]-Table2[[#This Row],[Price/tube]])/Table2[[#This Row],[Price/tube]]*100</f>
        <v>46.651851851851859</v>
      </c>
    </row>
    <row r="10" spans="1:11" x14ac:dyDescent="0.25">
      <c r="A10" t="s">
        <v>82</v>
      </c>
      <c r="B10" t="s">
        <v>19</v>
      </c>
      <c r="C10" t="s">
        <v>156</v>
      </c>
      <c r="D10">
        <v>77</v>
      </c>
      <c r="E10">
        <v>1</v>
      </c>
      <c r="F10" s="3">
        <f>122/5.21</f>
        <v>23.416506717850289</v>
      </c>
      <c r="G10" s="3">
        <f>F10/E10</f>
        <v>23.416506717850289</v>
      </c>
      <c r="H10" s="1" t="s">
        <v>160</v>
      </c>
      <c r="I10" t="s">
        <v>157</v>
      </c>
      <c r="J10" s="3">
        <v>33</v>
      </c>
      <c r="K10" s="2">
        <f>(Table2[[#This Row],[Selling price (CAD)]]-Table2[[#This Row],[Price/tube]])/Table2[[#This Row],[Price/tube]]*100</f>
        <v>40.926229508196712</v>
      </c>
    </row>
    <row r="11" spans="1:11" x14ac:dyDescent="0.25">
      <c r="A11" t="s">
        <v>82</v>
      </c>
      <c r="B11" t="s">
        <v>19</v>
      </c>
      <c r="C11" t="s">
        <v>161</v>
      </c>
      <c r="D11">
        <v>77</v>
      </c>
      <c r="E11">
        <v>1</v>
      </c>
      <c r="F11" s="3">
        <f>112/5.21</f>
        <v>21.497120921305182</v>
      </c>
      <c r="G11" s="3">
        <f>F11/E11</f>
        <v>21.497120921305182</v>
      </c>
      <c r="H11" s="1" t="s">
        <v>160</v>
      </c>
      <c r="I11" t="s">
        <v>165</v>
      </c>
      <c r="J11" s="3">
        <v>30</v>
      </c>
      <c r="K11" s="2">
        <f>(Table2[[#This Row],[Selling price (CAD)]]-Table2[[#This Row],[Price/tube]])/Table2[[#This Row],[Price/tube]]*100</f>
        <v>39.553571428571431</v>
      </c>
    </row>
    <row r="12" spans="1:11" x14ac:dyDescent="0.25">
      <c r="A12" t="s">
        <v>82</v>
      </c>
      <c r="B12" t="s">
        <v>19</v>
      </c>
      <c r="C12" t="s">
        <v>151</v>
      </c>
      <c r="D12">
        <v>77</v>
      </c>
      <c r="E12">
        <v>1</v>
      </c>
      <c r="F12" s="3">
        <f>99/5.21</f>
        <v>19.001919385796544</v>
      </c>
      <c r="G12" s="3">
        <f>F12/E12</f>
        <v>19.001919385796544</v>
      </c>
      <c r="H12" s="1" t="s">
        <v>158</v>
      </c>
      <c r="I12" t="s">
        <v>164</v>
      </c>
      <c r="J12" s="3">
        <v>26</v>
      </c>
      <c r="K12" s="2">
        <f>(Table2[[#This Row],[Selling price (CAD)]]-Table2[[#This Row],[Price/tube]])/Table2[[#This Row],[Price/tube]]*100</f>
        <v>36.828282828282838</v>
      </c>
    </row>
    <row r="13" spans="1:11" x14ac:dyDescent="0.25">
      <c r="A13" t="s">
        <v>82</v>
      </c>
      <c r="B13" t="s">
        <v>19</v>
      </c>
      <c r="C13" t="s">
        <v>133</v>
      </c>
      <c r="D13">
        <v>77</v>
      </c>
      <c r="E13">
        <v>1</v>
      </c>
      <c r="F13" s="3">
        <f>89/5.21</f>
        <v>17.08253358925144</v>
      </c>
      <c r="G13" s="3">
        <f>F13/E13</f>
        <v>17.08253358925144</v>
      </c>
      <c r="H13" s="1" t="s">
        <v>160</v>
      </c>
      <c r="I13" t="s">
        <v>165</v>
      </c>
      <c r="J13" s="3">
        <v>23</v>
      </c>
      <c r="K13" s="2">
        <f>(Table2[[#This Row],[Selling price (CAD)]]-Table2[[#This Row],[Price/tube]])/Table2[[#This Row],[Price/tube]]*100</f>
        <v>34.640449438202239</v>
      </c>
    </row>
    <row r="14" spans="1:11" x14ac:dyDescent="0.25">
      <c r="A14" t="s">
        <v>82</v>
      </c>
      <c r="B14" t="s">
        <v>19</v>
      </c>
      <c r="C14" t="s">
        <v>15</v>
      </c>
      <c r="D14">
        <v>77</v>
      </c>
      <c r="E14">
        <v>1</v>
      </c>
      <c r="F14" s="3">
        <f>83/5.21</f>
        <v>15.930902111324377</v>
      </c>
      <c r="G14" s="3">
        <f>F14/E14</f>
        <v>15.930902111324377</v>
      </c>
      <c r="H14" s="1" t="s">
        <v>94</v>
      </c>
      <c r="I14" t="s">
        <v>166</v>
      </c>
      <c r="J14" s="3">
        <v>23</v>
      </c>
      <c r="K14" s="2">
        <f>(Table2[[#This Row],[Selling price (CAD)]]-Table2[[#This Row],[Price/tube]])/Table2[[#This Row],[Price/tube]]*100</f>
        <v>44.373493975903607</v>
      </c>
    </row>
    <row r="15" spans="1:11" x14ac:dyDescent="0.25">
      <c r="A15" t="s">
        <v>82</v>
      </c>
      <c r="B15" t="s">
        <v>19</v>
      </c>
      <c r="C15" t="s">
        <v>150</v>
      </c>
      <c r="D15">
        <v>77</v>
      </c>
      <c r="E15">
        <v>1</v>
      </c>
      <c r="F15" s="3">
        <f>77/5.21</f>
        <v>14.779270633397314</v>
      </c>
      <c r="G15" s="3">
        <f>F15/E15</f>
        <v>14.779270633397314</v>
      </c>
      <c r="H15" s="1" t="s">
        <v>160</v>
      </c>
      <c r="I15" t="s">
        <v>165</v>
      </c>
      <c r="J15" s="3">
        <v>20</v>
      </c>
      <c r="K15" s="2">
        <f>(Table2[[#This Row],[Selling price (CAD)]]-Table2[[#This Row],[Price/tube]])/Table2[[#This Row],[Price/tube]]*100</f>
        <v>35.324675324675319</v>
      </c>
    </row>
    <row r="16" spans="1:11" x14ac:dyDescent="0.25">
      <c r="A16" t="s">
        <v>82</v>
      </c>
      <c r="B16" t="s">
        <v>19</v>
      </c>
      <c r="C16" t="s">
        <v>71</v>
      </c>
      <c r="D16">
        <v>77</v>
      </c>
      <c r="E16">
        <v>1</v>
      </c>
      <c r="F16" s="3">
        <f>71/5.21</f>
        <v>13.62763915547025</v>
      </c>
      <c r="G16" s="3">
        <f>F16/E16</f>
        <v>13.62763915547025</v>
      </c>
      <c r="H16" s="4" t="s">
        <v>93</v>
      </c>
      <c r="I16" t="s">
        <v>165</v>
      </c>
      <c r="J16" s="3">
        <v>19</v>
      </c>
      <c r="K16" s="2">
        <f>(Table2[[#This Row],[Selling price (CAD)]]-Table2[[#This Row],[Price/tube]])/Table2[[#This Row],[Price/tube]]*100</f>
        <v>39.422535211267594</v>
      </c>
    </row>
    <row r="17" spans="1:11" x14ac:dyDescent="0.25">
      <c r="A17" t="s">
        <v>163</v>
      </c>
      <c r="B17" t="s">
        <v>19</v>
      </c>
      <c r="C17" t="s">
        <v>137</v>
      </c>
      <c r="D17">
        <v>77</v>
      </c>
      <c r="E17">
        <v>1</v>
      </c>
      <c r="F17" s="3">
        <f>94*0.29</f>
        <v>27.259999999999998</v>
      </c>
      <c r="G17" s="3">
        <f>F17/E17</f>
        <v>27.259999999999998</v>
      </c>
      <c r="H17" s="4" t="s">
        <v>162</v>
      </c>
      <c r="I17" t="s">
        <v>184</v>
      </c>
      <c r="J17" s="3">
        <v>36</v>
      </c>
      <c r="K17" s="2">
        <f>(Table2[[#This Row],[Selling price (CAD)]]-Table2[[#This Row],[Price/tube]])/Table2[[#This Row],[Price/tube]]*100</f>
        <v>32.061628760088048</v>
      </c>
    </row>
    <row r="18" spans="1:11" x14ac:dyDescent="0.25">
      <c r="A18" t="s">
        <v>66</v>
      </c>
      <c r="B18" t="s">
        <v>19</v>
      </c>
      <c r="C18" t="s">
        <v>426</v>
      </c>
      <c r="D18">
        <v>77</v>
      </c>
      <c r="E18">
        <v>50</v>
      </c>
      <c r="F18">
        <v>1640</v>
      </c>
      <c r="G18" s="3">
        <f>F18/E18</f>
        <v>32.799999999999997</v>
      </c>
      <c r="H18" s="6" t="s">
        <v>427</v>
      </c>
      <c r="I18" t="s">
        <v>437</v>
      </c>
      <c r="J18" s="3">
        <v>41</v>
      </c>
      <c r="K18" s="2">
        <f>(Table2[[#This Row],[Selling price (CAD)]]-Table2[[#This Row],[Price/tube]])/Table2[[#This Row],[Price/tube]]*100</f>
        <v>25.000000000000011</v>
      </c>
    </row>
    <row r="19" spans="1:11" x14ac:dyDescent="0.25">
      <c r="A19" t="s">
        <v>220</v>
      </c>
      <c r="B19" t="s">
        <v>6</v>
      </c>
      <c r="C19" t="s">
        <v>230</v>
      </c>
      <c r="E19">
        <v>10</v>
      </c>
      <c r="F19">
        <v>169.9</v>
      </c>
      <c r="G19" s="3">
        <f>F19/E19</f>
        <v>16.990000000000002</v>
      </c>
      <c r="H19" s="6" t="s">
        <v>417</v>
      </c>
      <c r="I19" s="7" t="s">
        <v>440</v>
      </c>
      <c r="J19" s="3">
        <v>22</v>
      </c>
      <c r="K19" s="2">
        <f>(Table2[[#This Row],[Selling price (CAD)]]-Table2[[#This Row],[Price/tube]])/Table2[[#This Row],[Price/tube]]*100</f>
        <v>29.487934078869909</v>
      </c>
    </row>
    <row r="20" spans="1:11" x14ac:dyDescent="0.25">
      <c r="A20" t="s">
        <v>220</v>
      </c>
      <c r="B20" t="s">
        <v>6</v>
      </c>
      <c r="C20" t="s">
        <v>231</v>
      </c>
      <c r="E20">
        <v>10</v>
      </c>
      <c r="F20">
        <v>154.9</v>
      </c>
      <c r="G20" s="3">
        <f>F20/E20</f>
        <v>15.49</v>
      </c>
      <c r="H20" s="6" t="s">
        <v>416</v>
      </c>
      <c r="I20" s="7" t="s">
        <v>442</v>
      </c>
      <c r="J20" s="3">
        <v>21</v>
      </c>
      <c r="K20" s="2">
        <f>(Table2[[#This Row],[Selling price (CAD)]]-Table2[[#This Row],[Price/tube]])/Table2[[#This Row],[Price/tube]]*100</f>
        <v>35.571336346029696</v>
      </c>
    </row>
    <row r="21" spans="1:11" x14ac:dyDescent="0.25">
      <c r="A21" t="s">
        <v>82</v>
      </c>
      <c r="B21" t="s">
        <v>6</v>
      </c>
      <c r="C21" t="s">
        <v>187</v>
      </c>
      <c r="D21">
        <v>77</v>
      </c>
      <c r="E21">
        <v>1</v>
      </c>
      <c r="F21" s="3">
        <f>152/5.21</f>
        <v>29.174664107485604</v>
      </c>
      <c r="G21" s="3">
        <f>F21/E21</f>
        <v>29.174664107485604</v>
      </c>
      <c r="H21" s="4" t="s">
        <v>179</v>
      </c>
      <c r="I21" t="s">
        <v>188</v>
      </c>
      <c r="J21" s="3">
        <v>38</v>
      </c>
      <c r="K21" s="2">
        <f>(Table2[[#This Row],[Selling price (CAD)]]-Table2[[#This Row],[Price/tube]])/Table2[[#This Row],[Price/tube]]*100</f>
        <v>30.25</v>
      </c>
    </row>
    <row r="22" spans="1:11" x14ac:dyDescent="0.25">
      <c r="A22" t="s">
        <v>66</v>
      </c>
      <c r="B22" t="s">
        <v>6</v>
      </c>
      <c r="C22" t="s">
        <v>194</v>
      </c>
      <c r="D22">
        <v>77</v>
      </c>
      <c r="E22">
        <v>50</v>
      </c>
      <c r="F22">
        <v>1175</v>
      </c>
      <c r="G22" s="3">
        <f>F22/E22</f>
        <v>23.5</v>
      </c>
      <c r="H22" s="6" t="s">
        <v>423</v>
      </c>
      <c r="I22" t="s">
        <v>424</v>
      </c>
      <c r="J22" s="3">
        <v>31</v>
      </c>
      <c r="K22" s="2">
        <f>(Table2[[#This Row],[Selling price (CAD)]]-Table2[[#This Row],[Price/tube]])/Table2[[#This Row],[Price/tube]]*100</f>
        <v>31.914893617021278</v>
      </c>
    </row>
    <row r="23" spans="1:11" x14ac:dyDescent="0.25">
      <c r="A23" t="s">
        <v>82</v>
      </c>
      <c r="B23" t="s">
        <v>6</v>
      </c>
      <c r="C23" t="s">
        <v>70</v>
      </c>
      <c r="D23">
        <v>77</v>
      </c>
      <c r="E23">
        <v>1</v>
      </c>
      <c r="F23" s="3">
        <f>90/5.21</f>
        <v>17.274472168905952</v>
      </c>
      <c r="G23" s="3">
        <f>F23/E23</f>
        <v>17.274472168905952</v>
      </c>
      <c r="H23" s="4" t="s">
        <v>86</v>
      </c>
      <c r="I23" t="s">
        <v>167</v>
      </c>
      <c r="J23" s="3">
        <v>25</v>
      </c>
      <c r="K23" s="2">
        <f>(Table2[[#This Row],[Selling price (CAD)]]-Table2[[#This Row],[Price/tube]])/Table2[[#This Row],[Price/tube]]*100</f>
        <v>44.722222222222207</v>
      </c>
    </row>
    <row r="24" spans="1:11" x14ac:dyDescent="0.25">
      <c r="A24" t="s">
        <v>82</v>
      </c>
      <c r="B24" t="s">
        <v>6</v>
      </c>
      <c r="C24" t="s">
        <v>29</v>
      </c>
      <c r="D24">
        <v>77</v>
      </c>
      <c r="E24">
        <v>1</v>
      </c>
      <c r="F24" s="3">
        <f>76/5.21</f>
        <v>14.587332053742802</v>
      </c>
      <c r="G24" s="3">
        <f>F24/E24</f>
        <v>14.587332053742802</v>
      </c>
      <c r="H24" s="4" t="s">
        <v>86</v>
      </c>
      <c r="I24" t="s">
        <v>180</v>
      </c>
      <c r="J24" s="3">
        <v>21</v>
      </c>
      <c r="K24" s="2">
        <f>(Table2[[#This Row],[Selling price (CAD)]]-Table2[[#This Row],[Price/tube]])/Table2[[#This Row],[Price/tube]]*100</f>
        <v>43.96052631578948</v>
      </c>
    </row>
    <row r="25" spans="1:11" x14ac:dyDescent="0.25">
      <c r="A25" t="s">
        <v>82</v>
      </c>
      <c r="B25" t="s">
        <v>6</v>
      </c>
      <c r="C25" t="s">
        <v>83</v>
      </c>
      <c r="D25">
        <v>77</v>
      </c>
      <c r="E25">
        <v>1</v>
      </c>
      <c r="F25" s="3">
        <f>88/5.21</f>
        <v>16.890595009596929</v>
      </c>
      <c r="G25" s="3">
        <f>F25/E25</f>
        <v>16.890595009596929</v>
      </c>
      <c r="H25" s="4" t="s">
        <v>86</v>
      </c>
      <c r="I25" t="s">
        <v>181</v>
      </c>
      <c r="J25" s="3">
        <v>23</v>
      </c>
      <c r="K25" s="2">
        <f>(Table2[[#This Row],[Selling price (CAD)]]-Table2[[#This Row],[Price/tube]])/Table2[[#This Row],[Price/tube]]*100</f>
        <v>36.170454545454547</v>
      </c>
    </row>
    <row r="26" spans="1:11" x14ac:dyDescent="0.25">
      <c r="A26" t="s">
        <v>82</v>
      </c>
      <c r="B26" t="s">
        <v>6</v>
      </c>
      <c r="C26" t="s">
        <v>185</v>
      </c>
      <c r="D26">
        <v>77</v>
      </c>
      <c r="E26">
        <v>1</v>
      </c>
      <c r="F26" s="3">
        <f>174/5.21</f>
        <v>33.397312859884835</v>
      </c>
      <c r="G26" s="3">
        <f>F26/E26</f>
        <v>33.397312859884835</v>
      </c>
      <c r="H26" s="4" t="s">
        <v>179</v>
      </c>
      <c r="I26" t="s">
        <v>186</v>
      </c>
      <c r="J26" s="3">
        <v>42</v>
      </c>
      <c r="K26" s="2">
        <f>(Table2[[#This Row],[Selling price (CAD)]]-Table2[[#This Row],[Price/tube]])/Table2[[#This Row],[Price/tube]]*100</f>
        <v>25.758620689655181</v>
      </c>
    </row>
    <row r="27" spans="1:11" x14ac:dyDescent="0.25">
      <c r="A27" t="s">
        <v>82</v>
      </c>
      <c r="B27" t="s">
        <v>6</v>
      </c>
      <c r="C27" t="s">
        <v>178</v>
      </c>
      <c r="D27">
        <v>77</v>
      </c>
      <c r="E27">
        <v>1</v>
      </c>
      <c r="F27" s="3">
        <f>158/5.21</f>
        <v>30.326295585412669</v>
      </c>
      <c r="G27" s="3">
        <f>F27/E27</f>
        <v>30.326295585412669</v>
      </c>
      <c r="H27" s="1" t="s">
        <v>179</v>
      </c>
      <c r="I27" t="s">
        <v>182</v>
      </c>
      <c r="J27" s="3">
        <v>37</v>
      </c>
      <c r="K27" s="2">
        <f>(Table2[[#This Row],[Selling price (CAD)]]-Table2[[#This Row],[Price/tube]])/Table2[[#This Row],[Price/tube]]*100</f>
        <v>22.006329113924046</v>
      </c>
    </row>
    <row r="28" spans="1:11" x14ac:dyDescent="0.25">
      <c r="A28" t="s">
        <v>66</v>
      </c>
      <c r="B28" t="s">
        <v>6</v>
      </c>
      <c r="C28" t="s">
        <v>30</v>
      </c>
      <c r="D28">
        <v>78</v>
      </c>
      <c r="E28">
        <v>50</v>
      </c>
      <c r="F28" s="3">
        <v>1250</v>
      </c>
      <c r="G28" s="3">
        <f>F28/E28</f>
        <v>25</v>
      </c>
      <c r="H28" s="4" t="s">
        <v>67</v>
      </c>
      <c r="I28" t="s">
        <v>183</v>
      </c>
      <c r="J28" s="3">
        <v>32</v>
      </c>
      <c r="K28" s="2">
        <f>(Table2[[#This Row],[Selling price (CAD)]]-Table2[[#This Row],[Price/tube]])/Table2[[#This Row],[Price/tube]]*100</f>
        <v>28.000000000000004</v>
      </c>
    </row>
    <row r="29" spans="1:11" x14ac:dyDescent="0.25">
      <c r="A29" t="s">
        <v>82</v>
      </c>
      <c r="B29" t="s">
        <v>6</v>
      </c>
      <c r="C29" t="s">
        <v>89</v>
      </c>
      <c r="D29" s="7">
        <v>77</v>
      </c>
      <c r="E29" s="7">
        <v>1</v>
      </c>
      <c r="F29" s="8">
        <v>15.738963531669866</v>
      </c>
      <c r="G29" s="8">
        <v>15.738963531669866</v>
      </c>
      <c r="H29" s="9" t="s">
        <v>337</v>
      </c>
      <c r="I29" s="7" t="s">
        <v>165</v>
      </c>
      <c r="J29" s="3">
        <v>27</v>
      </c>
      <c r="K29" s="2">
        <f>(Table2[[#This Row],[Selling price (CAD)]]-Table2[[#This Row],[Price/tube]])/Table2[[#This Row],[Price/tube]]*100</f>
        <v>71.548780487804876</v>
      </c>
    </row>
    <row r="30" spans="1:11" x14ac:dyDescent="0.25">
      <c r="A30" t="s">
        <v>82</v>
      </c>
      <c r="B30" t="s">
        <v>6</v>
      </c>
      <c r="C30" t="s">
        <v>10</v>
      </c>
      <c r="D30">
        <v>77</v>
      </c>
      <c r="E30">
        <v>1</v>
      </c>
      <c r="F30" s="3">
        <f>74/5.21</f>
        <v>14.203454894433781</v>
      </c>
      <c r="G30" s="3">
        <f>F30/E30</f>
        <v>14.203454894433781</v>
      </c>
      <c r="H30" s="4" t="s">
        <v>88</v>
      </c>
      <c r="I30" t="s">
        <v>168</v>
      </c>
      <c r="J30" s="3">
        <v>19.5</v>
      </c>
      <c r="K30" s="2">
        <f>(Table2[[#This Row],[Selling price (CAD)]]-Table2[[#This Row],[Price/tube]])/Table2[[#This Row],[Price/tube]]*100</f>
        <v>37.29054054054054</v>
      </c>
    </row>
    <row r="31" spans="1:11" x14ac:dyDescent="0.25">
      <c r="A31" t="s">
        <v>199</v>
      </c>
      <c r="B31" t="s">
        <v>201</v>
      </c>
      <c r="C31" t="s">
        <v>106</v>
      </c>
      <c r="E31">
        <v>50</v>
      </c>
      <c r="F31" s="3">
        <f>18.01*50</f>
        <v>900.50000000000011</v>
      </c>
      <c r="G31" s="3">
        <f>F31/E31</f>
        <v>18.010000000000002</v>
      </c>
      <c r="H31" s="4" t="s">
        <v>203</v>
      </c>
      <c r="I31" t="s">
        <v>213</v>
      </c>
      <c r="J31" s="3">
        <v>22</v>
      </c>
      <c r="K31" s="2">
        <f>(Table2[[#This Row],[Selling price (CAD)]]-Table2[[#This Row],[Price/tube]])/Table2[[#This Row],[Price/tube]]*100</f>
        <v>22.154358689616867</v>
      </c>
    </row>
    <row r="32" spans="1:11" x14ac:dyDescent="0.25">
      <c r="A32" t="s">
        <v>25</v>
      </c>
      <c r="B32" t="s">
        <v>26</v>
      </c>
      <c r="C32" t="s">
        <v>27</v>
      </c>
      <c r="D32">
        <v>3</v>
      </c>
      <c r="E32">
        <v>1</v>
      </c>
      <c r="F32" s="3">
        <v>25</v>
      </c>
      <c r="G32" s="3">
        <f>F32/E32</f>
        <v>25</v>
      </c>
      <c r="H32" s="4" t="s">
        <v>28</v>
      </c>
      <c r="I32" t="s">
        <v>154</v>
      </c>
      <c r="J32" s="3">
        <v>28.5</v>
      </c>
      <c r="K32" s="2">
        <f>(Table2[[#This Row],[Selling price (CAD)]]-Table2[[#This Row],[Price/tube]])/Table2[[#This Row],[Price/tube]]*100</f>
        <v>14.000000000000002</v>
      </c>
    </row>
    <row r="33" spans="1:11" x14ac:dyDescent="0.25">
      <c r="A33" t="s">
        <v>82</v>
      </c>
      <c r="B33" t="s">
        <v>26</v>
      </c>
      <c r="C33" t="s">
        <v>40</v>
      </c>
      <c r="D33">
        <v>2</v>
      </c>
      <c r="E33">
        <v>1</v>
      </c>
      <c r="F33" s="3">
        <f>80/5.21</f>
        <v>15.355086372360844</v>
      </c>
      <c r="G33" s="3">
        <f>F33/E33</f>
        <v>15.355086372360844</v>
      </c>
      <c r="H33" s="4" t="s">
        <v>127</v>
      </c>
      <c r="I33" t="s">
        <v>165</v>
      </c>
      <c r="J33" s="3">
        <v>21</v>
      </c>
      <c r="K33" s="2">
        <f>(Table2[[#This Row],[Selling price (CAD)]]-Table2[[#This Row],[Price/tube]])/Table2[[#This Row],[Price/tube]]*100</f>
        <v>36.762500000000003</v>
      </c>
    </row>
    <row r="34" spans="1:11" x14ac:dyDescent="0.25">
      <c r="A34" t="s">
        <v>82</v>
      </c>
      <c r="B34" t="s">
        <v>26</v>
      </c>
      <c r="C34" t="s">
        <v>78</v>
      </c>
      <c r="D34">
        <v>2</v>
      </c>
      <c r="E34">
        <v>1</v>
      </c>
      <c r="F34" s="3">
        <f>90/5.21</f>
        <v>17.274472168905952</v>
      </c>
      <c r="G34" s="3">
        <f>F34/E34</f>
        <v>17.274472168905952</v>
      </c>
      <c r="H34" s="4" t="s">
        <v>216</v>
      </c>
      <c r="I34" t="s">
        <v>165</v>
      </c>
      <c r="J34" s="3">
        <v>23</v>
      </c>
      <c r="K34" s="2">
        <f>(Table2[[#This Row],[Selling price (CAD)]]-Table2[[#This Row],[Price/tube]])/Table2[[#This Row],[Price/tube]]*100</f>
        <v>33.144444444444431</v>
      </c>
    </row>
    <row r="35" spans="1:11" x14ac:dyDescent="0.25">
      <c r="A35" t="s">
        <v>82</v>
      </c>
      <c r="B35" t="s">
        <v>26</v>
      </c>
      <c r="C35" t="s">
        <v>79</v>
      </c>
      <c r="D35">
        <v>2</v>
      </c>
      <c r="E35">
        <v>1</v>
      </c>
      <c r="F35" s="3">
        <f>100/5.21</f>
        <v>19.193857965451055</v>
      </c>
      <c r="G35" s="3">
        <f>F35/E35</f>
        <v>19.193857965451055</v>
      </c>
      <c r="H35" s="4" t="s">
        <v>126</v>
      </c>
      <c r="I35" t="s">
        <v>174</v>
      </c>
      <c r="J35" s="3">
        <v>25</v>
      </c>
      <c r="K35" s="2">
        <f>(Table2[[#This Row],[Selling price (CAD)]]-Table2[[#This Row],[Price/tube]])/Table2[[#This Row],[Price/tube]]*100</f>
        <v>30.25</v>
      </c>
    </row>
    <row r="36" spans="1:11" x14ac:dyDescent="0.25">
      <c r="A36" t="s">
        <v>82</v>
      </c>
      <c r="B36" t="s">
        <v>26</v>
      </c>
      <c r="C36" t="s">
        <v>76</v>
      </c>
      <c r="D36">
        <v>2</v>
      </c>
      <c r="E36">
        <v>1</v>
      </c>
      <c r="F36" s="3">
        <f>85/5.21</f>
        <v>16.314779270633398</v>
      </c>
      <c r="G36" s="3">
        <f>F36/E36</f>
        <v>16.314779270633398</v>
      </c>
      <c r="H36" s="4" t="s">
        <v>86</v>
      </c>
      <c r="I36" t="s">
        <v>165</v>
      </c>
      <c r="J36" s="3">
        <v>22</v>
      </c>
      <c r="K36" s="2">
        <f>(Table2[[#This Row],[Selling price (CAD)]]-Table2[[#This Row],[Price/tube]])/Table2[[#This Row],[Price/tube]]*100</f>
        <v>34.847058823529402</v>
      </c>
    </row>
    <row r="37" spans="1:11" x14ac:dyDescent="0.25">
      <c r="A37" t="s">
        <v>66</v>
      </c>
      <c r="B37" t="s">
        <v>26</v>
      </c>
      <c r="C37" t="s">
        <v>49</v>
      </c>
      <c r="D37">
        <v>3</v>
      </c>
      <c r="E37">
        <v>1</v>
      </c>
      <c r="F37" s="3">
        <v>31</v>
      </c>
      <c r="G37" s="3">
        <v>31</v>
      </c>
      <c r="H37" s="4" t="s">
        <v>370</v>
      </c>
      <c r="I37" t="s">
        <v>165</v>
      </c>
      <c r="J37" s="3">
        <v>34</v>
      </c>
      <c r="K37" s="2">
        <f>(Table2[[#This Row],[Selling price (CAD)]]-Table2[[#This Row],[Price/tube]])/Table2[[#This Row],[Price/tube]]*100</f>
        <v>9.67741935483871</v>
      </c>
    </row>
    <row r="38" spans="1:11" x14ac:dyDescent="0.25">
      <c r="A38" t="s">
        <v>82</v>
      </c>
      <c r="B38" t="s">
        <v>26</v>
      </c>
      <c r="C38" t="s">
        <v>41</v>
      </c>
      <c r="D38">
        <v>2</v>
      </c>
      <c r="E38">
        <v>1</v>
      </c>
      <c r="F38" s="3">
        <f>128/5.21</f>
        <v>24.568138195777351</v>
      </c>
      <c r="G38" s="3">
        <f>F38/E38</f>
        <v>24.568138195777351</v>
      </c>
      <c r="H38" s="4" t="s">
        <v>86</v>
      </c>
      <c r="I38" t="s">
        <v>175</v>
      </c>
      <c r="J38" s="3">
        <v>36</v>
      </c>
      <c r="K38" s="2">
        <f>(Table2[[#This Row],[Selling price (CAD)]]-Table2[[#This Row],[Price/tube]])/Table2[[#This Row],[Price/tube]]*100</f>
        <v>46.53125</v>
      </c>
    </row>
    <row r="39" spans="1:11" x14ac:dyDescent="0.25">
      <c r="A39" t="s">
        <v>82</v>
      </c>
      <c r="B39" t="s">
        <v>26</v>
      </c>
      <c r="C39" t="s">
        <v>128</v>
      </c>
      <c r="D39">
        <v>2</v>
      </c>
      <c r="E39">
        <v>1</v>
      </c>
      <c r="F39" s="3">
        <f>145/5.21</f>
        <v>27.831094049904031</v>
      </c>
      <c r="G39" s="3">
        <f>F39/E39</f>
        <v>27.831094049904031</v>
      </c>
      <c r="H39" s="4" t="s">
        <v>131</v>
      </c>
      <c r="I39" t="s">
        <v>176</v>
      </c>
      <c r="J39" s="3">
        <v>38</v>
      </c>
      <c r="K39" s="2">
        <f>(Table2[[#This Row],[Selling price (CAD)]]-Table2[[#This Row],[Price/tube]])/Table2[[#This Row],[Price/tube]]*100</f>
        <v>36.53793103448276</v>
      </c>
    </row>
    <row r="40" spans="1:11" x14ac:dyDescent="0.25">
      <c r="A40" t="s">
        <v>82</v>
      </c>
      <c r="B40" t="s">
        <v>26</v>
      </c>
      <c r="C40" t="s">
        <v>129</v>
      </c>
      <c r="D40">
        <v>2</v>
      </c>
      <c r="E40">
        <v>1</v>
      </c>
      <c r="F40" s="3">
        <f>183/5.21</f>
        <v>35.124760076775431</v>
      </c>
      <c r="G40" s="3">
        <f>F40/E40</f>
        <v>35.124760076775431</v>
      </c>
      <c r="H40" s="4" t="s">
        <v>131</v>
      </c>
      <c r="I40" t="s">
        <v>177</v>
      </c>
      <c r="J40" s="3">
        <v>46</v>
      </c>
      <c r="K40" s="2">
        <f>(Table2[[#This Row],[Selling price (CAD)]]-Table2[[#This Row],[Price/tube]])/Table2[[#This Row],[Price/tube]]*100</f>
        <v>30.961748633879786</v>
      </c>
    </row>
    <row r="41" spans="1:11" x14ac:dyDescent="0.25">
      <c r="A41" t="s">
        <v>199</v>
      </c>
      <c r="B41" t="s">
        <v>26</v>
      </c>
      <c r="C41" t="s">
        <v>57</v>
      </c>
      <c r="D41">
        <v>3</v>
      </c>
      <c r="E41">
        <v>50</v>
      </c>
      <c r="F41" s="3">
        <f>15.3*50</f>
        <v>765</v>
      </c>
      <c r="G41" s="3">
        <f>F41/E41</f>
        <v>15.3</v>
      </c>
      <c r="H41" s="4" t="s">
        <v>204</v>
      </c>
      <c r="I41" t="s">
        <v>205</v>
      </c>
      <c r="J41" s="3">
        <v>18</v>
      </c>
      <c r="K41" s="2">
        <f>(Table2[[#This Row],[Selling price (CAD)]]-Table2[[#This Row],[Price/tube]])/Table2[[#This Row],[Price/tube]]*100</f>
        <v>17.647058823529406</v>
      </c>
    </row>
    <row r="42" spans="1:11" x14ac:dyDescent="0.25">
      <c r="A42" t="s">
        <v>149</v>
      </c>
      <c r="B42" t="s">
        <v>26</v>
      </c>
      <c r="C42" t="s">
        <v>56</v>
      </c>
      <c r="D42">
        <v>3</v>
      </c>
      <c r="E42">
        <v>10</v>
      </c>
      <c r="F42" s="3">
        <f>9.89*10</f>
        <v>98.9</v>
      </c>
      <c r="G42" s="3">
        <f>F42/E42</f>
        <v>9.89</v>
      </c>
      <c r="H42" s="4" t="s">
        <v>197</v>
      </c>
      <c r="I42" t="s">
        <v>238</v>
      </c>
      <c r="J42" s="3">
        <v>13.5</v>
      </c>
      <c r="K42" s="2">
        <f>(Table2[[#This Row],[Selling price (CAD)]]-Table2[[#This Row],[Price/tube]])/Table2[[#This Row],[Price/tube]]*100</f>
        <v>36.501516683518695</v>
      </c>
    </row>
    <row r="43" spans="1:11" x14ac:dyDescent="0.25">
      <c r="A43" t="s">
        <v>220</v>
      </c>
      <c r="B43" t="s">
        <v>26</v>
      </c>
      <c r="C43" t="s">
        <v>35</v>
      </c>
      <c r="D43" t="s">
        <v>221</v>
      </c>
      <c r="E43">
        <v>50</v>
      </c>
      <c r="F43">
        <v>675</v>
      </c>
      <c r="G43" s="3">
        <f>F43/E43</f>
        <v>13.5</v>
      </c>
      <c r="H43" s="1" t="s">
        <v>222</v>
      </c>
      <c r="I43" t="s">
        <v>444</v>
      </c>
      <c r="J43" s="3">
        <v>17</v>
      </c>
      <c r="K43" s="2">
        <f>(Table2[[#This Row],[Selling price (CAD)]]-Table2[[#This Row],[Price/tube]])/Table2[[#This Row],[Price/tube]]*100</f>
        <v>25.925925925925924</v>
      </c>
    </row>
    <row r="44" spans="1:11" x14ac:dyDescent="0.25">
      <c r="J44" t="s">
        <v>219</v>
      </c>
    </row>
    <row r="56" spans="1:2" x14ac:dyDescent="0.25">
      <c r="A56" t="s">
        <v>98</v>
      </c>
      <c r="B56" s="1" t="s">
        <v>97</v>
      </c>
    </row>
  </sheetData>
  <phoneticPr fontId="2" type="noConversion"/>
  <hyperlinks>
    <hyperlink ref="H32" r:id="rId1" xr:uid="{0B40541B-1A37-43E4-B025-C79B1745A827}"/>
    <hyperlink ref="H28" r:id="rId2" xr:uid="{31675EBF-0F28-4D10-A251-8C72851B9E48}"/>
    <hyperlink ref="H2" r:id="rId3" xr:uid="{FCCFD503-1323-4B69-9F16-CEAA275222A9}"/>
    <hyperlink ref="B56" r:id="rId4" xr:uid="{4D1D8A21-0877-4532-B08C-864E299EF8C9}"/>
    <hyperlink ref="H19" r:id="rId5" xr:uid="{9677C800-98C2-4F81-933F-6C1631126EA4}"/>
    <hyperlink ref="H20" r:id="rId6" xr:uid="{BDFFB5DA-CCE5-4AC6-BCF7-B2D61ABA7D3F}"/>
  </hyperlinks>
  <pageMargins left="0.7" right="0.7" top="0.75" bottom="0.75" header="0.3" footer="0.3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9CB2E-960B-4FBF-B968-D89B87808569}">
  <dimension ref="A1:F4"/>
  <sheetViews>
    <sheetView workbookViewId="0">
      <selection activeCell="D3" sqref="D3"/>
    </sheetView>
  </sheetViews>
  <sheetFormatPr defaultRowHeight="15" x14ac:dyDescent="0.25"/>
  <sheetData>
    <row r="1" spans="1:6" x14ac:dyDescent="0.25">
      <c r="A1" t="s">
        <v>26</v>
      </c>
      <c r="B1" t="s">
        <v>17</v>
      </c>
      <c r="C1" t="s">
        <v>6</v>
      </c>
      <c r="D1" t="s">
        <v>19</v>
      </c>
      <c r="E1" t="s">
        <v>132</v>
      </c>
      <c r="F1" t="s">
        <v>43</v>
      </c>
    </row>
    <row r="2" spans="1:6" x14ac:dyDescent="0.25">
      <c r="A2" t="s">
        <v>27</v>
      </c>
      <c r="B2" t="s">
        <v>22</v>
      </c>
      <c r="C2" t="s">
        <v>70</v>
      </c>
    </row>
    <row r="3" spans="1:6" x14ac:dyDescent="0.25">
      <c r="B3" t="s">
        <v>134</v>
      </c>
      <c r="C3" t="s">
        <v>135</v>
      </c>
      <c r="D3" t="s">
        <v>133</v>
      </c>
      <c r="E3" t="s">
        <v>112</v>
      </c>
    </row>
    <row r="4" spans="1:6" x14ac:dyDescent="0.25">
      <c r="A4" t="s">
        <v>138</v>
      </c>
      <c r="B4" t="s">
        <v>136</v>
      </c>
      <c r="C4" t="s">
        <v>30</v>
      </c>
      <c r="E4" t="s">
        <v>137</v>
      </c>
      <c r="F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Best</vt:lpstr>
      <vt:lpstr>Grade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jtpaq</dc:creator>
  <cp:lastModifiedBy>Jérémy Talbot-Pâquet</cp:lastModifiedBy>
  <dcterms:created xsi:type="dcterms:W3CDTF">2015-06-05T18:17:20Z</dcterms:created>
  <dcterms:modified xsi:type="dcterms:W3CDTF">2023-12-16T20:15:23Z</dcterms:modified>
</cp:coreProperties>
</file>