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T/Documents/College/Steel Design/Calculators/"/>
    </mc:Choice>
  </mc:AlternateContent>
  <bookViews>
    <workbookView xWindow="2540" yWindow="460" windowWidth="19540" windowHeight="15920" tabRatio="500" activeTab="4"/>
  </bookViews>
  <sheets>
    <sheet name="Moment &amp; Shear" sheetId="11" r:id="rId1"/>
    <sheet name="Composite Girder Moment" sheetId="12" r:id="rId2"/>
    <sheet name="Moment Redistribution" sheetId="14" r:id="rId3"/>
    <sheet name="Tension Flange Yielding" sheetId="15" r:id="rId4"/>
    <sheet name="Web Bend Buckling" sheetId="1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6" l="1"/>
  <c r="B17" i="16"/>
  <c r="G4" i="16"/>
  <c r="H4" i="16"/>
  <c r="I4" i="16"/>
  <c r="E4" i="16"/>
  <c r="B18" i="16"/>
  <c r="G5" i="16"/>
  <c r="H5" i="16"/>
  <c r="F4" i="16"/>
  <c r="F5" i="16"/>
  <c r="I5" i="16"/>
  <c r="B20" i="16"/>
  <c r="G6" i="16"/>
  <c r="H6" i="16"/>
  <c r="I6" i="16"/>
  <c r="B28" i="16"/>
  <c r="J4" i="16"/>
  <c r="K4" i="16"/>
  <c r="K5" i="16"/>
  <c r="E5" i="16"/>
  <c r="E6" i="16"/>
  <c r="J6" i="16"/>
  <c r="B19" i="16"/>
  <c r="K6" i="16"/>
  <c r="B29" i="16"/>
  <c r="B32" i="16"/>
  <c r="B22" i="16"/>
  <c r="B21" i="16"/>
  <c r="B23" i="16"/>
  <c r="B24" i="16"/>
  <c r="B25" i="16"/>
  <c r="B26" i="16"/>
  <c r="B27" i="16"/>
  <c r="B31" i="16"/>
  <c r="E8" i="16"/>
  <c r="F6" i="16"/>
  <c r="J5" i="16"/>
  <c r="E23" i="15"/>
  <c r="B17" i="15"/>
  <c r="B18" i="15"/>
  <c r="G4" i="15"/>
  <c r="H4" i="15"/>
  <c r="I4" i="15"/>
  <c r="E4" i="15"/>
  <c r="B19" i="15"/>
  <c r="G5" i="15"/>
  <c r="H5" i="15"/>
  <c r="F4" i="15"/>
  <c r="F5" i="15"/>
  <c r="I5" i="15"/>
  <c r="B21" i="15"/>
  <c r="G6" i="15"/>
  <c r="H6" i="15"/>
  <c r="I6" i="15"/>
  <c r="B29" i="15"/>
  <c r="J4" i="15"/>
  <c r="K4" i="15"/>
  <c r="K5" i="15"/>
  <c r="E5" i="15"/>
  <c r="E6" i="15"/>
  <c r="J6" i="15"/>
  <c r="B20" i="15"/>
  <c r="K6" i="15"/>
  <c r="B30" i="15"/>
  <c r="B33" i="15"/>
  <c r="B23" i="15"/>
  <c r="B22" i="15"/>
  <c r="B24" i="15"/>
  <c r="B25" i="15"/>
  <c r="B26" i="15"/>
  <c r="B27" i="15"/>
  <c r="B28" i="15"/>
  <c r="B32" i="15"/>
  <c r="E10" i="15"/>
  <c r="E11" i="15"/>
  <c r="G12" i="15"/>
  <c r="E9" i="15"/>
  <c r="E12" i="15"/>
  <c r="E15" i="15"/>
  <c r="E24" i="15"/>
  <c r="E14" i="15"/>
  <c r="E21" i="15"/>
  <c r="E19" i="15"/>
  <c r="E17" i="15"/>
  <c r="E18" i="15"/>
  <c r="G18" i="15"/>
  <c r="H10" i="15"/>
  <c r="H9" i="15"/>
  <c r="F6" i="15"/>
  <c r="J5" i="15"/>
  <c r="L28" i="14"/>
  <c r="L27" i="14"/>
  <c r="G42" i="14"/>
  <c r="G39" i="14"/>
  <c r="B24" i="14"/>
  <c r="B23" i="14"/>
  <c r="B22" i="14"/>
  <c r="E4" i="14"/>
  <c r="E5" i="14"/>
  <c r="E6" i="14"/>
  <c r="B25" i="14"/>
  <c r="E12" i="14"/>
  <c r="E26" i="14"/>
  <c r="E32" i="14"/>
  <c r="C45" i="14"/>
  <c r="E9" i="14"/>
  <c r="E10" i="14"/>
  <c r="H13" i="14"/>
  <c r="E27" i="14"/>
  <c r="E33" i="14"/>
  <c r="C46" i="14"/>
  <c r="G37" i="14"/>
  <c r="G38" i="14"/>
  <c r="H37" i="14"/>
  <c r="H38" i="14"/>
  <c r="G40" i="14"/>
  <c r="H39" i="14"/>
  <c r="G41" i="14"/>
  <c r="H40" i="14"/>
  <c r="H41" i="14"/>
  <c r="L25" i="14"/>
  <c r="K9" i="14"/>
  <c r="K15" i="14"/>
  <c r="K16" i="14"/>
  <c r="K19" i="14"/>
  <c r="K11" i="14"/>
  <c r="K12" i="14"/>
  <c r="K20" i="14"/>
  <c r="N10" i="14"/>
  <c r="K10" i="14"/>
  <c r="N9" i="14"/>
  <c r="N12" i="14"/>
  <c r="N13" i="14"/>
  <c r="N15" i="14"/>
  <c r="H9" i="14"/>
  <c r="H10" i="14"/>
  <c r="B29" i="14"/>
  <c r="B28" i="14"/>
  <c r="B32" i="14"/>
  <c r="B33" i="14"/>
  <c r="B46" i="14"/>
  <c r="E30" i="14"/>
  <c r="B47" i="14"/>
  <c r="J47" i="14"/>
  <c r="E21" i="14"/>
  <c r="E22" i="14"/>
  <c r="B42" i="14"/>
  <c r="I47" i="14"/>
  <c r="H47" i="14"/>
  <c r="G47" i="14"/>
  <c r="E47" i="14"/>
  <c r="C47" i="14"/>
  <c r="J46" i="14"/>
  <c r="I46" i="14"/>
  <c r="H46" i="14"/>
  <c r="G46" i="14"/>
  <c r="E46" i="14"/>
  <c r="J45" i="14"/>
  <c r="I45" i="14"/>
  <c r="H45" i="14"/>
  <c r="G45" i="14"/>
  <c r="E45" i="14"/>
  <c r="B45" i="14"/>
  <c r="J44" i="14"/>
  <c r="I44" i="14"/>
  <c r="H44" i="14"/>
  <c r="G44" i="14"/>
  <c r="E44" i="14"/>
  <c r="J43" i="14"/>
  <c r="I43" i="14"/>
  <c r="H43" i="14"/>
  <c r="G43" i="14"/>
  <c r="E43" i="14"/>
  <c r="J42" i="14"/>
  <c r="I42" i="14"/>
  <c r="H42" i="14"/>
  <c r="E42" i="14"/>
  <c r="J41" i="14"/>
  <c r="I41" i="14"/>
  <c r="E41" i="14"/>
  <c r="J40" i="14"/>
  <c r="I40" i="14"/>
  <c r="E40" i="14"/>
  <c r="J39" i="14"/>
  <c r="I39" i="14"/>
  <c r="E39" i="14"/>
  <c r="B20" i="14"/>
  <c r="B21" i="14"/>
  <c r="G4" i="14"/>
  <c r="H4" i="14"/>
  <c r="I4" i="14"/>
  <c r="G5" i="14"/>
  <c r="H5" i="14"/>
  <c r="F4" i="14"/>
  <c r="F5" i="14"/>
  <c r="I5" i="14"/>
  <c r="G6" i="14"/>
  <c r="H6" i="14"/>
  <c r="I6" i="14"/>
  <c r="B35" i="14"/>
  <c r="J4" i="14"/>
  <c r="K4" i="14"/>
  <c r="K5" i="14"/>
  <c r="J6" i="14"/>
  <c r="K6" i="14"/>
  <c r="B36" i="14"/>
  <c r="B39" i="14"/>
  <c r="J38" i="14"/>
  <c r="I38" i="14"/>
  <c r="E38" i="14"/>
  <c r="B30" i="14"/>
  <c r="B31" i="14"/>
  <c r="B34" i="14"/>
  <c r="B38" i="14"/>
  <c r="J37" i="14"/>
  <c r="I37" i="14"/>
  <c r="E37" i="14"/>
  <c r="B26" i="14"/>
  <c r="B27" i="14"/>
  <c r="H33" i="14"/>
  <c r="I33" i="14"/>
  <c r="H32" i="14"/>
  <c r="I32" i="14"/>
  <c r="H31" i="14"/>
  <c r="I31" i="14"/>
  <c r="H30" i="14"/>
  <c r="I30" i="14"/>
  <c r="H29" i="14"/>
  <c r="I29" i="14"/>
  <c r="E29" i="14"/>
  <c r="H28" i="14"/>
  <c r="I28" i="14"/>
  <c r="E28" i="14"/>
  <c r="H27" i="14"/>
  <c r="I27" i="14"/>
  <c r="H26" i="14"/>
  <c r="I26" i="14"/>
  <c r="G23" i="14"/>
  <c r="E23" i="14"/>
  <c r="H19" i="14"/>
  <c r="E13" i="14"/>
  <c r="E15" i="14"/>
  <c r="G15" i="14"/>
  <c r="E16" i="14"/>
  <c r="E19" i="14"/>
  <c r="B18" i="14"/>
  <c r="B19" i="14"/>
  <c r="K13" i="14"/>
  <c r="K14" i="14"/>
  <c r="K18" i="14"/>
  <c r="H18" i="14"/>
  <c r="E18" i="14"/>
  <c r="F6" i="14"/>
  <c r="J5" i="14"/>
  <c r="B36" i="12"/>
  <c r="N3" i="12"/>
  <c r="B38" i="12"/>
  <c r="N4" i="12"/>
  <c r="B37" i="12"/>
  <c r="N5" i="12"/>
  <c r="N6" i="12"/>
  <c r="N7" i="12"/>
  <c r="N8" i="12"/>
  <c r="P4" i="12"/>
  <c r="B34" i="12"/>
  <c r="B39" i="12"/>
  <c r="B29" i="12"/>
  <c r="B31" i="12"/>
  <c r="G41" i="12"/>
  <c r="G42" i="12"/>
  <c r="G43" i="12"/>
  <c r="G44" i="12"/>
  <c r="G45" i="12"/>
  <c r="G46" i="12"/>
  <c r="G47" i="12"/>
  <c r="G48" i="12"/>
  <c r="G49" i="12"/>
  <c r="G39" i="12"/>
  <c r="G40" i="12"/>
  <c r="B28" i="12"/>
  <c r="B33" i="12"/>
  <c r="E4" i="12"/>
  <c r="E5" i="12"/>
  <c r="E6" i="12"/>
  <c r="B40" i="12"/>
  <c r="E14" i="12"/>
  <c r="E28" i="12"/>
  <c r="E34" i="12"/>
  <c r="C60" i="12"/>
  <c r="E11" i="12"/>
  <c r="E12" i="12"/>
  <c r="H15" i="12"/>
  <c r="K13" i="12"/>
  <c r="K14" i="12"/>
  <c r="K22" i="12"/>
  <c r="K17" i="12"/>
  <c r="K18" i="12"/>
  <c r="K21" i="12"/>
  <c r="N12" i="12"/>
  <c r="K11" i="12"/>
  <c r="K12" i="12"/>
  <c r="N11" i="12"/>
  <c r="N14" i="12"/>
  <c r="N15" i="12"/>
  <c r="N17" i="12"/>
  <c r="B44" i="12"/>
  <c r="B43" i="12"/>
  <c r="B45" i="12"/>
  <c r="B47" i="12"/>
  <c r="B48" i="12"/>
  <c r="E29" i="12"/>
  <c r="E30" i="12"/>
  <c r="E31" i="12"/>
  <c r="E35" i="12"/>
  <c r="C61" i="12"/>
  <c r="H39" i="12"/>
  <c r="H40" i="12"/>
  <c r="H41" i="12"/>
  <c r="H42" i="12"/>
  <c r="H43" i="12"/>
  <c r="L27" i="12"/>
  <c r="H11" i="12"/>
  <c r="H12" i="12"/>
  <c r="B35" i="12"/>
  <c r="G4" i="12"/>
  <c r="H4" i="12"/>
  <c r="I4" i="12"/>
  <c r="G5" i="12"/>
  <c r="H5" i="12"/>
  <c r="F4" i="12"/>
  <c r="F5" i="12"/>
  <c r="I5" i="12"/>
  <c r="G6" i="12"/>
  <c r="H6" i="12"/>
  <c r="I6" i="12"/>
  <c r="B50" i="12"/>
  <c r="E15" i="12"/>
  <c r="J4" i="12"/>
  <c r="K4" i="12"/>
  <c r="K5" i="12"/>
  <c r="J6" i="12"/>
  <c r="K6" i="12"/>
  <c r="B51" i="12"/>
  <c r="B54" i="12"/>
  <c r="B46" i="12"/>
  <c r="B49" i="12"/>
  <c r="B53" i="12"/>
  <c r="E17" i="12"/>
  <c r="G17" i="12"/>
  <c r="H20" i="12"/>
  <c r="E18" i="12"/>
  <c r="E20" i="12"/>
  <c r="B61" i="12"/>
  <c r="E32" i="12"/>
  <c r="B62" i="12"/>
  <c r="J49" i="12"/>
  <c r="E23" i="12"/>
  <c r="E24" i="12"/>
  <c r="B57" i="12"/>
  <c r="I49" i="12"/>
  <c r="H49" i="12"/>
  <c r="E49" i="12"/>
  <c r="C62" i="12"/>
  <c r="J48" i="12"/>
  <c r="I48" i="12"/>
  <c r="H48" i="12"/>
  <c r="E48" i="12"/>
  <c r="J47" i="12"/>
  <c r="I47" i="12"/>
  <c r="H47" i="12"/>
  <c r="E47" i="12"/>
  <c r="B60" i="12"/>
  <c r="J46" i="12"/>
  <c r="I46" i="12"/>
  <c r="H46" i="12"/>
  <c r="E46" i="12"/>
  <c r="J45" i="12"/>
  <c r="I45" i="12"/>
  <c r="H45" i="12"/>
  <c r="E45" i="12"/>
  <c r="J44" i="12"/>
  <c r="I44" i="12"/>
  <c r="H44" i="12"/>
  <c r="E44" i="12"/>
  <c r="J43" i="12"/>
  <c r="I43" i="12"/>
  <c r="E43" i="12"/>
  <c r="J42" i="12"/>
  <c r="I42" i="12"/>
  <c r="E42" i="12"/>
  <c r="J41" i="12"/>
  <c r="I41" i="12"/>
  <c r="E41" i="12"/>
  <c r="J40" i="12"/>
  <c r="I40" i="12"/>
  <c r="E40" i="12"/>
  <c r="J39" i="12"/>
  <c r="I39" i="12"/>
  <c r="E39" i="12"/>
  <c r="B41" i="12"/>
  <c r="B42" i="12"/>
  <c r="H35" i="12"/>
  <c r="I35" i="12"/>
  <c r="H34" i="12"/>
  <c r="I34" i="12"/>
  <c r="H33" i="12"/>
  <c r="I33" i="12"/>
  <c r="H32" i="12"/>
  <c r="I32" i="12"/>
  <c r="H31" i="12"/>
  <c r="I31" i="12"/>
  <c r="H30" i="12"/>
  <c r="I30" i="12"/>
  <c r="H29" i="12"/>
  <c r="I29" i="12"/>
  <c r="H28" i="12"/>
  <c r="I28" i="12"/>
  <c r="G25" i="12"/>
  <c r="E25" i="12"/>
  <c r="H21" i="12"/>
  <c r="E21" i="12"/>
  <c r="B32" i="12"/>
  <c r="K15" i="12"/>
  <c r="K16" i="12"/>
  <c r="K20" i="12"/>
  <c r="F6" i="12"/>
  <c r="J5" i="12"/>
  <c r="B77" i="11"/>
  <c r="B76" i="11"/>
  <c r="G64" i="11"/>
  <c r="G66" i="11"/>
  <c r="G68" i="11"/>
  <c r="M55" i="11"/>
  <c r="M53" i="11"/>
  <c r="M57" i="11"/>
  <c r="M56" i="11"/>
  <c r="O57" i="11"/>
  <c r="M59" i="11"/>
  <c r="B54" i="11"/>
  <c r="B74" i="11"/>
  <c r="D74" i="11"/>
  <c r="I77" i="11"/>
  <c r="J77" i="11"/>
  <c r="H77" i="11"/>
  <c r="F77" i="11"/>
  <c r="I76" i="11"/>
  <c r="J76" i="11"/>
  <c r="G76" i="11"/>
  <c r="H76" i="11"/>
  <c r="F76" i="11"/>
  <c r="I55" i="11"/>
  <c r="I53" i="11"/>
  <c r="I57" i="11"/>
  <c r="I56" i="11"/>
  <c r="K57" i="11"/>
  <c r="I59" i="11"/>
  <c r="C73" i="11"/>
  <c r="D73" i="11"/>
  <c r="I75" i="11"/>
  <c r="J75" i="11"/>
  <c r="G75" i="11"/>
  <c r="H75" i="11"/>
  <c r="F75" i="11"/>
  <c r="I74" i="11"/>
  <c r="J74" i="11"/>
  <c r="G74" i="11"/>
  <c r="H74" i="11"/>
  <c r="F74" i="11"/>
  <c r="I73" i="11"/>
  <c r="J73" i="11"/>
  <c r="G73" i="11"/>
  <c r="H73" i="11"/>
  <c r="F73" i="11"/>
  <c r="B73" i="11"/>
  <c r="I72" i="11"/>
  <c r="J72" i="11"/>
  <c r="G72" i="11"/>
  <c r="H72" i="11"/>
  <c r="F72" i="11"/>
  <c r="E55" i="11"/>
  <c r="E57" i="11"/>
  <c r="E56" i="11"/>
  <c r="G57" i="11"/>
  <c r="E59" i="11"/>
  <c r="B67" i="11"/>
  <c r="B72" i="11"/>
  <c r="D72" i="11"/>
  <c r="I71" i="11"/>
  <c r="J71" i="11"/>
  <c r="G71" i="11"/>
  <c r="H71" i="11"/>
  <c r="F71" i="11"/>
  <c r="I70" i="11"/>
  <c r="J70" i="11"/>
  <c r="H70" i="11"/>
  <c r="F70" i="11"/>
  <c r="I69" i="11"/>
  <c r="J69" i="11"/>
  <c r="G69" i="11"/>
  <c r="H69" i="11"/>
  <c r="F69" i="11"/>
  <c r="B69" i="11"/>
  <c r="I68" i="11"/>
  <c r="J68" i="11"/>
  <c r="H68" i="11"/>
  <c r="F68" i="11"/>
  <c r="B24" i="11"/>
  <c r="B23" i="11"/>
  <c r="B22" i="11"/>
  <c r="B62" i="11"/>
  <c r="C62" i="11"/>
  <c r="B68" i="11"/>
  <c r="I67" i="11"/>
  <c r="J67" i="11"/>
  <c r="G67" i="11"/>
  <c r="H67" i="11"/>
  <c r="F67" i="11"/>
  <c r="B51" i="11"/>
  <c r="I66" i="11"/>
  <c r="J66" i="11"/>
  <c r="H66" i="11"/>
  <c r="F66" i="11"/>
  <c r="I65" i="11"/>
  <c r="J65" i="11"/>
  <c r="G65" i="11"/>
  <c r="H65" i="11"/>
  <c r="F65" i="11"/>
  <c r="I64" i="11"/>
  <c r="J64" i="11"/>
  <c r="H64" i="11"/>
  <c r="F64" i="11"/>
  <c r="B64" i="11"/>
  <c r="C64" i="11"/>
  <c r="I63" i="11"/>
  <c r="J63" i="11"/>
  <c r="H63" i="11"/>
  <c r="F63" i="11"/>
  <c r="B63" i="11"/>
  <c r="C63" i="11"/>
  <c r="B57" i="11"/>
  <c r="B56" i="11"/>
  <c r="B53" i="11"/>
  <c r="E4" i="11"/>
  <c r="E5" i="11"/>
  <c r="E6" i="11"/>
  <c r="B25" i="11"/>
  <c r="E12" i="11"/>
  <c r="E26" i="11"/>
  <c r="E32" i="11"/>
  <c r="C45" i="11"/>
  <c r="E9" i="11"/>
  <c r="E10" i="11"/>
  <c r="H13" i="11"/>
  <c r="E27" i="11"/>
  <c r="E33" i="11"/>
  <c r="C46" i="11"/>
  <c r="G37" i="11"/>
  <c r="G38" i="11"/>
  <c r="H37" i="11"/>
  <c r="G39" i="11"/>
  <c r="H38" i="11"/>
  <c r="G40" i="11"/>
  <c r="H39" i="11"/>
  <c r="G41" i="11"/>
  <c r="H40" i="11"/>
  <c r="G42" i="11"/>
  <c r="H41" i="11"/>
  <c r="L25" i="11"/>
  <c r="K9" i="11"/>
  <c r="K15" i="11"/>
  <c r="K16" i="11"/>
  <c r="K19" i="11"/>
  <c r="K11" i="11"/>
  <c r="K12" i="11"/>
  <c r="K20" i="11"/>
  <c r="N10" i="11"/>
  <c r="K10" i="11"/>
  <c r="N9" i="11"/>
  <c r="N12" i="11"/>
  <c r="N13" i="11"/>
  <c r="N15" i="11"/>
  <c r="H9" i="11"/>
  <c r="H10" i="11"/>
  <c r="B29" i="11"/>
  <c r="B28" i="11"/>
  <c r="B32" i="11"/>
  <c r="B33" i="11"/>
  <c r="B46" i="11"/>
  <c r="J47" i="11"/>
  <c r="E21" i="11"/>
  <c r="E22" i="11"/>
  <c r="B42" i="11"/>
  <c r="I47" i="11"/>
  <c r="H47" i="11"/>
  <c r="G47" i="11"/>
  <c r="E47" i="11"/>
  <c r="C47" i="11"/>
  <c r="E30" i="11"/>
  <c r="B47" i="11"/>
  <c r="J46" i="11"/>
  <c r="I46" i="11"/>
  <c r="H46" i="11"/>
  <c r="G46" i="11"/>
  <c r="E46" i="11"/>
  <c r="J45" i="11"/>
  <c r="I45" i="11"/>
  <c r="H45" i="11"/>
  <c r="G45" i="11"/>
  <c r="E45" i="11"/>
  <c r="B45" i="11"/>
  <c r="J44" i="11"/>
  <c r="I44" i="11"/>
  <c r="H44" i="11"/>
  <c r="G44" i="11"/>
  <c r="E44" i="11"/>
  <c r="J43" i="11"/>
  <c r="I43" i="11"/>
  <c r="H43" i="11"/>
  <c r="G43" i="11"/>
  <c r="E43" i="11"/>
  <c r="J42" i="11"/>
  <c r="I42" i="11"/>
  <c r="H42" i="11"/>
  <c r="E42" i="11"/>
  <c r="J41" i="11"/>
  <c r="I41" i="11"/>
  <c r="E41" i="11"/>
  <c r="J40" i="11"/>
  <c r="I40" i="11"/>
  <c r="E40" i="11"/>
  <c r="J39" i="11"/>
  <c r="I39" i="11"/>
  <c r="E39" i="11"/>
  <c r="B20" i="11"/>
  <c r="B21" i="11"/>
  <c r="G4" i="11"/>
  <c r="H4" i="11"/>
  <c r="I4" i="11"/>
  <c r="G5" i="11"/>
  <c r="H5" i="11"/>
  <c r="F4" i="11"/>
  <c r="F5" i="11"/>
  <c r="I5" i="11"/>
  <c r="G6" i="11"/>
  <c r="H6" i="11"/>
  <c r="I6" i="11"/>
  <c r="B35" i="11"/>
  <c r="J4" i="11"/>
  <c r="K4" i="11"/>
  <c r="K5" i="11"/>
  <c r="J6" i="11"/>
  <c r="K6" i="11"/>
  <c r="B36" i="11"/>
  <c r="B39" i="11"/>
  <c r="J38" i="11"/>
  <c r="I38" i="11"/>
  <c r="E38" i="11"/>
  <c r="B30" i="11"/>
  <c r="B31" i="11"/>
  <c r="B34" i="11"/>
  <c r="B38" i="11"/>
  <c r="J37" i="11"/>
  <c r="I37" i="11"/>
  <c r="E37" i="11"/>
  <c r="B26" i="11"/>
  <c r="B27" i="11"/>
  <c r="H33" i="11"/>
  <c r="I33" i="11"/>
  <c r="H32" i="11"/>
  <c r="I32" i="11"/>
  <c r="H31" i="11"/>
  <c r="I31" i="11"/>
  <c r="H30" i="11"/>
  <c r="I30" i="11"/>
  <c r="H29" i="11"/>
  <c r="I29" i="11"/>
  <c r="E29" i="11"/>
  <c r="H28" i="11"/>
  <c r="I28" i="11"/>
  <c r="E28" i="11"/>
  <c r="H27" i="11"/>
  <c r="I27" i="11"/>
  <c r="H26" i="11"/>
  <c r="I26" i="11"/>
  <c r="G23" i="11"/>
  <c r="E23" i="11"/>
  <c r="H19" i="11"/>
  <c r="E13" i="11"/>
  <c r="E15" i="11"/>
  <c r="G15" i="11"/>
  <c r="E16" i="11"/>
  <c r="E19" i="11"/>
  <c r="B18" i="11"/>
  <c r="B19" i="11"/>
  <c r="K13" i="11"/>
  <c r="K14" i="11"/>
  <c r="K18" i="11"/>
  <c r="H18" i="11"/>
  <c r="E18" i="11"/>
  <c r="F6" i="11"/>
  <c r="J5" i="11"/>
</calcChain>
</file>

<file path=xl/sharedStrings.xml><?xml version="1.0" encoding="utf-8"?>
<sst xmlns="http://schemas.openxmlformats.org/spreadsheetml/2006/main" count="516" uniqueCount="180">
  <si>
    <r>
      <t>F</t>
    </r>
    <r>
      <rPr>
        <vertAlign val="subscript"/>
        <sz val="12"/>
        <color theme="1"/>
        <rFont val="Calibri (Body)"/>
      </rPr>
      <t xml:space="preserve">y </t>
    </r>
    <r>
      <rPr>
        <sz val="12"/>
        <color theme="1"/>
        <rFont val="Calibri (Body)"/>
      </rPr>
      <t>(ksi)</t>
    </r>
  </si>
  <si>
    <t>D (in)</t>
  </si>
  <si>
    <r>
      <t>t</t>
    </r>
    <r>
      <rPr>
        <vertAlign val="subscript"/>
        <sz val="12"/>
        <color theme="1"/>
        <rFont val="Calibri (Body)"/>
      </rPr>
      <t xml:space="preserve">w </t>
    </r>
    <r>
      <rPr>
        <sz val="12"/>
        <color theme="1"/>
        <rFont val="Calibri (Body)"/>
      </rPr>
      <t>(in)</t>
    </r>
  </si>
  <si>
    <r>
      <t>b</t>
    </r>
    <r>
      <rPr>
        <vertAlign val="subscript"/>
        <sz val="12"/>
        <color theme="1"/>
        <rFont val="Calibri (Body)"/>
      </rPr>
      <t xml:space="preserve">fc </t>
    </r>
    <r>
      <rPr>
        <sz val="12"/>
        <color theme="1"/>
        <rFont val="Calibri (Body)"/>
      </rPr>
      <t>(in)</t>
    </r>
  </si>
  <si>
    <r>
      <t>t</t>
    </r>
    <r>
      <rPr>
        <vertAlign val="subscript"/>
        <sz val="12"/>
        <color theme="1"/>
        <rFont val="Calibri (Body)"/>
      </rPr>
      <t xml:space="preserve">fc </t>
    </r>
    <r>
      <rPr>
        <sz val="12"/>
        <color theme="1"/>
        <rFont val="Calibri (Body)"/>
      </rPr>
      <t>(in)</t>
    </r>
  </si>
  <si>
    <r>
      <t>b</t>
    </r>
    <r>
      <rPr>
        <vertAlign val="subscript"/>
        <sz val="12"/>
        <color theme="1"/>
        <rFont val="Calibri (Body)"/>
      </rPr>
      <t>ft</t>
    </r>
    <r>
      <rPr>
        <sz val="12"/>
        <color theme="1"/>
        <rFont val="Calibri (Body)"/>
      </rPr>
      <t xml:space="preserve"> (in)</t>
    </r>
  </si>
  <si>
    <r>
      <t>t</t>
    </r>
    <r>
      <rPr>
        <vertAlign val="subscript"/>
        <sz val="12"/>
        <color theme="1"/>
        <rFont val="Calibri (Body)"/>
      </rPr>
      <t xml:space="preserve">ft </t>
    </r>
    <r>
      <rPr>
        <sz val="12"/>
        <color theme="1"/>
        <rFont val="Calibri (Body)"/>
      </rPr>
      <t>(in)</t>
    </r>
  </si>
  <si>
    <r>
      <t>ƛ</t>
    </r>
    <r>
      <rPr>
        <vertAlign val="subscript"/>
        <sz val="12"/>
        <color theme="1"/>
        <rFont val="Calibri (Body)"/>
      </rPr>
      <t>w</t>
    </r>
  </si>
  <si>
    <r>
      <t>ƛ</t>
    </r>
    <r>
      <rPr>
        <vertAlign val="subscript"/>
        <sz val="12"/>
        <color theme="1"/>
        <rFont val="Calibri (Body)"/>
      </rPr>
      <t>rw</t>
    </r>
  </si>
  <si>
    <r>
      <t>R</t>
    </r>
    <r>
      <rPr>
        <vertAlign val="subscript"/>
        <sz val="12"/>
        <color theme="1"/>
        <rFont val="Calibri (Body)"/>
      </rPr>
      <t>b</t>
    </r>
  </si>
  <si>
    <r>
      <t>a</t>
    </r>
    <r>
      <rPr>
        <vertAlign val="subscript"/>
        <sz val="12"/>
        <color theme="1"/>
        <rFont val="Calibri (Body)"/>
      </rPr>
      <t>wc</t>
    </r>
  </si>
  <si>
    <r>
      <t>ƛ</t>
    </r>
    <r>
      <rPr>
        <vertAlign val="subscript"/>
        <sz val="12"/>
        <color theme="1"/>
        <rFont val="Calibri (Body)"/>
      </rPr>
      <t>pw(Dcp)</t>
    </r>
  </si>
  <si>
    <r>
      <t>y</t>
    </r>
    <r>
      <rPr>
        <vertAlign val="subscript"/>
        <sz val="12"/>
        <color theme="1"/>
        <rFont val="Calibri (Body)"/>
      </rPr>
      <t xml:space="preserve">n </t>
    </r>
    <r>
      <rPr>
        <sz val="12"/>
        <color theme="1"/>
        <rFont val="Calibri (Body)"/>
      </rPr>
      <t>as y↥ (in)</t>
    </r>
  </si>
  <si>
    <t>∑h as y↥ (in)</t>
  </si>
  <si>
    <t>∑A as y↥ (in)</t>
  </si>
  <si>
    <r>
      <t>h</t>
    </r>
    <r>
      <rPr>
        <vertAlign val="subscript"/>
        <sz val="12"/>
        <color theme="1"/>
        <rFont val="Calibri (Body)"/>
      </rPr>
      <t xml:space="preserve">n </t>
    </r>
    <r>
      <rPr>
        <sz val="12"/>
        <color theme="1"/>
        <rFont val="Calibri (Body)"/>
      </rPr>
      <t>(in)</t>
    </r>
  </si>
  <si>
    <r>
      <t>d</t>
    </r>
    <r>
      <rPr>
        <vertAlign val="subscript"/>
        <sz val="12"/>
        <color theme="1"/>
        <rFont val="Calibri (Body)"/>
      </rPr>
      <t xml:space="preserve">n </t>
    </r>
    <r>
      <rPr>
        <sz val="12"/>
        <color theme="1"/>
        <rFont val="Calibri (Body)"/>
      </rPr>
      <t>(in)</t>
    </r>
  </si>
  <si>
    <r>
      <t>Z</t>
    </r>
    <r>
      <rPr>
        <vertAlign val="subscript"/>
        <sz val="12"/>
        <color theme="1"/>
        <rFont val="Calibri (Body)"/>
      </rPr>
      <t xml:space="preserve">n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 (Body)"/>
      </rPr>
      <t>)</t>
    </r>
  </si>
  <si>
    <t>Tension Flange</t>
  </si>
  <si>
    <t>Web</t>
  </si>
  <si>
    <t>Compression Flange</t>
  </si>
  <si>
    <r>
      <t>A</t>
    </r>
    <r>
      <rPr>
        <vertAlign val="subscript"/>
        <sz val="12"/>
        <color theme="1"/>
        <rFont val="Calibri (Body)"/>
      </rPr>
      <t xml:space="preserve">g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</si>
  <si>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r>
      <t>A</t>
    </r>
    <r>
      <rPr>
        <vertAlign val="subscript"/>
        <sz val="12"/>
        <color theme="1"/>
        <rFont val="Calibri (Body)"/>
      </rPr>
      <t xml:space="preserve">g </t>
    </r>
    <r>
      <rPr>
        <sz val="12"/>
        <color theme="1"/>
        <rFont val="Calibri (Body)"/>
      </rPr>
      <t>/ 2</t>
    </r>
    <r>
      <rPr>
        <vertAlign val="subscript"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</si>
  <si>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r>
      <t>A</t>
    </r>
    <r>
      <rPr>
        <vertAlign val="subscript"/>
        <sz val="12"/>
        <color theme="1"/>
        <rFont val="Calibri (Body)"/>
      </rPr>
      <t xml:space="preserve">ft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</si>
  <si>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r>
      <t>A</t>
    </r>
    <r>
      <rPr>
        <vertAlign val="subscript"/>
        <sz val="12"/>
        <color theme="1"/>
        <rFont val="Calibri (Body)"/>
      </rPr>
      <t xml:space="preserve">fc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</si>
  <si>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r>
      <t>A</t>
    </r>
    <r>
      <rPr>
        <vertAlign val="subscript"/>
        <sz val="12"/>
        <color theme="1"/>
        <rFont val="Calibri (Body)"/>
      </rPr>
      <t xml:space="preserve">w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</si>
  <si>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r>
      <t>I</t>
    </r>
    <r>
      <rPr>
        <vertAlign val="subscript"/>
        <sz val="12"/>
        <color theme="1"/>
        <rFont val="Calibri (Body)"/>
      </rPr>
      <t xml:space="preserve">x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</si>
  <si>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r>
      <t>S</t>
    </r>
    <r>
      <rPr>
        <vertAlign val="subscript"/>
        <sz val="12"/>
        <color theme="1"/>
        <rFont val="Calibri (Body)"/>
      </rPr>
      <t xml:space="preserve">xt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 (Body)"/>
      </rPr>
      <t>)</t>
    </r>
  </si>
  <si>
    <r>
      <t>M</t>
    </r>
    <r>
      <rPr>
        <vertAlign val="subscript"/>
        <sz val="12"/>
        <color theme="1"/>
        <rFont val="Calibri (Body)"/>
      </rPr>
      <t xml:space="preserve">yt </t>
    </r>
    <r>
      <rPr>
        <sz val="12"/>
        <color theme="1"/>
        <rFont val="Calibri (Body)"/>
      </rPr>
      <t>(ft-k)</t>
    </r>
  </si>
  <si>
    <r>
      <t>S</t>
    </r>
    <r>
      <rPr>
        <vertAlign val="subscript"/>
        <sz val="12"/>
        <color theme="1"/>
        <rFont val="Calibri (Body)"/>
      </rPr>
      <t>xc</t>
    </r>
    <r>
      <rPr>
        <sz val="12"/>
        <color theme="1"/>
        <rFont val="Calibri"/>
        <family val="2"/>
        <scheme val="minor"/>
      </rPr>
      <t xml:space="preserve"> (in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</si>
  <si>
    <r>
      <t>M</t>
    </r>
    <r>
      <rPr>
        <vertAlign val="subscript"/>
        <sz val="12"/>
        <color theme="1"/>
        <rFont val="Calibri (Body)"/>
      </rPr>
      <t xml:space="preserve">yc </t>
    </r>
    <r>
      <rPr>
        <sz val="12"/>
        <color theme="1"/>
        <rFont val="Calibri (Body)"/>
      </rPr>
      <t>(ft-k)</t>
    </r>
  </si>
  <si>
    <r>
      <t>Z</t>
    </r>
    <r>
      <rPr>
        <vertAlign val="subscript"/>
        <sz val="12"/>
        <color theme="1"/>
        <rFont val="Calibri (Body)"/>
      </rPr>
      <t xml:space="preserve">x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 (Body)"/>
      </rPr>
      <t>)</t>
    </r>
  </si>
  <si>
    <r>
      <t>M</t>
    </r>
    <r>
      <rPr>
        <vertAlign val="subscript"/>
        <sz val="12"/>
        <color theme="1"/>
        <rFont val="Calibri (Body)"/>
      </rPr>
      <t xml:space="preserve">y </t>
    </r>
    <r>
      <rPr>
        <sz val="12"/>
        <color theme="1"/>
        <rFont val="Calibri (Body)"/>
      </rPr>
      <t>(ft-k)</t>
    </r>
  </si>
  <si>
    <r>
      <t>M</t>
    </r>
    <r>
      <rPr>
        <vertAlign val="subscript"/>
        <sz val="12"/>
        <color theme="1"/>
        <rFont val="Calibri (Body)"/>
      </rPr>
      <t>p</t>
    </r>
    <r>
      <rPr>
        <sz val="12"/>
        <color theme="1"/>
        <rFont val="Calibri (Body)"/>
      </rPr>
      <t xml:space="preserve"> (ft-k)</t>
    </r>
  </si>
  <si>
    <t>E (ksi)</t>
  </si>
  <si>
    <r>
      <t>ƛ</t>
    </r>
    <r>
      <rPr>
        <vertAlign val="subscript"/>
        <sz val="12"/>
        <color theme="1"/>
        <rFont val="Calibri (Body)"/>
      </rPr>
      <t>pw(Dc)</t>
    </r>
  </si>
  <si>
    <r>
      <t>R</t>
    </r>
    <r>
      <rPr>
        <vertAlign val="subscript"/>
        <sz val="12"/>
        <color theme="1"/>
        <rFont val="Calibri (Body)"/>
      </rPr>
      <t>pc</t>
    </r>
  </si>
  <si>
    <r>
      <t>F</t>
    </r>
    <r>
      <rPr>
        <vertAlign val="subscript"/>
        <sz val="12"/>
        <color theme="1"/>
        <rFont val="Calibri (Body)"/>
      </rPr>
      <t xml:space="preserve">yc </t>
    </r>
    <r>
      <rPr>
        <sz val="12"/>
        <color theme="1"/>
        <rFont val="Calibri (Body)"/>
      </rPr>
      <t>(ksi)</t>
    </r>
  </si>
  <si>
    <r>
      <t>F</t>
    </r>
    <r>
      <rPr>
        <vertAlign val="subscript"/>
        <sz val="12"/>
        <color theme="1"/>
        <rFont val="Calibri (Body)"/>
      </rPr>
      <t xml:space="preserve">yt </t>
    </r>
    <r>
      <rPr>
        <sz val="12"/>
        <color theme="1"/>
        <rFont val="Calibri (Body)"/>
      </rPr>
      <t>(ksi)</t>
    </r>
  </si>
  <si>
    <r>
      <t>F</t>
    </r>
    <r>
      <rPr>
        <vertAlign val="subscript"/>
        <sz val="12"/>
        <color theme="1"/>
        <rFont val="Calibri (Body)"/>
      </rPr>
      <t xml:space="preserve">yw </t>
    </r>
    <r>
      <rPr>
        <sz val="12"/>
        <color theme="1"/>
        <rFont val="Calibri (Body)"/>
      </rPr>
      <t>(ksi)</t>
    </r>
  </si>
  <si>
    <r>
      <t>F</t>
    </r>
    <r>
      <rPr>
        <vertAlign val="subscript"/>
        <sz val="12"/>
        <color theme="1"/>
        <rFont val="Calibri (Body)"/>
      </rPr>
      <t xml:space="preserve">yr </t>
    </r>
    <r>
      <rPr>
        <sz val="12"/>
        <color theme="1"/>
        <rFont val="Calibri (Body)"/>
      </rPr>
      <t>(ksi)</t>
    </r>
  </si>
  <si>
    <r>
      <t>J (in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</si>
  <si>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t>Lateral Torsional Buckling</t>
  </si>
  <si>
    <t>h (in)</t>
  </si>
  <si>
    <r>
      <t>r</t>
    </r>
    <r>
      <rPr>
        <vertAlign val="subscript"/>
        <sz val="12"/>
        <color theme="1"/>
        <rFont val="Calibri (Body)"/>
      </rPr>
      <t xml:space="preserve">t  </t>
    </r>
    <r>
      <rPr>
        <sz val="12"/>
        <color theme="1"/>
        <rFont val="Calibri (Body)"/>
      </rPr>
      <t>(in)</t>
    </r>
  </si>
  <si>
    <t>Moment Envelope</t>
  </si>
  <si>
    <t>x/L</t>
  </si>
  <si>
    <r>
      <t>C</t>
    </r>
    <r>
      <rPr>
        <vertAlign val="subscript"/>
        <sz val="12"/>
        <color theme="1"/>
        <rFont val="Calibri (Body)"/>
      </rPr>
      <t>b</t>
    </r>
  </si>
  <si>
    <t>Span (ft)</t>
  </si>
  <si>
    <r>
      <t>M</t>
    </r>
    <r>
      <rPr>
        <vertAlign val="subscript"/>
        <sz val="12"/>
        <color theme="1"/>
        <rFont val="Calibri (Body)"/>
      </rPr>
      <t xml:space="preserve">nc </t>
    </r>
    <r>
      <rPr>
        <sz val="12"/>
        <color theme="1"/>
        <rFont val="Calibri (Body)"/>
      </rPr>
      <t>(ft-k)</t>
    </r>
  </si>
  <si>
    <r>
      <t>L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>(in)</t>
    </r>
  </si>
  <si>
    <r>
      <t>L</t>
    </r>
    <r>
      <rPr>
        <vertAlign val="subscript"/>
        <sz val="12"/>
        <color theme="1"/>
        <rFont val="Calibri (Body)"/>
      </rPr>
      <t xml:space="preserve">p </t>
    </r>
    <r>
      <rPr>
        <sz val="12"/>
        <color theme="1"/>
        <rFont val="Calibri (Body)"/>
      </rPr>
      <t>(in)</t>
    </r>
  </si>
  <si>
    <r>
      <t>L</t>
    </r>
    <r>
      <rPr>
        <vertAlign val="subscript"/>
        <sz val="12"/>
        <color theme="1"/>
        <rFont val="Calibri (Body)"/>
      </rPr>
      <t xml:space="preserve">r </t>
    </r>
    <r>
      <rPr>
        <sz val="12"/>
        <color theme="1"/>
        <rFont val="Calibri (Body)"/>
      </rPr>
      <t>(in)</t>
    </r>
  </si>
  <si>
    <r>
      <t>Z</t>
    </r>
    <r>
      <rPr>
        <b/>
        <vertAlign val="subscript"/>
        <sz val="12"/>
        <color theme="1"/>
        <rFont val="Calibri (Body)"/>
      </rPr>
      <t>x</t>
    </r>
  </si>
  <si>
    <t>Slenderness Ratios</t>
  </si>
  <si>
    <r>
      <t>ƛ</t>
    </r>
    <r>
      <rPr>
        <vertAlign val="subscript"/>
        <sz val="12"/>
        <color theme="1"/>
        <rFont val="Calibri (Body)"/>
      </rPr>
      <t>f</t>
    </r>
  </si>
  <si>
    <r>
      <t>ƛ</t>
    </r>
    <r>
      <rPr>
        <vertAlign val="subscript"/>
        <sz val="12"/>
        <color theme="1"/>
        <rFont val="Calibri (Body)"/>
      </rPr>
      <t>pf</t>
    </r>
  </si>
  <si>
    <r>
      <t>ƛ</t>
    </r>
    <r>
      <rPr>
        <vertAlign val="subscript"/>
        <sz val="12"/>
        <color theme="1"/>
        <rFont val="Calibri (Body)"/>
      </rPr>
      <t>rf</t>
    </r>
  </si>
  <si>
    <r>
      <t>M</t>
    </r>
    <r>
      <rPr>
        <vertAlign val="subscript"/>
        <sz val="12"/>
        <color theme="1"/>
        <rFont val="Calibri (Body)"/>
      </rPr>
      <t xml:space="preserve">u self-weight </t>
    </r>
    <r>
      <rPr>
        <sz val="12"/>
        <color theme="1"/>
        <rFont val="Calibri (Body)"/>
      </rPr>
      <t>(ft-k)</t>
    </r>
  </si>
  <si>
    <r>
      <t>F</t>
    </r>
    <r>
      <rPr>
        <vertAlign val="subscript"/>
        <sz val="12"/>
        <color theme="1"/>
        <rFont val="Calibri (Body)"/>
      </rPr>
      <t>cr</t>
    </r>
    <r>
      <rPr>
        <sz val="12"/>
        <color theme="1"/>
        <rFont val="Calibri"/>
        <family val="2"/>
        <scheme val="minor"/>
      </rPr>
      <t xml:space="preserve"> (ksi)</t>
    </r>
  </si>
  <si>
    <t>Cross-Section Proportion Limits</t>
  </si>
  <si>
    <r>
      <t>t</t>
    </r>
    <r>
      <rPr>
        <vertAlign val="subscript"/>
        <sz val="12"/>
        <color theme="1"/>
        <rFont val="Calibri (Body)"/>
      </rPr>
      <t xml:space="preserve">fc </t>
    </r>
    <r>
      <rPr>
        <sz val="12"/>
        <color theme="1"/>
        <rFont val="Calibri (Body)"/>
      </rPr>
      <t>≥ 1.1t</t>
    </r>
    <r>
      <rPr>
        <vertAlign val="subscript"/>
        <sz val="12"/>
        <color theme="1"/>
        <rFont val="Calibri (Body)"/>
      </rPr>
      <t>w</t>
    </r>
  </si>
  <si>
    <r>
      <t>t</t>
    </r>
    <r>
      <rPr>
        <vertAlign val="subscript"/>
        <sz val="12"/>
        <color theme="1"/>
        <rFont val="Calibri (Body)"/>
      </rPr>
      <t xml:space="preserve">ft </t>
    </r>
    <r>
      <rPr>
        <sz val="12"/>
        <color theme="1"/>
        <rFont val="Calibri (Body)"/>
      </rPr>
      <t>≥ 1.1t</t>
    </r>
    <r>
      <rPr>
        <vertAlign val="subscript"/>
        <sz val="12"/>
        <color theme="1"/>
        <rFont val="Calibri (Body)"/>
      </rPr>
      <t>w</t>
    </r>
  </si>
  <si>
    <r>
      <t>D/t</t>
    </r>
    <r>
      <rPr>
        <vertAlign val="subscript"/>
        <sz val="12"/>
        <color theme="1"/>
        <rFont val="Calibri (Body)"/>
      </rPr>
      <t xml:space="preserve">w </t>
    </r>
    <r>
      <rPr>
        <sz val="12"/>
        <color theme="1"/>
        <rFont val="Calibri (Body)"/>
      </rPr>
      <t>≤ 150</t>
    </r>
  </si>
  <si>
    <r>
      <t>b</t>
    </r>
    <r>
      <rPr>
        <vertAlign val="subscript"/>
        <sz val="12"/>
        <color theme="1"/>
        <rFont val="Calibri (Body)"/>
      </rPr>
      <t>fc</t>
    </r>
    <r>
      <rPr>
        <sz val="12"/>
        <color theme="1"/>
        <rFont val="Calibri (Body)"/>
      </rPr>
      <t>/2t</t>
    </r>
    <r>
      <rPr>
        <vertAlign val="subscript"/>
        <sz val="12"/>
        <color theme="1"/>
        <rFont val="Calibri (Body)"/>
      </rPr>
      <t xml:space="preserve">fc </t>
    </r>
    <r>
      <rPr>
        <sz val="12"/>
        <color theme="1"/>
        <rFont val="Calibri (Body)"/>
      </rPr>
      <t>≤ 12.0</t>
    </r>
  </si>
  <si>
    <r>
      <t>b</t>
    </r>
    <r>
      <rPr>
        <vertAlign val="subscript"/>
        <sz val="12"/>
        <color theme="1"/>
        <rFont val="Calibri (Body)"/>
      </rPr>
      <t>ft</t>
    </r>
    <r>
      <rPr>
        <sz val="12"/>
        <color theme="1"/>
        <rFont val="Calibri (Body)"/>
      </rPr>
      <t>/2t</t>
    </r>
    <r>
      <rPr>
        <vertAlign val="subscript"/>
        <sz val="12"/>
        <color theme="1"/>
        <rFont val="Calibri (Body)"/>
      </rPr>
      <t xml:space="preserve">ft </t>
    </r>
    <r>
      <rPr>
        <sz val="12"/>
        <color theme="1"/>
        <rFont val="Calibri (Body)"/>
      </rPr>
      <t>≤ 12.0</t>
    </r>
  </si>
  <si>
    <r>
      <t>b</t>
    </r>
    <r>
      <rPr>
        <vertAlign val="subscript"/>
        <sz val="12"/>
        <color theme="1"/>
        <rFont val="Calibri (Body)"/>
      </rPr>
      <t xml:space="preserve">fc </t>
    </r>
    <r>
      <rPr>
        <sz val="12"/>
        <color theme="1"/>
        <rFont val="Calibri (Body)"/>
      </rPr>
      <t>≥ D/6</t>
    </r>
  </si>
  <si>
    <r>
      <t>b</t>
    </r>
    <r>
      <rPr>
        <vertAlign val="subscript"/>
        <sz val="12"/>
        <color theme="1"/>
        <rFont val="Calibri (Body)"/>
      </rPr>
      <t xml:space="preserve">ft </t>
    </r>
    <r>
      <rPr>
        <sz val="12"/>
        <color theme="1"/>
        <rFont val="Calibri (Body)"/>
      </rPr>
      <t>≥ D/6</t>
    </r>
  </si>
  <si>
    <t>Appendix A</t>
  </si>
  <si>
    <r>
      <t>R</t>
    </r>
    <r>
      <rPr>
        <vertAlign val="subscript"/>
        <sz val="12"/>
        <color theme="1"/>
        <rFont val="Calibri (Body)"/>
      </rPr>
      <t>pt</t>
    </r>
  </si>
  <si>
    <r>
      <t>I</t>
    </r>
    <r>
      <rPr>
        <vertAlign val="subscript"/>
        <sz val="12"/>
        <color theme="1"/>
        <rFont val="Calibri (Body)"/>
      </rPr>
      <t xml:space="preserve">yc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</si>
  <si>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r>
      <t>I</t>
    </r>
    <r>
      <rPr>
        <vertAlign val="subscript"/>
        <sz val="12"/>
        <color theme="1"/>
        <rFont val="Calibri (Body)"/>
      </rPr>
      <t xml:space="preserve">yt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 (Body)"/>
      </rPr>
      <t>)</t>
    </r>
  </si>
  <si>
    <r>
      <rPr>
        <sz val="12"/>
        <color theme="1"/>
        <rFont val="Calibri (Body)"/>
      </rPr>
      <t>0.1</t>
    </r>
    <r>
      <rPr>
        <vertAlign val="subscript"/>
        <sz val="12"/>
        <color theme="1"/>
        <rFont val="Calibri (Body)"/>
      </rPr>
      <t xml:space="preserve"> </t>
    </r>
    <r>
      <rPr>
        <sz val="12"/>
        <color theme="1"/>
        <rFont val="Calibri (Body)"/>
      </rPr>
      <t>≤ I</t>
    </r>
    <r>
      <rPr>
        <vertAlign val="subscript"/>
        <sz val="12"/>
        <color theme="1"/>
        <rFont val="Calibri (Body)"/>
      </rPr>
      <t>yc</t>
    </r>
    <r>
      <rPr>
        <sz val="12"/>
        <color theme="1"/>
        <rFont val="Calibri (Body)"/>
      </rPr>
      <t>/I</t>
    </r>
    <r>
      <rPr>
        <vertAlign val="subscript"/>
        <sz val="12"/>
        <color theme="1"/>
        <rFont val="Calibri (Body)"/>
      </rPr>
      <t xml:space="preserve">yt </t>
    </r>
    <r>
      <rPr>
        <sz val="12"/>
        <color theme="1"/>
        <rFont val="Calibri (Body)"/>
      </rPr>
      <t>≤ 10</t>
    </r>
  </si>
  <si>
    <t>Flange Local Buckling</t>
  </si>
  <si>
    <t>Bracing</t>
  </si>
  <si>
    <r>
      <t>y</t>
    </r>
    <r>
      <rPr>
        <vertAlign val="subscript"/>
        <sz val="12"/>
        <color theme="1"/>
        <rFont val="Calibri (Body)"/>
      </rPr>
      <t>p</t>
    </r>
    <r>
      <rPr>
        <sz val="12"/>
        <color theme="1"/>
        <rFont val="Calibri (Body)"/>
      </rPr>
      <t>↥ (in)</t>
    </r>
  </si>
  <si>
    <r>
      <t>y</t>
    </r>
    <r>
      <rPr>
        <vertAlign val="subscript"/>
        <sz val="12"/>
        <color theme="1"/>
        <rFont val="Calibri (Body)"/>
      </rPr>
      <t xml:space="preserve">c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in)</t>
    </r>
  </si>
  <si>
    <r>
      <t>y</t>
    </r>
    <r>
      <rPr>
        <vertAlign val="subscript"/>
        <sz val="12"/>
        <color theme="1"/>
        <rFont val="Calibri (Body)"/>
      </rPr>
      <t xml:space="preserve">t </t>
    </r>
    <r>
      <rPr>
        <sz val="12"/>
        <color theme="1"/>
        <rFont val="Calibri"/>
        <family val="2"/>
        <scheme val="minor"/>
      </rPr>
      <t>(in)</t>
    </r>
  </si>
  <si>
    <r>
      <t>D</t>
    </r>
    <r>
      <rPr>
        <vertAlign val="sub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↧ (in)</t>
    </r>
  </si>
  <si>
    <r>
      <t>D</t>
    </r>
    <r>
      <rPr>
        <vertAlign val="subscript"/>
        <sz val="12"/>
        <color theme="1"/>
        <rFont val="Calibri (Body)"/>
      </rPr>
      <t>cp</t>
    </r>
    <r>
      <rPr>
        <sz val="12"/>
        <color theme="1"/>
        <rFont val="Calibri"/>
        <family val="2"/>
        <scheme val="minor"/>
      </rPr>
      <t>↧ (in)</t>
    </r>
  </si>
  <si>
    <r>
      <t>y</t>
    </r>
    <r>
      <rPr>
        <vertAlign val="subscript"/>
        <sz val="12"/>
        <color theme="1"/>
        <rFont val="Calibri (Body)"/>
      </rPr>
      <t>bar</t>
    </r>
    <r>
      <rPr>
        <sz val="12"/>
        <color theme="1"/>
        <rFont val="Calibri"/>
        <family val="2"/>
        <scheme val="minor"/>
      </rPr>
      <t>↥ (in)</t>
    </r>
  </si>
  <si>
    <r>
      <rPr>
        <sz val="12"/>
        <color theme="1"/>
        <rFont val="Calibri (Body)"/>
      </rPr>
      <t>M</t>
    </r>
    <r>
      <rPr>
        <vertAlign val="subscript"/>
        <sz val="12"/>
        <color theme="1"/>
        <rFont val="Calibri (Body)"/>
      </rPr>
      <t>p</t>
    </r>
    <r>
      <rPr>
        <sz val="12"/>
        <color theme="1"/>
        <rFont val="Calibri (Body)"/>
      </rPr>
      <t>/M</t>
    </r>
    <r>
      <rPr>
        <vertAlign val="subscript"/>
        <sz val="12"/>
        <color theme="1"/>
        <rFont val="Calibri (Body)"/>
      </rPr>
      <t>yc</t>
    </r>
  </si>
  <si>
    <r>
      <t>M</t>
    </r>
    <r>
      <rPr>
        <vertAlign val="subscript"/>
        <sz val="12"/>
        <color theme="1"/>
        <rFont val="Calibri (Body)"/>
      </rPr>
      <t>p</t>
    </r>
    <r>
      <rPr>
        <sz val="12"/>
        <color theme="1"/>
        <rFont val="Calibri (Body)"/>
      </rPr>
      <t>/M</t>
    </r>
    <r>
      <rPr>
        <vertAlign val="subscript"/>
        <sz val="12"/>
        <color theme="1"/>
        <rFont val="Calibri (Body)"/>
      </rPr>
      <t>yt</t>
    </r>
  </si>
  <si>
    <t>Bracing (Yes or No)</t>
  </si>
  <si>
    <t>Yes</t>
  </si>
  <si>
    <t>Shear Envelope</t>
  </si>
  <si>
    <t>Load (k/ft)</t>
  </si>
  <si>
    <t>Shear</t>
  </si>
  <si>
    <t>Distance Along Span (ft)</t>
  </si>
  <si>
    <r>
      <t>M</t>
    </r>
    <r>
      <rPr>
        <vertAlign val="subscript"/>
        <sz val="12"/>
        <color theme="1"/>
        <rFont val="Calibri (Body)"/>
      </rPr>
      <t xml:space="preserve">u </t>
    </r>
    <r>
      <rPr>
        <sz val="12"/>
        <color theme="1"/>
        <rFont val="Calibri (Body)"/>
      </rPr>
      <t>(ft-k)</t>
    </r>
  </si>
  <si>
    <r>
      <t>V</t>
    </r>
    <r>
      <rPr>
        <vertAlign val="subscript"/>
        <sz val="12"/>
        <color theme="1"/>
        <rFont val="Calibri (Body)"/>
      </rPr>
      <t xml:space="preserve">u </t>
    </r>
    <r>
      <rPr>
        <sz val="12"/>
        <color theme="1"/>
        <rFont val="Calibri (Body)"/>
      </rPr>
      <t>(k)</t>
    </r>
  </si>
  <si>
    <r>
      <t>V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 (k)</t>
    </r>
  </si>
  <si>
    <r>
      <t>k</t>
    </r>
    <r>
      <rPr>
        <vertAlign val="subscript"/>
        <sz val="12"/>
        <color theme="1"/>
        <rFont val="Calibri (Body)"/>
      </rPr>
      <t>v</t>
    </r>
  </si>
  <si>
    <t>NA</t>
  </si>
  <si>
    <r>
      <t>ƛ</t>
    </r>
    <r>
      <rPr>
        <vertAlign val="subscript"/>
        <sz val="12"/>
        <color rgb="FF000000"/>
        <rFont val="Calibri (Body)"/>
      </rPr>
      <t>v</t>
    </r>
  </si>
  <si>
    <r>
      <t>ƛ</t>
    </r>
    <r>
      <rPr>
        <vertAlign val="subscript"/>
        <sz val="12"/>
        <color rgb="FF000000"/>
        <rFont val="Calibri (Body)"/>
      </rPr>
      <t>pv</t>
    </r>
  </si>
  <si>
    <r>
      <t>ƛ</t>
    </r>
    <r>
      <rPr>
        <vertAlign val="subscript"/>
        <sz val="12"/>
        <color rgb="FF000000"/>
        <rFont val="Calibri (Body)"/>
      </rPr>
      <t>rv</t>
    </r>
  </si>
  <si>
    <r>
      <t>C</t>
    </r>
    <r>
      <rPr>
        <vertAlign val="subscript"/>
        <sz val="12"/>
        <color theme="1"/>
        <rFont val="Calibri (Body)"/>
      </rPr>
      <t>v</t>
    </r>
  </si>
  <si>
    <t>Unstiffened</t>
  </si>
  <si>
    <r>
      <t>V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 = V</t>
    </r>
    <r>
      <rPr>
        <vertAlign val="subscript"/>
        <sz val="12"/>
        <color theme="1"/>
        <rFont val="Calibri (Body)"/>
      </rPr>
      <t xml:space="preserve">cr </t>
    </r>
    <r>
      <rPr>
        <sz val="12"/>
        <color theme="1"/>
        <rFont val="Calibri (Body)"/>
      </rPr>
      <t>(No TFA)</t>
    </r>
  </si>
  <si>
    <r>
      <t>Stiffened Interior Panel (d</t>
    </r>
    <r>
      <rPr>
        <vertAlign val="subscript"/>
        <sz val="12"/>
        <color theme="1"/>
        <rFont val="Calibri (Body)"/>
      </rPr>
      <t>o</t>
    </r>
    <r>
      <rPr>
        <sz val="12"/>
        <color theme="1"/>
        <rFont val="Calibri (Body)"/>
      </rPr>
      <t xml:space="preserve">/D ≤ 3) </t>
    </r>
  </si>
  <si>
    <r>
      <t>Stiffened End Panel (d</t>
    </r>
    <r>
      <rPr>
        <vertAlign val="subscript"/>
        <sz val="12"/>
        <color theme="1"/>
        <rFont val="Calibri (Body)"/>
      </rPr>
      <t>o</t>
    </r>
    <r>
      <rPr>
        <sz val="12"/>
        <color theme="1"/>
        <rFont val="Calibri (Body)"/>
      </rPr>
      <t xml:space="preserve">/D ≤ 1.5) </t>
    </r>
  </si>
  <si>
    <r>
      <t>M</t>
    </r>
    <r>
      <rPr>
        <vertAlign val="subscript"/>
        <sz val="12"/>
        <color theme="1"/>
        <rFont val="Calibri (Body)"/>
      </rPr>
      <t xml:space="preserve">nc </t>
    </r>
    <r>
      <rPr>
        <sz val="12"/>
        <color theme="1"/>
        <rFont val="Calibri (Body)"/>
      </rPr>
      <t>(ft-k) [L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>≤ L</t>
    </r>
    <r>
      <rPr>
        <vertAlign val="subscript"/>
        <sz val="12"/>
        <color theme="1"/>
        <rFont val="Calibri (Body)"/>
      </rPr>
      <t>p</t>
    </r>
    <r>
      <rPr>
        <sz val="12"/>
        <color theme="1"/>
        <rFont val="Calibri (Body)"/>
      </rPr>
      <t>]</t>
    </r>
  </si>
  <si>
    <r>
      <t>M</t>
    </r>
    <r>
      <rPr>
        <vertAlign val="subscript"/>
        <sz val="12"/>
        <color theme="1"/>
        <rFont val="Calibri (Body)"/>
      </rPr>
      <t xml:space="preserve">nc </t>
    </r>
    <r>
      <rPr>
        <sz val="12"/>
        <color theme="1"/>
        <rFont val="Calibri (Body)"/>
      </rPr>
      <t>(ft-k) [L</t>
    </r>
    <r>
      <rPr>
        <vertAlign val="subscript"/>
        <sz val="12"/>
        <color theme="1"/>
        <rFont val="Calibri (Body)"/>
      </rPr>
      <t xml:space="preserve">p </t>
    </r>
    <r>
      <rPr>
        <sz val="12"/>
        <color theme="1"/>
        <rFont val="Calibri (Body)"/>
      </rPr>
      <t>&lt; L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>≤ L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 (Body)"/>
      </rPr>
      <t>]</t>
    </r>
  </si>
  <si>
    <r>
      <t>M</t>
    </r>
    <r>
      <rPr>
        <vertAlign val="subscript"/>
        <sz val="12"/>
        <color theme="1"/>
        <rFont val="Calibri (Body)"/>
      </rPr>
      <t xml:space="preserve">nc </t>
    </r>
    <r>
      <rPr>
        <sz val="12"/>
        <color theme="1"/>
        <rFont val="Calibri (Body)"/>
      </rPr>
      <t>(ft-k) [L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>&gt; L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 (Body)"/>
      </rPr>
      <t>]</t>
    </r>
  </si>
  <si>
    <r>
      <rPr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 (Body)"/>
      </rPr>
      <t xml:space="preserve">p </t>
    </r>
    <r>
      <rPr>
        <sz val="12"/>
        <color theme="1"/>
        <rFont val="Calibri (Body)"/>
      </rPr>
      <t>(k)</t>
    </r>
  </si>
  <si>
    <r>
      <t>(2A</t>
    </r>
    <r>
      <rPr>
        <vertAlign val="subscript"/>
        <sz val="12"/>
        <color theme="1"/>
        <rFont val="Calibri (Body)"/>
      </rPr>
      <t>w</t>
    </r>
    <r>
      <rPr>
        <sz val="12"/>
        <color theme="1"/>
        <rFont val="Calibri (Body)"/>
      </rPr>
      <t>)/(A</t>
    </r>
    <r>
      <rPr>
        <vertAlign val="subscript"/>
        <sz val="12"/>
        <color theme="1"/>
        <rFont val="Calibri (Body)"/>
      </rPr>
      <t>fc</t>
    </r>
    <r>
      <rPr>
        <sz val="12"/>
        <color theme="1"/>
        <rFont val="Calibri (Body)"/>
      </rPr>
      <t>+A</t>
    </r>
    <r>
      <rPr>
        <vertAlign val="subscript"/>
        <sz val="12"/>
        <color theme="1"/>
        <rFont val="Calibri (Body)"/>
      </rPr>
      <t>ft</t>
    </r>
    <r>
      <rPr>
        <sz val="12"/>
        <color theme="1"/>
        <rFont val="Calibri (Body)"/>
      </rPr>
      <t>)  ≤ 2.5</t>
    </r>
  </si>
  <si>
    <r>
      <t>V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  &gt; V</t>
    </r>
    <r>
      <rPr>
        <vertAlign val="subscript"/>
        <sz val="12"/>
        <color theme="1"/>
        <rFont val="Calibri (Body)"/>
      </rPr>
      <t xml:space="preserve">cr </t>
    </r>
    <r>
      <rPr>
        <sz val="12"/>
        <color theme="1"/>
        <rFont val="Calibri"/>
        <family val="2"/>
        <scheme val="minor"/>
      </rPr>
      <t xml:space="preserve">(w/ </t>
    </r>
    <r>
      <rPr>
        <sz val="12"/>
        <color theme="1"/>
        <rFont val="Calibri (Body)"/>
      </rPr>
      <t>TFA)</t>
    </r>
  </si>
  <si>
    <r>
      <t>V</t>
    </r>
    <r>
      <rPr>
        <vertAlign val="subscript"/>
        <sz val="12"/>
        <color theme="1"/>
        <rFont val="Calibri (Body)"/>
      </rPr>
      <t xml:space="preserve">cr </t>
    </r>
    <r>
      <rPr>
        <sz val="12"/>
        <color theme="1"/>
        <rFont val="Calibri (Body)"/>
      </rPr>
      <t>(k)</t>
    </r>
  </si>
  <si>
    <t>Interior Panel</t>
  </si>
  <si>
    <t>End Panel</t>
  </si>
  <si>
    <r>
      <t>C</t>
    </r>
    <r>
      <rPr>
        <b/>
        <vertAlign val="subscript"/>
        <sz val="12"/>
        <color theme="1"/>
        <rFont val="Calibri (Body)"/>
      </rPr>
      <t>v</t>
    </r>
  </si>
  <si>
    <r>
      <t>d</t>
    </r>
    <r>
      <rPr>
        <vertAlign val="subscript"/>
        <sz val="12"/>
        <color theme="1"/>
        <rFont val="Calibri (Body)"/>
      </rPr>
      <t>o-interior</t>
    </r>
    <r>
      <rPr>
        <sz val="12"/>
        <color theme="1"/>
        <rFont val="Calibri (Body)"/>
      </rPr>
      <t>/D ≤ 3</t>
    </r>
  </si>
  <si>
    <r>
      <t>d</t>
    </r>
    <r>
      <rPr>
        <vertAlign val="subscript"/>
        <sz val="12"/>
        <color theme="1"/>
        <rFont val="Calibri (Body)"/>
      </rPr>
      <t>o-end</t>
    </r>
    <r>
      <rPr>
        <sz val="12"/>
        <color theme="1"/>
        <rFont val="Calibri (Body)"/>
      </rPr>
      <t>/D ≤ 1.5</t>
    </r>
  </si>
  <si>
    <r>
      <t>V</t>
    </r>
    <r>
      <rPr>
        <vertAlign val="subscript"/>
        <sz val="12"/>
        <color theme="1"/>
        <rFont val="Calibri (Body)"/>
      </rPr>
      <t>n-interior</t>
    </r>
    <r>
      <rPr>
        <sz val="12"/>
        <color theme="1"/>
        <rFont val="Calibri"/>
        <family val="2"/>
        <scheme val="minor"/>
      </rPr>
      <t xml:space="preserve"> (k) </t>
    </r>
  </si>
  <si>
    <r>
      <t>V</t>
    </r>
    <r>
      <rPr>
        <vertAlign val="subscript"/>
        <sz val="12"/>
        <color theme="1"/>
        <rFont val="Calibri (Body)"/>
      </rPr>
      <t>n-end</t>
    </r>
    <r>
      <rPr>
        <sz val="12"/>
        <color theme="1"/>
        <rFont val="Calibri"/>
        <family val="2"/>
        <scheme val="minor"/>
      </rPr>
      <t xml:space="preserve"> (k)</t>
    </r>
  </si>
  <si>
    <r>
      <t>V</t>
    </r>
    <r>
      <rPr>
        <vertAlign val="subscript"/>
        <sz val="12"/>
        <color theme="1"/>
        <rFont val="Calibri (Body)"/>
      </rPr>
      <t>n-unstiffened</t>
    </r>
    <r>
      <rPr>
        <sz val="12"/>
        <color theme="1"/>
        <rFont val="Calibri"/>
        <family val="2"/>
        <scheme val="minor"/>
      </rPr>
      <t xml:space="preserve"> (k) </t>
    </r>
  </si>
  <si>
    <r>
      <t>V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"/>
        <family val="2"/>
        <scheme val="minor"/>
      </rPr>
      <t xml:space="preserve"> (k)</t>
    </r>
  </si>
  <si>
    <r>
      <t>x (ft) where V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"/>
        <family val="2"/>
        <scheme val="minor"/>
      </rPr>
      <t xml:space="preserve"> = V</t>
    </r>
    <r>
      <rPr>
        <vertAlign val="subscript"/>
        <sz val="12"/>
        <color theme="1"/>
        <rFont val="Calibri (Body)"/>
      </rPr>
      <t>n</t>
    </r>
  </si>
  <si>
    <r>
      <t>V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 (k) [positive]</t>
    </r>
  </si>
  <si>
    <r>
      <t>V</t>
    </r>
    <r>
      <rPr>
        <vertAlign val="subscript"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 xml:space="preserve"> (k) [negative]</t>
    </r>
  </si>
  <si>
    <t>Hybrid Girder Factor</t>
  </si>
  <si>
    <r>
      <t>F</t>
    </r>
    <r>
      <rPr>
        <vertAlign val="subscript"/>
        <sz val="12"/>
        <color theme="1"/>
        <rFont val="Calibri (Body)"/>
      </rPr>
      <t xml:space="preserve">yf </t>
    </r>
    <r>
      <rPr>
        <sz val="12"/>
        <color theme="1"/>
        <rFont val="Calibri (Body)"/>
      </rPr>
      <t>(ksi)</t>
    </r>
  </si>
  <si>
    <t>m</t>
  </si>
  <si>
    <r>
      <t>a</t>
    </r>
    <r>
      <rPr>
        <vertAlign val="subscript"/>
        <sz val="12"/>
        <color theme="1"/>
        <rFont val="Calibri (Body)"/>
      </rPr>
      <t>r</t>
    </r>
  </si>
  <si>
    <t>h = D (in)</t>
  </si>
  <si>
    <r>
      <rPr>
        <sz val="12"/>
        <color theme="1"/>
        <rFont val="Calibri"/>
        <family val="2"/>
        <scheme val="minor"/>
      </rPr>
      <t>R</t>
    </r>
    <r>
      <rPr>
        <vertAlign val="subscript"/>
        <sz val="12"/>
        <color theme="1"/>
        <rFont val="Calibri (Body)"/>
      </rPr>
      <t>h</t>
    </r>
  </si>
  <si>
    <r>
      <t>A</t>
    </r>
    <r>
      <rPr>
        <vertAlign val="subscript"/>
        <sz val="12"/>
        <color theme="1"/>
        <rFont val="Calibri (Body)"/>
      </rPr>
      <t xml:space="preserve">f </t>
    </r>
    <r>
      <rPr>
        <sz val="12"/>
        <color theme="1"/>
        <rFont val="Calibri (Body)"/>
      </rPr>
      <t>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 (Body)"/>
      </rPr>
      <t>)</t>
    </r>
  </si>
  <si>
    <r>
      <t>M</t>
    </r>
    <r>
      <rPr>
        <vertAlign val="subscript"/>
        <sz val="12"/>
        <color theme="1"/>
        <rFont val="Calibri (Body)"/>
      </rPr>
      <t>y-h</t>
    </r>
  </si>
  <si>
    <r>
      <t>M</t>
    </r>
    <r>
      <rPr>
        <vertAlign val="subscript"/>
        <sz val="12"/>
        <color theme="1"/>
        <rFont val="Calibri (Body)"/>
      </rPr>
      <t>y</t>
    </r>
  </si>
  <si>
    <r>
      <t>M</t>
    </r>
    <r>
      <rPr>
        <vertAlign val="subscript"/>
        <sz val="12"/>
        <color theme="1"/>
        <rFont val="Calibri (Body)"/>
      </rPr>
      <t xml:space="preserve">nc </t>
    </r>
    <r>
      <rPr>
        <sz val="12"/>
        <color theme="1"/>
        <rFont val="Calibri (Body)"/>
      </rPr>
      <t>(ft-k) [FLB]</t>
    </r>
  </si>
  <si>
    <r>
      <t>M</t>
    </r>
    <r>
      <rPr>
        <vertAlign val="subscript"/>
        <sz val="12"/>
        <color theme="1"/>
        <rFont val="Calibri (Body)"/>
      </rPr>
      <t xml:space="preserve">nc </t>
    </r>
    <r>
      <rPr>
        <sz val="12"/>
        <color theme="1"/>
        <rFont val="Calibri (Body)"/>
      </rPr>
      <t>(ft-k) [LTB]</t>
    </r>
  </si>
  <si>
    <t>Shear Capacity</t>
  </si>
  <si>
    <t>Moment</t>
  </si>
  <si>
    <r>
      <t>d</t>
    </r>
    <r>
      <rPr>
        <vertAlign val="subscript"/>
        <sz val="12"/>
        <color theme="1"/>
        <rFont val="Calibri (Body)"/>
      </rPr>
      <t>o-interior</t>
    </r>
    <r>
      <rPr>
        <sz val="12"/>
        <color theme="1"/>
        <rFont val="Calibri"/>
        <family val="2"/>
        <scheme val="minor"/>
      </rPr>
      <t xml:space="preserve"> (in) ≤ </t>
    </r>
  </si>
  <si>
    <r>
      <t>d</t>
    </r>
    <r>
      <rPr>
        <vertAlign val="subscript"/>
        <sz val="12"/>
        <color rgb="FF000000"/>
        <rFont val="Calibri (Body)"/>
      </rPr>
      <t>o-end</t>
    </r>
    <r>
      <rPr>
        <sz val="12"/>
        <color rgb="FF000000"/>
        <rFont val="Calibri"/>
        <family val="2"/>
        <scheme val="minor"/>
      </rPr>
      <t xml:space="preserve"> (in) ≤</t>
    </r>
  </si>
  <si>
    <r>
      <t>d</t>
    </r>
    <r>
      <rPr>
        <vertAlign val="subscript"/>
        <sz val="12"/>
        <color theme="1"/>
        <rFont val="Calibri (Body)"/>
      </rPr>
      <t>o-interior</t>
    </r>
    <r>
      <rPr>
        <sz val="12"/>
        <color theme="1"/>
        <rFont val="Calibri"/>
        <family val="2"/>
        <scheme val="minor"/>
      </rPr>
      <t xml:space="preserve"> (in) [Value or NA]</t>
    </r>
  </si>
  <si>
    <r>
      <t>d</t>
    </r>
    <r>
      <rPr>
        <vertAlign val="subscript"/>
        <sz val="12"/>
        <color theme="1"/>
        <rFont val="Calibri (Body)"/>
      </rPr>
      <t>o-end</t>
    </r>
    <r>
      <rPr>
        <sz val="12"/>
        <color theme="1"/>
        <rFont val="Calibri"/>
        <family val="2"/>
        <scheme val="minor"/>
      </rPr>
      <t xml:space="preserve"> (in) [Value or NA]</t>
    </r>
  </si>
  <si>
    <r>
      <t>C</t>
    </r>
    <r>
      <rPr>
        <b/>
        <vertAlign val="subscript"/>
        <sz val="12"/>
        <color theme="1"/>
        <rFont val="Calibri (Body)"/>
      </rPr>
      <t>b</t>
    </r>
  </si>
  <si>
    <r>
      <t>x (in) where V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"/>
        <family val="2"/>
        <scheme val="minor"/>
      </rPr>
      <t xml:space="preserve"> = V</t>
    </r>
    <r>
      <rPr>
        <vertAlign val="subscript"/>
        <sz val="12"/>
        <color theme="1"/>
        <rFont val="Calibri (Body)"/>
      </rPr>
      <t>n</t>
    </r>
  </si>
  <si>
    <r>
      <t>f'</t>
    </r>
    <r>
      <rPr>
        <vertAlign val="subscript"/>
        <sz val="12"/>
        <color theme="1"/>
        <rFont val="Calibri (Body)"/>
      </rPr>
      <t xml:space="preserve">c </t>
    </r>
    <r>
      <rPr>
        <sz val="12"/>
        <color theme="1"/>
        <rFont val="Calibri (Body)"/>
      </rPr>
      <t>(ksi)</t>
    </r>
  </si>
  <si>
    <t>Composite Girder Moment</t>
  </si>
  <si>
    <r>
      <t>b</t>
    </r>
    <r>
      <rPr>
        <vertAlign val="subscript"/>
        <sz val="12"/>
        <color theme="1"/>
        <rFont val="Calibri (Body)"/>
      </rPr>
      <t>e</t>
    </r>
    <r>
      <rPr>
        <sz val="12"/>
        <color theme="1"/>
        <rFont val="Calibri (Body)"/>
      </rPr>
      <t xml:space="preserve"> (in)</t>
    </r>
  </si>
  <si>
    <r>
      <t>t</t>
    </r>
    <r>
      <rPr>
        <vertAlign val="subscript"/>
        <sz val="12"/>
        <color theme="1"/>
        <rFont val="Calibri (Body)"/>
      </rPr>
      <t>s</t>
    </r>
    <r>
      <rPr>
        <sz val="12"/>
        <color theme="1"/>
        <rFont val="Calibri"/>
        <family val="2"/>
        <scheme val="minor"/>
      </rPr>
      <t xml:space="preserve"> (in)</t>
    </r>
  </si>
  <si>
    <r>
      <t>t</t>
    </r>
    <r>
      <rPr>
        <vertAlign val="subscript"/>
        <sz val="12"/>
        <color theme="1"/>
        <rFont val="Calibri (Body)"/>
      </rPr>
      <t>h</t>
    </r>
    <r>
      <rPr>
        <sz val="12"/>
        <color theme="1"/>
        <rFont val="Calibri"/>
        <family val="2"/>
        <scheme val="minor"/>
      </rPr>
      <t xml:space="preserve"> (in)</t>
    </r>
  </si>
  <si>
    <r>
      <t>M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"/>
        <family val="2"/>
        <scheme val="minor"/>
      </rPr>
      <t xml:space="preserve"> (ft-k)</t>
    </r>
  </si>
  <si>
    <r>
      <t>A</t>
    </r>
    <r>
      <rPr>
        <vertAlign val="sub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</si>
  <si>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w</t>
    </r>
    <r>
      <rPr>
        <vertAlign val="subscript"/>
        <sz val="12"/>
        <color theme="1"/>
        <rFont val="Calibri (Body)"/>
      </rPr>
      <t>DL</t>
    </r>
    <r>
      <rPr>
        <sz val="12"/>
        <color theme="1"/>
        <rFont val="Calibri"/>
        <family val="2"/>
        <scheme val="minor"/>
      </rPr>
      <t xml:space="preserve"> (k/ft)</t>
    </r>
  </si>
  <si>
    <r>
      <t>w</t>
    </r>
    <r>
      <rPr>
        <vertAlign val="subscript"/>
        <sz val="12"/>
        <color theme="1"/>
        <rFont val="Calibri (Body)"/>
      </rPr>
      <t>LL</t>
    </r>
    <r>
      <rPr>
        <sz val="12"/>
        <color theme="1"/>
        <rFont val="Calibri"/>
        <family val="2"/>
        <scheme val="minor"/>
      </rPr>
      <t xml:space="preserve"> (k/ft)</t>
    </r>
  </si>
  <si>
    <r>
      <t>w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"/>
        <family val="2"/>
        <scheme val="minor"/>
      </rPr>
      <t xml:space="preserve"> (k/ft)</t>
    </r>
  </si>
  <si>
    <t>Plastice Neutral Axis</t>
  </si>
  <si>
    <r>
      <t>D</t>
    </r>
    <r>
      <rPr>
        <vertAlign val="subscript"/>
        <sz val="12"/>
        <color theme="1"/>
        <rFont val="Calibri (Body)"/>
      </rPr>
      <t xml:space="preserve">t </t>
    </r>
    <r>
      <rPr>
        <sz val="12"/>
        <color theme="1"/>
        <rFont val="Calibri (Body)"/>
      </rPr>
      <t>(in)</t>
    </r>
  </si>
  <si>
    <r>
      <t>A</t>
    </r>
    <r>
      <rPr>
        <vertAlign val="subscript"/>
        <sz val="12"/>
        <color theme="1"/>
        <rFont val="Calibri (Body)"/>
      </rPr>
      <t>rt</t>
    </r>
    <r>
      <rPr>
        <sz val="12"/>
        <color theme="1"/>
        <rFont val="Calibri"/>
        <family val="2"/>
        <scheme val="minor"/>
      </rPr>
      <t xml:space="preserve"> 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</si>
  <si>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t>Bracing [Yes or No]</t>
  </si>
  <si>
    <r>
      <t>F</t>
    </r>
    <r>
      <rPr>
        <vertAlign val="subscript"/>
        <sz val="12"/>
        <color theme="1"/>
        <rFont val="Calibri (Body)"/>
      </rPr>
      <t>yrt</t>
    </r>
    <r>
      <rPr>
        <sz val="12"/>
        <color theme="1"/>
        <rFont val="Calibri"/>
        <family val="2"/>
        <scheme val="minor"/>
      </rPr>
      <t xml:space="preserve"> (ksi)</t>
    </r>
  </si>
  <si>
    <r>
      <t>F</t>
    </r>
    <r>
      <rPr>
        <vertAlign val="subscript"/>
        <sz val="12"/>
        <color theme="1"/>
        <rFont val="Calibri (Body)"/>
      </rPr>
      <t>yrb</t>
    </r>
    <r>
      <rPr>
        <sz val="12"/>
        <color theme="1"/>
        <rFont val="Calibri"/>
        <family val="2"/>
        <scheme val="minor"/>
      </rPr>
      <t xml:space="preserve"> (ksi)</t>
    </r>
  </si>
  <si>
    <r>
      <t>A</t>
    </r>
    <r>
      <rPr>
        <vertAlign val="subscript"/>
        <sz val="12"/>
        <color theme="1"/>
        <rFont val="Calibri (Body)"/>
      </rPr>
      <t>rb</t>
    </r>
    <r>
      <rPr>
        <sz val="12"/>
        <color theme="1"/>
        <rFont val="Calibri"/>
        <family val="2"/>
        <scheme val="minor"/>
      </rPr>
      <t xml:space="preserve"> (in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</si>
  <si>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</t>
    </r>
    <r>
      <rPr>
        <vertAlign val="subscript"/>
        <sz val="12"/>
        <color theme="1"/>
        <rFont val="Calibri (Body)"/>
      </rPr>
      <t>t</t>
    </r>
    <r>
      <rPr>
        <sz val="12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</si>
  <si>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2"/>
        <color theme="1"/>
        <rFont val="Calibri (Body)"/>
      </rPr>
      <t>w</t>
    </r>
    <r>
      <rPr>
        <sz val="12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</si>
  <si>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</si>
  <si>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2"/>
        <color theme="1"/>
        <rFont val="Calibri (Body)"/>
      </rPr>
      <t>s</t>
    </r>
    <r>
      <rPr>
        <sz val="12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</si>
  <si>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2"/>
        <color theme="1"/>
        <rFont val="Calibri (Body)"/>
      </rPr>
      <t>rt</t>
    </r>
    <r>
      <rPr>
        <sz val="12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</si>
  <si>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2"/>
        <color theme="1"/>
        <rFont val="Calibri (Body)"/>
      </rPr>
      <t>rb</t>
    </r>
    <r>
      <rPr>
        <sz val="12"/>
        <color theme="1"/>
        <rFont val="Calibri"/>
        <family val="2"/>
        <scheme val="minor"/>
      </rPr>
      <t xml:space="preserve"> (k)</t>
    </r>
  </si>
  <si>
    <t>Case</t>
  </si>
  <si>
    <r>
      <t>C</t>
    </r>
    <r>
      <rPr>
        <vertAlign val="subscript"/>
        <sz val="12"/>
        <color theme="1"/>
        <rFont val="Calibri (Body)"/>
      </rPr>
      <t xml:space="preserve">rt </t>
    </r>
    <r>
      <rPr>
        <sz val="12"/>
        <color theme="1"/>
        <rFont val="Calibri (Body)"/>
      </rPr>
      <t>(in)</t>
    </r>
  </si>
  <si>
    <r>
      <t>C</t>
    </r>
    <r>
      <rPr>
        <vertAlign val="subscript"/>
        <sz val="12"/>
        <color theme="1"/>
        <rFont val="Calibri (Body)"/>
      </rPr>
      <t xml:space="preserve">rb </t>
    </r>
    <r>
      <rPr>
        <sz val="12"/>
        <color theme="1"/>
        <rFont val="Calibri (Body)"/>
      </rPr>
      <t>(in)</t>
    </r>
  </si>
  <si>
    <t>w (k/ft)</t>
  </si>
  <si>
    <t>No</t>
  </si>
  <si>
    <r>
      <t>M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 (Body)"/>
      </rPr>
      <t>- (ft-k)</t>
    </r>
  </si>
  <si>
    <r>
      <t>M</t>
    </r>
    <r>
      <rPr>
        <vertAlign val="subscript"/>
        <sz val="12"/>
        <color theme="1"/>
        <rFont val="Calibri (Body)"/>
      </rPr>
      <t>u</t>
    </r>
    <r>
      <rPr>
        <sz val="12"/>
        <color theme="1"/>
        <rFont val="Calibri (Body)"/>
      </rPr>
      <t>+ (ft-k)</t>
    </r>
  </si>
  <si>
    <t>Moment Redistribution</t>
  </si>
  <si>
    <t>Tension Flange Yielding</t>
  </si>
  <si>
    <r>
      <t>y</t>
    </r>
    <r>
      <rPr>
        <vertAlign val="subscript"/>
        <sz val="12"/>
        <color theme="1"/>
        <rFont val="Calibri (Body)"/>
      </rPr>
      <t xml:space="preserve">p </t>
    </r>
    <r>
      <rPr>
        <sz val="12"/>
        <color theme="1"/>
        <rFont val="Calibri (Body)"/>
      </rPr>
      <t>(in)</t>
    </r>
  </si>
  <si>
    <r>
      <t>D</t>
    </r>
    <r>
      <rPr>
        <vertAlign val="sub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(in)</t>
    </r>
  </si>
  <si>
    <r>
      <t>D</t>
    </r>
    <r>
      <rPr>
        <vertAlign val="subscript"/>
        <sz val="12"/>
        <color theme="1"/>
        <rFont val="Calibri (Body)"/>
      </rPr>
      <t>cp</t>
    </r>
    <r>
      <rPr>
        <sz val="12"/>
        <color theme="1"/>
        <rFont val="Calibri"/>
        <family val="2"/>
        <scheme val="minor"/>
      </rPr>
      <t xml:space="preserve"> (in)</t>
    </r>
  </si>
  <si>
    <r>
      <t>y</t>
    </r>
    <r>
      <rPr>
        <vertAlign val="subscript"/>
        <sz val="12"/>
        <color theme="1"/>
        <rFont val="Calibri (Body)"/>
      </rPr>
      <t>t</t>
    </r>
    <r>
      <rPr>
        <sz val="12"/>
        <color theme="1"/>
        <rFont val="Calibri"/>
        <family val="2"/>
        <scheme val="minor"/>
      </rPr>
      <t xml:space="preserve"> (in)</t>
    </r>
  </si>
  <si>
    <r>
      <t>M</t>
    </r>
    <r>
      <rPr>
        <vertAlign val="subscript"/>
        <sz val="12"/>
        <color theme="1"/>
        <rFont val="Calibri (Body)"/>
      </rPr>
      <t xml:space="preserve">nt </t>
    </r>
    <r>
      <rPr>
        <sz val="12"/>
        <color theme="1"/>
        <rFont val="Calibri (Body)"/>
      </rPr>
      <t>(ft-k)</t>
    </r>
  </si>
  <si>
    <r>
      <t>y</t>
    </r>
    <r>
      <rPr>
        <vertAlign val="sub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(in)</t>
    </r>
  </si>
  <si>
    <t>Web Bend Buckling</t>
  </si>
  <si>
    <r>
      <t>F</t>
    </r>
    <r>
      <rPr>
        <vertAlign val="subscript"/>
        <sz val="12"/>
        <color theme="1"/>
        <rFont val="Calibri (Body)"/>
      </rPr>
      <t xml:space="preserve">crw </t>
    </r>
    <r>
      <rPr>
        <sz val="12"/>
        <color theme="1"/>
        <rFont val="Calibri (Body)"/>
      </rPr>
      <t>(ksi)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</si>
</sst>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00"/>
    <numFmt numFmtId="167" formatCode="0.00000000"/>
    <numFmt numFmtId="168" formatCode="0.0000000"/>
    <numFmt numFmtId="169" formatCode="0.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  <font>
      <vertAlign val="superscript"/>
      <sz val="12"/>
      <color theme="1"/>
      <name val="Calibri (Body)"/>
    </font>
    <font>
      <b/>
      <vertAlign val="sub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 (Body)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ont="1" applyBorder="1"/>
    <xf numFmtId="2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0" xfId="0" applyFill="1" applyBorder="1"/>
    <xf numFmtId="2" fontId="0" fillId="0" borderId="0" xfId="0" applyNumberFormat="1" applyBorder="1"/>
    <xf numFmtId="165" fontId="0" fillId="0" borderId="0" xfId="0" applyNumberFormat="1" applyBorder="1"/>
    <xf numFmtId="1" fontId="0" fillId="0" borderId="0" xfId="0" applyNumberFormat="1" applyBorder="1"/>
    <xf numFmtId="0" fontId="0" fillId="0" borderId="5" xfId="0" applyBorder="1"/>
    <xf numFmtId="0" fontId="0" fillId="2" borderId="3" xfId="0" applyFill="1" applyBorder="1"/>
    <xf numFmtId="0" fontId="0" fillId="0" borderId="5" xfId="0" applyFont="1" applyBorder="1"/>
    <xf numFmtId="165" fontId="0" fillId="0" borderId="7" xfId="0" applyNumberFormat="1" applyBorder="1"/>
    <xf numFmtId="0" fontId="0" fillId="0" borderId="7" xfId="0" applyBorder="1"/>
    <xf numFmtId="0" fontId="0" fillId="0" borderId="10" xfId="0" applyBorder="1"/>
    <xf numFmtId="0" fontId="0" fillId="0" borderId="5" xfId="0" applyFill="1" applyBorder="1"/>
    <xf numFmtId="164" fontId="0" fillId="0" borderId="2" xfId="0" applyNumberFormat="1" applyBorder="1"/>
    <xf numFmtId="0" fontId="0" fillId="0" borderId="2" xfId="0" applyFont="1" applyFill="1" applyBorder="1"/>
    <xf numFmtId="0" fontId="0" fillId="0" borderId="2" xfId="0" applyFill="1" applyBorder="1"/>
    <xf numFmtId="165" fontId="0" fillId="0" borderId="2" xfId="0" applyNumberFormat="1" applyBorder="1"/>
    <xf numFmtId="0" fontId="0" fillId="0" borderId="1" xfId="0" applyFont="1" applyBorder="1"/>
    <xf numFmtId="164" fontId="0" fillId="0" borderId="0" xfId="0" applyNumberFormat="1" applyBorder="1"/>
    <xf numFmtId="2" fontId="0" fillId="0" borderId="2" xfId="0" applyNumberFormat="1" applyFont="1" applyBorder="1" applyAlignment="1"/>
    <xf numFmtId="1" fontId="0" fillId="0" borderId="2" xfId="0" applyNumberFormat="1" applyBorder="1"/>
    <xf numFmtId="0" fontId="0" fillId="0" borderId="11" xfId="0" applyFill="1" applyBorder="1"/>
    <xf numFmtId="0" fontId="0" fillId="0" borderId="6" xfId="0" applyFill="1" applyBorder="1"/>
    <xf numFmtId="0" fontId="0" fillId="0" borderId="14" xfId="0" applyFill="1" applyBorder="1"/>
    <xf numFmtId="2" fontId="0" fillId="0" borderId="2" xfId="0" applyNumberFormat="1" applyFill="1" applyBorder="1"/>
    <xf numFmtId="0" fontId="1" fillId="0" borderId="2" xfId="0" applyFont="1" applyBorder="1"/>
    <xf numFmtId="2" fontId="0" fillId="0" borderId="1" xfId="0" applyNumberFormat="1" applyBorder="1"/>
    <xf numFmtId="0" fontId="3" fillId="0" borderId="2" xfId="0" applyFont="1" applyBorder="1"/>
    <xf numFmtId="0" fontId="0" fillId="3" borderId="2" xfId="0" applyFill="1" applyBorder="1"/>
    <xf numFmtId="0" fontId="0" fillId="0" borderId="12" xfId="0" applyFill="1" applyBorder="1"/>
    <xf numFmtId="164" fontId="0" fillId="0" borderId="13" xfId="0" applyNumberFormat="1" applyBorder="1"/>
    <xf numFmtId="0" fontId="0" fillId="2" borderId="11" xfId="0" applyFill="1" applyBorder="1"/>
    <xf numFmtId="2" fontId="0" fillId="0" borderId="11" xfId="0" applyNumberFormat="1" applyBorder="1"/>
    <xf numFmtId="1" fontId="0" fillId="0" borderId="2" xfId="0" applyNumberFormat="1" applyFill="1" applyBorder="1"/>
    <xf numFmtId="1" fontId="0" fillId="2" borderId="2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3" xfId="0" applyFill="1" applyBorder="1"/>
    <xf numFmtId="0" fontId="8" fillId="0" borderId="2" xfId="0" applyFont="1" applyBorder="1"/>
    <xf numFmtId="2" fontId="0" fillId="0" borderId="10" xfId="0" applyNumberFormat="1" applyBorder="1"/>
    <xf numFmtId="2" fontId="8" fillId="0" borderId="2" xfId="0" applyNumberFormat="1" applyFont="1" applyBorder="1"/>
    <xf numFmtId="2" fontId="0" fillId="0" borderId="7" xfId="0" applyNumberFormat="1" applyBorder="1"/>
    <xf numFmtId="0" fontId="0" fillId="0" borderId="9" xfId="0" applyBorder="1"/>
    <xf numFmtId="0" fontId="0" fillId="0" borderId="1" xfId="0" applyFill="1" applyBorder="1"/>
    <xf numFmtId="0" fontId="0" fillId="0" borderId="7" xfId="0" applyBorder="1" applyAlignment="1"/>
    <xf numFmtId="165" fontId="0" fillId="0" borderId="4" xfId="0" applyNumberFormat="1" applyBorder="1"/>
    <xf numFmtId="0" fontId="0" fillId="0" borderId="8" xfId="0" applyBorder="1"/>
    <xf numFmtId="169" fontId="0" fillId="0" borderId="1" xfId="0" applyNumberFormat="1" applyBorder="1" applyAlignment="1"/>
    <xf numFmtId="169" fontId="0" fillId="0" borderId="2" xfId="0" applyNumberFormat="1" applyBorder="1"/>
    <xf numFmtId="166" fontId="0" fillId="2" borderId="2" xfId="0" applyNumberFormat="1" applyFill="1" applyBorder="1"/>
    <xf numFmtId="0" fontId="0" fillId="0" borderId="18" xfId="0" applyBorder="1"/>
    <xf numFmtId="0" fontId="0" fillId="0" borderId="13" xfId="0" applyFill="1" applyBorder="1"/>
    <xf numFmtId="0" fontId="0" fillId="0" borderId="1" xfId="0" applyFont="1" applyBorder="1" applyAlignment="1"/>
    <xf numFmtId="0" fontId="0" fillId="0" borderId="0" xfId="0" applyFont="1" applyBorder="1"/>
    <xf numFmtId="0" fontId="0" fillId="0" borderId="2" xfId="0" applyFont="1" applyFill="1" applyBorder="1" applyAlignment="1"/>
    <xf numFmtId="1" fontId="0" fillId="0" borderId="4" xfId="0" applyNumberFormat="1" applyFont="1" applyBorder="1"/>
    <xf numFmtId="164" fontId="0" fillId="0" borderId="2" xfId="0" applyNumberFormat="1" applyFont="1" applyBorder="1" applyAlignment="1"/>
    <xf numFmtId="166" fontId="0" fillId="0" borderId="0" xfId="0" applyNumberFormat="1" applyBorder="1"/>
    <xf numFmtId="0" fontId="10" fillId="0" borderId="0" xfId="0" applyFont="1" applyBorder="1"/>
    <xf numFmtId="0" fontId="0" fillId="0" borderId="23" xfId="0" applyFill="1" applyBorder="1"/>
    <xf numFmtId="0" fontId="0" fillId="0" borderId="25" xfId="0" applyFill="1" applyBorder="1"/>
    <xf numFmtId="0" fontId="0" fillId="0" borderId="23" xfId="0" applyFont="1" applyFill="1" applyBorder="1"/>
    <xf numFmtId="0" fontId="0" fillId="0" borderId="0" xfId="0" applyBorder="1" applyAlignment="1"/>
    <xf numFmtId="0" fontId="0" fillId="0" borderId="27" xfId="0" applyBorder="1" applyAlignment="1"/>
    <xf numFmtId="0" fontId="0" fillId="0" borderId="27" xfId="0" applyBorder="1"/>
    <xf numFmtId="0" fontId="0" fillId="0" borderId="25" xfId="0" applyFont="1" applyFill="1" applyBorder="1"/>
    <xf numFmtId="2" fontId="0" fillId="0" borderId="27" xfId="0" applyNumberFormat="1" applyBorder="1"/>
    <xf numFmtId="0" fontId="0" fillId="0" borderId="23" xfId="0" applyBorder="1"/>
    <xf numFmtId="0" fontId="8" fillId="0" borderId="23" xfId="0" applyFont="1" applyBorder="1"/>
    <xf numFmtId="2" fontId="0" fillId="0" borderId="24" xfId="0" applyNumberFormat="1" applyBorder="1"/>
    <xf numFmtId="2" fontId="0" fillId="0" borderId="28" xfId="0" applyNumberFormat="1" applyBorder="1"/>
    <xf numFmtId="0" fontId="0" fillId="0" borderId="29" xfId="0" applyFill="1" applyBorder="1"/>
    <xf numFmtId="0" fontId="0" fillId="0" borderId="30" xfId="0" applyBorder="1"/>
    <xf numFmtId="0" fontId="0" fillId="0" borderId="31" xfId="0" applyFont="1" applyFill="1" applyBorder="1"/>
    <xf numFmtId="0" fontId="0" fillId="0" borderId="29" xfId="0" applyFont="1" applyFill="1" applyBorder="1"/>
    <xf numFmtId="2" fontId="0" fillId="0" borderId="32" xfId="0" applyNumberFormat="1" applyBorder="1"/>
    <xf numFmtId="0" fontId="0" fillId="0" borderId="33" xfId="0" applyBorder="1"/>
    <xf numFmtId="0" fontId="1" fillId="0" borderId="23" xfId="0" applyFont="1" applyBorder="1"/>
    <xf numFmtId="0" fontId="0" fillId="0" borderId="34" xfId="0" applyBorder="1"/>
    <xf numFmtId="0" fontId="0" fillId="0" borderId="35" xfId="0" applyBorder="1"/>
    <xf numFmtId="2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Font="1" applyBorder="1"/>
    <xf numFmtId="0" fontId="0" fillId="0" borderId="39" xfId="0" applyBorder="1"/>
    <xf numFmtId="0" fontId="0" fillId="0" borderId="25" xfId="0" applyBorder="1"/>
    <xf numFmtId="0" fontId="0" fillId="0" borderId="38" xfId="0" applyBorder="1"/>
    <xf numFmtId="0" fontId="0" fillId="0" borderId="40" xfId="0" applyBorder="1"/>
    <xf numFmtId="0" fontId="0" fillId="0" borderId="32" xfId="0" applyBorder="1"/>
    <xf numFmtId="0" fontId="0" fillId="0" borderId="41" xfId="0" applyBorder="1"/>
    <xf numFmtId="1" fontId="0" fillId="0" borderId="41" xfId="0" applyNumberFormat="1" applyBorder="1"/>
    <xf numFmtId="0" fontId="0" fillId="0" borderId="42" xfId="0" applyBorder="1"/>
    <xf numFmtId="1" fontId="0" fillId="0" borderId="36" xfId="0" applyNumberFormat="1" applyBorder="1"/>
    <xf numFmtId="165" fontId="0" fillId="0" borderId="36" xfId="0" applyNumberFormat="1" applyBorder="1"/>
    <xf numFmtId="168" fontId="0" fillId="2" borderId="2" xfId="0" applyNumberFormat="1" applyFill="1" applyBorder="1"/>
    <xf numFmtId="167" fontId="0" fillId="2" borderId="2" xfId="0" applyNumberFormat="1" applyFill="1" applyBorder="1"/>
    <xf numFmtId="165" fontId="0" fillId="0" borderId="16" xfId="0" applyNumberFormat="1" applyBorder="1"/>
    <xf numFmtId="0" fontId="0" fillId="0" borderId="19" xfId="0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Fill="1" applyBorder="1"/>
    <xf numFmtId="165" fontId="0" fillId="0" borderId="0" xfId="0" applyNumberFormat="1" applyFill="1" applyBorder="1"/>
    <xf numFmtId="169" fontId="0" fillId="0" borderId="0" xfId="0" applyNumberFormat="1" applyFill="1" applyBorder="1" applyAlignment="1"/>
    <xf numFmtId="0" fontId="0" fillId="0" borderId="0" xfId="0" applyFill="1" applyBorder="1" applyAlignment="1"/>
    <xf numFmtId="0" fontId="8" fillId="0" borderId="0" xfId="0" applyFont="1" applyFill="1" applyBorder="1"/>
    <xf numFmtId="2" fontId="0" fillId="0" borderId="0" xfId="0" applyNumberFormat="1" applyFill="1" applyBorder="1"/>
    <xf numFmtId="2" fontId="8" fillId="0" borderId="0" xfId="0" applyNumberFormat="1" applyFont="1" applyFill="1" applyBorder="1"/>
    <xf numFmtId="164" fontId="0" fillId="0" borderId="0" xfId="0" applyNumberFormat="1" applyFill="1" applyBorder="1"/>
    <xf numFmtId="169" fontId="0" fillId="0" borderId="0" xfId="0" applyNumberFormat="1" applyFill="1" applyBorder="1"/>
    <xf numFmtId="0" fontId="3" fillId="0" borderId="0" xfId="0" applyFont="1" applyFill="1" applyBorder="1"/>
    <xf numFmtId="0" fontId="1" fillId="0" borderId="0" xfId="0" applyFont="1" applyFill="1" applyBorder="1"/>
    <xf numFmtId="168" fontId="0" fillId="0" borderId="0" xfId="0" applyNumberFormat="1" applyFill="1" applyBorder="1"/>
    <xf numFmtId="167" fontId="0" fillId="0" borderId="0" xfId="0" applyNumberFormat="1" applyFill="1" applyBorder="1"/>
    <xf numFmtId="166" fontId="0" fillId="0" borderId="0" xfId="0" applyNumberFormat="1" applyFill="1" applyBorder="1"/>
    <xf numFmtId="0" fontId="1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 applyAlignment="1">
      <alignment wrapText="1"/>
    </xf>
    <xf numFmtId="3" fontId="0" fillId="0" borderId="2" xfId="0" applyNumberFormat="1" applyFill="1" applyBorder="1"/>
    <xf numFmtId="1" fontId="0" fillId="3" borderId="2" xfId="0" applyNumberFormat="1" applyFill="1" applyBorder="1"/>
    <xf numFmtId="0" fontId="0" fillId="0" borderId="0" xfId="0" applyFont="1" applyBorder="1" applyAlignment="1"/>
    <xf numFmtId="164" fontId="0" fillId="0" borderId="0" xfId="0" applyNumberFormat="1" applyFont="1" applyBorder="1" applyAlignment="1"/>
    <xf numFmtId="0" fontId="0" fillId="0" borderId="36" xfId="0" applyFill="1" applyBorder="1"/>
    <xf numFmtId="0" fontId="1" fillId="0" borderId="36" xfId="0" applyFont="1" applyFill="1" applyBorder="1" applyAlignment="1"/>
    <xf numFmtId="2" fontId="0" fillId="0" borderId="3" xfId="0" applyNumberFormat="1" applyBorder="1"/>
    <xf numFmtId="0" fontId="0" fillId="0" borderId="23" xfId="0" applyFill="1" applyBorder="1" applyAlignment="1">
      <alignment horizontal="left" vertic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1" fillId="0" borderId="2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wrapText="1"/>
    </xf>
    <xf numFmtId="0" fontId="0" fillId="0" borderId="27" xfId="0" applyFill="1" applyBorder="1"/>
    <xf numFmtId="0" fontId="0" fillId="0" borderId="29" xfId="0" applyBorder="1"/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1" fontId="0" fillId="0" borderId="16" xfId="0" applyNumberFormat="1" applyBorder="1"/>
    <xf numFmtId="0" fontId="0" fillId="0" borderId="19" xfId="0" applyBorder="1"/>
    <xf numFmtId="0" fontId="0" fillId="0" borderId="4" xfId="0" applyFont="1" applyBorder="1"/>
    <xf numFmtId="1" fontId="0" fillId="0" borderId="4" xfId="0" applyNumberFormat="1" applyFont="1" applyBorder="1" applyAlignment="1"/>
    <xf numFmtId="0" fontId="1" fillId="0" borderId="0" xfId="0" applyFont="1" applyBorder="1" applyAlignment="1"/>
    <xf numFmtId="2" fontId="0" fillId="0" borderId="0" xfId="0" applyNumberFormat="1" applyFont="1" applyBorder="1" applyAlignme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Vu (k)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 &amp; Shear'!$G$63:$G$77</c:f>
              <c:numCache>
                <c:formatCode>General</c:formatCode>
                <c:ptCount val="15"/>
                <c:pt idx="0">
                  <c:v>0.0</c:v>
                </c:pt>
                <c:pt idx="1">
                  <c:v>4.5</c:v>
                </c:pt>
                <c:pt idx="2">
                  <c:v>4.50001</c:v>
                </c:pt>
                <c:pt idx="3">
                  <c:v>18.0</c:v>
                </c:pt>
                <c:pt idx="4">
                  <c:v>18.00001</c:v>
                </c:pt>
                <c:pt idx="5">
                  <c:v>31.5</c:v>
                </c:pt>
                <c:pt idx="6">
                  <c:v>31.500001</c:v>
                </c:pt>
                <c:pt idx="7">
                  <c:v>45.0</c:v>
                </c:pt>
                <c:pt idx="8">
                  <c:v>58.499999</c:v>
                </c:pt>
                <c:pt idx="9">
                  <c:v>58.5</c:v>
                </c:pt>
                <c:pt idx="10" formatCode="0.0000000">
                  <c:v>71.999999</c:v>
                </c:pt>
                <c:pt idx="11" formatCode="0.00000000">
                  <c:v>72.0</c:v>
                </c:pt>
                <c:pt idx="12" formatCode="0.00000000">
                  <c:v>85.499999</c:v>
                </c:pt>
                <c:pt idx="13" formatCode="0.000000">
                  <c:v>85.5</c:v>
                </c:pt>
                <c:pt idx="14" formatCode="0">
                  <c:v>90.0</c:v>
                </c:pt>
              </c:numCache>
            </c:numRef>
          </c:xVal>
          <c:yVal>
            <c:numRef>
              <c:f>'Moment &amp; Shear'!$H$63:$H$77</c:f>
              <c:numCache>
                <c:formatCode>0.0</c:formatCode>
                <c:ptCount val="15"/>
                <c:pt idx="0">
                  <c:v>540.0</c:v>
                </c:pt>
                <c:pt idx="1">
                  <c:v>486.0</c:v>
                </c:pt>
                <c:pt idx="2">
                  <c:v>485.99988</c:v>
                </c:pt>
                <c:pt idx="3">
                  <c:v>324.0</c:v>
                </c:pt>
                <c:pt idx="4">
                  <c:v>323.99988</c:v>
                </c:pt>
                <c:pt idx="5">
                  <c:v>162.0</c:v>
                </c:pt>
                <c:pt idx="6">
                  <c:v>161.999988</c:v>
                </c:pt>
                <c:pt idx="7">
                  <c:v>0.0</c:v>
                </c:pt>
                <c:pt idx="8">
                  <c:v>-161.999988</c:v>
                </c:pt>
                <c:pt idx="9">
                  <c:v>-162.0</c:v>
                </c:pt>
                <c:pt idx="10">
                  <c:v>-323.999988</c:v>
                </c:pt>
                <c:pt idx="11">
                  <c:v>-324.0</c:v>
                </c:pt>
                <c:pt idx="12">
                  <c:v>-485.999988</c:v>
                </c:pt>
                <c:pt idx="13">
                  <c:v>-486.0</c:v>
                </c:pt>
                <c:pt idx="14">
                  <c:v>-540.0</c:v>
                </c:pt>
              </c:numCache>
            </c:numRef>
          </c:yVal>
          <c:smooth val="1"/>
        </c:ser>
        <c:ser>
          <c:idx val="1"/>
          <c:order val="1"/>
          <c:tx>
            <c:v>Vn (k) [positive]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'Moment &amp; Shear'!$G$63:$G$77</c:f>
              <c:numCache>
                <c:formatCode>General</c:formatCode>
                <c:ptCount val="15"/>
                <c:pt idx="0">
                  <c:v>0.0</c:v>
                </c:pt>
                <c:pt idx="1">
                  <c:v>4.5</c:v>
                </c:pt>
                <c:pt idx="2">
                  <c:v>4.50001</c:v>
                </c:pt>
                <c:pt idx="3">
                  <c:v>18.0</c:v>
                </c:pt>
                <c:pt idx="4">
                  <c:v>18.00001</c:v>
                </c:pt>
                <c:pt idx="5">
                  <c:v>31.5</c:v>
                </c:pt>
                <c:pt idx="6">
                  <c:v>31.500001</c:v>
                </c:pt>
                <c:pt idx="7">
                  <c:v>45.0</c:v>
                </c:pt>
                <c:pt idx="8">
                  <c:v>58.499999</c:v>
                </c:pt>
                <c:pt idx="9">
                  <c:v>58.5</c:v>
                </c:pt>
                <c:pt idx="10" formatCode="0.0000000">
                  <c:v>71.999999</c:v>
                </c:pt>
                <c:pt idx="11" formatCode="0.00000000">
                  <c:v>72.0</c:v>
                </c:pt>
                <c:pt idx="12" formatCode="0.00000000">
                  <c:v>85.499999</c:v>
                </c:pt>
                <c:pt idx="13" formatCode="0.000000">
                  <c:v>85.5</c:v>
                </c:pt>
                <c:pt idx="14" formatCode="0">
                  <c:v>90.0</c:v>
                </c:pt>
              </c:numCache>
            </c:numRef>
          </c:xVal>
          <c:yVal>
            <c:numRef>
              <c:f>'Moment &amp; Shear'!$I$63:$I$77</c:f>
              <c:numCache>
                <c:formatCode>0.0</c:formatCode>
                <c:ptCount val="15"/>
                <c:pt idx="0">
                  <c:v>644.563338477366</c:v>
                </c:pt>
                <c:pt idx="1">
                  <c:v>644.563338477366</c:v>
                </c:pt>
                <c:pt idx="2">
                  <c:v>567.0439008903307</c:v>
                </c:pt>
                <c:pt idx="3">
                  <c:v>567.0439008903307</c:v>
                </c:pt>
                <c:pt idx="4">
                  <c:v>567.0439008903307</c:v>
                </c:pt>
                <c:pt idx="5">
                  <c:v>567.0439008903307</c:v>
                </c:pt>
                <c:pt idx="6">
                  <c:v>220.0616666666666</c:v>
                </c:pt>
                <c:pt idx="7">
                  <c:v>220.0616666666666</c:v>
                </c:pt>
                <c:pt idx="8">
                  <c:v>220.0616666666666</c:v>
                </c:pt>
                <c:pt idx="9">
                  <c:v>567.0439008903307</c:v>
                </c:pt>
                <c:pt idx="10">
                  <c:v>567.0439008903307</c:v>
                </c:pt>
                <c:pt idx="11">
                  <c:v>567.0439008903307</c:v>
                </c:pt>
                <c:pt idx="12">
                  <c:v>567.0439008903307</c:v>
                </c:pt>
                <c:pt idx="13">
                  <c:v>644.563338477366</c:v>
                </c:pt>
                <c:pt idx="14">
                  <c:v>644.563338477366</c:v>
                </c:pt>
              </c:numCache>
            </c:numRef>
          </c:yVal>
          <c:smooth val="0"/>
        </c:ser>
        <c:ser>
          <c:idx val="2"/>
          <c:order val="2"/>
          <c:tx>
            <c:v>Vn (k) [negative]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'Moment &amp; Shear'!$G$63:$G$77</c:f>
              <c:numCache>
                <c:formatCode>General</c:formatCode>
                <c:ptCount val="15"/>
                <c:pt idx="0">
                  <c:v>0.0</c:v>
                </c:pt>
                <c:pt idx="1">
                  <c:v>4.5</c:v>
                </c:pt>
                <c:pt idx="2">
                  <c:v>4.50001</c:v>
                </c:pt>
                <c:pt idx="3">
                  <c:v>18.0</c:v>
                </c:pt>
                <c:pt idx="4">
                  <c:v>18.00001</c:v>
                </c:pt>
                <c:pt idx="5">
                  <c:v>31.5</c:v>
                </c:pt>
                <c:pt idx="6">
                  <c:v>31.500001</c:v>
                </c:pt>
                <c:pt idx="7">
                  <c:v>45.0</c:v>
                </c:pt>
                <c:pt idx="8">
                  <c:v>58.499999</c:v>
                </c:pt>
                <c:pt idx="9">
                  <c:v>58.5</c:v>
                </c:pt>
                <c:pt idx="10" formatCode="0.0000000">
                  <c:v>71.999999</c:v>
                </c:pt>
                <c:pt idx="11" formatCode="0.00000000">
                  <c:v>72.0</c:v>
                </c:pt>
                <c:pt idx="12" formatCode="0.00000000">
                  <c:v>85.499999</c:v>
                </c:pt>
                <c:pt idx="13" formatCode="0.000000">
                  <c:v>85.5</c:v>
                </c:pt>
                <c:pt idx="14" formatCode="0">
                  <c:v>90.0</c:v>
                </c:pt>
              </c:numCache>
            </c:numRef>
          </c:xVal>
          <c:yVal>
            <c:numRef>
              <c:f>'Moment &amp; Shear'!$J$63:$J$77</c:f>
              <c:numCache>
                <c:formatCode>0.0</c:formatCode>
                <c:ptCount val="15"/>
                <c:pt idx="0">
                  <c:v>-644.563338477366</c:v>
                </c:pt>
                <c:pt idx="1">
                  <c:v>-644.563338477366</c:v>
                </c:pt>
                <c:pt idx="2">
                  <c:v>-567.0439008903307</c:v>
                </c:pt>
                <c:pt idx="3">
                  <c:v>-567.0439008903307</c:v>
                </c:pt>
                <c:pt idx="4">
                  <c:v>-567.0439008903307</c:v>
                </c:pt>
                <c:pt idx="5">
                  <c:v>-567.0439008903307</c:v>
                </c:pt>
                <c:pt idx="6">
                  <c:v>-220.0616666666666</c:v>
                </c:pt>
                <c:pt idx="7">
                  <c:v>-220.0616666666666</c:v>
                </c:pt>
                <c:pt idx="8">
                  <c:v>-220.0616666666666</c:v>
                </c:pt>
                <c:pt idx="9">
                  <c:v>-567.0439008903307</c:v>
                </c:pt>
                <c:pt idx="10">
                  <c:v>-567.0439008903307</c:v>
                </c:pt>
                <c:pt idx="11">
                  <c:v>-567.0439008903307</c:v>
                </c:pt>
                <c:pt idx="12">
                  <c:v>-567.0439008903307</c:v>
                </c:pt>
                <c:pt idx="13">
                  <c:v>-644.563338477366</c:v>
                </c:pt>
                <c:pt idx="14">
                  <c:v>-644.563338477366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8304"/>
        <c:axId val="283173072"/>
      </c:scatterChart>
      <c:valAx>
        <c:axId val="41991830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Along Span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73072"/>
        <c:crosses val="autoZero"/>
        <c:crossBetween val="midCat"/>
      </c:valAx>
      <c:valAx>
        <c:axId val="2831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Mu (ft-k)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 &amp; Shear'!$F$37:$F$47</c:f>
              <c:numCache>
                <c:formatCode>General</c:formatCode>
                <c:ptCount val="11"/>
                <c:pt idx="0">
                  <c:v>0.0</c:v>
                </c:pt>
                <c:pt idx="1">
                  <c:v>9.0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54.0</c:v>
                </c:pt>
                <c:pt idx="7">
                  <c:v>63.0</c:v>
                </c:pt>
                <c:pt idx="8" formatCode="0">
                  <c:v>72.0</c:v>
                </c:pt>
                <c:pt idx="9" formatCode="0">
                  <c:v>81.0</c:v>
                </c:pt>
                <c:pt idx="10" formatCode="0">
                  <c:v>90.0</c:v>
                </c:pt>
              </c:numCache>
            </c:numRef>
          </c:xVal>
          <c:yVal>
            <c:numRef>
              <c:f>'Moment &amp; Shear'!$G$37:$G$47</c:f>
              <c:numCache>
                <c:formatCode>General</c:formatCode>
                <c:ptCount val="11"/>
                <c:pt idx="0">
                  <c:v>0.0</c:v>
                </c:pt>
                <c:pt idx="1">
                  <c:v>4374.0</c:v>
                </c:pt>
                <c:pt idx="2">
                  <c:v>7776.0</c:v>
                </c:pt>
                <c:pt idx="3">
                  <c:v>10206.0</c:v>
                </c:pt>
                <c:pt idx="4">
                  <c:v>11664.0</c:v>
                </c:pt>
                <c:pt idx="5">
                  <c:v>12150.0</c:v>
                </c:pt>
                <c:pt idx="6">
                  <c:v>11664.0</c:v>
                </c:pt>
                <c:pt idx="7">
                  <c:v>10206.0</c:v>
                </c:pt>
                <c:pt idx="8">
                  <c:v>7776.0</c:v>
                </c:pt>
                <c:pt idx="9">
                  <c:v>4374.0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Mnc (ft-k) [FLB]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'Moment &amp; Shear'!$F$37:$F$47</c:f>
              <c:numCache>
                <c:formatCode>General</c:formatCode>
                <c:ptCount val="11"/>
                <c:pt idx="0">
                  <c:v>0.0</c:v>
                </c:pt>
                <c:pt idx="1">
                  <c:v>9.0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54.0</c:v>
                </c:pt>
                <c:pt idx="7">
                  <c:v>63.0</c:v>
                </c:pt>
                <c:pt idx="8" formatCode="0">
                  <c:v>72.0</c:v>
                </c:pt>
                <c:pt idx="9" formatCode="0">
                  <c:v>81.0</c:v>
                </c:pt>
                <c:pt idx="10" formatCode="0">
                  <c:v>90.0</c:v>
                </c:pt>
              </c:numCache>
            </c:numRef>
          </c:xVal>
          <c:yVal>
            <c:numRef>
              <c:f>'Moment &amp; Shear'!$I$37:$I$47</c:f>
              <c:numCache>
                <c:formatCode>0</c:formatCode>
                <c:ptCount val="11"/>
                <c:pt idx="0">
                  <c:v>12425.58510279821</c:v>
                </c:pt>
                <c:pt idx="1">
                  <c:v>12425.58510279821</c:v>
                </c:pt>
                <c:pt idx="2">
                  <c:v>12425.58510279821</c:v>
                </c:pt>
                <c:pt idx="3">
                  <c:v>12425.58510279821</c:v>
                </c:pt>
                <c:pt idx="4">
                  <c:v>12425.58510279821</c:v>
                </c:pt>
                <c:pt idx="5">
                  <c:v>12425.58510279821</c:v>
                </c:pt>
                <c:pt idx="6">
                  <c:v>12425.58510279821</c:v>
                </c:pt>
                <c:pt idx="7">
                  <c:v>12425.58510279821</c:v>
                </c:pt>
                <c:pt idx="8">
                  <c:v>12425.58510279821</c:v>
                </c:pt>
                <c:pt idx="9">
                  <c:v>12425.58510279821</c:v>
                </c:pt>
                <c:pt idx="10">
                  <c:v>12425.58510279821</c:v>
                </c:pt>
              </c:numCache>
            </c:numRef>
          </c:yVal>
          <c:smooth val="1"/>
        </c:ser>
        <c:ser>
          <c:idx val="2"/>
          <c:order val="2"/>
          <c:tx>
            <c:v>Mnc (ft-k) [LTB]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'Moment &amp; Shear'!$F$37:$F$47</c:f>
              <c:numCache>
                <c:formatCode>General</c:formatCode>
                <c:ptCount val="11"/>
                <c:pt idx="0">
                  <c:v>0.0</c:v>
                </c:pt>
                <c:pt idx="1">
                  <c:v>9.0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54.0</c:v>
                </c:pt>
                <c:pt idx="7">
                  <c:v>63.0</c:v>
                </c:pt>
                <c:pt idx="8" formatCode="0">
                  <c:v>72.0</c:v>
                </c:pt>
                <c:pt idx="9" formatCode="0">
                  <c:v>81.0</c:v>
                </c:pt>
                <c:pt idx="10" formatCode="0">
                  <c:v>90.0</c:v>
                </c:pt>
              </c:numCache>
            </c:numRef>
          </c:xVal>
          <c:yVal>
            <c:numRef>
              <c:f>'Moment &amp; Shear'!$J$37:$J$47</c:f>
              <c:numCache>
                <c:formatCode>0</c:formatCode>
                <c:ptCount val="11"/>
                <c:pt idx="0">
                  <c:v>12296.07046930494</c:v>
                </c:pt>
                <c:pt idx="1">
                  <c:v>12296.07046930494</c:v>
                </c:pt>
                <c:pt idx="2">
                  <c:v>12296.07046930494</c:v>
                </c:pt>
                <c:pt idx="3">
                  <c:v>12296.07046930494</c:v>
                </c:pt>
                <c:pt idx="4">
                  <c:v>12296.07046930494</c:v>
                </c:pt>
                <c:pt idx="5">
                  <c:v>12296.07046930494</c:v>
                </c:pt>
                <c:pt idx="6">
                  <c:v>12296.07046930494</c:v>
                </c:pt>
                <c:pt idx="7">
                  <c:v>12296.07046930494</c:v>
                </c:pt>
                <c:pt idx="8">
                  <c:v>12296.07046930494</c:v>
                </c:pt>
                <c:pt idx="9">
                  <c:v>12296.07046930494</c:v>
                </c:pt>
                <c:pt idx="10">
                  <c:v>12296.07046930494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7936"/>
        <c:axId val="420421328"/>
      </c:scatterChart>
      <c:valAx>
        <c:axId val="4204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Span (ft)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1328"/>
        <c:crosses val="autoZero"/>
        <c:crossBetween val="midCat"/>
      </c:valAx>
      <c:valAx>
        <c:axId val="420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(ft-k)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Mu (ft-k)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'Composite Girder Moment'!$F$39:$F$49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 formatCode="0">
                  <c:v>80.0</c:v>
                </c:pt>
                <c:pt idx="9" formatCode="0">
                  <c:v>90.0</c:v>
                </c:pt>
                <c:pt idx="10" formatCode="0">
                  <c:v>100.0</c:v>
                </c:pt>
              </c:numCache>
            </c:numRef>
          </c:xVal>
          <c:yVal>
            <c:numRef>
              <c:f>'Composite Girder Moment'!$G$39:$G$49</c:f>
              <c:numCache>
                <c:formatCode>0</c:formatCode>
                <c:ptCount val="11"/>
                <c:pt idx="0">
                  <c:v>0.0</c:v>
                </c:pt>
                <c:pt idx="1">
                  <c:v>2672.666015625</c:v>
                </c:pt>
                <c:pt idx="2">
                  <c:v>4751.40625</c:v>
                </c:pt>
                <c:pt idx="3">
                  <c:v>6236.220703125</c:v>
                </c:pt>
                <c:pt idx="4">
                  <c:v>7127.109375</c:v>
                </c:pt>
                <c:pt idx="5">
                  <c:v>7424.072265625</c:v>
                </c:pt>
                <c:pt idx="6">
                  <c:v>7127.109375</c:v>
                </c:pt>
                <c:pt idx="7">
                  <c:v>6236.220703125</c:v>
                </c:pt>
                <c:pt idx="8">
                  <c:v>4751.40625</c:v>
                </c:pt>
                <c:pt idx="9">
                  <c:v>2672.666015625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Mnc (ft-k) [FLB]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'Composite Girder Moment'!$F$39:$F$49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 formatCode="0">
                  <c:v>80.0</c:v>
                </c:pt>
                <c:pt idx="9" formatCode="0">
                  <c:v>90.0</c:v>
                </c:pt>
                <c:pt idx="10" formatCode="0">
                  <c:v>100.0</c:v>
                </c:pt>
              </c:numCache>
            </c:numRef>
          </c:xVal>
          <c:yVal>
            <c:numRef>
              <c:f>'Composite Girder Moment'!$I$39:$I$49</c:f>
              <c:numCache>
                <c:formatCode>0</c:formatCode>
                <c:ptCount val="11"/>
                <c:pt idx="0">
                  <c:v>3144.748171137437</c:v>
                </c:pt>
                <c:pt idx="1">
                  <c:v>3144.748171137437</c:v>
                </c:pt>
                <c:pt idx="2">
                  <c:v>3144.748171137437</c:v>
                </c:pt>
                <c:pt idx="3">
                  <c:v>3144.748171137437</c:v>
                </c:pt>
                <c:pt idx="4">
                  <c:v>3144.748171137437</c:v>
                </c:pt>
                <c:pt idx="5">
                  <c:v>3144.748171137437</c:v>
                </c:pt>
                <c:pt idx="6">
                  <c:v>3144.748171137437</c:v>
                </c:pt>
                <c:pt idx="7">
                  <c:v>3144.748171137437</c:v>
                </c:pt>
                <c:pt idx="8">
                  <c:v>3144.748171137437</c:v>
                </c:pt>
                <c:pt idx="9">
                  <c:v>3144.748171137437</c:v>
                </c:pt>
                <c:pt idx="10">
                  <c:v>3144.748171137437</c:v>
                </c:pt>
              </c:numCache>
            </c:numRef>
          </c:yVal>
          <c:smooth val="1"/>
        </c:ser>
        <c:ser>
          <c:idx val="2"/>
          <c:order val="2"/>
          <c:tx>
            <c:v>Mnc (ft-k) [LTB]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'Composite Girder Moment'!$F$39:$F$49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 formatCode="0">
                  <c:v>80.0</c:v>
                </c:pt>
                <c:pt idx="9" formatCode="0">
                  <c:v>90.0</c:v>
                </c:pt>
                <c:pt idx="10" formatCode="0">
                  <c:v>100.0</c:v>
                </c:pt>
              </c:numCache>
            </c:numRef>
          </c:xVal>
          <c:yVal>
            <c:numRef>
              <c:f>'Composite Girder Moment'!$J$39:$J$49</c:f>
              <c:numCache>
                <c:formatCode>0</c:formatCode>
                <c:ptCount val="11"/>
                <c:pt idx="0">
                  <c:v>305.4107125044646</c:v>
                </c:pt>
                <c:pt idx="1">
                  <c:v>305.4107125044646</c:v>
                </c:pt>
                <c:pt idx="2">
                  <c:v>305.4107125044646</c:v>
                </c:pt>
                <c:pt idx="3">
                  <c:v>305.4107125044646</c:v>
                </c:pt>
                <c:pt idx="4">
                  <c:v>305.4107125044646</c:v>
                </c:pt>
                <c:pt idx="5">
                  <c:v>305.4107125044646</c:v>
                </c:pt>
                <c:pt idx="6">
                  <c:v>305.4107125044646</c:v>
                </c:pt>
                <c:pt idx="7">
                  <c:v>305.4107125044646</c:v>
                </c:pt>
                <c:pt idx="8">
                  <c:v>305.4107125044646</c:v>
                </c:pt>
                <c:pt idx="9">
                  <c:v>305.4107125044646</c:v>
                </c:pt>
                <c:pt idx="10">
                  <c:v>305.4107125044646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70448"/>
        <c:axId val="323780704"/>
      </c:scatterChart>
      <c:valAx>
        <c:axId val="3235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Span (ft)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0704"/>
        <c:crosses val="autoZero"/>
        <c:crossBetween val="midCat"/>
      </c:valAx>
      <c:valAx>
        <c:axId val="3237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(ft-k)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7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Mu (ft-k)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 Redistribution'!$F$37:$F$47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 formatCode="0">
                  <c:v>80.0</c:v>
                </c:pt>
                <c:pt idx="9" formatCode="0">
                  <c:v>90.0</c:v>
                </c:pt>
                <c:pt idx="10" formatCode="0">
                  <c:v>100.0</c:v>
                </c:pt>
              </c:numCache>
            </c:numRef>
          </c:xVal>
          <c:yVal>
            <c:numRef>
              <c:f>'Moment Redistribution'!$G$37:$G$47</c:f>
              <c:numCache>
                <c:formatCode>General</c:formatCode>
                <c:ptCount val="11"/>
                <c:pt idx="0">
                  <c:v>0.0</c:v>
                </c:pt>
                <c:pt idx="1">
                  <c:v>5400.0</c:v>
                </c:pt>
                <c:pt idx="2">
                  <c:v>9600.0</c:v>
                </c:pt>
                <c:pt idx="3">
                  <c:v>12600.0</c:v>
                </c:pt>
                <c:pt idx="4">
                  <c:v>14400.0</c:v>
                </c:pt>
                <c:pt idx="5">
                  <c:v>15000.0</c:v>
                </c:pt>
                <c:pt idx="6">
                  <c:v>14400.0</c:v>
                </c:pt>
                <c:pt idx="7">
                  <c:v>12600.0</c:v>
                </c:pt>
                <c:pt idx="8">
                  <c:v>9600.0</c:v>
                </c:pt>
                <c:pt idx="9">
                  <c:v>5400.0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Mnc (ft-k) [FLB]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'Moment Redistribution'!$F$37:$F$47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 formatCode="0">
                  <c:v>80.0</c:v>
                </c:pt>
                <c:pt idx="9" formatCode="0">
                  <c:v>90.0</c:v>
                </c:pt>
                <c:pt idx="10" formatCode="0">
                  <c:v>100.0</c:v>
                </c:pt>
              </c:numCache>
            </c:numRef>
          </c:xVal>
          <c:yVal>
            <c:numRef>
              <c:f>'Moment Redistribution'!$I$37:$I$47</c:f>
              <c:numCache>
                <c:formatCode>0</c:formatCode>
                <c:ptCount val="11"/>
                <c:pt idx="0">
                  <c:v>12425.58510279821</c:v>
                </c:pt>
                <c:pt idx="1">
                  <c:v>12425.58510279821</c:v>
                </c:pt>
                <c:pt idx="2">
                  <c:v>12425.58510279821</c:v>
                </c:pt>
                <c:pt idx="3">
                  <c:v>12425.58510279821</c:v>
                </c:pt>
                <c:pt idx="4">
                  <c:v>12425.58510279821</c:v>
                </c:pt>
                <c:pt idx="5">
                  <c:v>12425.58510279821</c:v>
                </c:pt>
                <c:pt idx="6">
                  <c:v>12425.58510279821</c:v>
                </c:pt>
                <c:pt idx="7">
                  <c:v>12425.58510279821</c:v>
                </c:pt>
                <c:pt idx="8">
                  <c:v>12425.58510279821</c:v>
                </c:pt>
                <c:pt idx="9">
                  <c:v>12425.58510279821</c:v>
                </c:pt>
                <c:pt idx="10">
                  <c:v>12425.58510279821</c:v>
                </c:pt>
              </c:numCache>
            </c:numRef>
          </c:yVal>
          <c:smooth val="1"/>
        </c:ser>
        <c:ser>
          <c:idx val="2"/>
          <c:order val="2"/>
          <c:tx>
            <c:v>Mnc (ft-k) [LTB]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'Moment Redistribution'!$F$37:$F$47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 formatCode="0">
                  <c:v>80.0</c:v>
                </c:pt>
                <c:pt idx="9" formatCode="0">
                  <c:v>90.0</c:v>
                </c:pt>
                <c:pt idx="10" formatCode="0">
                  <c:v>100.0</c:v>
                </c:pt>
              </c:numCache>
            </c:numRef>
          </c:xVal>
          <c:yVal>
            <c:numRef>
              <c:f>'Moment Redistribution'!$J$37:$J$47</c:f>
              <c:numCache>
                <c:formatCode>0</c:formatCode>
                <c:ptCount val="11"/>
                <c:pt idx="0">
                  <c:v>611.1603121726157</c:v>
                </c:pt>
                <c:pt idx="1">
                  <c:v>611.1603121726157</c:v>
                </c:pt>
                <c:pt idx="2">
                  <c:v>611.1603121726157</c:v>
                </c:pt>
                <c:pt idx="3">
                  <c:v>611.1603121726157</c:v>
                </c:pt>
                <c:pt idx="4">
                  <c:v>611.1603121726157</c:v>
                </c:pt>
                <c:pt idx="5">
                  <c:v>611.1603121726157</c:v>
                </c:pt>
                <c:pt idx="6">
                  <c:v>611.1603121726157</c:v>
                </c:pt>
                <c:pt idx="7">
                  <c:v>611.1603121726157</c:v>
                </c:pt>
                <c:pt idx="8">
                  <c:v>611.1603121726157</c:v>
                </c:pt>
                <c:pt idx="9">
                  <c:v>611.1603121726157</c:v>
                </c:pt>
                <c:pt idx="10">
                  <c:v>611.1603121726157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7456"/>
        <c:axId val="419470576"/>
      </c:scatterChart>
      <c:valAx>
        <c:axId val="4194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Span (ft)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0576"/>
        <c:crosses val="autoZero"/>
        <c:crossBetween val="midCat"/>
      </c:valAx>
      <c:valAx>
        <c:axId val="4194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(ft-k)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123047</xdr:colOff>
      <xdr:row>60</xdr:row>
      <xdr:rowOff>110491</xdr:rowOff>
    </xdr:from>
    <xdr:to>
      <xdr:col>14</xdr:col>
      <xdr:colOff>705556</xdr:colOff>
      <xdr:row>74</xdr:row>
      <xdr:rowOff>62715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141112</xdr:colOff>
      <xdr:row>34</xdr:row>
      <xdr:rowOff>47037</xdr:rowOff>
    </xdr:from>
    <xdr:to>
      <xdr:col>14</xdr:col>
      <xdr:colOff>674198</xdr:colOff>
      <xdr:row>46</xdr:row>
      <xdr:rowOff>188148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141112</xdr:colOff>
      <xdr:row>36</xdr:row>
      <xdr:rowOff>47037</xdr:rowOff>
    </xdr:from>
    <xdr:to>
      <xdr:col>15</xdr:col>
      <xdr:colOff>674198</xdr:colOff>
      <xdr:row>48</xdr:row>
      <xdr:rowOff>188148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141112</xdr:colOff>
      <xdr:row>34</xdr:row>
      <xdr:rowOff>47037</xdr:rowOff>
    </xdr:from>
    <xdr:to>
      <xdr:col>14</xdr:col>
      <xdr:colOff>674198</xdr:colOff>
      <xdr:row>46</xdr:row>
      <xdr:rowOff>188148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55" zoomScale="81" zoomScaleNormal="81" workbookViewId="0">
      <selection activeCell="C10" sqref="C10"/>
    </sheetView>
  </sheetViews>
  <sheetFormatPr baseColWidth="10" defaultRowHeight="16" x14ac:dyDescent="0.2"/>
  <cols>
    <col min="1" max="1" width="29.6640625" bestFit="1" customWidth="1"/>
    <col min="2" max="2" width="14.83203125" bestFit="1" customWidth="1"/>
    <col min="3" max="3" width="17" bestFit="1" customWidth="1"/>
    <col min="4" max="4" width="18" customWidth="1"/>
    <col min="5" max="5" width="12.6640625" bestFit="1" customWidth="1"/>
    <col min="6" max="6" width="21.33203125" bestFit="1" customWidth="1"/>
    <col min="7" max="7" width="20.6640625" customWidth="1"/>
    <col min="9" max="9" width="14" bestFit="1" customWidth="1"/>
    <col min="10" max="10" width="14.1640625" bestFit="1" customWidth="1"/>
    <col min="11" max="11" width="8" bestFit="1" customWidth="1"/>
  </cols>
  <sheetData>
    <row r="1" spans="1:15" ht="21" x14ac:dyDescent="0.25">
      <c r="A1" s="136" t="s">
        <v>133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</row>
    <row r="2" spans="1:15" ht="18" x14ac:dyDescent="0.25">
      <c r="A2" s="93" t="s">
        <v>0</v>
      </c>
      <c r="B2" s="1">
        <v>50</v>
      </c>
      <c r="C2" s="4"/>
      <c r="D2" s="139" t="s">
        <v>53</v>
      </c>
      <c r="E2" s="140"/>
      <c r="F2" s="140"/>
      <c r="G2" s="140"/>
      <c r="H2" s="140"/>
      <c r="I2" s="140"/>
      <c r="J2" s="140"/>
      <c r="K2" s="141"/>
      <c r="L2" s="4"/>
      <c r="M2" s="4"/>
      <c r="N2" s="4"/>
      <c r="O2" s="82"/>
    </row>
    <row r="3" spans="1:15" ht="20" x14ac:dyDescent="0.25">
      <c r="A3" s="93" t="s">
        <v>37</v>
      </c>
      <c r="B3" s="1">
        <v>70</v>
      </c>
      <c r="C3" s="4"/>
      <c r="D3" s="5"/>
      <c r="E3" s="5" t="s">
        <v>12</v>
      </c>
      <c r="F3" s="5" t="s">
        <v>13</v>
      </c>
      <c r="G3" s="5" t="s">
        <v>14</v>
      </c>
      <c r="H3" s="5" t="s">
        <v>15</v>
      </c>
      <c r="I3" s="5" t="s">
        <v>75</v>
      </c>
      <c r="J3" s="5" t="s">
        <v>16</v>
      </c>
      <c r="K3" s="6" t="s">
        <v>17</v>
      </c>
      <c r="L3" s="4"/>
      <c r="M3" s="4"/>
      <c r="N3" s="4"/>
      <c r="O3" s="74"/>
    </row>
    <row r="4" spans="1:15" ht="18" x14ac:dyDescent="0.25">
      <c r="A4" s="93" t="s">
        <v>38</v>
      </c>
      <c r="B4" s="1">
        <v>70</v>
      </c>
      <c r="C4" s="4"/>
      <c r="D4" s="6" t="s">
        <v>18</v>
      </c>
      <c r="E4" s="6">
        <f>B12/2</f>
        <v>0.75</v>
      </c>
      <c r="F4" s="6">
        <f>0</f>
        <v>0</v>
      </c>
      <c r="G4" s="6">
        <f>0</f>
        <v>0</v>
      </c>
      <c r="H4" s="7">
        <f>(B21-G4)/B11</f>
        <v>2.671875</v>
      </c>
      <c r="I4" s="8">
        <f>IF(AND(H4&gt;0,H4&lt;=B12),F4+H4,0)</f>
        <v>0</v>
      </c>
      <c r="J4" s="6">
        <f>IF(I4=0,E4-B35,"Neutral Axis")</f>
        <v>-38.25</v>
      </c>
      <c r="K4" s="7">
        <f>IF(I4=0,ABS(J4)*B22,B11*H4^2/2+B11*(B12-H4)^2/2)</f>
        <v>918</v>
      </c>
      <c r="L4" s="4"/>
      <c r="M4" s="4"/>
      <c r="N4" s="4"/>
      <c r="O4" s="74"/>
    </row>
    <row r="5" spans="1:15" ht="18" x14ac:dyDescent="0.25">
      <c r="A5" s="93" t="s">
        <v>39</v>
      </c>
      <c r="B5" s="1">
        <v>50</v>
      </c>
      <c r="C5" s="4"/>
      <c r="D5" s="6" t="s">
        <v>19</v>
      </c>
      <c r="E5" s="6">
        <f>(B12/2)+E4+(B7/2)</f>
        <v>39</v>
      </c>
      <c r="F5" s="6">
        <f>B12+F4</f>
        <v>1.5</v>
      </c>
      <c r="G5" s="6">
        <f>B22+G4</f>
        <v>24</v>
      </c>
      <c r="H5" s="7">
        <f>(B21-G5)/B8</f>
        <v>37.5</v>
      </c>
      <c r="I5" s="8">
        <f>IF(AND(H5&gt;0,H5&lt;=B7),F5+H5,0)</f>
        <v>39</v>
      </c>
      <c r="J5" s="6" t="str">
        <f>IF(I5=0,B35-E5,"Neutral Axis")</f>
        <v>Neutral Axis</v>
      </c>
      <c r="K5" s="7">
        <f>IF(I5=0,ABS(J5)*B24,B8*H5^2/2+B8*(B7-H5)^2/2)</f>
        <v>703.125</v>
      </c>
      <c r="L5" s="4"/>
      <c r="M5" s="4"/>
      <c r="N5" s="4"/>
      <c r="O5" s="74"/>
    </row>
    <row r="6" spans="1:15" x14ac:dyDescent="0.2">
      <c r="A6" s="93" t="s">
        <v>34</v>
      </c>
      <c r="B6" s="3">
        <v>29000</v>
      </c>
      <c r="C6" s="4"/>
      <c r="D6" s="6" t="s">
        <v>20</v>
      </c>
      <c r="E6" s="6">
        <f>(B7/2)+E5+(B10/2)</f>
        <v>77.25</v>
      </c>
      <c r="F6" s="6">
        <f>B7+F5</f>
        <v>76.5</v>
      </c>
      <c r="G6" s="6">
        <f>B24+G5</f>
        <v>61.5</v>
      </c>
      <c r="H6" s="7">
        <f>(B21-G6)/B9</f>
        <v>-1.171875</v>
      </c>
      <c r="I6" s="8">
        <f>IF(AND(H6&gt;0,H6&lt;=B10),F6+H6,0)</f>
        <v>0</v>
      </c>
      <c r="J6" s="6">
        <f>IF(I6=0,E6-B35,"Neutral Axis")</f>
        <v>38.25</v>
      </c>
      <c r="K6" s="7">
        <f>IF(I6=0,ABS(J6)*B23,B9*H6^2/2+B9*(B10-H6)^2/2)</f>
        <v>918</v>
      </c>
      <c r="L6" s="4"/>
      <c r="M6" s="4"/>
      <c r="N6" s="4"/>
      <c r="O6" s="74"/>
    </row>
    <row r="7" spans="1:15" x14ac:dyDescent="0.2">
      <c r="A7" s="77" t="s">
        <v>1</v>
      </c>
      <c r="B7" s="2">
        <v>75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74"/>
    </row>
    <row r="8" spans="1:15" ht="18" x14ac:dyDescent="0.25">
      <c r="A8" s="77" t="s">
        <v>2</v>
      </c>
      <c r="B8" s="47">
        <v>0.5</v>
      </c>
      <c r="C8" s="39"/>
      <c r="D8" s="142" t="s">
        <v>54</v>
      </c>
      <c r="E8" s="143"/>
      <c r="F8" s="143"/>
      <c r="G8" s="143"/>
      <c r="H8" s="143"/>
      <c r="I8" s="4"/>
      <c r="J8" s="143" t="s">
        <v>121</v>
      </c>
      <c r="K8" s="143"/>
      <c r="L8" s="143"/>
      <c r="M8" s="143"/>
      <c r="N8" s="143"/>
      <c r="O8" s="74"/>
    </row>
    <row r="9" spans="1:15" ht="18" x14ac:dyDescent="0.25">
      <c r="A9" s="77" t="s">
        <v>3</v>
      </c>
      <c r="B9" s="2">
        <v>16</v>
      </c>
      <c r="C9" s="4"/>
      <c r="D9" s="27" t="s">
        <v>7</v>
      </c>
      <c r="E9" s="36">
        <f>(2*E12)/B8</f>
        <v>150</v>
      </c>
      <c r="F9" s="4"/>
      <c r="G9" s="5" t="s">
        <v>10</v>
      </c>
      <c r="H9" s="5">
        <f>(2*E12*B8)/(B9*B10)</f>
        <v>1.5625</v>
      </c>
      <c r="I9" s="4"/>
      <c r="J9" s="27" t="s">
        <v>122</v>
      </c>
      <c r="K9" s="53">
        <f>B3</f>
        <v>70</v>
      </c>
      <c r="L9" s="4"/>
      <c r="M9" s="62" t="s">
        <v>123</v>
      </c>
      <c r="N9" s="62">
        <f>K10/K9</f>
        <v>0.7142857142857143</v>
      </c>
      <c r="O9" s="74"/>
    </row>
    <row r="10" spans="1:15" ht="18" x14ac:dyDescent="0.25">
      <c r="A10" s="77" t="s">
        <v>4</v>
      </c>
      <c r="B10" s="2">
        <v>1.5</v>
      </c>
      <c r="C10" s="4"/>
      <c r="D10" s="8" t="s">
        <v>8</v>
      </c>
      <c r="E10" s="9">
        <f>5.7*SQRT(B6/B3)</f>
        <v>116.0178557685965</v>
      </c>
      <c r="F10" s="4"/>
      <c r="G10" s="6" t="s">
        <v>9</v>
      </c>
      <c r="H10" s="23">
        <f>IF(E9&lt;=E10,1,IF(((1-(H9/(1200+(300*H9)))*(((2*E12)/B8)-E10)))&lt;=1,((1-(H9/(1200+(300*H9)))*(((2*E12)/B8)-E10))),1))</f>
        <v>0.96818151289194432</v>
      </c>
      <c r="I10" s="4"/>
      <c r="J10" s="27" t="s">
        <v>39</v>
      </c>
      <c r="K10" s="53">
        <f>B5</f>
        <v>50</v>
      </c>
      <c r="L10" s="4"/>
      <c r="M10" s="6" t="s">
        <v>124</v>
      </c>
      <c r="N10" s="9">
        <f>K20/K19</f>
        <v>1.5625</v>
      </c>
      <c r="O10" s="74"/>
    </row>
    <row r="11" spans="1:15" ht="18" x14ac:dyDescent="0.25">
      <c r="A11" s="77" t="s">
        <v>5</v>
      </c>
      <c r="B11" s="2">
        <v>16</v>
      </c>
      <c r="C11" s="4"/>
      <c r="D11" s="18"/>
      <c r="E11" s="4"/>
      <c r="F11" s="4"/>
      <c r="G11" s="4"/>
      <c r="H11" s="20"/>
      <c r="I11" s="4"/>
      <c r="J11" s="6" t="s">
        <v>125</v>
      </c>
      <c r="K11" s="25">
        <f t="shared" ref="K11:K16" si="0">B7</f>
        <v>75</v>
      </c>
      <c r="L11" s="4"/>
      <c r="M11" s="4"/>
      <c r="N11" s="60"/>
      <c r="O11" s="74"/>
    </row>
    <row r="12" spans="1:15" ht="18" x14ac:dyDescent="0.25">
      <c r="A12" s="77" t="s">
        <v>6</v>
      </c>
      <c r="B12" s="2">
        <v>1.5</v>
      </c>
      <c r="C12" s="4"/>
      <c r="D12" s="6" t="s">
        <v>78</v>
      </c>
      <c r="E12" s="9">
        <f>(B7+B10+B12)-B25-B10</f>
        <v>37.5</v>
      </c>
      <c r="F12" s="4"/>
      <c r="G12" s="4"/>
      <c r="H12" s="20"/>
      <c r="I12" s="4"/>
      <c r="J12" s="6" t="s">
        <v>2</v>
      </c>
      <c r="K12" s="25">
        <f t="shared" si="0"/>
        <v>0.5</v>
      </c>
      <c r="L12" s="4"/>
      <c r="M12" s="6" t="s">
        <v>128</v>
      </c>
      <c r="N12" s="6">
        <f>((K9*K19*K11)/12)*(12-(N10*((N9^3)-(3*N9))))</f>
        <v>155177.29591836734</v>
      </c>
      <c r="O12" s="74"/>
    </row>
    <row r="13" spans="1:15" ht="18" x14ac:dyDescent="0.25">
      <c r="A13" s="94" t="s">
        <v>153</v>
      </c>
      <c r="B13" s="17" t="s">
        <v>84</v>
      </c>
      <c r="C13" s="4"/>
      <c r="D13" s="6" t="s">
        <v>79</v>
      </c>
      <c r="E13" s="9">
        <f>(B7+B10+B12)-B35-B10</f>
        <v>37.5</v>
      </c>
      <c r="F13" s="4"/>
      <c r="G13" s="35" t="s">
        <v>68</v>
      </c>
      <c r="H13" s="6" t="str">
        <f>IF(E9&lt;=E10,"Applicable","NA")</f>
        <v>NA</v>
      </c>
      <c r="I13" s="4"/>
      <c r="J13" s="6" t="s">
        <v>3</v>
      </c>
      <c r="K13" s="25">
        <f t="shared" si="0"/>
        <v>16</v>
      </c>
      <c r="L13" s="4"/>
      <c r="M13" s="6" t="s">
        <v>129</v>
      </c>
      <c r="N13" s="6">
        <f>((K9*K19*K11)/12)*(12+(2*N10))</f>
        <v>158812.5</v>
      </c>
      <c r="O13" s="74"/>
    </row>
    <row r="14" spans="1:15" ht="18" x14ac:dyDescent="0.25">
      <c r="A14" s="94" t="s">
        <v>50</v>
      </c>
      <c r="B14" s="17">
        <v>108</v>
      </c>
      <c r="C14" s="4"/>
      <c r="D14" s="18"/>
      <c r="E14" s="4"/>
      <c r="F14" s="4"/>
      <c r="G14" s="4"/>
      <c r="H14" s="20"/>
      <c r="I14" s="4"/>
      <c r="J14" s="6" t="s">
        <v>4</v>
      </c>
      <c r="K14" s="25">
        <f t="shared" si="0"/>
        <v>1.5</v>
      </c>
      <c r="L14" s="4"/>
      <c r="M14" s="4"/>
      <c r="N14" s="20"/>
      <c r="O14" s="74"/>
    </row>
    <row r="15" spans="1:15" ht="18" x14ac:dyDescent="0.25">
      <c r="A15" s="77" t="s">
        <v>48</v>
      </c>
      <c r="B15" s="2">
        <v>90</v>
      </c>
      <c r="C15" s="4"/>
      <c r="D15" s="8" t="s">
        <v>11</v>
      </c>
      <c r="E15" s="9">
        <f>IF(((SQRT(B6/B4))/(((0.54*(B39/(N15*B38)))-0.09)^2))&lt;=(E10*(E13/E12)),((SQRT(B6/B4))/(((0.54*(B39/(N15*B38)))-0.09)^2)),(E10*(E13/E12)))</f>
        <v>71.590110846059702</v>
      </c>
      <c r="F15" s="4"/>
      <c r="G15" s="6" t="str">
        <f>IF(((2*E13)/B8)&lt;=E15,"Compact Web", "Noncompact Web")</f>
        <v>Noncompact Web</v>
      </c>
      <c r="H15" s="20"/>
      <c r="I15" s="4"/>
      <c r="J15" s="6" t="s">
        <v>5</v>
      </c>
      <c r="K15" s="25">
        <f t="shared" si="0"/>
        <v>16</v>
      </c>
      <c r="L15" s="4"/>
      <c r="M15" s="64" t="s">
        <v>126</v>
      </c>
      <c r="N15" s="66">
        <f>N12/N13</f>
        <v>0.97711008842734259</v>
      </c>
      <c r="O15" s="74"/>
    </row>
    <row r="16" spans="1:15" ht="18" x14ac:dyDescent="0.25">
      <c r="A16" s="69" t="s">
        <v>86</v>
      </c>
      <c r="B16" s="2">
        <v>12</v>
      </c>
      <c r="C16" s="4"/>
      <c r="D16" s="8" t="s">
        <v>35</v>
      </c>
      <c r="E16" s="9">
        <f>IF((E15*(E12/E13))&lt;=E10,(E15*(E12/E13)),E10)</f>
        <v>71.590110846059702</v>
      </c>
      <c r="F16" s="4"/>
      <c r="G16" s="4"/>
      <c r="H16" s="20"/>
      <c r="I16" s="4"/>
      <c r="J16" s="6" t="s">
        <v>6</v>
      </c>
      <c r="K16" s="25">
        <f t="shared" si="0"/>
        <v>1.5</v>
      </c>
      <c r="L16" s="4"/>
      <c r="M16" s="63"/>
      <c r="N16" s="51"/>
      <c r="O16" s="74"/>
    </row>
    <row r="17" spans="1:15" x14ac:dyDescent="0.2">
      <c r="A17" s="95"/>
      <c r="B17" s="12"/>
      <c r="C17" s="4"/>
      <c r="D17" s="16"/>
      <c r="E17" s="4"/>
      <c r="F17" s="4"/>
      <c r="G17" s="4"/>
      <c r="H17" s="20"/>
      <c r="I17" s="4"/>
      <c r="J17" s="61"/>
      <c r="K17" s="12"/>
      <c r="L17" s="4"/>
      <c r="M17" s="63"/>
      <c r="N17" s="51"/>
      <c r="O17" s="74"/>
    </row>
    <row r="18" spans="1:15" ht="20" x14ac:dyDescent="0.25">
      <c r="A18" s="77" t="s">
        <v>166</v>
      </c>
      <c r="B18" s="34">
        <f>((B20/144)*490)/1000</f>
        <v>0.29093750000000002</v>
      </c>
      <c r="C18" s="4"/>
      <c r="D18" s="31" t="s">
        <v>36</v>
      </c>
      <c r="E18" s="23">
        <f>IF(G15="Noncompact Web",IF(((1-(1-((N15*B34)/B39))*((E9-E16)/(E10-E16)))*H18)&lt;=H18,((1-(1-((N15*B34)/B39))*((E9-E16)/(E10-E16)))*H18),H18),H18)</f>
        <v>0.86194443858493874</v>
      </c>
      <c r="F18" s="28"/>
      <c r="G18" s="37" t="s">
        <v>81</v>
      </c>
      <c r="H18" s="23">
        <f>B39/B34</f>
        <v>1.1276759291287135</v>
      </c>
      <c r="I18" s="4"/>
      <c r="J18" s="6" t="s">
        <v>21</v>
      </c>
      <c r="K18" s="6">
        <f>(K11*K12)+(K13*K14)+(K15*K16)</f>
        <v>85.5</v>
      </c>
      <c r="L18" s="4"/>
      <c r="M18" s="63"/>
      <c r="N18" s="51"/>
      <c r="O18" s="74"/>
    </row>
    <row r="19" spans="1:15" ht="20" x14ac:dyDescent="0.25">
      <c r="A19" s="77" t="s">
        <v>58</v>
      </c>
      <c r="B19" s="43">
        <f>(B18*(B15^2))/8</f>
        <v>294.57421875</v>
      </c>
      <c r="C19" s="4"/>
      <c r="D19" s="31" t="s">
        <v>69</v>
      </c>
      <c r="E19" s="23">
        <f>IF(G15="Noncompact Web",IF(((1-(1-((N15*B31)/B39))*((E9-E16)/(E10-E16)))*H19)&lt;=H19,((1-(1-((N15*B31)/B39))*((E9-E16)/(E10-E16)))*H19),H19),H19)</f>
        <v>0.86194443858493874</v>
      </c>
      <c r="F19" s="28"/>
      <c r="G19" s="37" t="s">
        <v>82</v>
      </c>
      <c r="H19" s="23">
        <f>B39/B31</f>
        <v>1.1276759291287135</v>
      </c>
      <c r="I19" s="4"/>
      <c r="J19" s="6" t="s">
        <v>127</v>
      </c>
      <c r="K19" s="6">
        <f>K15*K16</f>
        <v>24</v>
      </c>
      <c r="L19" s="4"/>
      <c r="M19" s="63"/>
      <c r="N19" s="51"/>
      <c r="O19" s="74"/>
    </row>
    <row r="20" spans="1:15" ht="20" x14ac:dyDescent="0.25">
      <c r="A20" s="77" t="s">
        <v>21</v>
      </c>
      <c r="B20" s="30">
        <f>(B7*B8)+(B9*B10)+(B11*B12)</f>
        <v>85.5</v>
      </c>
      <c r="C20" s="4"/>
      <c r="D20" s="33"/>
      <c r="E20" s="28"/>
      <c r="F20" s="4"/>
      <c r="G20" s="4"/>
      <c r="H20" s="20"/>
      <c r="I20" s="4"/>
      <c r="J20" s="6" t="s">
        <v>25</v>
      </c>
      <c r="K20" s="6">
        <f>K12*K11</f>
        <v>37.5</v>
      </c>
      <c r="L20" s="56"/>
      <c r="M20" s="52"/>
      <c r="N20" s="21"/>
      <c r="O20" s="74"/>
    </row>
    <row r="21" spans="1:15" ht="20" x14ac:dyDescent="0.25">
      <c r="A21" s="77" t="s">
        <v>22</v>
      </c>
      <c r="B21" s="6">
        <f>B20/2</f>
        <v>42.75</v>
      </c>
      <c r="C21" s="4"/>
      <c r="D21" s="8" t="s">
        <v>55</v>
      </c>
      <c r="E21" s="29">
        <f>B9/(2*B10)</f>
        <v>5.333333333333333</v>
      </c>
      <c r="F21" s="4"/>
      <c r="G21" s="4"/>
      <c r="H21" s="20"/>
      <c r="I21" s="4"/>
      <c r="J21" s="4"/>
      <c r="K21" s="4"/>
      <c r="L21" s="4"/>
      <c r="M21" s="12"/>
      <c r="N21" s="28"/>
      <c r="O21" s="74"/>
    </row>
    <row r="22" spans="1:15" ht="20" x14ac:dyDescent="0.25">
      <c r="A22" s="77" t="s">
        <v>23</v>
      </c>
      <c r="B22" s="6">
        <f>B11*B12</f>
        <v>24</v>
      </c>
      <c r="C22" s="4"/>
      <c r="D22" s="8" t="s">
        <v>56</v>
      </c>
      <c r="E22" s="9">
        <f>0.38*SQRT(B6/B3)</f>
        <v>7.7345237179064332</v>
      </c>
      <c r="F22" s="4"/>
      <c r="G22" s="4"/>
      <c r="H22" s="20"/>
      <c r="I22" s="4"/>
      <c r="J22" s="4"/>
      <c r="K22" s="4"/>
      <c r="L22" s="4"/>
      <c r="M22" s="4"/>
      <c r="N22" s="4"/>
      <c r="O22" s="74"/>
    </row>
    <row r="23" spans="1:15" ht="20" x14ac:dyDescent="0.25">
      <c r="A23" s="77" t="s">
        <v>24</v>
      </c>
      <c r="B23" s="6">
        <f>B9*B10</f>
        <v>24</v>
      </c>
      <c r="C23" s="4"/>
      <c r="D23" s="8" t="s">
        <v>57</v>
      </c>
      <c r="E23" s="9">
        <f>IF(H13="NA",(0.56*SQRT(B6/E27)),(0.95*SQRT((B6*(4/SQRT(B7/B8)))/E27)))</f>
        <v>13.623509092741122</v>
      </c>
      <c r="F23" s="5"/>
      <c r="G23" s="6" t="str">
        <f>IF(E21&lt;=E22,"Compact Flange", "Noncompact Flange")</f>
        <v>Compact Flange</v>
      </c>
      <c r="H23" s="21"/>
      <c r="I23" s="4"/>
      <c r="J23" s="4"/>
      <c r="K23" s="4"/>
      <c r="L23" s="4"/>
      <c r="M23" s="4"/>
      <c r="N23" s="4"/>
      <c r="O23" s="74"/>
    </row>
    <row r="24" spans="1:15" ht="20" x14ac:dyDescent="0.25">
      <c r="A24" s="77" t="s">
        <v>25</v>
      </c>
      <c r="B24" s="6">
        <f>B8*B7</f>
        <v>37.5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74"/>
    </row>
    <row r="25" spans="1:15" ht="18" x14ac:dyDescent="0.25">
      <c r="A25" s="77" t="s">
        <v>80</v>
      </c>
      <c r="B25" s="9">
        <f>((B23*E6)+(B24*E5)+(B22*E4))/(B22+B23+B24)</f>
        <v>39</v>
      </c>
      <c r="C25" s="4"/>
      <c r="D25" s="143" t="s">
        <v>74</v>
      </c>
      <c r="E25" s="143"/>
      <c r="F25" s="4"/>
      <c r="G25" s="143" t="s">
        <v>60</v>
      </c>
      <c r="H25" s="143"/>
      <c r="I25" s="143"/>
      <c r="J25" s="13"/>
      <c r="K25" s="35" t="s">
        <v>138</v>
      </c>
      <c r="L25" s="9">
        <f>MIN(H37:H41)</f>
        <v>1.02</v>
      </c>
      <c r="M25" s="4"/>
      <c r="N25" s="4"/>
      <c r="O25" s="74"/>
    </row>
    <row r="26" spans="1:15" ht="20" x14ac:dyDescent="0.25">
      <c r="A26" s="77" t="s">
        <v>70</v>
      </c>
      <c r="B26" s="9">
        <f>(1/12)*B10*(B9^3)</f>
        <v>512</v>
      </c>
      <c r="C26" s="4"/>
      <c r="D26" s="6" t="s">
        <v>44</v>
      </c>
      <c r="E26" s="23">
        <f>B9/(SQRT(12*(1+((1/3)*((E12*B8)/(B9*B10))))))</f>
        <v>4.1140758178126404</v>
      </c>
      <c r="F26" s="4"/>
      <c r="G26" s="6" t="s">
        <v>63</v>
      </c>
      <c r="H26" s="6">
        <f>(B7/B8)</f>
        <v>150</v>
      </c>
      <c r="I26" s="6" t="str">
        <f>IF(H26&lt;=150,"Good","NA")</f>
        <v>Good</v>
      </c>
      <c r="J26" s="4"/>
      <c r="K26" s="4"/>
      <c r="L26" s="4"/>
      <c r="M26" s="4"/>
      <c r="N26" s="4"/>
      <c r="O26" s="74"/>
    </row>
    <row r="27" spans="1:15" ht="20" x14ac:dyDescent="0.25">
      <c r="A27" s="77" t="s">
        <v>71</v>
      </c>
      <c r="B27" s="9">
        <f>(1/12)*B12*(B11^3)</f>
        <v>512</v>
      </c>
      <c r="C27" s="4"/>
      <c r="D27" s="8" t="s">
        <v>40</v>
      </c>
      <c r="E27" s="6">
        <f>IF(H13="NA",IF(MIN(0.7*B3,B5)&gt;(0.5*B3),MIN(0.7*B3,B5),(0.5*B3)),IF(MIN(0.7*B3,B5,((N15*B4*(B30/B33))))&gt;(0.5*B3),MIN(0.7*B3,B5,((N15*B4*(B30/B33)))),(0.5*B3)))</f>
        <v>49</v>
      </c>
      <c r="F27" s="4"/>
      <c r="G27" s="6" t="s">
        <v>64</v>
      </c>
      <c r="H27" s="6">
        <f>IF((B9/(2*B10))&lt;=12,(B9/(2*B10)),"NA")</f>
        <v>5.333333333333333</v>
      </c>
      <c r="I27" s="6" t="str">
        <f>IF(H27&lt;=12,"Good","NA")</f>
        <v>Good</v>
      </c>
      <c r="J27" s="4"/>
      <c r="K27" s="4"/>
      <c r="L27" s="4"/>
      <c r="M27" s="4"/>
      <c r="N27" s="4"/>
      <c r="O27" s="74"/>
    </row>
    <row r="28" spans="1:15" ht="20" x14ac:dyDescent="0.25">
      <c r="A28" s="77" t="s">
        <v>26</v>
      </c>
      <c r="B28" s="9">
        <f>(((B11*(B12^3))/12)+(B22*((B29-(B12/2))^2)))+(((B8*(B7^3))/12)+(B24*((((B7/2)+B12)-B29)^2)))+(((B9*(B10^3))/12)+(B23*((((B10/2)+B7+B12)-B29)^2)))</f>
        <v>87814.125</v>
      </c>
      <c r="C28" s="4"/>
      <c r="D28" s="24" t="s">
        <v>41</v>
      </c>
      <c r="E28" s="6">
        <f>(1/3)*((B7*(B8^3))+(B9*(B10^3)*(1-(0.63*(B10/B9))))+(B11*(B12^3)*(1-(0.63*(B12/B11)))))</f>
        <v>36.998750000000001</v>
      </c>
      <c r="F28" s="4"/>
      <c r="G28" s="6" t="s">
        <v>65</v>
      </c>
      <c r="H28" s="6">
        <f>IF((B11/(2*B12))&lt;=12,(B11/(2*B12)),"NA")</f>
        <v>5.333333333333333</v>
      </c>
      <c r="I28" s="6" t="str">
        <f>IF(H28&lt;=12,"Good","NA")</f>
        <v>Good</v>
      </c>
      <c r="J28" s="4"/>
      <c r="K28" s="4"/>
      <c r="L28" s="4"/>
      <c r="M28" s="4"/>
      <c r="N28" s="4"/>
      <c r="O28" s="74"/>
    </row>
    <row r="29" spans="1:15" ht="18" x14ac:dyDescent="0.25">
      <c r="A29" s="77" t="s">
        <v>77</v>
      </c>
      <c r="B29" s="9">
        <f>((B22*(B12/2))+(B24*(B12+(B7/2)))+(B23*(B12+B7+(B10/2))))/(B22+B24+B23)</f>
        <v>39</v>
      </c>
      <c r="C29" s="4"/>
      <c r="D29" s="24" t="s">
        <v>43</v>
      </c>
      <c r="E29" s="9">
        <f>B7+(B10/2)+(B12/2)</f>
        <v>76.5</v>
      </c>
      <c r="F29" s="4"/>
      <c r="G29" s="25" t="s">
        <v>66</v>
      </c>
      <c r="H29" s="6">
        <f>B7/6</f>
        <v>12.5</v>
      </c>
      <c r="I29" s="6" t="str">
        <f>IF(B9&gt;=H29,"Good","NA")</f>
        <v>Good</v>
      </c>
      <c r="J29" s="4"/>
      <c r="K29" s="4"/>
      <c r="L29" s="4"/>
      <c r="M29" s="4"/>
      <c r="N29" s="4"/>
      <c r="O29" s="74"/>
    </row>
    <row r="30" spans="1:15" ht="20" x14ac:dyDescent="0.25">
      <c r="A30" s="94" t="s">
        <v>27</v>
      </c>
      <c r="B30" s="9">
        <f>B28/B29</f>
        <v>2251.6442307692309</v>
      </c>
      <c r="C30" s="4"/>
      <c r="D30" s="24" t="s">
        <v>59</v>
      </c>
      <c r="E30" s="9">
        <f>IF(H13="NA",IF(B13="No",((1*H10*(PI()^2)*B6)/((B14/E26)^2)),((L25*(PI()^2)*B6)/((B14/E26)^2))),IF(B13="No",((1*(PI()^2)*B6)/((B14/E26)^2))*SQRT(1+(0.078*(E28/(B33*E29))*((B14/E26)^2))),((L25*(PI()^2)*B6)/((B14/E26)^2))*SQRT(1+(0.078*(E28/(B33*E29))*((B14/E26)^2)))))</f>
        <v>423.63807511229669</v>
      </c>
      <c r="F30" s="4"/>
      <c r="G30" s="25" t="s">
        <v>67</v>
      </c>
      <c r="H30" s="6">
        <f>B7/6</f>
        <v>12.5</v>
      </c>
      <c r="I30" s="6" t="str">
        <f>IF(B11&gt;=H30,"Good","NA")</f>
        <v>Good</v>
      </c>
      <c r="J30" s="14"/>
      <c r="K30" s="4"/>
      <c r="L30" s="4"/>
      <c r="M30" s="4"/>
      <c r="N30" s="4"/>
      <c r="O30" s="74"/>
    </row>
    <row r="31" spans="1:15" ht="18" x14ac:dyDescent="0.25">
      <c r="A31" s="77" t="s">
        <v>28</v>
      </c>
      <c r="B31" s="10">
        <f>(B2*B30)/12</f>
        <v>9381.8509615384628</v>
      </c>
      <c r="C31" s="4"/>
      <c r="D31" s="22"/>
      <c r="E31" s="19"/>
      <c r="F31" s="4"/>
      <c r="G31" s="25" t="s">
        <v>61</v>
      </c>
      <c r="H31" s="6">
        <f>(1.1*B8)</f>
        <v>0.55000000000000004</v>
      </c>
      <c r="I31" s="6" t="str">
        <f>IF(B10&gt;=H31,"Good","NA")</f>
        <v>Good</v>
      </c>
      <c r="J31" s="4"/>
      <c r="K31" s="4"/>
      <c r="L31" s="4"/>
      <c r="M31" s="4"/>
      <c r="N31" s="4"/>
      <c r="O31" s="74"/>
    </row>
    <row r="32" spans="1:15" ht="18" x14ac:dyDescent="0.25">
      <c r="A32" s="96" t="s">
        <v>76</v>
      </c>
      <c r="B32" s="9">
        <f>(B7+B10+B12)-B29</f>
        <v>39</v>
      </c>
      <c r="C32" s="4"/>
      <c r="D32" s="25" t="s">
        <v>51</v>
      </c>
      <c r="E32" s="26">
        <f>1*E26*SQRT(B6/B3)</f>
        <v>83.737939447729403</v>
      </c>
      <c r="F32" s="4"/>
      <c r="G32" s="25" t="s">
        <v>62</v>
      </c>
      <c r="H32" s="6">
        <f>(1.1*B8)</f>
        <v>0.55000000000000004</v>
      </c>
      <c r="I32" s="6" t="str">
        <f>IF(B12&gt;=H32,"Good","NA")</f>
        <v>Good</v>
      </c>
      <c r="J32" s="4"/>
      <c r="K32" s="4"/>
      <c r="L32" s="4"/>
      <c r="M32" s="4"/>
      <c r="N32" s="4"/>
      <c r="O32" s="74"/>
    </row>
    <row r="33" spans="1:15" ht="20" x14ac:dyDescent="0.25">
      <c r="A33" s="94" t="s">
        <v>29</v>
      </c>
      <c r="B33" s="9">
        <f>B28/B32</f>
        <v>2251.6442307692309</v>
      </c>
      <c r="C33" s="4"/>
      <c r="D33" s="31" t="s">
        <v>52</v>
      </c>
      <c r="E33" s="26">
        <f>IF(H13="NA",(PI()*E26*SQRT(B6/E27)),(1.95*E26*(B6/E27)*SQRT(E28/(B33*E29))*SQRT(1+SQRT(1+6.76*(((E27/B6)*((B33*E29)/E28))^2)))))</f>
        <v>314.42938236875267</v>
      </c>
      <c r="F33" s="4"/>
      <c r="G33" s="37" t="s">
        <v>72</v>
      </c>
      <c r="H33" s="9">
        <f>B26/B27</f>
        <v>1</v>
      </c>
      <c r="I33" s="6" t="str">
        <f>IF(AND(0.1&lt;=H33,H33&lt;=10),"Good","NA")</f>
        <v>Good</v>
      </c>
      <c r="J33" s="4"/>
      <c r="K33" s="4"/>
      <c r="L33" s="4"/>
      <c r="M33" s="4"/>
      <c r="N33" s="4"/>
      <c r="O33" s="74"/>
    </row>
    <row r="34" spans="1:15" ht="18" x14ac:dyDescent="0.25">
      <c r="A34" s="77" t="s">
        <v>30</v>
      </c>
      <c r="B34" s="10">
        <f>(B2*B33)/12</f>
        <v>9381.8509615384628</v>
      </c>
      <c r="C34" s="4"/>
      <c r="D34" s="32"/>
      <c r="E34" s="14"/>
      <c r="F34" s="4"/>
      <c r="G34" s="4"/>
      <c r="H34" s="4"/>
      <c r="I34" s="4"/>
      <c r="J34" s="4"/>
      <c r="K34" s="4"/>
      <c r="L34" s="4"/>
      <c r="M34" s="4"/>
      <c r="N34" s="4"/>
      <c r="O34" s="74"/>
    </row>
    <row r="35" spans="1:15" ht="18" x14ac:dyDescent="0.25">
      <c r="A35" s="96" t="s">
        <v>75</v>
      </c>
      <c r="B35" s="9">
        <f>SUM(I4:I6)</f>
        <v>39</v>
      </c>
      <c r="C35" s="4"/>
      <c r="D35" s="12"/>
      <c r="E35" s="143" t="s">
        <v>45</v>
      </c>
      <c r="F35" s="143"/>
      <c r="G35" s="143"/>
      <c r="H35" s="143"/>
      <c r="I35" s="143"/>
      <c r="J35" s="143"/>
      <c r="K35" s="4"/>
      <c r="L35" s="4"/>
      <c r="M35" s="4"/>
      <c r="N35" s="4"/>
      <c r="O35" s="74"/>
    </row>
    <row r="36" spans="1:15" ht="20" x14ac:dyDescent="0.25">
      <c r="A36" s="94" t="s">
        <v>31</v>
      </c>
      <c r="B36" s="9">
        <f>SUM(K4:K6)</f>
        <v>2539.125</v>
      </c>
      <c r="C36" s="4"/>
      <c r="D36" s="4"/>
      <c r="E36" s="5" t="s">
        <v>46</v>
      </c>
      <c r="F36" s="5" t="s">
        <v>88</v>
      </c>
      <c r="G36" s="5" t="s">
        <v>89</v>
      </c>
      <c r="H36" s="56" t="s">
        <v>47</v>
      </c>
      <c r="I36" s="6" t="s">
        <v>130</v>
      </c>
      <c r="J36" s="6" t="s">
        <v>131</v>
      </c>
      <c r="K36" s="16"/>
      <c r="L36" s="4"/>
      <c r="M36" s="4"/>
      <c r="N36" s="4"/>
      <c r="O36" s="74"/>
    </row>
    <row r="37" spans="1:15" ht="17" thickBot="1" x14ac:dyDescent="0.25">
      <c r="A37" s="97"/>
      <c r="B37" s="4"/>
      <c r="C37" s="4"/>
      <c r="D37" s="20"/>
      <c r="E37" s="23">
        <f>F37/$B$15</f>
        <v>0</v>
      </c>
      <c r="F37" s="2">
        <v>0</v>
      </c>
      <c r="G37" s="38">
        <f t="shared" ref="G37:G47" si="1">((($B$16*$B$15)/2)*F37)-($B$16*((F37^2)/2))</f>
        <v>0</v>
      </c>
      <c r="H37" s="9">
        <f t="shared" ref="H37:H42" si="2">ROUND((1.75-(1.05*(G37/G38))+(0.3*((G37/G38)^2))),2)</f>
        <v>1.75</v>
      </c>
      <c r="I37" s="30">
        <f>$B$42</f>
        <v>12425.585102798212</v>
      </c>
      <c r="J37" s="30">
        <f>IF($C$45="NA",IF($C$46="NA",$B$47,$B$46),$B$45)</f>
        <v>12296.070469304945</v>
      </c>
      <c r="K37" s="4"/>
      <c r="L37" s="4"/>
      <c r="M37" s="4"/>
      <c r="N37" s="4"/>
      <c r="O37" s="74"/>
    </row>
    <row r="38" spans="1:15" ht="20" thickTop="1" thickBot="1" x14ac:dyDescent="0.3">
      <c r="A38" s="98" t="s">
        <v>32</v>
      </c>
      <c r="B38" s="11">
        <f>IF(B31&lt;B34,B31,B34)</f>
        <v>9381.8509615384628</v>
      </c>
      <c r="C38" s="15"/>
      <c r="D38" s="4"/>
      <c r="E38" s="23">
        <f t="shared" ref="E38:E47" si="3">F38/$B$15</f>
        <v>0.1</v>
      </c>
      <c r="F38" s="2">
        <v>9</v>
      </c>
      <c r="G38" s="38">
        <f t="shared" si="1"/>
        <v>4374</v>
      </c>
      <c r="H38" s="9">
        <f t="shared" si="2"/>
        <v>1.25</v>
      </c>
      <c r="I38" s="30">
        <f t="shared" ref="I38:I47" si="4">$B$42</f>
        <v>12425.585102798212</v>
      </c>
      <c r="J38" s="30">
        <f t="shared" ref="J38:J46" si="5">IF($C$45="NA",IF($C$46="NA",$B$47,$B$46),$B$45)</f>
        <v>12296.070469304945</v>
      </c>
      <c r="K38" s="4"/>
      <c r="L38" s="4"/>
      <c r="M38" s="4"/>
      <c r="N38" s="4"/>
      <c r="O38" s="74"/>
    </row>
    <row r="39" spans="1:15" ht="20" thickTop="1" thickBot="1" x14ac:dyDescent="0.3">
      <c r="A39" s="98" t="s">
        <v>33</v>
      </c>
      <c r="B39" s="11">
        <f>(B2*B36)/12</f>
        <v>10579.6875</v>
      </c>
      <c r="C39" s="4"/>
      <c r="D39" s="4"/>
      <c r="E39" s="23">
        <f t="shared" si="3"/>
        <v>0.2</v>
      </c>
      <c r="F39" s="2">
        <v>18</v>
      </c>
      <c r="G39" s="38">
        <f>((($B$16*$B$15)/2)*F39)-($B$16*((F39^2)/2))</f>
        <v>7776</v>
      </c>
      <c r="H39" s="9">
        <f t="shared" si="2"/>
        <v>1.1200000000000001</v>
      </c>
      <c r="I39" s="30">
        <f t="shared" si="4"/>
        <v>12425.585102798212</v>
      </c>
      <c r="J39" s="30">
        <f t="shared" si="5"/>
        <v>12296.070469304945</v>
      </c>
      <c r="K39" s="4"/>
      <c r="L39" s="4"/>
      <c r="M39" s="4"/>
      <c r="N39" s="4"/>
      <c r="O39" s="74"/>
    </row>
    <row r="40" spans="1:15" ht="18" thickTop="1" thickBot="1" x14ac:dyDescent="0.25">
      <c r="A40" s="99"/>
      <c r="B40" s="4"/>
      <c r="C40" s="45"/>
      <c r="D40" s="4"/>
      <c r="E40" s="23">
        <f t="shared" si="3"/>
        <v>0.3</v>
      </c>
      <c r="F40" s="2">
        <v>27</v>
      </c>
      <c r="G40" s="38">
        <f t="shared" si="1"/>
        <v>10206</v>
      </c>
      <c r="H40" s="9">
        <f t="shared" si="2"/>
        <v>1.06</v>
      </c>
      <c r="I40" s="30">
        <f t="shared" si="4"/>
        <v>12425.585102798212</v>
      </c>
      <c r="J40" s="30">
        <f t="shared" si="5"/>
        <v>12296.070469304945</v>
      </c>
      <c r="K40" s="4"/>
      <c r="L40" s="4"/>
      <c r="M40" s="4"/>
      <c r="N40" s="4"/>
      <c r="O40" s="74"/>
    </row>
    <row r="41" spans="1:15" ht="18" thickTop="1" thickBot="1" x14ac:dyDescent="0.25">
      <c r="A41" s="148" t="s">
        <v>73</v>
      </c>
      <c r="B41" s="149"/>
      <c r="C41" s="15"/>
      <c r="D41" s="4"/>
      <c r="E41" s="23">
        <f t="shared" si="3"/>
        <v>0.4</v>
      </c>
      <c r="F41" s="2">
        <v>36</v>
      </c>
      <c r="G41" s="38">
        <f t="shared" si="1"/>
        <v>11664</v>
      </c>
      <c r="H41" s="9">
        <f t="shared" si="2"/>
        <v>1.02</v>
      </c>
      <c r="I41" s="30">
        <f t="shared" si="4"/>
        <v>12425.585102798212</v>
      </c>
      <c r="J41" s="30">
        <f t="shared" si="5"/>
        <v>12296.070469304945</v>
      </c>
      <c r="K41" s="4"/>
      <c r="L41" s="4"/>
      <c r="M41" s="4"/>
      <c r="N41" s="4"/>
      <c r="O41" s="74"/>
    </row>
    <row r="42" spans="1:15" ht="20" thickTop="1" thickBot="1" x14ac:dyDescent="0.3">
      <c r="A42" s="98" t="s">
        <v>49</v>
      </c>
      <c r="B42" s="65">
        <f>IF(H13="NA",IF(E21&lt;=E22, (H10*N15*((B3*B33)/12)),((1-(1-((E27/(N15*B3))*((E21-E22)/(E23-E22)))))*H10*N15*((B3*B33)/12))),IF(E21&lt;=E22,E18*B34,((1-(1-(((E27*B33)/(E18*B34*12))*((E21-E22)/(E23-E22)))))*(E18*B34))))</f>
        <v>12425.585102798212</v>
      </c>
      <c r="C42" s="4"/>
      <c r="D42" s="4"/>
      <c r="E42" s="23">
        <f t="shared" si="3"/>
        <v>0.5</v>
      </c>
      <c r="F42" s="41">
        <v>45</v>
      </c>
      <c r="G42" s="38">
        <f t="shared" si="1"/>
        <v>12150</v>
      </c>
      <c r="H42" s="9">
        <f t="shared" si="2"/>
        <v>0.98</v>
      </c>
      <c r="I42" s="30">
        <f t="shared" si="4"/>
        <v>12425.585102798212</v>
      </c>
      <c r="J42" s="30">
        <f t="shared" si="5"/>
        <v>12296.070469304945</v>
      </c>
      <c r="K42" s="4"/>
      <c r="L42" s="4"/>
      <c r="M42" s="4"/>
      <c r="N42" s="4"/>
      <c r="O42" s="74"/>
    </row>
    <row r="43" spans="1:15" ht="18" thickTop="1" thickBot="1" x14ac:dyDescent="0.25">
      <c r="A43" s="100"/>
      <c r="B43" s="4"/>
      <c r="C43" s="4"/>
      <c r="D43" s="4"/>
      <c r="E43" s="40">
        <f>F43/$B$15</f>
        <v>0.6</v>
      </c>
      <c r="F43" s="2">
        <v>54</v>
      </c>
      <c r="G43" s="38">
        <f t="shared" si="1"/>
        <v>11664</v>
      </c>
      <c r="H43" s="42">
        <f>H41</f>
        <v>1.02</v>
      </c>
      <c r="I43" s="30">
        <f t="shared" si="4"/>
        <v>12425.585102798212</v>
      </c>
      <c r="J43" s="30">
        <f t="shared" si="5"/>
        <v>12296.070469304945</v>
      </c>
      <c r="K43" s="4"/>
      <c r="L43" s="4"/>
      <c r="M43" s="4"/>
      <c r="N43" s="4"/>
      <c r="O43" s="74"/>
    </row>
    <row r="44" spans="1:15" ht="18" thickTop="1" thickBot="1" x14ac:dyDescent="0.25">
      <c r="A44" s="150" t="s">
        <v>42</v>
      </c>
      <c r="B44" s="151"/>
      <c r="C44" s="46"/>
      <c r="D44" s="4"/>
      <c r="E44" s="40">
        <f t="shared" si="3"/>
        <v>0.7</v>
      </c>
      <c r="F44" s="2">
        <v>63</v>
      </c>
      <c r="G44" s="38">
        <f t="shared" si="1"/>
        <v>10206</v>
      </c>
      <c r="H44" s="42">
        <f>H40</f>
        <v>1.06</v>
      </c>
      <c r="I44" s="30">
        <f t="shared" si="4"/>
        <v>12425.585102798212</v>
      </c>
      <c r="J44" s="30">
        <f t="shared" si="5"/>
        <v>12296.070469304945</v>
      </c>
      <c r="K44" s="4"/>
      <c r="L44" s="4"/>
      <c r="M44" s="4"/>
      <c r="N44" s="4"/>
      <c r="O44" s="74"/>
    </row>
    <row r="45" spans="1:15" ht="20" thickTop="1" thickBot="1" x14ac:dyDescent="0.3">
      <c r="A45" s="98" t="s">
        <v>102</v>
      </c>
      <c r="B45" s="11">
        <f>IF(H13="NA",(H10*N15*((B3*B33)/12)),(E18*B34))</f>
        <v>12425.585102798212</v>
      </c>
      <c r="C45" s="10" t="str">
        <f>IF(B14&lt;=E32, "Applicable","NA")</f>
        <v>NA</v>
      </c>
      <c r="D45" s="4"/>
      <c r="E45" s="40">
        <f t="shared" si="3"/>
        <v>0.8</v>
      </c>
      <c r="F45" s="44">
        <v>72</v>
      </c>
      <c r="G45" s="38">
        <f t="shared" si="1"/>
        <v>7776</v>
      </c>
      <c r="H45" s="42">
        <f>H39</f>
        <v>1.1200000000000001</v>
      </c>
      <c r="I45" s="30">
        <f t="shared" si="4"/>
        <v>12425.585102798212</v>
      </c>
      <c r="J45" s="30">
        <f t="shared" si="5"/>
        <v>12296.070469304945</v>
      </c>
      <c r="K45" s="4"/>
      <c r="L45" s="4"/>
      <c r="M45" s="4"/>
      <c r="N45" s="4"/>
      <c r="O45" s="74"/>
    </row>
    <row r="46" spans="1:15" ht="20" thickTop="1" thickBot="1" x14ac:dyDescent="0.3">
      <c r="A46" s="98" t="s">
        <v>103</v>
      </c>
      <c r="B46" s="11">
        <f>IF(H13="NA",IF((L25*(1-(1-((E27)/(N15*B3)))*((B14-E32)/(E33-E32)))*(H10*N15*((B3*B33)/12)))&lt;=(H10*N15*((B3*B33)/12)),(L25*(1-(1-((E27)/(N15*B3)))*((B14-E32)/(E33-E32)))*(H10*N15*((B3*B33)/12))),(H10*N15*((B3*B33)/12))),IF((L25*(1-(1-((E27*B33)/(E18*B34*12)))*((B14-E32)/(E33-E32)))*(E18*B34))&lt;=(E18*B34),(L25*(1-(1-((E27*B33)/(E18*B34*12)))*((B14-E32)/(E33-E32)))*(E18*B34)),(E18*B34)))</f>
        <v>12296.070469304945</v>
      </c>
      <c r="C46" s="10" t="str">
        <f>IF(AND(B14&lt;=E33,E32&lt;B14), "Applicable","NA")</f>
        <v>Applicable</v>
      </c>
      <c r="D46" s="4"/>
      <c r="E46" s="40">
        <f t="shared" si="3"/>
        <v>0.9</v>
      </c>
      <c r="F46" s="44">
        <v>81</v>
      </c>
      <c r="G46" s="38">
        <f t="shared" si="1"/>
        <v>4374</v>
      </c>
      <c r="H46" s="42">
        <f>H38</f>
        <v>1.25</v>
      </c>
      <c r="I46" s="30">
        <f t="shared" si="4"/>
        <v>12425.585102798212</v>
      </c>
      <c r="J46" s="30">
        <f t="shared" si="5"/>
        <v>12296.070469304945</v>
      </c>
      <c r="K46" s="4"/>
      <c r="L46" s="4"/>
      <c r="M46" s="4"/>
      <c r="N46" s="12"/>
      <c r="O46" s="74"/>
    </row>
    <row r="47" spans="1:15" ht="20" thickTop="1" thickBot="1" x14ac:dyDescent="0.3">
      <c r="A47" s="98" t="s">
        <v>104</v>
      </c>
      <c r="B47" s="11">
        <f>IF(H13="NA",IF(((E30*B33)/12)&lt;=(H10*N15*((B3*B33)/12)),((E30*B33)/12),(H10*N15*((B3*B33)/12))),IF(((E30*B33)/12)&lt;=(E18*B34),((E30*B33)/12),(E18*B34)))</f>
        <v>12425.585102798212</v>
      </c>
      <c r="C47" s="10" t="str">
        <f>IF(E33&lt;B14, "Applicable","NA")</f>
        <v>NA</v>
      </c>
      <c r="D47" s="4"/>
      <c r="E47" s="40">
        <f t="shared" si="3"/>
        <v>1</v>
      </c>
      <c r="F47" s="44">
        <v>90</v>
      </c>
      <c r="G47" s="38">
        <f t="shared" si="1"/>
        <v>0</v>
      </c>
      <c r="H47" s="9">
        <f>H37</f>
        <v>1.75</v>
      </c>
      <c r="I47" s="30">
        <f t="shared" si="4"/>
        <v>12425.585102798212</v>
      </c>
      <c r="J47" s="30">
        <f>IF($C$45="NA",IF($C$46="NA",$B$47,$B$46),$B$45)</f>
        <v>12296.070469304945</v>
      </c>
      <c r="K47" s="4"/>
      <c r="L47" s="4"/>
      <c r="M47" s="4"/>
      <c r="N47" s="12"/>
      <c r="O47" s="74"/>
    </row>
    <row r="48" spans="1:15" ht="18" thickTop="1" thickBot="1" x14ac:dyDescent="0.25">
      <c r="A48" s="101"/>
      <c r="B48" s="102"/>
      <c r="C48" s="102"/>
      <c r="D48" s="91"/>
      <c r="E48" s="103"/>
      <c r="F48" s="91"/>
      <c r="G48" s="91"/>
      <c r="H48" s="91"/>
      <c r="I48" s="91"/>
      <c r="J48" s="91"/>
      <c r="K48" s="91"/>
      <c r="L48" s="91"/>
      <c r="M48" s="91"/>
      <c r="N48" s="91"/>
      <c r="O48" s="92"/>
    </row>
    <row r="49" spans="1:15" ht="17" thickBot="1" x14ac:dyDescent="0.25">
      <c r="A49" s="4"/>
      <c r="B49" s="15"/>
      <c r="C49" s="15"/>
      <c r="E49" s="14"/>
      <c r="F49" s="4"/>
      <c r="G49" s="4"/>
      <c r="H49" s="4"/>
      <c r="I49" s="4"/>
      <c r="J49" s="4"/>
      <c r="K49" s="4"/>
      <c r="L49" s="4"/>
    </row>
    <row r="50" spans="1:15" ht="21" x14ac:dyDescent="0.25">
      <c r="A50" s="136" t="s">
        <v>87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8"/>
    </row>
    <row r="51" spans="1:15" ht="18" x14ac:dyDescent="0.25">
      <c r="A51" s="69" t="s">
        <v>117</v>
      </c>
      <c r="B51" s="25">
        <f>(B15*B16)/2</f>
        <v>540</v>
      </c>
      <c r="C51" s="15"/>
      <c r="D51" s="143" t="s">
        <v>111</v>
      </c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52"/>
    </row>
    <row r="52" spans="1:15" x14ac:dyDescent="0.2">
      <c r="A52" s="70"/>
      <c r="B52" s="12"/>
      <c r="C52" s="15"/>
      <c r="D52" s="143" t="s">
        <v>98</v>
      </c>
      <c r="E52" s="143"/>
      <c r="F52" s="143"/>
      <c r="G52" s="143"/>
      <c r="H52" s="144" t="s">
        <v>109</v>
      </c>
      <c r="I52" s="145"/>
      <c r="J52" s="145"/>
      <c r="K52" s="142"/>
      <c r="L52" s="144" t="s">
        <v>110</v>
      </c>
      <c r="M52" s="145"/>
      <c r="N52" s="145"/>
      <c r="O52" s="153"/>
    </row>
    <row r="53" spans="1:15" ht="18" x14ac:dyDescent="0.25">
      <c r="A53" s="71" t="s">
        <v>108</v>
      </c>
      <c r="B53" s="26">
        <f>IF(C63="Stiffened",(((PI()^2)*I53*B6)/(12*(1-0.31^2)*((B7/B8)^2)))*(B7*B8),(((PI()^2)*E53*B6)/(12*(1-0.31^2)*((B7/B8)^2)))*(B7*B8))</f>
        <v>267.02582892238325</v>
      </c>
      <c r="C53" s="15"/>
      <c r="D53" s="53" t="s">
        <v>92</v>
      </c>
      <c r="E53" s="6">
        <v>5</v>
      </c>
      <c r="F53" s="4"/>
      <c r="G53" s="4"/>
      <c r="H53" s="53" t="s">
        <v>92</v>
      </c>
      <c r="I53" s="57">
        <f>(5+(5/((B58/B7)^2)))</f>
        <v>6.0716735253772285</v>
      </c>
      <c r="J53" s="72"/>
      <c r="K53" s="54"/>
      <c r="L53" s="53" t="s">
        <v>92</v>
      </c>
      <c r="M53" s="57">
        <f>(5+(5/((B59/B7)^2)))</f>
        <v>14.645061728395062</v>
      </c>
      <c r="N53" s="72"/>
      <c r="O53" s="73"/>
    </row>
    <row r="54" spans="1:15" ht="18" x14ac:dyDescent="0.25">
      <c r="A54" s="71" t="s">
        <v>105</v>
      </c>
      <c r="B54" s="26">
        <f>0.58*B5*B7*B8</f>
        <v>1087.4999999999998</v>
      </c>
      <c r="C54" s="15"/>
      <c r="D54" s="16"/>
      <c r="E54" s="4"/>
      <c r="F54" s="4"/>
      <c r="G54" s="4"/>
      <c r="H54" s="16"/>
      <c r="I54" s="4"/>
      <c r="J54" s="4"/>
      <c r="K54" s="20"/>
      <c r="L54" s="16"/>
      <c r="M54" s="4"/>
      <c r="N54" s="4"/>
      <c r="O54" s="74"/>
    </row>
    <row r="55" spans="1:15" ht="18" x14ac:dyDescent="0.25">
      <c r="A55" s="75"/>
      <c r="B55" s="14"/>
      <c r="C55" s="15"/>
      <c r="D55" s="48" t="s">
        <v>94</v>
      </c>
      <c r="E55" s="9">
        <f>B7/B8</f>
        <v>150</v>
      </c>
      <c r="F55" s="4"/>
      <c r="G55" s="4"/>
      <c r="H55" s="48" t="s">
        <v>94</v>
      </c>
      <c r="I55" s="50">
        <f>B7/B8</f>
        <v>150</v>
      </c>
      <c r="J55" s="4"/>
      <c r="K55" s="51"/>
      <c r="L55" s="48" t="s">
        <v>94</v>
      </c>
      <c r="M55" s="50">
        <f>B7/B8</f>
        <v>150</v>
      </c>
      <c r="N55" s="4"/>
      <c r="O55" s="76"/>
    </row>
    <row r="56" spans="1:15" ht="18" x14ac:dyDescent="0.25">
      <c r="A56" s="77" t="s">
        <v>134</v>
      </c>
      <c r="B56" s="25">
        <f>3*B7</f>
        <v>225</v>
      </c>
      <c r="C56" s="15"/>
      <c r="D56" s="48" t="s">
        <v>95</v>
      </c>
      <c r="E56" s="9">
        <f>1.12*SQRT((B6*E53)/B5)</f>
        <v>60.313845839906449</v>
      </c>
      <c r="F56" s="4"/>
      <c r="G56" s="4"/>
      <c r="H56" s="48" t="s">
        <v>95</v>
      </c>
      <c r="I56" s="50">
        <f>1.12*SQRT((B6*I53)/B5)</f>
        <v>66.46396178934306</v>
      </c>
      <c r="J56" s="4"/>
      <c r="K56" s="51"/>
      <c r="L56" s="48" t="s">
        <v>95</v>
      </c>
      <c r="M56" s="50">
        <f>1.12*SQRT((B6*M53)/B5)</f>
        <v>103.22327233050349</v>
      </c>
      <c r="N56" s="4"/>
      <c r="O56" s="76"/>
    </row>
    <row r="57" spans="1:15" ht="18" x14ac:dyDescent="0.25">
      <c r="A57" s="78" t="s">
        <v>135</v>
      </c>
      <c r="B57" s="25">
        <f>1.5*B7</f>
        <v>112.5</v>
      </c>
      <c r="C57" s="13"/>
      <c r="D57" s="48" t="s">
        <v>96</v>
      </c>
      <c r="E57" s="9">
        <f>1.4*SQRT((B6*E53)/B5)</f>
        <v>75.392307299883043</v>
      </c>
      <c r="F57" s="4"/>
      <c r="G57" s="6" t="str">
        <f>IF(AND(E55&lt;=E57,E55&gt;E56),"Inelastic",IF(E55&gt;E57,"Elastic","Yielding"))</f>
        <v>Elastic</v>
      </c>
      <c r="H57" s="48" t="s">
        <v>96</v>
      </c>
      <c r="I57" s="50">
        <f>1.4*SQRT((B6*I53)/B5)</f>
        <v>83.079952236678807</v>
      </c>
      <c r="J57" s="4"/>
      <c r="K57" s="9" t="str">
        <f>IF(AND(I55&lt;=I57,I55&gt;I56),"Inelastic",IF(I55&gt;I57,"Elastic","Yielding"))</f>
        <v>Elastic</v>
      </c>
      <c r="L57" s="48" t="s">
        <v>96</v>
      </c>
      <c r="M57" s="50">
        <f>1.4*SQRT((B6*M53)/B5)</f>
        <v>129.02909041312935</v>
      </c>
      <c r="N57" s="4"/>
      <c r="O57" s="79" t="str">
        <f>IF(AND(M55&lt;=M57,M55&gt;M56),"Inelastic",IF(M55&gt;M57,"Elastic","Yielding"))</f>
        <v>Elastic</v>
      </c>
    </row>
    <row r="58" spans="1:15" ht="18" x14ac:dyDescent="0.25">
      <c r="A58" s="77" t="s">
        <v>136</v>
      </c>
      <c r="B58" s="2">
        <v>162</v>
      </c>
      <c r="C58" s="13"/>
      <c r="D58" s="40"/>
      <c r="E58" s="4"/>
      <c r="F58" s="4"/>
      <c r="G58" s="4"/>
      <c r="H58" s="40"/>
      <c r="I58" s="4"/>
      <c r="J58" s="4"/>
      <c r="K58" s="51"/>
      <c r="L58" s="40"/>
      <c r="M58" s="4"/>
      <c r="N58" s="4"/>
      <c r="O58" s="76"/>
    </row>
    <row r="59" spans="1:15" ht="18" x14ac:dyDescent="0.25">
      <c r="A59" s="77" t="s">
        <v>137</v>
      </c>
      <c r="B59" s="2">
        <v>54</v>
      </c>
      <c r="C59" s="13"/>
      <c r="D59" s="23" t="s">
        <v>97</v>
      </c>
      <c r="E59" s="58">
        <f>IF(G57="Yielding",1,IF(G57="Elastic",((1.57*B6*E53)/(((B7/B8)^2)*B5)),((1.12/(B7/B8))*SQRT((B6*E53)/B5))))</f>
        <v>0.20235555555555557</v>
      </c>
      <c r="F59" s="56"/>
      <c r="G59" s="21"/>
      <c r="H59" s="23" t="s">
        <v>97</v>
      </c>
      <c r="I59" s="58">
        <f>IF(K57="Yielding",1,IF(K57="Elastic",((1.57*B6*I53)/(((B7/B8)^2)*B5)),((1.12/(B7/B8))*SQRT((B6*I53)/B5))))</f>
        <v>0.24572737387593355</v>
      </c>
      <c r="J59" s="52"/>
      <c r="K59" s="49"/>
      <c r="L59" s="23" t="s">
        <v>97</v>
      </c>
      <c r="M59" s="58">
        <f>IF(O57="Yielding",1,IF(O57="Elastic",((1.57*B6*M53)/(((B7/B8)^2)*B5)),((1.12/(B7/B8))*SQRT((B6*M53)/B5))))</f>
        <v>0.59270192043895753</v>
      </c>
      <c r="N59" s="52"/>
      <c r="O59" s="80"/>
    </row>
    <row r="60" spans="1:15" x14ac:dyDescent="0.2">
      <c r="A60" s="81"/>
      <c r="B60" s="12"/>
      <c r="C60" s="13"/>
      <c r="D60" s="4"/>
      <c r="E60" s="4"/>
      <c r="F60" s="13"/>
      <c r="G60" s="4"/>
      <c r="H60" s="4"/>
      <c r="I60" s="4"/>
      <c r="J60" s="4"/>
      <c r="K60" s="4"/>
      <c r="L60" s="4"/>
      <c r="M60" s="4"/>
      <c r="N60" s="4"/>
      <c r="O60" s="82"/>
    </row>
    <row r="61" spans="1:15" x14ac:dyDescent="0.2">
      <c r="A61" s="83"/>
      <c r="B61" s="14"/>
      <c r="C61" s="13"/>
      <c r="D61" s="4"/>
      <c r="E61" s="4"/>
      <c r="F61" s="144" t="s">
        <v>85</v>
      </c>
      <c r="G61" s="145"/>
      <c r="H61" s="145"/>
      <c r="I61" s="145"/>
      <c r="J61" s="142"/>
      <c r="K61" s="4"/>
      <c r="L61" s="4"/>
      <c r="M61" s="4"/>
      <c r="N61" s="4"/>
      <c r="O61" s="74"/>
    </row>
    <row r="62" spans="1:15" ht="18" x14ac:dyDescent="0.25">
      <c r="A62" s="71" t="s">
        <v>106</v>
      </c>
      <c r="B62" s="9">
        <f>(2*B24)/(B23+B22)</f>
        <v>1.5625</v>
      </c>
      <c r="C62" s="9" t="str">
        <f>IF(B58="NA","NA",IF(B62&lt;=2.5,"Good","NA"))</f>
        <v>Good</v>
      </c>
      <c r="D62" s="4"/>
      <c r="E62" s="4"/>
      <c r="F62" s="6" t="s">
        <v>46</v>
      </c>
      <c r="G62" s="6" t="s">
        <v>88</v>
      </c>
      <c r="H62" s="37" t="s">
        <v>90</v>
      </c>
      <c r="I62" s="9" t="s">
        <v>119</v>
      </c>
      <c r="J62" s="9" t="s">
        <v>120</v>
      </c>
      <c r="K62" s="4"/>
      <c r="L62" s="4"/>
      <c r="M62" s="4"/>
      <c r="N62" s="4"/>
      <c r="O62" s="74"/>
    </row>
    <row r="63" spans="1:15" ht="18" x14ac:dyDescent="0.25">
      <c r="A63" s="71" t="s">
        <v>112</v>
      </c>
      <c r="B63" s="9">
        <f>IF(B58="NA","NA",(B58/B7))</f>
        <v>2.16</v>
      </c>
      <c r="C63" s="9" t="str">
        <f>IF(B63&lt;=3,"Stiffened","Unstiffened")</f>
        <v>Stiffened</v>
      </c>
      <c r="D63" s="4"/>
      <c r="E63" s="4"/>
      <c r="F63" s="23">
        <f>G63/$B$15</f>
        <v>0</v>
      </c>
      <c r="G63" s="2">
        <v>0</v>
      </c>
      <c r="H63" s="26">
        <f t="shared" ref="H63:H69" si="6">(($B$16*$B$15)/2)-($B$16*G63)</f>
        <v>540</v>
      </c>
      <c r="I63" s="26">
        <f>$D$74</f>
        <v>644.56333847736619</v>
      </c>
      <c r="J63" s="26">
        <f>-I63</f>
        <v>-644.56333847736619</v>
      </c>
      <c r="K63" s="4"/>
      <c r="L63" s="4"/>
      <c r="M63" s="4"/>
      <c r="N63" s="4"/>
      <c r="O63" s="74"/>
    </row>
    <row r="64" spans="1:15" ht="18" x14ac:dyDescent="0.25">
      <c r="A64" s="71" t="s">
        <v>113</v>
      </c>
      <c r="B64" s="9">
        <f>IF(B59="NA","NA",(B59/B7))</f>
        <v>0.72</v>
      </c>
      <c r="C64" s="9" t="str">
        <f>IF(B64&lt;=1.5,"Stiffened","Unstiffened")</f>
        <v>Stiffened</v>
      </c>
      <c r="D64" s="4"/>
      <c r="E64" s="4"/>
      <c r="F64" s="23">
        <f t="shared" ref="F64:F71" si="7">G64/$B$15</f>
        <v>0.05</v>
      </c>
      <c r="G64" s="2">
        <f>B59/12</f>
        <v>4.5</v>
      </c>
      <c r="H64" s="26">
        <f t="shared" si="6"/>
        <v>486</v>
      </c>
      <c r="I64" s="26">
        <f>$D$74</f>
        <v>644.56333847736619</v>
      </c>
      <c r="J64" s="26">
        <f t="shared" ref="J64:J77" si="8">-I64</f>
        <v>-644.56333847736619</v>
      </c>
      <c r="K64" s="4"/>
      <c r="L64" s="4"/>
      <c r="M64" s="4"/>
      <c r="N64" s="4"/>
      <c r="O64" s="74"/>
    </row>
    <row r="65" spans="1:16" ht="17" thickBot="1" x14ac:dyDescent="0.25">
      <c r="A65" s="84"/>
      <c r="B65" s="13"/>
      <c r="C65" s="13"/>
      <c r="D65" s="4"/>
      <c r="E65" s="4"/>
      <c r="F65" s="23">
        <f t="shared" si="7"/>
        <v>5.0000111111111106E-2</v>
      </c>
      <c r="G65" s="2">
        <f>G64+0.00001</f>
        <v>4.5000099999999996</v>
      </c>
      <c r="H65" s="26">
        <f t="shared" si="6"/>
        <v>485.99988000000002</v>
      </c>
      <c r="I65" s="26">
        <f>$D$73</f>
        <v>567.04390089033075</v>
      </c>
      <c r="J65" s="26">
        <f t="shared" si="8"/>
        <v>-567.04390089033075</v>
      </c>
      <c r="K65" s="4"/>
      <c r="L65" s="4"/>
      <c r="M65" s="4"/>
      <c r="N65" s="4"/>
      <c r="O65" s="74"/>
    </row>
    <row r="66" spans="1:16" ht="18" thickTop="1" thickBot="1" x14ac:dyDescent="0.25">
      <c r="A66" s="146" t="s">
        <v>132</v>
      </c>
      <c r="B66" s="147"/>
      <c r="C66" s="13"/>
      <c r="D66" s="4"/>
      <c r="E66" s="4"/>
      <c r="F66" s="23">
        <f t="shared" si="7"/>
        <v>0.2</v>
      </c>
      <c r="G66" s="2">
        <f>G64+(B58/12)</f>
        <v>18</v>
      </c>
      <c r="H66" s="26">
        <f t="shared" si="6"/>
        <v>324</v>
      </c>
      <c r="I66" s="26">
        <f t="shared" ref="I66:I68" si="9">$D$73</f>
        <v>567.04390089033075</v>
      </c>
      <c r="J66" s="26">
        <f t="shared" si="8"/>
        <v>-567.04390089033075</v>
      </c>
      <c r="K66" s="4"/>
      <c r="L66" s="4"/>
      <c r="M66" s="4"/>
      <c r="N66" s="4"/>
      <c r="O66" s="74"/>
    </row>
    <row r="67" spans="1:16" ht="20" thickTop="1" thickBot="1" x14ac:dyDescent="0.3">
      <c r="A67" s="85" t="s">
        <v>116</v>
      </c>
      <c r="B67" s="106">
        <f>B54*E59</f>
        <v>220.06166666666664</v>
      </c>
      <c r="C67" s="107"/>
      <c r="D67" s="14"/>
      <c r="E67" s="4"/>
      <c r="F67" s="23">
        <f t="shared" si="7"/>
        <v>0.2000001111111111</v>
      </c>
      <c r="G67" s="2">
        <f>G66+0.00001</f>
        <v>18.00001</v>
      </c>
      <c r="H67" s="26">
        <f t="shared" si="6"/>
        <v>323.99988000000002</v>
      </c>
      <c r="I67" s="26">
        <f t="shared" si="9"/>
        <v>567.04390089033075</v>
      </c>
      <c r="J67" s="26">
        <f t="shared" si="8"/>
        <v>-567.04390089033075</v>
      </c>
      <c r="K67" s="4"/>
      <c r="L67" s="4"/>
      <c r="M67" s="4"/>
      <c r="N67" s="4"/>
      <c r="O67" s="74"/>
    </row>
    <row r="68" spans="1:16" ht="20" thickTop="1" thickBot="1" x14ac:dyDescent="0.3">
      <c r="A68" s="85" t="s">
        <v>114</v>
      </c>
      <c r="B68" s="55">
        <f>IF(B58="NA","NA",IF(C62="Good",(B54*(I59+((0.87*(1-I59))/SQRT(1+((B58/B7)^2))))),(B54*(I59+((0.87*(1-I59))/(SQRT(1+((B58/B7)^2))+(B58/B7)))))))</f>
        <v>567.04390089033075</v>
      </c>
      <c r="C68" s="13"/>
      <c r="D68" s="4"/>
      <c r="E68" s="4"/>
      <c r="F68" s="23">
        <f t="shared" si="7"/>
        <v>0.35</v>
      </c>
      <c r="G68" s="2">
        <f>G66+(B58/12)</f>
        <v>31.5</v>
      </c>
      <c r="H68" s="26">
        <f t="shared" si="6"/>
        <v>162</v>
      </c>
      <c r="I68" s="26">
        <f t="shared" si="9"/>
        <v>567.04390089033075</v>
      </c>
      <c r="J68" s="26">
        <f t="shared" si="8"/>
        <v>-567.04390089033075</v>
      </c>
      <c r="K68" s="4"/>
      <c r="L68" s="4"/>
      <c r="M68" s="4"/>
      <c r="N68" s="4"/>
      <c r="O68" s="74"/>
    </row>
    <row r="69" spans="1:16" ht="20" thickTop="1" thickBot="1" x14ac:dyDescent="0.3">
      <c r="A69" s="85" t="s">
        <v>115</v>
      </c>
      <c r="B69" s="55">
        <f>IF(B59="NA","NA",M59*B54)</f>
        <v>644.56333847736619</v>
      </c>
      <c r="C69" s="13"/>
      <c r="D69" s="4"/>
      <c r="E69" s="4"/>
      <c r="F69" s="23">
        <f t="shared" si="7"/>
        <v>0.35000001111111112</v>
      </c>
      <c r="G69" s="2">
        <f>G68+0.000001</f>
        <v>31.500001000000001</v>
      </c>
      <c r="H69" s="26">
        <f t="shared" si="6"/>
        <v>161.99998799999997</v>
      </c>
      <c r="I69" s="26">
        <f t="shared" ref="I69:I71" si="10">$D$72</f>
        <v>220.06166666666664</v>
      </c>
      <c r="J69" s="26">
        <f t="shared" si="8"/>
        <v>-220.06166666666664</v>
      </c>
      <c r="K69" s="4"/>
      <c r="L69" s="4"/>
      <c r="M69" s="4"/>
      <c r="N69" s="4"/>
      <c r="O69" s="74"/>
    </row>
    <row r="70" spans="1:16" ht="17" thickTop="1" x14ac:dyDescent="0.2">
      <c r="A70" s="86"/>
      <c r="B70" s="4"/>
      <c r="C70" s="13"/>
      <c r="D70" s="4"/>
      <c r="E70" s="4"/>
      <c r="F70" s="23">
        <f t="shared" si="7"/>
        <v>0.5</v>
      </c>
      <c r="G70" s="2">
        <v>45</v>
      </c>
      <c r="H70" s="26">
        <f t="shared" ref="H70:H71" si="11">(($B$16*$B$15)/2)-($B$16*G70)</f>
        <v>0</v>
      </c>
      <c r="I70" s="26">
        <f t="shared" si="10"/>
        <v>220.06166666666664</v>
      </c>
      <c r="J70" s="26">
        <f t="shared" si="8"/>
        <v>-220.06166666666664</v>
      </c>
      <c r="K70" s="4"/>
      <c r="L70" s="4"/>
      <c r="M70" s="4"/>
      <c r="N70" s="4"/>
      <c r="O70" s="74"/>
    </row>
    <row r="71" spans="1:16" ht="18" x14ac:dyDescent="0.25">
      <c r="A71" s="87"/>
      <c r="B71" s="9" t="s">
        <v>99</v>
      </c>
      <c r="C71" s="9" t="s">
        <v>107</v>
      </c>
      <c r="D71" s="9" t="s">
        <v>91</v>
      </c>
      <c r="E71" s="4"/>
      <c r="F71" s="23">
        <f t="shared" si="7"/>
        <v>0.64999998888888888</v>
      </c>
      <c r="G71" s="2">
        <f>G72-0.000001</f>
        <v>58.499999000000003</v>
      </c>
      <c r="H71" s="26">
        <f t="shared" si="11"/>
        <v>-161.99998800000003</v>
      </c>
      <c r="I71" s="26">
        <f t="shared" si="10"/>
        <v>220.06166666666664</v>
      </c>
      <c r="J71" s="26">
        <f t="shared" si="8"/>
        <v>-220.06166666666664</v>
      </c>
      <c r="K71" s="4"/>
      <c r="L71" s="4"/>
      <c r="M71" s="4"/>
      <c r="N71" s="4"/>
      <c r="O71" s="74"/>
    </row>
    <row r="72" spans="1:16" x14ac:dyDescent="0.2">
      <c r="A72" s="69" t="s">
        <v>98</v>
      </c>
      <c r="B72" s="26">
        <f>B67</f>
        <v>220.06166666666664</v>
      </c>
      <c r="C72" s="26" t="s">
        <v>93</v>
      </c>
      <c r="D72" s="26">
        <f>B72</f>
        <v>220.06166666666664</v>
      </c>
      <c r="E72" s="4"/>
      <c r="F72" s="23">
        <f t="shared" ref="F72:F77" si="12">G72/$B$15</f>
        <v>0.65</v>
      </c>
      <c r="G72" s="2">
        <f>G74-(B58/12)</f>
        <v>58.5</v>
      </c>
      <c r="H72" s="26">
        <f t="shared" ref="H72:H77" si="13">(($B$16*$B$15)/2)-($B$16*G72)</f>
        <v>-162</v>
      </c>
      <c r="I72" s="26">
        <f>$D$73</f>
        <v>567.04390089033075</v>
      </c>
      <c r="J72" s="26">
        <f t="shared" si="8"/>
        <v>-567.04390089033075</v>
      </c>
      <c r="K72" s="4"/>
      <c r="L72" s="4"/>
      <c r="M72" s="4"/>
      <c r="N72" s="4"/>
      <c r="O72" s="74"/>
    </row>
    <row r="73" spans="1:16" ht="18" x14ac:dyDescent="0.25">
      <c r="A73" s="69" t="s">
        <v>100</v>
      </c>
      <c r="B73" s="26">
        <f>B54*I59</f>
        <v>267.22851909007767</v>
      </c>
      <c r="C73" s="26">
        <f>B54*(I59+((0.87*(1-I59))/SQRT(1+((B58/B7)^2))))</f>
        <v>567.04390089033075</v>
      </c>
      <c r="D73" s="26">
        <f>C73</f>
        <v>567.04390089033075</v>
      </c>
      <c r="E73" s="4"/>
      <c r="F73" s="23">
        <f t="shared" si="12"/>
        <v>0.7999999888888889</v>
      </c>
      <c r="G73" s="104">
        <f>G74-0.000001</f>
        <v>71.999999000000003</v>
      </c>
      <c r="H73" s="26">
        <f t="shared" si="13"/>
        <v>-323.99998800000003</v>
      </c>
      <c r="I73" s="26">
        <f t="shared" ref="I73:I75" si="14">$D$73</f>
        <v>567.04390089033075</v>
      </c>
      <c r="J73" s="26">
        <f t="shared" si="8"/>
        <v>-567.04390089033075</v>
      </c>
      <c r="K73" s="4"/>
      <c r="L73" s="4"/>
      <c r="M73" s="4"/>
      <c r="N73" s="4"/>
      <c r="O73" s="74"/>
    </row>
    <row r="74" spans="1:16" ht="18" x14ac:dyDescent="0.25">
      <c r="A74" s="69" t="s">
        <v>101</v>
      </c>
      <c r="B74" s="26">
        <f>M59*B54</f>
        <v>644.56333847736619</v>
      </c>
      <c r="C74" s="30" t="s">
        <v>93</v>
      </c>
      <c r="D74" s="26">
        <f>B74</f>
        <v>644.56333847736619</v>
      </c>
      <c r="E74" s="4"/>
      <c r="F74" s="23">
        <f t="shared" si="12"/>
        <v>0.8</v>
      </c>
      <c r="G74" s="105">
        <f>G76-(B58/12)</f>
        <v>72</v>
      </c>
      <c r="H74" s="26">
        <f t="shared" si="13"/>
        <v>-324</v>
      </c>
      <c r="I74" s="26">
        <f t="shared" si="14"/>
        <v>567.04390089033075</v>
      </c>
      <c r="J74" s="26">
        <f t="shared" si="8"/>
        <v>-567.04390089033075</v>
      </c>
      <c r="K74" s="4"/>
      <c r="L74" s="4"/>
      <c r="M74" s="4"/>
      <c r="N74" s="4"/>
      <c r="O74" s="74"/>
    </row>
    <row r="75" spans="1:16" x14ac:dyDescent="0.2">
      <c r="A75" s="88"/>
      <c r="B75" s="13"/>
      <c r="C75" s="13"/>
      <c r="D75" s="13"/>
      <c r="E75" s="4"/>
      <c r="F75" s="23">
        <f t="shared" si="12"/>
        <v>0.94999998888888892</v>
      </c>
      <c r="G75" s="105">
        <f>G76-0.000001</f>
        <v>85.499999000000003</v>
      </c>
      <c r="H75" s="26">
        <f t="shared" si="13"/>
        <v>-485.99998800000003</v>
      </c>
      <c r="I75" s="26">
        <f t="shared" si="14"/>
        <v>567.04390089033075</v>
      </c>
      <c r="J75" s="26">
        <f t="shared" si="8"/>
        <v>-567.04390089033075</v>
      </c>
      <c r="K75" s="4"/>
      <c r="L75" s="4"/>
      <c r="M75" s="4"/>
      <c r="N75" s="4"/>
      <c r="O75" s="74"/>
    </row>
    <row r="76" spans="1:16" ht="18" x14ac:dyDescent="0.2">
      <c r="A76" s="135" t="s">
        <v>118</v>
      </c>
      <c r="B76" s="134">
        <f>(B67-B51)/(-B16)</f>
        <v>26.661527777777781</v>
      </c>
      <c r="C76" s="13"/>
      <c r="D76" s="13"/>
      <c r="E76" s="4"/>
      <c r="F76" s="23">
        <f t="shared" si="12"/>
        <v>0.95</v>
      </c>
      <c r="G76" s="59">
        <f>G77-(B59/12)</f>
        <v>85.5</v>
      </c>
      <c r="H76" s="26">
        <f t="shared" si="13"/>
        <v>-486</v>
      </c>
      <c r="I76" s="26">
        <f>$D$74</f>
        <v>644.56333847736619</v>
      </c>
      <c r="J76" s="26">
        <f t="shared" si="8"/>
        <v>-644.56333847736619</v>
      </c>
      <c r="K76" s="4"/>
      <c r="L76" s="4"/>
      <c r="M76" s="4"/>
      <c r="N76" s="4"/>
      <c r="O76" s="74"/>
    </row>
    <row r="77" spans="1:16" ht="18" x14ac:dyDescent="0.2">
      <c r="A77" s="135" t="s">
        <v>139</v>
      </c>
      <c r="B77" s="134">
        <f>((B67-B51)/(-B16))*12</f>
        <v>319.93833333333339</v>
      </c>
      <c r="C77" s="13"/>
      <c r="D77" s="13"/>
      <c r="E77" s="4"/>
      <c r="F77" s="23">
        <f t="shared" si="12"/>
        <v>1</v>
      </c>
      <c r="G77" s="44">
        <v>90</v>
      </c>
      <c r="H77" s="26">
        <f t="shared" si="13"/>
        <v>-540</v>
      </c>
      <c r="I77" s="26">
        <f>$D$74</f>
        <v>644.56333847736619</v>
      </c>
      <c r="J77" s="26">
        <f t="shared" si="8"/>
        <v>-644.56333847736619</v>
      </c>
      <c r="K77" s="4"/>
      <c r="L77" s="4"/>
      <c r="M77" s="4"/>
      <c r="N77" s="4"/>
      <c r="O77" s="74"/>
      <c r="P77" s="4"/>
    </row>
    <row r="78" spans="1:16" ht="17" thickBot="1" x14ac:dyDescent="0.25">
      <c r="A78" s="89"/>
      <c r="B78" s="90"/>
      <c r="C78" s="90"/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2"/>
      <c r="P78" s="4"/>
    </row>
    <row r="79" spans="1:16" x14ac:dyDescent="0.2">
      <c r="A79" s="1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">
      <c r="A80" s="4"/>
      <c r="B80" s="15"/>
      <c r="C80" s="15"/>
      <c r="D80" s="15"/>
      <c r="E80" s="4"/>
      <c r="F80" s="4"/>
      <c r="G80" s="4"/>
      <c r="H80" s="67"/>
      <c r="I80" s="4"/>
      <c r="J80" s="4"/>
      <c r="K80" s="4"/>
      <c r="L80" s="4"/>
      <c r="M80" s="4"/>
      <c r="N80" s="4"/>
      <c r="O80" s="4"/>
      <c r="P80" s="4"/>
    </row>
    <row r="81" spans="1:16" x14ac:dyDescent="0.2">
      <c r="A81" s="4"/>
      <c r="B81" s="15"/>
      <c r="C81" s="4"/>
      <c r="D81" s="28"/>
      <c r="E81" s="4"/>
      <c r="F81" s="68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">
      <c r="A82" s="4"/>
      <c r="B82" s="4"/>
      <c r="C82" s="4"/>
      <c r="D82" s="2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">
      <c r="A83" s="4"/>
      <c r="B83" s="4"/>
      <c r="C83" s="4"/>
      <c r="D83" s="2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</sheetData>
  <mergeCells count="16">
    <mergeCell ref="F61:J61"/>
    <mergeCell ref="A66:B66"/>
    <mergeCell ref="E35:J35"/>
    <mergeCell ref="A41:B41"/>
    <mergeCell ref="A44:B44"/>
    <mergeCell ref="A50:O50"/>
    <mergeCell ref="D51:O51"/>
    <mergeCell ref="D52:G52"/>
    <mergeCell ref="H52:K52"/>
    <mergeCell ref="L52:O52"/>
    <mergeCell ref="A1:O1"/>
    <mergeCell ref="D2:K2"/>
    <mergeCell ref="D8:H8"/>
    <mergeCell ref="J8:N8"/>
    <mergeCell ref="D25:E25"/>
    <mergeCell ref="G25:I2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="81" zoomScaleNormal="81" workbookViewId="0">
      <selection activeCell="D5" sqref="D5"/>
    </sheetView>
  </sheetViews>
  <sheetFormatPr baseColWidth="10" defaultRowHeight="16" x14ac:dyDescent="0.2"/>
  <cols>
    <col min="1" max="1" width="29.6640625" bestFit="1" customWidth="1"/>
    <col min="2" max="2" width="14.83203125" bestFit="1" customWidth="1"/>
    <col min="3" max="3" width="17" bestFit="1" customWidth="1"/>
    <col min="4" max="4" width="18" customWidth="1"/>
    <col min="5" max="5" width="12.6640625" bestFit="1" customWidth="1"/>
    <col min="6" max="6" width="21.33203125" bestFit="1" customWidth="1"/>
    <col min="7" max="7" width="20.6640625" customWidth="1"/>
    <col min="9" max="9" width="14" bestFit="1" customWidth="1"/>
    <col min="10" max="10" width="14.1640625" bestFit="1" customWidth="1"/>
    <col min="11" max="11" width="8" bestFit="1" customWidth="1"/>
  </cols>
  <sheetData>
    <row r="1" spans="1:17" ht="21" x14ac:dyDescent="0.25">
      <c r="A1" s="155" t="s">
        <v>141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93" t="s">
        <v>0</v>
      </c>
      <c r="B2" s="1">
        <v>50</v>
      </c>
      <c r="C2" s="4"/>
      <c r="D2" s="139" t="s">
        <v>53</v>
      </c>
      <c r="E2" s="140"/>
      <c r="F2" s="140"/>
      <c r="G2" s="140"/>
      <c r="H2" s="140"/>
      <c r="I2" s="140"/>
      <c r="J2" s="140"/>
      <c r="K2" s="141"/>
      <c r="L2" s="4"/>
      <c r="M2" s="154" t="s">
        <v>150</v>
      </c>
      <c r="N2" s="154"/>
      <c r="O2" s="154"/>
      <c r="P2" s="154"/>
      <c r="Q2" s="74"/>
    </row>
    <row r="3" spans="1:17" ht="20" x14ac:dyDescent="0.25">
      <c r="A3" s="93" t="s">
        <v>37</v>
      </c>
      <c r="B3" s="1">
        <v>50</v>
      </c>
      <c r="C3" s="4"/>
      <c r="D3" s="5"/>
      <c r="E3" s="5" t="s">
        <v>12</v>
      </c>
      <c r="F3" s="5" t="s">
        <v>13</v>
      </c>
      <c r="G3" s="5" t="s">
        <v>14</v>
      </c>
      <c r="H3" s="5" t="s">
        <v>15</v>
      </c>
      <c r="I3" s="5" t="s">
        <v>75</v>
      </c>
      <c r="J3" s="5" t="s">
        <v>16</v>
      </c>
      <c r="K3" s="6" t="s">
        <v>17</v>
      </c>
      <c r="L3" s="4"/>
      <c r="M3" s="25" t="s">
        <v>157</v>
      </c>
      <c r="N3" s="6">
        <f>B4*B36</f>
        <v>1250</v>
      </c>
      <c r="O3" s="4"/>
      <c r="P3" s="6" t="s">
        <v>163</v>
      </c>
      <c r="Q3" s="74"/>
    </row>
    <row r="4" spans="1:17" ht="18" x14ac:dyDescent="0.25">
      <c r="A4" s="93" t="s">
        <v>38</v>
      </c>
      <c r="B4" s="1">
        <v>50</v>
      </c>
      <c r="C4" s="4"/>
      <c r="D4" s="6" t="s">
        <v>18</v>
      </c>
      <c r="E4" s="6">
        <f>B22/2</f>
        <v>0.625</v>
      </c>
      <c r="F4" s="6">
        <f>0</f>
        <v>0</v>
      </c>
      <c r="G4" s="6">
        <f>0</f>
        <v>0</v>
      </c>
      <c r="H4" s="7">
        <f>(B35-G4)/B21</f>
        <v>1.40625</v>
      </c>
      <c r="I4" s="8">
        <f>IF(AND(H4&gt;0,H4&lt;=B22),F4+H4,0)</f>
        <v>0</v>
      </c>
      <c r="J4" s="6">
        <f>IF(I4=0,E4-B50,"Neutral Axis")</f>
        <v>-7.7678571428571423</v>
      </c>
      <c r="K4" s="7">
        <f>IF(I4=0,ABS(J4)*B36,B21*H4^2/2+B21*(B22-H4)^2/2)</f>
        <v>194.19642857142856</v>
      </c>
      <c r="L4" s="4"/>
      <c r="M4" s="6" t="s">
        <v>158</v>
      </c>
      <c r="N4" s="6">
        <f>B5*B38</f>
        <v>962.5</v>
      </c>
      <c r="O4" s="4"/>
      <c r="P4" s="6" t="str">
        <f>IF((N3+N4)&gt;=(N5+N6+N7+N8),"I",IF((N3+N4+N5)&gt;=(N6+N7+N8),"II",IF((N3+N4+N5)&gt;=(((B13/B15)*N6)+N7+N8),"III",IF((N3+N4+N5+N8)&gt;=(((B13/B15)*N6)+N7),"IV",IF((N3+N4+N5+N8)&gt;=(((B12/B15)*N6)+N7),"V",IF((N3+N4+N5+N8+N7)&gt;=(((B12/B15)*N6)),"VI","VII"))))))</f>
        <v>II</v>
      </c>
      <c r="Q4" s="74"/>
    </row>
    <row r="5" spans="1:17" ht="18" x14ac:dyDescent="0.25">
      <c r="A5" s="93" t="s">
        <v>39</v>
      </c>
      <c r="B5" s="1">
        <v>50</v>
      </c>
      <c r="C5" s="4"/>
      <c r="D5" s="6" t="s">
        <v>19</v>
      </c>
      <c r="E5" s="6">
        <f>(B22/2)+E4+(B17/2)</f>
        <v>23.25</v>
      </c>
      <c r="F5" s="6">
        <f>B22+F4</f>
        <v>1.25</v>
      </c>
      <c r="G5" s="6">
        <f>B36+G4</f>
        <v>25</v>
      </c>
      <c r="H5" s="7">
        <f>(B35-G5)/B18</f>
        <v>7.1428571428571432</v>
      </c>
      <c r="I5" s="8">
        <f>IF(AND(H5&gt;0,H5&lt;=B17),F5+H5,0)</f>
        <v>8.3928571428571423</v>
      </c>
      <c r="J5" s="6" t="str">
        <f>IF(I5=0,B50-E5,"Neutral Axis")</f>
        <v>Neutral Axis</v>
      </c>
      <c r="K5" s="7">
        <f>IF(I5=0,ABS(J5)*B38,B18*H5^2/2+B18*(B17-H5)^2/2)</f>
        <v>308.3214285714285</v>
      </c>
      <c r="L5" s="4"/>
      <c r="M5" s="25" t="s">
        <v>159</v>
      </c>
      <c r="N5" s="6">
        <f>B3*B37</f>
        <v>600</v>
      </c>
      <c r="O5" s="4"/>
      <c r="P5" s="20"/>
      <c r="Q5" s="74"/>
    </row>
    <row r="6" spans="1:17" ht="18" x14ac:dyDescent="0.25">
      <c r="A6" s="93" t="s">
        <v>154</v>
      </c>
      <c r="B6" s="1">
        <v>0</v>
      </c>
      <c r="C6" s="4"/>
      <c r="D6" s="6" t="s">
        <v>20</v>
      </c>
      <c r="E6" s="6">
        <f>(B17/2)+E5+(B20/2)</f>
        <v>45.75</v>
      </c>
      <c r="F6" s="6">
        <f>B17+F5</f>
        <v>45.25</v>
      </c>
      <c r="G6" s="6">
        <f>B38+G5</f>
        <v>44.25</v>
      </c>
      <c r="H6" s="7">
        <f>(B35-G6)/B19</f>
        <v>-1.34375</v>
      </c>
      <c r="I6" s="8">
        <f>IF(AND(H6&gt;0,H6&lt;=B20),F6+H6,0)</f>
        <v>0</v>
      </c>
      <c r="J6" s="6">
        <f>IF(I6=0,E6-B50,"Neutral Axis")</f>
        <v>37.357142857142861</v>
      </c>
      <c r="K6" s="7">
        <f>IF(I6=0,ABS(J6)*B37,B19*H6^2/2+B19*(B20-H6)^2/2)</f>
        <v>448.28571428571433</v>
      </c>
      <c r="L6" s="4"/>
      <c r="M6" s="25" t="s">
        <v>160</v>
      </c>
      <c r="N6" s="30">
        <f>0.85*B8*B14*B15</f>
        <v>2611.1999999999998</v>
      </c>
      <c r="O6" s="15"/>
      <c r="P6" s="20"/>
      <c r="Q6" s="74"/>
    </row>
    <row r="7" spans="1:17" ht="18" x14ac:dyDescent="0.25">
      <c r="A7" s="93" t="s">
        <v>155</v>
      </c>
      <c r="B7" s="1">
        <v>0</v>
      </c>
      <c r="C7" s="4"/>
      <c r="D7" s="4"/>
      <c r="E7" s="4"/>
      <c r="F7" s="4"/>
      <c r="G7" s="4"/>
      <c r="H7" s="127"/>
      <c r="I7" s="63"/>
      <c r="J7" s="4"/>
      <c r="K7" s="127"/>
      <c r="L7" s="4"/>
      <c r="M7" s="25" t="s">
        <v>161</v>
      </c>
      <c r="N7" s="6">
        <f>B6*B10</f>
        <v>0</v>
      </c>
      <c r="O7" s="4"/>
      <c r="P7" s="20"/>
      <c r="Q7" s="74"/>
    </row>
    <row r="8" spans="1:17" ht="18" x14ac:dyDescent="0.25">
      <c r="A8" s="93" t="s">
        <v>140</v>
      </c>
      <c r="B8" s="1">
        <v>4</v>
      </c>
      <c r="C8" s="4"/>
      <c r="D8" s="4"/>
      <c r="E8" s="4"/>
      <c r="F8" s="4"/>
      <c r="G8" s="4"/>
      <c r="H8" s="127"/>
      <c r="I8" s="63"/>
      <c r="J8" s="4"/>
      <c r="K8" s="127"/>
      <c r="L8" s="4"/>
      <c r="M8" s="25" t="s">
        <v>162</v>
      </c>
      <c r="N8" s="6">
        <f>B7*B11</f>
        <v>0</v>
      </c>
      <c r="O8" s="52"/>
      <c r="P8" s="21"/>
      <c r="Q8" s="74"/>
    </row>
    <row r="9" spans="1:17" x14ac:dyDescent="0.2">
      <c r="A9" s="93" t="s">
        <v>34</v>
      </c>
      <c r="B9" s="3">
        <v>29000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4"/>
    </row>
    <row r="10" spans="1:17" ht="20" x14ac:dyDescent="0.25">
      <c r="A10" s="93" t="s">
        <v>152</v>
      </c>
      <c r="B10" s="3">
        <v>0</v>
      </c>
      <c r="C10" s="4"/>
      <c r="D10" s="143" t="s">
        <v>54</v>
      </c>
      <c r="E10" s="143"/>
      <c r="F10" s="143"/>
      <c r="G10" s="143"/>
      <c r="H10" s="143"/>
      <c r="I10" s="4"/>
      <c r="J10" s="143" t="s">
        <v>121</v>
      </c>
      <c r="K10" s="143"/>
      <c r="L10" s="143"/>
      <c r="M10" s="143"/>
      <c r="N10" s="143"/>
      <c r="O10" s="46"/>
      <c r="P10" s="4"/>
      <c r="Q10" s="74"/>
    </row>
    <row r="11" spans="1:17" ht="20" x14ac:dyDescent="0.25">
      <c r="A11" s="93" t="s">
        <v>156</v>
      </c>
      <c r="B11" s="3">
        <v>0</v>
      </c>
      <c r="C11" s="4"/>
      <c r="D11" s="27" t="s">
        <v>7</v>
      </c>
      <c r="E11" s="36">
        <f>(2*E14)/B18</f>
        <v>124.59682539682539</v>
      </c>
      <c r="F11" s="4"/>
      <c r="G11" s="5" t="s">
        <v>10</v>
      </c>
      <c r="H11" s="5">
        <f>(2*E14*B18)/(B19*B20)</f>
        <v>1.9873842592592592</v>
      </c>
      <c r="I11" s="4"/>
      <c r="J11" s="27" t="s">
        <v>122</v>
      </c>
      <c r="K11" s="53">
        <f>B3</f>
        <v>50</v>
      </c>
      <c r="L11" s="4"/>
      <c r="M11" s="62" t="s">
        <v>123</v>
      </c>
      <c r="N11" s="62">
        <f>K12/K11</f>
        <v>1</v>
      </c>
      <c r="O11" s="130"/>
      <c r="P11" s="4"/>
      <c r="Q11" s="74"/>
    </row>
    <row r="12" spans="1:17" ht="18" x14ac:dyDescent="0.25">
      <c r="A12" s="93" t="s">
        <v>164</v>
      </c>
      <c r="B12" s="3">
        <v>0</v>
      </c>
      <c r="C12" s="4"/>
      <c r="D12" s="8" t="s">
        <v>8</v>
      </c>
      <c r="E12" s="9">
        <f>5.7*SQRT(B9/B3)</f>
        <v>137.27417819823216</v>
      </c>
      <c r="F12" s="4"/>
      <c r="G12" s="6" t="s">
        <v>9</v>
      </c>
      <c r="H12" s="23">
        <f>IF(E11&lt;=E12,1,IF(((1-(H11/(1200+(300*H11)))*(((2*E14)/B18)-E12)))&lt;=1,((1-(H11/(1200+(300*H11)))*(((2*E14)/B18)-E12))),1))</f>
        <v>1</v>
      </c>
      <c r="I12" s="4"/>
      <c r="J12" s="27" t="s">
        <v>39</v>
      </c>
      <c r="K12" s="53">
        <f>B5</f>
        <v>50</v>
      </c>
      <c r="L12" s="4"/>
      <c r="M12" s="6" t="s">
        <v>124</v>
      </c>
      <c r="N12" s="9">
        <f>K22/K21</f>
        <v>0.77</v>
      </c>
      <c r="O12" s="13"/>
      <c r="P12" s="4"/>
      <c r="Q12" s="74"/>
    </row>
    <row r="13" spans="1:17" ht="18" x14ac:dyDescent="0.25">
      <c r="A13" s="93" t="s">
        <v>165</v>
      </c>
      <c r="B13" s="3">
        <v>0</v>
      </c>
      <c r="C13" s="4"/>
      <c r="D13" s="18"/>
      <c r="E13" s="4"/>
      <c r="F13" s="4"/>
      <c r="G13" s="4"/>
      <c r="H13" s="20"/>
      <c r="I13" s="4"/>
      <c r="J13" s="6" t="s">
        <v>125</v>
      </c>
      <c r="K13" s="25">
        <f t="shared" ref="K13:K18" si="0">B17</f>
        <v>44</v>
      </c>
      <c r="L13" s="4"/>
      <c r="M13" s="4"/>
      <c r="N13" s="60"/>
      <c r="O13" s="4"/>
      <c r="P13" s="4"/>
      <c r="Q13" s="74"/>
    </row>
    <row r="14" spans="1:17" ht="18" x14ac:dyDescent="0.25">
      <c r="A14" s="93" t="s">
        <v>142</v>
      </c>
      <c r="B14" s="3">
        <v>96</v>
      </c>
      <c r="C14" s="4"/>
      <c r="D14" s="6" t="s">
        <v>78</v>
      </c>
      <c r="E14" s="9">
        <f>(B17+B20+B22)-B40-B20</f>
        <v>27.255555555555556</v>
      </c>
      <c r="F14" s="4"/>
      <c r="G14" s="4"/>
      <c r="H14" s="20"/>
      <c r="I14" s="4"/>
      <c r="J14" s="6" t="s">
        <v>2</v>
      </c>
      <c r="K14" s="25">
        <f t="shared" si="0"/>
        <v>0.4375</v>
      </c>
      <c r="L14" s="4"/>
      <c r="M14" s="6" t="s">
        <v>128</v>
      </c>
      <c r="N14" s="6">
        <f>((K11*K21*K13)/12)*(12-(N12*((N11^3)-(3*N11))))</f>
        <v>62058.333333333328</v>
      </c>
      <c r="O14" s="4"/>
      <c r="P14" s="4"/>
      <c r="Q14" s="74"/>
    </row>
    <row r="15" spans="1:17" ht="18" x14ac:dyDescent="0.25">
      <c r="A15" s="93" t="s">
        <v>143</v>
      </c>
      <c r="B15" s="3">
        <v>8</v>
      </c>
      <c r="C15" s="4"/>
      <c r="D15" s="6" t="s">
        <v>79</v>
      </c>
      <c r="E15" s="9">
        <f>(B17+B20+B22)-B50-B20</f>
        <v>36.857142857142861</v>
      </c>
      <c r="F15" s="4"/>
      <c r="G15" s="35" t="s">
        <v>68</v>
      </c>
      <c r="H15" s="6" t="str">
        <f>IF(E11&lt;=E12,"Applicable","NA")</f>
        <v>Applicable</v>
      </c>
      <c r="I15" s="4"/>
      <c r="J15" s="6" t="s">
        <v>3</v>
      </c>
      <c r="K15" s="25">
        <f t="shared" si="0"/>
        <v>12</v>
      </c>
      <c r="L15" s="4"/>
      <c r="M15" s="6" t="s">
        <v>129</v>
      </c>
      <c r="N15" s="6">
        <f>((K11*K21*K13)/12)*(12+(2*N12))</f>
        <v>62058.333333333328</v>
      </c>
      <c r="O15" s="4"/>
      <c r="P15" s="4"/>
      <c r="Q15" s="74"/>
    </row>
    <row r="16" spans="1:17" ht="18" x14ac:dyDescent="0.25">
      <c r="A16" s="93" t="s">
        <v>144</v>
      </c>
      <c r="B16" s="3">
        <v>0</v>
      </c>
      <c r="C16" s="4"/>
      <c r="D16" s="18"/>
      <c r="E16" s="4"/>
      <c r="F16" s="4"/>
      <c r="G16" s="4"/>
      <c r="H16" s="20"/>
      <c r="I16" s="4"/>
      <c r="J16" s="6" t="s">
        <v>4</v>
      </c>
      <c r="K16" s="25">
        <f t="shared" si="0"/>
        <v>1</v>
      </c>
      <c r="L16" s="4"/>
      <c r="M16" s="4"/>
      <c r="N16" s="20"/>
      <c r="O16" s="4"/>
      <c r="P16" s="4"/>
      <c r="Q16" s="74"/>
    </row>
    <row r="17" spans="1:17" ht="18" x14ac:dyDescent="0.25">
      <c r="A17" s="77" t="s">
        <v>1</v>
      </c>
      <c r="B17" s="2">
        <v>44</v>
      </c>
      <c r="C17" s="4"/>
      <c r="D17" s="8" t="s">
        <v>11</v>
      </c>
      <c r="E17" s="9">
        <f>IF(((SQRT(B9/B4))/(((0.54*(B54/(N17*B53)))-0.09)^2))&lt;=(E12*(E15/E14)),((SQRT(B9/B4))/(((0.54*(B54/(N17*B53)))-0.09)^2)),(E12*(E15/E14)))</f>
        <v>62.620560757136921</v>
      </c>
      <c r="F17" s="4"/>
      <c r="G17" s="6" t="str">
        <f>IF(((2*E15)/B18)&lt;=E17,"Compact Web", "Noncompact Web")</f>
        <v>Noncompact Web</v>
      </c>
      <c r="H17" s="20"/>
      <c r="I17" s="4"/>
      <c r="J17" s="6" t="s">
        <v>5</v>
      </c>
      <c r="K17" s="25">
        <f t="shared" si="0"/>
        <v>20</v>
      </c>
      <c r="L17" s="4"/>
      <c r="M17" s="64" t="s">
        <v>126</v>
      </c>
      <c r="N17" s="66">
        <f>N14/N15</f>
        <v>1</v>
      </c>
      <c r="O17" s="131"/>
      <c r="P17" s="4"/>
      <c r="Q17" s="74"/>
    </row>
    <row r="18" spans="1:17" ht="18" x14ac:dyDescent="0.25">
      <c r="A18" s="77" t="s">
        <v>2</v>
      </c>
      <c r="B18" s="2">
        <v>0.4375</v>
      </c>
      <c r="C18" s="39"/>
      <c r="D18" s="8" t="s">
        <v>35</v>
      </c>
      <c r="E18" s="9">
        <f>IF((E17*(E14/E15))&lt;=E12,(E17*(E14/E15)),E12)</f>
        <v>46.307392280826789</v>
      </c>
      <c r="F18" s="4"/>
      <c r="G18" s="4"/>
      <c r="H18" s="20"/>
      <c r="I18" s="4"/>
      <c r="J18" s="6" t="s">
        <v>6</v>
      </c>
      <c r="K18" s="25">
        <f t="shared" si="0"/>
        <v>1.25</v>
      </c>
      <c r="L18" s="4"/>
      <c r="M18" s="63"/>
      <c r="N18" s="51"/>
      <c r="O18" s="13"/>
      <c r="P18" s="4"/>
      <c r="Q18" s="74"/>
    </row>
    <row r="19" spans="1:17" ht="18" x14ac:dyDescent="0.25">
      <c r="A19" s="77" t="s">
        <v>3</v>
      </c>
      <c r="B19" s="2">
        <v>12</v>
      </c>
      <c r="C19" s="4"/>
      <c r="D19" s="16"/>
      <c r="E19" s="4"/>
      <c r="F19" s="4"/>
      <c r="G19" s="4"/>
      <c r="H19" s="20"/>
      <c r="I19" s="4"/>
      <c r="J19" s="61"/>
      <c r="K19" s="12"/>
      <c r="L19" s="4"/>
      <c r="M19" s="63"/>
      <c r="N19" s="51"/>
      <c r="O19" s="13"/>
      <c r="P19" s="4"/>
      <c r="Q19" s="74"/>
    </row>
    <row r="20" spans="1:17" ht="20" x14ac:dyDescent="0.25">
      <c r="A20" s="77" t="s">
        <v>4</v>
      </c>
      <c r="B20" s="2">
        <v>1</v>
      </c>
      <c r="C20" s="4"/>
      <c r="D20" s="31" t="s">
        <v>36</v>
      </c>
      <c r="E20" s="23">
        <f>IF(G17="Noncompact Web",IF(((1-(1-((N17*B49)/B54))*((E11-E18)/(E12-E18)))*H20)&lt;=H20,((1-(1-((N17*B49)/B54))*((E11-E18)/(E12-E18)))*H20),H20),H20)</f>
        <v>1.0439127248249014</v>
      </c>
      <c r="F20" s="28"/>
      <c r="G20" s="37" t="s">
        <v>81</v>
      </c>
      <c r="H20" s="23">
        <f>B54/B49</f>
        <v>1.3150972841706723</v>
      </c>
      <c r="I20" s="4"/>
      <c r="J20" s="6" t="s">
        <v>21</v>
      </c>
      <c r="K20" s="6">
        <f>(K13*K14)+(K15*K16)+(K17*K18)</f>
        <v>56.25</v>
      </c>
      <c r="L20" s="4"/>
      <c r="M20" s="63"/>
      <c r="N20" s="51"/>
      <c r="O20" s="13"/>
      <c r="P20" s="4"/>
      <c r="Q20" s="74"/>
    </row>
    <row r="21" spans="1:17" ht="20" x14ac:dyDescent="0.25">
      <c r="A21" s="77" t="s">
        <v>5</v>
      </c>
      <c r="B21" s="2">
        <v>20</v>
      </c>
      <c r="C21" s="4"/>
      <c r="D21" s="31" t="s">
        <v>69</v>
      </c>
      <c r="E21" s="23">
        <f>IF(G17="Noncompact Web",IF(((1-(1-((N17*B46)/B54))*((E11-E18)/(E12-E18)))*H21)&lt;=H21,((1-(1-((N17*B46)/B54))*((E11-E18)/(E12-E18)))*H21),H21),H21)</f>
        <v>0.83751476669854641</v>
      </c>
      <c r="F21" s="28"/>
      <c r="G21" s="37" t="s">
        <v>82</v>
      </c>
      <c r="H21" s="23">
        <f>B54/B46</f>
        <v>0.83751476669854641</v>
      </c>
      <c r="I21" s="4"/>
      <c r="J21" s="6" t="s">
        <v>127</v>
      </c>
      <c r="K21" s="6">
        <f>K17*K18</f>
        <v>25</v>
      </c>
      <c r="L21" s="4"/>
      <c r="M21" s="63"/>
      <c r="N21" s="51"/>
      <c r="O21" s="13"/>
      <c r="P21" s="4"/>
      <c r="Q21" s="74"/>
    </row>
    <row r="22" spans="1:17" ht="20" x14ac:dyDescent="0.25">
      <c r="A22" s="77" t="s">
        <v>6</v>
      </c>
      <c r="B22" s="2">
        <v>1.25</v>
      </c>
      <c r="C22" s="4"/>
      <c r="D22" s="33"/>
      <c r="E22" s="28"/>
      <c r="F22" s="4"/>
      <c r="G22" s="4"/>
      <c r="H22" s="20"/>
      <c r="I22" s="4"/>
      <c r="J22" s="6" t="s">
        <v>25</v>
      </c>
      <c r="K22" s="6">
        <f>K14*K13</f>
        <v>19.25</v>
      </c>
      <c r="L22" s="56"/>
      <c r="M22" s="52"/>
      <c r="N22" s="21"/>
      <c r="O22" s="4"/>
      <c r="P22" s="4"/>
      <c r="Q22" s="74"/>
    </row>
    <row r="23" spans="1:17" ht="18" x14ac:dyDescent="0.25">
      <c r="A23" s="94" t="s">
        <v>83</v>
      </c>
      <c r="B23" s="17" t="s">
        <v>84</v>
      </c>
      <c r="C23" s="4"/>
      <c r="D23" s="8" t="s">
        <v>55</v>
      </c>
      <c r="E23" s="29">
        <f>B19/(2*B20)</f>
        <v>6</v>
      </c>
      <c r="F23" s="4"/>
      <c r="G23" s="4"/>
      <c r="H23" s="20"/>
      <c r="I23" s="4"/>
      <c r="J23" s="4"/>
      <c r="K23" s="4"/>
      <c r="L23" s="4"/>
      <c r="M23" s="12"/>
      <c r="N23" s="28"/>
      <c r="O23" s="28"/>
      <c r="P23" s="4"/>
      <c r="Q23" s="74"/>
    </row>
    <row r="24" spans="1:17" ht="18" x14ac:dyDescent="0.25">
      <c r="A24" s="94" t="s">
        <v>50</v>
      </c>
      <c r="B24" s="17">
        <v>1200</v>
      </c>
      <c r="C24" s="4"/>
      <c r="D24" s="8" t="s">
        <v>56</v>
      </c>
      <c r="E24" s="9">
        <f>0.38*SQRT(B9/B3)</f>
        <v>9.1516118798821449</v>
      </c>
      <c r="F24" s="4"/>
      <c r="G24" s="4"/>
      <c r="H24" s="20"/>
      <c r="I24" s="4"/>
      <c r="J24" s="4"/>
      <c r="K24" s="4"/>
      <c r="L24" s="4"/>
      <c r="M24" s="4"/>
      <c r="N24" s="4"/>
      <c r="O24" s="4"/>
      <c r="P24" s="4"/>
      <c r="Q24" s="74"/>
    </row>
    <row r="25" spans="1:17" ht="18" x14ac:dyDescent="0.25">
      <c r="A25" s="77" t="s">
        <v>48</v>
      </c>
      <c r="B25" s="2">
        <v>100</v>
      </c>
      <c r="C25" s="4"/>
      <c r="D25" s="8" t="s">
        <v>57</v>
      </c>
      <c r="E25" s="9">
        <f>IF(H15="NA",(0.56*SQRT(B9/E29)),(0.95*SQRT((B9*(4/SQRT(B17/B18)))/E29)))</f>
        <v>17.270301640069505</v>
      </c>
      <c r="F25" s="5"/>
      <c r="G25" s="6" t="str">
        <f>IF(E23&lt;=E24,"Compact Flange", "Noncompact Flange")</f>
        <v>Compact Flange</v>
      </c>
      <c r="H25" s="21"/>
      <c r="I25" s="4"/>
      <c r="J25" s="4"/>
      <c r="K25" s="4"/>
      <c r="L25" s="4"/>
      <c r="M25" s="4"/>
      <c r="N25" s="4"/>
      <c r="O25" s="4"/>
      <c r="P25" s="4"/>
      <c r="Q25" s="74"/>
    </row>
    <row r="26" spans="1:17" x14ac:dyDescent="0.2">
      <c r="A26" s="69" t="s">
        <v>86</v>
      </c>
      <c r="B26" s="2">
        <v>12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74"/>
    </row>
    <row r="27" spans="1:17" ht="18" x14ac:dyDescent="0.25">
      <c r="A27" s="95"/>
      <c r="B27" s="12"/>
      <c r="C27" s="4"/>
      <c r="D27" s="143" t="s">
        <v>74</v>
      </c>
      <c r="E27" s="143"/>
      <c r="F27" s="4"/>
      <c r="G27" s="143" t="s">
        <v>60</v>
      </c>
      <c r="H27" s="143"/>
      <c r="I27" s="143"/>
      <c r="J27" s="13"/>
      <c r="K27" s="35" t="s">
        <v>138</v>
      </c>
      <c r="L27" s="9">
        <f>MIN(H39:H43)</f>
        <v>1.02</v>
      </c>
      <c r="M27" s="4"/>
      <c r="N27" s="4"/>
      <c r="O27" s="4"/>
      <c r="P27" s="4"/>
      <c r="Q27" s="74"/>
    </row>
    <row r="28" spans="1:17" ht="18" x14ac:dyDescent="0.25">
      <c r="A28" s="95" t="s">
        <v>151</v>
      </c>
      <c r="B28" s="128">
        <f>B15+B16+B17+B20+B22</f>
        <v>54.25</v>
      </c>
      <c r="C28" s="4"/>
      <c r="D28" s="6" t="s">
        <v>44</v>
      </c>
      <c r="E28" s="23">
        <f>B19/(SQRT(12*(1+((1/3)*((E14*B18)/(B19*B20))))))</f>
        <v>3.0023682527506481</v>
      </c>
      <c r="F28" s="4"/>
      <c r="G28" s="6" t="s">
        <v>63</v>
      </c>
      <c r="H28" s="6">
        <f>(B17/B18)</f>
        <v>100.57142857142857</v>
      </c>
      <c r="I28" s="6" t="str">
        <f>IF(H28&lt;=150,"Good","NA")</f>
        <v>Good</v>
      </c>
      <c r="J28" s="4"/>
      <c r="K28" s="4"/>
      <c r="L28" s="4"/>
      <c r="M28" s="4"/>
      <c r="N28" s="4"/>
      <c r="O28" s="4"/>
      <c r="P28" s="4"/>
      <c r="Q28" s="74"/>
    </row>
    <row r="29" spans="1:17" ht="18" x14ac:dyDescent="0.25">
      <c r="A29" s="77" t="s">
        <v>147</v>
      </c>
      <c r="B29" s="34">
        <f>(((B34/144)*490)/1000)+(((B39/144)*150)/1000)</f>
        <v>0.99140625000000004</v>
      </c>
      <c r="C29" s="4"/>
      <c r="D29" s="8" t="s">
        <v>40</v>
      </c>
      <c r="E29" s="6">
        <f>IF(H15="NA",IF(MIN(0.7*B3,B5)&gt;(0.5*B3),MIN(0.7*B3,B5),(0.5*B3)),IF(MIN(0.7*B3,B5,((N17*B4*(B45/B48))))&gt;(0.5*B3),MIN(0.7*B3,B5,((N17*B4*(B45/B48)))),(0.5*B3)))</f>
        <v>35</v>
      </c>
      <c r="F29" s="4"/>
      <c r="G29" s="6" t="s">
        <v>64</v>
      </c>
      <c r="H29" s="6">
        <f>IF((B19/(2*B20))&lt;=12,(B19/(2*B20)),"NA")</f>
        <v>6</v>
      </c>
      <c r="I29" s="6" t="str">
        <f>IF(H29&lt;=12,"Good","NA")</f>
        <v>Good</v>
      </c>
      <c r="J29" s="4"/>
      <c r="K29" s="4"/>
      <c r="L29" s="4"/>
      <c r="M29" s="4"/>
      <c r="N29" s="4"/>
      <c r="O29" s="4"/>
      <c r="P29" s="4"/>
      <c r="Q29" s="74"/>
    </row>
    <row r="30" spans="1:17" ht="20" x14ac:dyDescent="0.25">
      <c r="A30" s="77" t="s">
        <v>148</v>
      </c>
      <c r="B30" s="34">
        <v>4.7</v>
      </c>
      <c r="C30" s="4"/>
      <c r="D30" s="24" t="s">
        <v>41</v>
      </c>
      <c r="E30" s="6">
        <f>(1/3)*((B17*(B18^3))+(B19*(B20^3)*(1-(0.63*(B20/B19))))+(B21*(B22^3)*(1-(0.63*(B22/B21)))))</f>
        <v>17.526328124999999</v>
      </c>
      <c r="F30" s="4"/>
      <c r="G30" s="6" t="s">
        <v>65</v>
      </c>
      <c r="H30" s="6">
        <f>IF((B21/(2*B22))&lt;=12,(B21/(2*B22)),"NA")</f>
        <v>8</v>
      </c>
      <c r="I30" s="6" t="str">
        <f>IF(H30&lt;=12,"Good","NA")</f>
        <v>Good</v>
      </c>
      <c r="J30" s="4"/>
      <c r="K30" s="4"/>
      <c r="L30" s="4"/>
      <c r="M30" s="4"/>
      <c r="N30" s="4"/>
      <c r="O30" s="4"/>
      <c r="P30" s="4"/>
      <c r="Q30" s="74"/>
    </row>
    <row r="31" spans="1:17" ht="18" x14ac:dyDescent="0.25">
      <c r="A31" s="77" t="s">
        <v>149</v>
      </c>
      <c r="B31" s="34">
        <f>(1.25*B29)+B30</f>
        <v>5.9392578125000002</v>
      </c>
      <c r="C31" s="4"/>
      <c r="D31" s="24" t="s">
        <v>43</v>
      </c>
      <c r="E31" s="9">
        <f>B17+(B20/2)+(B22/2)</f>
        <v>45.125</v>
      </c>
      <c r="F31" s="4"/>
      <c r="G31" s="25" t="s">
        <v>66</v>
      </c>
      <c r="H31" s="6">
        <f>B17/6</f>
        <v>7.333333333333333</v>
      </c>
      <c r="I31" s="6" t="str">
        <f>IF(B19&gt;=H31,"Good","NA")</f>
        <v>Good</v>
      </c>
      <c r="J31" s="4"/>
      <c r="K31" s="4"/>
      <c r="L31" s="4"/>
      <c r="M31" s="4"/>
      <c r="N31" s="4"/>
      <c r="O31" s="4"/>
      <c r="P31" s="4"/>
      <c r="Q31" s="74"/>
    </row>
    <row r="32" spans="1:17" ht="18" x14ac:dyDescent="0.25">
      <c r="A32" s="77" t="s">
        <v>58</v>
      </c>
      <c r="B32" s="43">
        <f>(B29*(B25^2))/8</f>
        <v>1239.2578125</v>
      </c>
      <c r="C32" s="4"/>
      <c r="D32" s="24" t="s">
        <v>59</v>
      </c>
      <c r="E32" s="9">
        <f>IF(H15="NA",IF(B23="No",((1*H12*(PI()^2)*B9)/((B24/E28)^2)),((L27*(PI()^2)*B9)/((B24/E28)^2))),IF(B23="No",((1*(PI()^2)*B9)/((B24/E28)^2))*SQRT(1+(0.078*(E30/(B48*E31))*((B24/E28)^2))),((L27*(PI()^2)*B9)/((B24/E28)^2))*SQRT(1+(0.078*(E30/(B48*E31))*((B24/E28)^2)))))</f>
        <v>5.0691201923162907</v>
      </c>
      <c r="F32" s="4"/>
      <c r="G32" s="25" t="s">
        <v>67</v>
      </c>
      <c r="H32" s="6">
        <f>B17/6</f>
        <v>7.333333333333333</v>
      </c>
      <c r="I32" s="6" t="str">
        <f>IF(B21&gt;=H32,"Good","NA")</f>
        <v>Good</v>
      </c>
      <c r="J32" s="14"/>
      <c r="K32" s="4"/>
      <c r="L32" s="4"/>
      <c r="M32" s="4"/>
      <c r="N32" s="4"/>
      <c r="O32" s="4"/>
      <c r="P32" s="4"/>
      <c r="Q32" s="74"/>
    </row>
    <row r="33" spans="1:17" ht="18" x14ac:dyDescent="0.25">
      <c r="A33" s="77" t="s">
        <v>145</v>
      </c>
      <c r="B33" s="43">
        <f>(B31*(B25^2))/8</f>
        <v>7424.072265625</v>
      </c>
      <c r="C33" s="4"/>
      <c r="D33" s="22"/>
      <c r="E33" s="19"/>
      <c r="F33" s="4"/>
      <c r="G33" s="25" t="s">
        <v>61</v>
      </c>
      <c r="H33" s="6">
        <f>(1.1*B18)</f>
        <v>0.48125000000000007</v>
      </c>
      <c r="I33" s="6" t="str">
        <f>IF(B20&gt;=H33,"Good","NA")</f>
        <v>Good</v>
      </c>
      <c r="J33" s="4"/>
      <c r="K33" s="4"/>
      <c r="L33" s="4"/>
      <c r="M33" s="4"/>
      <c r="N33" s="4"/>
      <c r="O33" s="4"/>
      <c r="P33" s="4"/>
      <c r="Q33" s="74"/>
    </row>
    <row r="34" spans="1:17" ht="20" x14ac:dyDescent="0.25">
      <c r="A34" s="77" t="s">
        <v>21</v>
      </c>
      <c r="B34" s="30">
        <f>(B17*B18)+(B19*B20)+(B21*B22)</f>
        <v>56.25</v>
      </c>
      <c r="C34" s="4"/>
      <c r="D34" s="25" t="s">
        <v>51</v>
      </c>
      <c r="E34" s="26">
        <f>1*E28*SQRT(B9/B3)</f>
        <v>72.306602551720601</v>
      </c>
      <c r="F34" s="4"/>
      <c r="G34" s="25" t="s">
        <v>62</v>
      </c>
      <c r="H34" s="6">
        <f>(1.1*B18)</f>
        <v>0.48125000000000007</v>
      </c>
      <c r="I34" s="6" t="str">
        <f>IF(B22&gt;=H34,"Good","NA")</f>
        <v>Good</v>
      </c>
      <c r="J34" s="4"/>
      <c r="K34" s="4"/>
      <c r="L34" s="4"/>
      <c r="M34" s="4"/>
      <c r="N34" s="4"/>
      <c r="O34" s="4"/>
      <c r="P34" s="4"/>
      <c r="Q34" s="74"/>
    </row>
    <row r="35" spans="1:17" ht="20" x14ac:dyDescent="0.25">
      <c r="A35" s="77" t="s">
        <v>22</v>
      </c>
      <c r="B35" s="6">
        <f>B34/2</f>
        <v>28.125</v>
      </c>
      <c r="C35" s="4"/>
      <c r="D35" s="31" t="s">
        <v>52</v>
      </c>
      <c r="E35" s="26">
        <f>IF(H15="NA",(PI()*E28*SQRT(B9/E29)),(1.95*E28*(B9/E29)*SQRT(E30/(B48*E31))*SQRT(1+SQRT(1+6.76*(((E29/B9)*((B48*E31)/E30))^2)))))</f>
        <v>295.90073749189645</v>
      </c>
      <c r="F35" s="4"/>
      <c r="G35" s="37" t="s">
        <v>72</v>
      </c>
      <c r="H35" s="9">
        <f>B41/B42</f>
        <v>0.17280000000000001</v>
      </c>
      <c r="I35" s="6" t="str">
        <f>IF(AND(0.1&lt;=H35,H35&lt;=10),"Good","NA")</f>
        <v>Good</v>
      </c>
      <c r="J35" s="4"/>
      <c r="K35" s="4"/>
      <c r="L35" s="4"/>
      <c r="M35" s="4"/>
      <c r="N35" s="4"/>
      <c r="O35" s="4"/>
      <c r="P35" s="4"/>
      <c r="Q35" s="74"/>
    </row>
    <row r="36" spans="1:17" ht="20" x14ac:dyDescent="0.25">
      <c r="A36" s="77" t="s">
        <v>23</v>
      </c>
      <c r="B36" s="6">
        <f>B21*B22</f>
        <v>25</v>
      </c>
      <c r="C36" s="4"/>
      <c r="D36" s="32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4"/>
    </row>
    <row r="37" spans="1:17" ht="20" x14ac:dyDescent="0.25">
      <c r="A37" s="77" t="s">
        <v>24</v>
      </c>
      <c r="B37" s="6">
        <f>B19*B20</f>
        <v>12</v>
      </c>
      <c r="C37" s="4"/>
      <c r="D37" s="12"/>
      <c r="E37" s="143" t="s">
        <v>45</v>
      </c>
      <c r="F37" s="143"/>
      <c r="G37" s="143"/>
      <c r="H37" s="143"/>
      <c r="I37" s="143"/>
      <c r="J37" s="143"/>
      <c r="K37" s="4"/>
      <c r="L37" s="4"/>
      <c r="M37" s="4"/>
      <c r="N37" s="4"/>
      <c r="O37" s="4"/>
      <c r="P37" s="4"/>
      <c r="Q37" s="74"/>
    </row>
    <row r="38" spans="1:17" ht="20" x14ac:dyDescent="0.25">
      <c r="A38" s="77" t="s">
        <v>25</v>
      </c>
      <c r="B38" s="6">
        <f>B18*B17</f>
        <v>19.25</v>
      </c>
      <c r="C38" s="4"/>
      <c r="D38" s="4"/>
      <c r="E38" s="5" t="s">
        <v>46</v>
      </c>
      <c r="F38" s="5" t="s">
        <v>88</v>
      </c>
      <c r="G38" s="5" t="s">
        <v>89</v>
      </c>
      <c r="H38" s="56" t="s">
        <v>47</v>
      </c>
      <c r="I38" s="6" t="s">
        <v>130</v>
      </c>
      <c r="J38" s="6" t="s">
        <v>131</v>
      </c>
      <c r="K38" s="16"/>
      <c r="L38" s="4"/>
      <c r="M38" s="4"/>
      <c r="N38" s="4"/>
      <c r="O38" s="4"/>
      <c r="P38" s="4"/>
      <c r="Q38" s="74"/>
    </row>
    <row r="39" spans="1:17" ht="20" x14ac:dyDescent="0.25">
      <c r="A39" s="77" t="s">
        <v>146</v>
      </c>
      <c r="B39" s="6">
        <f>(B14*B15)+(B19*B16)</f>
        <v>768</v>
      </c>
      <c r="C39" s="4"/>
      <c r="D39" s="20"/>
      <c r="E39" s="23">
        <f>F39/$B$25</f>
        <v>0</v>
      </c>
      <c r="F39" s="2">
        <v>0</v>
      </c>
      <c r="G39" s="129">
        <f>((($B$31*$B$25)/2)*F39)-($B$31*((F39^2)/2))</f>
        <v>0</v>
      </c>
      <c r="H39" s="9">
        <f t="shared" ref="H39:H44" si="1">ROUND((1.75-(1.05*(G39/G40))+(0.3*((G39/G40)^2))),2)</f>
        <v>1.75</v>
      </c>
      <c r="I39" s="30">
        <f t="shared" ref="I39:I49" si="2">$B$57</f>
        <v>3144.7481711374371</v>
      </c>
      <c r="J39" s="30">
        <f t="shared" ref="J39:J49" si="3">IF($C$60="NA",IF($C$61="NA",$B$62,$B$61),$B$60)</f>
        <v>305.41071250446458</v>
      </c>
      <c r="K39" s="4"/>
      <c r="L39" s="4"/>
      <c r="M39" s="4"/>
      <c r="N39" s="4"/>
      <c r="O39" s="4"/>
      <c r="P39" s="4"/>
      <c r="Q39" s="74"/>
    </row>
    <row r="40" spans="1:17" ht="18" x14ac:dyDescent="0.25">
      <c r="A40" s="77" t="s">
        <v>80</v>
      </c>
      <c r="B40" s="9">
        <f>((B37*E6)+(B38*E5)+(B36*E4))/(B36+B37+B38)</f>
        <v>17.994444444444444</v>
      </c>
      <c r="C40" s="4"/>
      <c r="D40" s="4"/>
      <c r="E40" s="23">
        <f t="shared" ref="E40:E49" si="4">F40/$B$25</f>
        <v>0.1</v>
      </c>
      <c r="F40" s="2">
        <v>10</v>
      </c>
      <c r="G40" s="129">
        <f>((($B$31*$B$25)/2)*F40)-($B$31*((F40^2)/2))</f>
        <v>2672.666015625</v>
      </c>
      <c r="H40" s="9">
        <f t="shared" si="1"/>
        <v>1.25</v>
      </c>
      <c r="I40" s="30">
        <f t="shared" si="2"/>
        <v>3144.7481711374371</v>
      </c>
      <c r="J40" s="30">
        <f t="shared" si="3"/>
        <v>305.41071250446458</v>
      </c>
      <c r="K40" s="4"/>
      <c r="L40" s="4"/>
      <c r="M40" s="4"/>
      <c r="N40" s="4"/>
      <c r="O40" s="4"/>
      <c r="P40" s="4"/>
      <c r="Q40" s="74"/>
    </row>
    <row r="41" spans="1:17" ht="20" x14ac:dyDescent="0.25">
      <c r="A41" s="77" t="s">
        <v>70</v>
      </c>
      <c r="B41" s="9">
        <f>(1/12)*B20*(B19^3)</f>
        <v>144</v>
      </c>
      <c r="C41" s="4"/>
      <c r="D41" s="4"/>
      <c r="E41" s="23">
        <f t="shared" si="4"/>
        <v>0.2</v>
      </c>
      <c r="F41" s="2">
        <v>20</v>
      </c>
      <c r="G41" s="129">
        <f t="shared" ref="G41:G49" si="5">((($B$31*$B$25)/2)*F41)-($B$31*((F41^2)/2))</f>
        <v>4751.40625</v>
      </c>
      <c r="H41" s="9">
        <f t="shared" si="1"/>
        <v>1.1200000000000001</v>
      </c>
      <c r="I41" s="30">
        <f t="shared" si="2"/>
        <v>3144.7481711374371</v>
      </c>
      <c r="J41" s="30">
        <f t="shared" si="3"/>
        <v>305.41071250446458</v>
      </c>
      <c r="K41" s="4"/>
      <c r="L41" s="4"/>
      <c r="M41" s="4"/>
      <c r="N41" s="4"/>
      <c r="O41" s="4"/>
      <c r="P41" s="4"/>
      <c r="Q41" s="74"/>
    </row>
    <row r="42" spans="1:17" ht="20" x14ac:dyDescent="0.25">
      <c r="A42" s="77" t="s">
        <v>71</v>
      </c>
      <c r="B42" s="9">
        <f>(1/12)*B22*(B21^3)</f>
        <v>833.33333333333326</v>
      </c>
      <c r="C42" s="4"/>
      <c r="D42" s="4"/>
      <c r="E42" s="23">
        <f t="shared" si="4"/>
        <v>0.3</v>
      </c>
      <c r="F42" s="2">
        <v>30</v>
      </c>
      <c r="G42" s="129">
        <f t="shared" si="5"/>
        <v>6236.220703125</v>
      </c>
      <c r="H42" s="9">
        <f t="shared" si="1"/>
        <v>1.06</v>
      </c>
      <c r="I42" s="30">
        <f t="shared" si="2"/>
        <v>3144.7481711374371</v>
      </c>
      <c r="J42" s="30">
        <f t="shared" si="3"/>
        <v>305.41071250446458</v>
      </c>
      <c r="K42" s="4"/>
      <c r="L42" s="4"/>
      <c r="M42" s="4"/>
      <c r="N42" s="4"/>
      <c r="O42" s="4"/>
      <c r="P42" s="4"/>
      <c r="Q42" s="74"/>
    </row>
    <row r="43" spans="1:17" ht="20" x14ac:dyDescent="0.25">
      <c r="A43" s="77" t="s">
        <v>26</v>
      </c>
      <c r="B43" s="9">
        <f>(((B21*(B22^3))/12)+(B36*((B44-(B22/2))^2)))+(((B18*(B17^3))/12)+(B38*((((B17/2)+B22)-B44)^2)))+(((B19*(B20^3))/12)+(B37*((((B20/2)+B17+B22)-B44)^2)))</f>
        <v>20428.513888888887</v>
      </c>
      <c r="C43" s="4"/>
      <c r="D43" s="4"/>
      <c r="E43" s="23">
        <f t="shared" si="4"/>
        <v>0.4</v>
      </c>
      <c r="F43" s="2">
        <v>40</v>
      </c>
      <c r="G43" s="129">
        <f t="shared" si="5"/>
        <v>7127.109375</v>
      </c>
      <c r="H43" s="9">
        <f t="shared" si="1"/>
        <v>1.02</v>
      </c>
      <c r="I43" s="30">
        <f t="shared" si="2"/>
        <v>3144.7481711374371</v>
      </c>
      <c r="J43" s="30">
        <f t="shared" si="3"/>
        <v>305.41071250446458</v>
      </c>
      <c r="K43" s="4"/>
      <c r="L43" s="4"/>
      <c r="M43" s="4"/>
      <c r="N43" s="4"/>
      <c r="O43" s="4"/>
      <c r="P43" s="4"/>
      <c r="Q43" s="74"/>
    </row>
    <row r="44" spans="1:17" ht="18" x14ac:dyDescent="0.25">
      <c r="A44" s="77" t="s">
        <v>77</v>
      </c>
      <c r="B44" s="9">
        <f>((B36*(B22/2))+(B38*(B22+(B17/2)))+(B37*(B22+B17+(B20/2))))/(B36+B38+B37)</f>
        <v>17.994444444444444</v>
      </c>
      <c r="C44" s="4"/>
      <c r="D44" s="4"/>
      <c r="E44" s="23">
        <f t="shared" si="4"/>
        <v>0.5</v>
      </c>
      <c r="F44" s="41">
        <v>50</v>
      </c>
      <c r="G44" s="129">
        <f t="shared" si="5"/>
        <v>7424.072265625</v>
      </c>
      <c r="H44" s="9">
        <f t="shared" si="1"/>
        <v>0.98</v>
      </c>
      <c r="I44" s="30">
        <f t="shared" si="2"/>
        <v>3144.7481711374371</v>
      </c>
      <c r="J44" s="30">
        <f t="shared" si="3"/>
        <v>305.41071250446458</v>
      </c>
      <c r="K44" s="4"/>
      <c r="L44" s="4"/>
      <c r="M44" s="4"/>
      <c r="N44" s="4"/>
      <c r="O44" s="4"/>
      <c r="P44" s="4"/>
      <c r="Q44" s="74"/>
    </row>
    <row r="45" spans="1:17" ht="20" x14ac:dyDescent="0.25">
      <c r="A45" s="94" t="s">
        <v>27</v>
      </c>
      <c r="B45" s="9">
        <f>B43/B44</f>
        <v>1135.2678295770299</v>
      </c>
      <c r="C45" s="4"/>
      <c r="D45" s="4"/>
      <c r="E45" s="40">
        <f>F45/$B$25</f>
        <v>0.6</v>
      </c>
      <c r="F45" s="2">
        <v>60</v>
      </c>
      <c r="G45" s="129">
        <f t="shared" si="5"/>
        <v>7127.109375</v>
      </c>
      <c r="H45" s="42">
        <f>H43</f>
        <v>1.02</v>
      </c>
      <c r="I45" s="30">
        <f t="shared" si="2"/>
        <v>3144.7481711374371</v>
      </c>
      <c r="J45" s="30">
        <f t="shared" si="3"/>
        <v>305.41071250446458</v>
      </c>
      <c r="K45" s="4"/>
      <c r="L45" s="4"/>
      <c r="M45" s="4"/>
      <c r="N45" s="4"/>
      <c r="O45" s="4"/>
      <c r="P45" s="4"/>
      <c r="Q45" s="74"/>
    </row>
    <row r="46" spans="1:17" ht="18" x14ac:dyDescent="0.25">
      <c r="A46" s="77" t="s">
        <v>28</v>
      </c>
      <c r="B46" s="10">
        <f>(B2*B45)/12</f>
        <v>4730.2826232376246</v>
      </c>
      <c r="C46" s="4"/>
      <c r="D46" s="4"/>
      <c r="E46" s="40">
        <f t="shared" si="4"/>
        <v>0.7</v>
      </c>
      <c r="F46" s="2">
        <v>70</v>
      </c>
      <c r="G46" s="129">
        <f t="shared" si="5"/>
        <v>6236.220703125</v>
      </c>
      <c r="H46" s="42">
        <f>H42</f>
        <v>1.06</v>
      </c>
      <c r="I46" s="30">
        <f t="shared" si="2"/>
        <v>3144.7481711374371</v>
      </c>
      <c r="J46" s="30">
        <f t="shared" si="3"/>
        <v>305.41071250446458</v>
      </c>
      <c r="K46" s="4"/>
      <c r="L46" s="4"/>
      <c r="M46" s="4"/>
      <c r="N46" s="4"/>
      <c r="O46" s="4"/>
      <c r="P46" s="4"/>
      <c r="Q46" s="74"/>
    </row>
    <row r="47" spans="1:17" ht="18" x14ac:dyDescent="0.25">
      <c r="A47" s="96" t="s">
        <v>76</v>
      </c>
      <c r="B47" s="9">
        <f>(B17+B20+B22)-B44</f>
        <v>28.255555555555556</v>
      </c>
      <c r="C47" s="4"/>
      <c r="D47" s="4"/>
      <c r="E47" s="40">
        <f t="shared" si="4"/>
        <v>0.8</v>
      </c>
      <c r="F47" s="44">
        <v>80</v>
      </c>
      <c r="G47" s="129">
        <f t="shared" si="5"/>
        <v>4751.40625</v>
      </c>
      <c r="H47" s="42">
        <f>H41</f>
        <v>1.1200000000000001</v>
      </c>
      <c r="I47" s="30">
        <f t="shared" si="2"/>
        <v>3144.7481711374371</v>
      </c>
      <c r="J47" s="30">
        <f t="shared" si="3"/>
        <v>305.41071250446458</v>
      </c>
      <c r="K47" s="4"/>
      <c r="L47" s="4"/>
      <c r="M47" s="4"/>
      <c r="N47" s="4"/>
      <c r="O47" s="4"/>
      <c r="P47" s="4"/>
      <c r="Q47" s="74"/>
    </row>
    <row r="48" spans="1:17" ht="20" x14ac:dyDescent="0.25">
      <c r="A48" s="94" t="s">
        <v>29</v>
      </c>
      <c r="B48" s="9">
        <f>B43/B47</f>
        <v>722.99105387337784</v>
      </c>
      <c r="C48" s="4"/>
      <c r="D48" s="4"/>
      <c r="E48" s="40">
        <f t="shared" si="4"/>
        <v>0.9</v>
      </c>
      <c r="F48" s="44">
        <v>90</v>
      </c>
      <c r="G48" s="129">
        <f t="shared" si="5"/>
        <v>2672.666015625</v>
      </c>
      <c r="H48" s="42">
        <f>H40</f>
        <v>1.25</v>
      </c>
      <c r="I48" s="30">
        <f t="shared" si="2"/>
        <v>3144.7481711374371</v>
      </c>
      <c r="J48" s="30">
        <f t="shared" si="3"/>
        <v>305.41071250446458</v>
      </c>
      <c r="K48" s="4"/>
      <c r="L48" s="4"/>
      <c r="M48" s="4"/>
      <c r="N48" s="12"/>
      <c r="O48" s="12"/>
      <c r="P48" s="4"/>
      <c r="Q48" s="74"/>
    </row>
    <row r="49" spans="1:17" ht="18" x14ac:dyDescent="0.25">
      <c r="A49" s="77" t="s">
        <v>30</v>
      </c>
      <c r="B49" s="10">
        <f>(B2*B48)/12</f>
        <v>3012.4627244724074</v>
      </c>
      <c r="C49" s="4"/>
      <c r="D49" s="4"/>
      <c r="E49" s="40">
        <f t="shared" si="4"/>
        <v>1</v>
      </c>
      <c r="F49" s="44">
        <v>100</v>
      </c>
      <c r="G49" s="129">
        <f t="shared" si="5"/>
        <v>0</v>
      </c>
      <c r="H49" s="9">
        <f>H39</f>
        <v>1.75</v>
      </c>
      <c r="I49" s="30">
        <f t="shared" si="2"/>
        <v>3144.7481711374371</v>
      </c>
      <c r="J49" s="30">
        <f t="shared" si="3"/>
        <v>305.41071250446458</v>
      </c>
      <c r="K49" s="4"/>
      <c r="L49" s="4"/>
      <c r="M49" s="4"/>
      <c r="N49" s="12"/>
      <c r="O49" s="12"/>
      <c r="P49" s="4"/>
      <c r="Q49" s="74"/>
    </row>
    <row r="50" spans="1:17" ht="18" x14ac:dyDescent="0.25">
      <c r="A50" s="96" t="s">
        <v>75</v>
      </c>
      <c r="B50" s="9">
        <f>SUM(I4:I6)</f>
        <v>8.3928571428571423</v>
      </c>
      <c r="C50" s="4"/>
      <c r="D50" s="4"/>
      <c r="E50" s="1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74"/>
    </row>
    <row r="51" spans="1:17" ht="21" x14ac:dyDescent="0.25">
      <c r="A51" s="94" t="s">
        <v>31</v>
      </c>
      <c r="B51" s="9">
        <f>SUM(K4:K6)</f>
        <v>950.80357142857133</v>
      </c>
      <c r="C51" s="4"/>
      <c r="D51" s="4"/>
      <c r="E51" s="14"/>
      <c r="F51" s="4"/>
      <c r="G51" s="4"/>
      <c r="H51" s="4"/>
      <c r="I51" s="4"/>
      <c r="J51" s="4"/>
      <c r="K51" s="4"/>
      <c r="L51" s="4"/>
      <c r="M51" s="4"/>
      <c r="N51" s="4"/>
      <c r="O51" s="125"/>
      <c r="P51" s="4"/>
      <c r="Q51" s="74"/>
    </row>
    <row r="52" spans="1:17" ht="22" thickBot="1" x14ac:dyDescent="0.3">
      <c r="A52" s="97"/>
      <c r="B52" s="4"/>
      <c r="C52" s="4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/>
      <c r="P52" s="4"/>
      <c r="Q52" s="74"/>
    </row>
    <row r="53" spans="1:17" ht="20" thickTop="1" thickBot="1" x14ac:dyDescent="0.3">
      <c r="A53" s="98" t="s">
        <v>32</v>
      </c>
      <c r="B53" s="11">
        <f>IF(B46&lt;B49,B46,B49)</f>
        <v>3012.4627244724074</v>
      </c>
      <c r="C53" s="15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4"/>
      <c r="Q53" s="74"/>
    </row>
    <row r="54" spans="1:17" ht="20" thickTop="1" thickBot="1" x14ac:dyDescent="0.3">
      <c r="A54" s="98" t="s">
        <v>33</v>
      </c>
      <c r="B54" s="11">
        <f>(B2*B51)/12</f>
        <v>3961.6815476190473</v>
      </c>
      <c r="C54" s="4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14"/>
      <c r="P54" s="4"/>
      <c r="Q54" s="74"/>
    </row>
    <row r="55" spans="1:17" ht="18" thickTop="1" thickBot="1" x14ac:dyDescent="0.25">
      <c r="A55" s="99"/>
      <c r="B55" s="4"/>
      <c r="C55" s="45"/>
      <c r="D55" s="12"/>
      <c r="E55" s="12"/>
      <c r="F55" s="12"/>
      <c r="G55" s="12"/>
      <c r="H55" s="12"/>
      <c r="I55" s="113"/>
      <c r="J55" s="114"/>
      <c r="K55" s="114"/>
      <c r="L55" s="12"/>
      <c r="M55" s="113"/>
      <c r="N55" s="114"/>
      <c r="O55" s="12"/>
      <c r="P55" s="4"/>
      <c r="Q55" s="74"/>
    </row>
    <row r="56" spans="1:17" ht="18" thickTop="1" thickBot="1" x14ac:dyDescent="0.25">
      <c r="A56" s="148" t="s">
        <v>73</v>
      </c>
      <c r="B56" s="149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6"/>
      <c r="P56" s="4"/>
      <c r="Q56" s="74"/>
    </row>
    <row r="57" spans="1:17" ht="20" thickTop="1" thickBot="1" x14ac:dyDescent="0.3">
      <c r="A57" s="98" t="s">
        <v>49</v>
      </c>
      <c r="B57" s="65">
        <f>IF(H15="NA",IF(E23&lt;=E24, (H12*N17*((B3*B48)/12)),((1-(1-((E29/(N17*B3))*((E23-E24)/(E25-E24)))))*H12*N17*((B3*B48)/12))),IF(E23&lt;=E24,E20*B49,((1-(1-(((E29*B48)/(E20*B49*12))*((E23-E24)/(E25-E24)))))*(E20*B49))))</f>
        <v>3144.7481711374371</v>
      </c>
      <c r="C57" s="4"/>
      <c r="D57" s="115"/>
      <c r="E57" s="116"/>
      <c r="F57" s="12"/>
      <c r="G57" s="12"/>
      <c r="H57" s="115"/>
      <c r="I57" s="117"/>
      <c r="J57" s="12"/>
      <c r="K57" s="116"/>
      <c r="L57" s="115"/>
      <c r="M57" s="117"/>
      <c r="N57" s="12"/>
      <c r="O57" s="116"/>
      <c r="P57" s="4"/>
      <c r="Q57" s="74"/>
    </row>
    <row r="58" spans="1:17" ht="18" thickTop="1" thickBot="1" x14ac:dyDescent="0.25">
      <c r="A58" s="100"/>
      <c r="B58" s="4"/>
      <c r="C58" s="4"/>
      <c r="D58" s="115"/>
      <c r="E58" s="116"/>
      <c r="F58" s="12"/>
      <c r="G58" s="12"/>
      <c r="H58" s="115"/>
      <c r="I58" s="117"/>
      <c r="J58" s="12"/>
      <c r="K58" s="116"/>
      <c r="L58" s="115"/>
      <c r="M58" s="117"/>
      <c r="N58" s="12"/>
      <c r="O58" s="116"/>
      <c r="P58" s="4"/>
      <c r="Q58" s="74"/>
    </row>
    <row r="59" spans="1:17" ht="18" thickTop="1" thickBot="1" x14ac:dyDescent="0.25">
      <c r="A59" s="150" t="s">
        <v>42</v>
      </c>
      <c r="B59" s="151"/>
      <c r="C59" s="46"/>
      <c r="D59" s="115"/>
      <c r="E59" s="116"/>
      <c r="F59" s="12"/>
      <c r="G59" s="12"/>
      <c r="H59" s="115"/>
      <c r="I59" s="117"/>
      <c r="J59" s="12"/>
      <c r="K59" s="116"/>
      <c r="L59" s="115"/>
      <c r="M59" s="117"/>
      <c r="N59" s="12"/>
      <c r="O59" s="116"/>
      <c r="P59" s="4"/>
      <c r="Q59" s="74"/>
    </row>
    <row r="60" spans="1:17" ht="20" thickTop="1" thickBot="1" x14ac:dyDescent="0.3">
      <c r="A60" s="98" t="s">
        <v>102</v>
      </c>
      <c r="B60" s="11">
        <f>IF(H15="NA",(H12*N17*((B3*B48)/12)),(E20*B49))</f>
        <v>3144.7481711374371</v>
      </c>
      <c r="C60" s="10" t="str">
        <f>IF(B24&lt;=E34, "Applicable","NA")</f>
        <v>NA</v>
      </c>
      <c r="D60" s="118"/>
      <c r="E60" s="12"/>
      <c r="F60" s="12"/>
      <c r="G60" s="12"/>
      <c r="H60" s="118"/>
      <c r="I60" s="12"/>
      <c r="J60" s="12"/>
      <c r="K60" s="116"/>
      <c r="L60" s="118"/>
      <c r="M60" s="12"/>
      <c r="N60" s="12"/>
      <c r="O60" s="116"/>
      <c r="P60" s="4"/>
      <c r="Q60" s="74"/>
    </row>
    <row r="61" spans="1:17" ht="20" thickTop="1" thickBot="1" x14ac:dyDescent="0.3">
      <c r="A61" s="98" t="s">
        <v>103</v>
      </c>
      <c r="B61" s="11">
        <f>IF(H15="NA",IF((L27*(1-(1-((E29)/(N17*B3)))*((B24-E34)/(E35-E34)))*(H12*N17*((B3*B48)/12)))&lt;=(H12*N17*((B3*B48)/12)),(L27*(1-(1-((E29)/(N17*B3)))*((B24-E34)/(E35-E34)))*(H12*N17*((B3*B48)/12))),(H12*N17*((B3*B48)/12))),IF((L27*(1-(1-((E29*B48)/(E20*B49*12)))*((B24-E34)/(E35-E34)))*(E20*B49))&lt;=(E20*B49),(L27*(1-(1-((E29*B48)/(E20*B49*12)))*((B24-E34)/(E35-E34)))*(E20*B49)),(E20*B49)))</f>
        <v>-2122.0318896876684</v>
      </c>
      <c r="C61" s="10" t="str">
        <f>IF(AND(B24&lt;=E35,E34&lt;B24), "Applicable","NA")</f>
        <v>NA</v>
      </c>
      <c r="D61" s="118"/>
      <c r="E61" s="119"/>
      <c r="F61" s="12"/>
      <c r="G61" s="12"/>
      <c r="H61" s="118"/>
      <c r="I61" s="119"/>
      <c r="J61" s="12"/>
      <c r="K61" s="116"/>
      <c r="L61" s="118"/>
      <c r="M61" s="119"/>
      <c r="N61" s="12"/>
      <c r="O61" s="12"/>
      <c r="P61" s="4"/>
      <c r="Q61" s="74"/>
    </row>
    <row r="62" spans="1:17" ht="20" thickTop="1" thickBot="1" x14ac:dyDescent="0.3">
      <c r="A62" s="98" t="s">
        <v>104</v>
      </c>
      <c r="B62" s="11">
        <f>IF(H15="NA",IF(((E32*B48)/12)&lt;=(H12*N17*((B3*B48)/12)),((E32*B48)/12),(H12*N17*((B3*B48)/12))),IF(((E32*B48)/12)&lt;=(E20*B49),((E32*B48)/12),(E20*B49)))</f>
        <v>305.41071250446458</v>
      </c>
      <c r="C62" s="10" t="str">
        <f>IF(E35&lt;B24, "Applicable","NA")</f>
        <v>Applicable</v>
      </c>
      <c r="D62" s="12"/>
      <c r="E62" s="12"/>
      <c r="F62" s="116"/>
      <c r="G62" s="12"/>
      <c r="H62" s="12"/>
      <c r="I62" s="12"/>
      <c r="J62" s="12"/>
      <c r="K62" s="12"/>
      <c r="L62" s="12"/>
      <c r="M62" s="12"/>
      <c r="N62" s="12"/>
      <c r="O62" s="12"/>
      <c r="P62" s="4"/>
      <c r="Q62" s="74"/>
    </row>
    <row r="63" spans="1:17" ht="18" thickTop="1" thickBot="1" x14ac:dyDescent="0.25">
      <c r="A63" s="101"/>
      <c r="B63" s="102"/>
      <c r="C63" s="102"/>
      <c r="D63" s="132"/>
      <c r="E63" s="132"/>
      <c r="F63" s="133"/>
      <c r="G63" s="133"/>
      <c r="H63" s="133"/>
      <c r="I63" s="133"/>
      <c r="J63" s="133"/>
      <c r="K63" s="132"/>
      <c r="L63" s="132"/>
      <c r="M63" s="132"/>
      <c r="N63" s="132"/>
      <c r="O63" s="132"/>
      <c r="P63" s="91"/>
      <c r="Q63" s="92"/>
    </row>
    <row r="64" spans="1:17" x14ac:dyDescent="0.2">
      <c r="A64" s="4"/>
      <c r="B64" s="15"/>
      <c r="C64" s="15"/>
      <c r="D64" s="12"/>
      <c r="E64" s="12"/>
      <c r="F64" s="12"/>
      <c r="G64" s="12"/>
      <c r="H64" s="120"/>
      <c r="I64" s="116"/>
      <c r="J64" s="116"/>
      <c r="K64" s="12"/>
      <c r="L64" s="12"/>
      <c r="M64" s="12"/>
      <c r="N64" s="12"/>
      <c r="O64" s="12"/>
    </row>
    <row r="65" spans="1:16" ht="21" x14ac:dyDescent="0.25">
      <c r="A65" s="125"/>
      <c r="B65" s="125"/>
      <c r="C65" s="125"/>
      <c r="D65" s="12"/>
      <c r="E65" s="12"/>
      <c r="F65" s="118"/>
      <c r="G65" s="12"/>
      <c r="H65" s="112"/>
      <c r="I65" s="112"/>
      <c r="J65" s="112"/>
      <c r="K65" s="12"/>
      <c r="L65" s="12"/>
      <c r="M65" s="12"/>
      <c r="N65" s="12"/>
      <c r="O65" s="12"/>
    </row>
    <row r="66" spans="1:16" x14ac:dyDescent="0.2">
      <c r="A66" s="12"/>
      <c r="B66" s="12"/>
      <c r="C66" s="111"/>
      <c r="D66" s="12"/>
      <c r="E66" s="12"/>
      <c r="F66" s="118"/>
      <c r="G66" s="12"/>
      <c r="H66" s="112"/>
      <c r="I66" s="112"/>
      <c r="J66" s="112"/>
      <c r="K66" s="12"/>
      <c r="L66" s="12"/>
      <c r="M66" s="12"/>
      <c r="N66" s="12"/>
      <c r="O66" s="12"/>
    </row>
    <row r="67" spans="1:16" x14ac:dyDescent="0.2">
      <c r="A67" s="12"/>
      <c r="B67" s="12"/>
      <c r="C67" s="111"/>
      <c r="D67" s="12"/>
      <c r="E67" s="12"/>
      <c r="F67" s="118"/>
      <c r="G67" s="12"/>
      <c r="H67" s="112"/>
      <c r="I67" s="112"/>
      <c r="J67" s="112"/>
      <c r="K67" s="12"/>
      <c r="L67" s="12"/>
      <c r="M67" s="12"/>
      <c r="N67" s="12"/>
      <c r="O67" s="12"/>
    </row>
    <row r="68" spans="1:16" x14ac:dyDescent="0.2">
      <c r="A68" s="108"/>
      <c r="B68" s="112"/>
      <c r="C68" s="111"/>
      <c r="D68" s="12"/>
      <c r="E68" s="12"/>
      <c r="F68" s="118"/>
      <c r="G68" s="12"/>
      <c r="H68" s="112"/>
      <c r="I68" s="112"/>
      <c r="J68" s="112"/>
      <c r="K68" s="12"/>
      <c r="L68" s="12"/>
      <c r="M68" s="12"/>
      <c r="N68" s="12"/>
      <c r="O68" s="12"/>
    </row>
    <row r="69" spans="1:16" x14ac:dyDescent="0.2">
      <c r="A69" s="108"/>
      <c r="B69" s="112"/>
      <c r="C69" s="111"/>
      <c r="D69" s="112"/>
      <c r="E69" s="12"/>
      <c r="F69" s="118"/>
      <c r="G69" s="12"/>
      <c r="H69" s="112"/>
      <c r="I69" s="112"/>
      <c r="J69" s="112"/>
      <c r="K69" s="12"/>
      <c r="L69" s="12"/>
      <c r="M69" s="12"/>
      <c r="N69" s="12"/>
      <c r="O69" s="12"/>
    </row>
    <row r="70" spans="1:16" x14ac:dyDescent="0.2">
      <c r="A70" s="108"/>
      <c r="B70" s="112"/>
      <c r="C70" s="111"/>
      <c r="D70" s="12"/>
      <c r="E70" s="12"/>
      <c r="F70" s="118"/>
      <c r="G70" s="12"/>
      <c r="H70" s="112"/>
      <c r="I70" s="112"/>
      <c r="J70" s="112"/>
      <c r="K70" s="12"/>
      <c r="L70" s="12"/>
      <c r="M70" s="12"/>
      <c r="N70" s="12"/>
      <c r="O70" s="12"/>
    </row>
    <row r="71" spans="1:16" x14ac:dyDescent="0.2">
      <c r="A71" s="12"/>
      <c r="B71" s="12"/>
      <c r="C71" s="111"/>
      <c r="D71" s="12"/>
      <c r="E71" s="12"/>
      <c r="F71" s="118"/>
      <c r="G71" s="12"/>
      <c r="H71" s="112"/>
      <c r="I71" s="112"/>
      <c r="J71" s="112"/>
      <c r="K71" s="12"/>
      <c r="L71" s="12"/>
      <c r="M71" s="12"/>
      <c r="N71" s="12"/>
      <c r="O71" s="12"/>
    </row>
    <row r="72" spans="1:16" x14ac:dyDescent="0.2">
      <c r="A72" s="115"/>
      <c r="B72" s="12"/>
      <c r="C72" s="116"/>
      <c r="D72" s="12"/>
      <c r="E72" s="12"/>
      <c r="F72" s="118"/>
      <c r="G72" s="12"/>
      <c r="H72" s="112"/>
      <c r="I72" s="112"/>
      <c r="J72" s="112"/>
      <c r="K72" s="12"/>
      <c r="L72" s="12"/>
      <c r="M72" s="12"/>
      <c r="N72" s="12"/>
      <c r="O72" s="12"/>
    </row>
    <row r="73" spans="1:16" x14ac:dyDescent="0.2">
      <c r="A73" s="12"/>
      <c r="B73" s="12"/>
      <c r="C73" s="116"/>
      <c r="D73" s="116"/>
      <c r="E73" s="12"/>
      <c r="F73" s="118"/>
      <c r="G73" s="12"/>
      <c r="H73" s="112"/>
      <c r="I73" s="112"/>
      <c r="J73" s="112"/>
      <c r="K73" s="12"/>
      <c r="L73" s="12"/>
      <c r="M73" s="12"/>
      <c r="N73" s="12"/>
      <c r="O73" s="12"/>
    </row>
    <row r="74" spans="1:16" x14ac:dyDescent="0.2">
      <c r="A74" s="12"/>
      <c r="B74" s="12"/>
      <c r="C74" s="116"/>
      <c r="D74" s="112"/>
      <c r="E74" s="12"/>
      <c r="F74" s="118"/>
      <c r="G74" s="12"/>
      <c r="H74" s="112"/>
      <c r="I74" s="112"/>
      <c r="J74" s="112"/>
      <c r="K74" s="12"/>
      <c r="L74" s="12"/>
      <c r="M74" s="12"/>
      <c r="N74" s="12"/>
      <c r="O74" s="12"/>
    </row>
    <row r="75" spans="1:16" x14ac:dyDescent="0.2">
      <c r="A75" s="12"/>
      <c r="B75" s="12"/>
      <c r="C75" s="116"/>
      <c r="D75" s="112"/>
      <c r="E75" s="12"/>
      <c r="F75" s="118"/>
      <c r="G75" s="122"/>
      <c r="H75" s="112"/>
      <c r="I75" s="112"/>
      <c r="J75" s="112"/>
      <c r="K75" s="12"/>
      <c r="L75" s="12"/>
      <c r="M75" s="12"/>
      <c r="N75" s="12"/>
      <c r="O75" s="12"/>
      <c r="P75" s="4"/>
    </row>
    <row r="76" spans="1:16" x14ac:dyDescent="0.2">
      <c r="A76" s="108"/>
      <c r="B76" s="112"/>
      <c r="C76" s="116"/>
      <c r="D76" s="112"/>
      <c r="E76" s="12"/>
      <c r="F76" s="118"/>
      <c r="G76" s="123"/>
      <c r="H76" s="112"/>
      <c r="I76" s="112"/>
      <c r="J76" s="112"/>
      <c r="K76" s="12"/>
      <c r="L76" s="12"/>
      <c r="M76" s="12"/>
      <c r="N76" s="12"/>
      <c r="O76" s="12"/>
      <c r="P76" s="4"/>
    </row>
    <row r="77" spans="1:16" x14ac:dyDescent="0.2">
      <c r="A77" s="108"/>
      <c r="B77" s="116"/>
      <c r="C77" s="116"/>
      <c r="D77" s="116"/>
      <c r="E77" s="12"/>
      <c r="F77" s="118"/>
      <c r="G77" s="123"/>
      <c r="H77" s="112"/>
      <c r="I77" s="112"/>
      <c r="J77" s="112"/>
      <c r="K77" s="12"/>
      <c r="L77" s="12"/>
      <c r="M77" s="12"/>
      <c r="N77" s="12"/>
      <c r="O77" s="12"/>
      <c r="P77" s="4"/>
    </row>
    <row r="78" spans="1:16" x14ac:dyDescent="0.2">
      <c r="A78" s="108"/>
      <c r="B78" s="116"/>
      <c r="C78" s="116"/>
      <c r="D78" s="116"/>
      <c r="E78" s="12"/>
      <c r="F78" s="118"/>
      <c r="G78" s="124"/>
      <c r="H78" s="112"/>
      <c r="I78" s="112"/>
      <c r="J78" s="112"/>
      <c r="K78" s="12"/>
      <c r="L78" s="12"/>
      <c r="M78" s="12"/>
      <c r="N78" s="12"/>
      <c r="O78" s="12"/>
      <c r="P78" s="4"/>
    </row>
    <row r="79" spans="1:16" x14ac:dyDescent="0.2">
      <c r="A79" s="108"/>
      <c r="B79" s="116"/>
      <c r="C79" s="116"/>
      <c r="D79" s="116"/>
      <c r="E79" s="12"/>
      <c r="F79" s="118"/>
      <c r="G79" s="111"/>
      <c r="H79" s="112"/>
      <c r="I79" s="112"/>
      <c r="J79" s="112"/>
      <c r="K79" s="12"/>
      <c r="L79" s="12"/>
      <c r="M79" s="12"/>
      <c r="N79" s="12"/>
      <c r="O79" s="12"/>
      <c r="P79" s="4"/>
    </row>
    <row r="80" spans="1:16" x14ac:dyDescent="0.2">
      <c r="A80" s="108"/>
      <c r="B80" s="116"/>
      <c r="C80" s="116"/>
      <c r="D80" s="116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4"/>
      <c r="P80" s="4"/>
    </row>
    <row r="81" spans="1:16" x14ac:dyDescent="0.2">
      <c r="A81" s="126"/>
      <c r="B81" s="126"/>
      <c r="C81" s="11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">
      <c r="A82" s="116"/>
      <c r="B82" s="112"/>
      <c r="C82" s="109"/>
      <c r="D82" s="15"/>
      <c r="E82" s="4"/>
      <c r="F82" s="4"/>
      <c r="G82" s="4"/>
      <c r="H82" s="67"/>
      <c r="I82" s="4"/>
      <c r="J82" s="4"/>
      <c r="K82" s="4"/>
      <c r="L82" s="4"/>
      <c r="M82" s="4"/>
      <c r="N82" s="4"/>
      <c r="O82" s="4"/>
      <c r="P82" s="4"/>
    </row>
    <row r="83" spans="1:16" x14ac:dyDescent="0.2">
      <c r="A83" s="116"/>
      <c r="B83" s="112"/>
      <c r="C83" s="116"/>
      <c r="D83" s="28"/>
      <c r="E83" s="4"/>
      <c r="F83" s="68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">
      <c r="A84" s="116"/>
      <c r="B84" s="112"/>
      <c r="C84" s="116"/>
      <c r="D84" s="2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">
      <c r="A85" s="12"/>
      <c r="B85" s="12"/>
      <c r="C85" s="116"/>
      <c r="D85" s="2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">
      <c r="A86" s="121"/>
      <c r="B86" s="116"/>
      <c r="C86" s="11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">
      <c r="A87" s="12"/>
      <c r="B87" s="112"/>
      <c r="C87" s="1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">
      <c r="A88" s="12"/>
      <c r="B88" s="112"/>
      <c r="C88" s="1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">
      <c r="A89" s="12"/>
      <c r="B89" s="112"/>
      <c r="C89" s="11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">
      <c r="A90" s="12"/>
      <c r="B90" s="116"/>
      <c r="C90" s="11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">
      <c r="A91" s="110"/>
      <c r="B91" s="116"/>
      <c r="C91" s="11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6" x14ac:dyDescent="0.2">
      <c r="A92" s="110"/>
      <c r="B92" s="116"/>
      <c r="C92" s="11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6" x14ac:dyDescent="0.2">
      <c r="A93" s="12"/>
      <c r="B93" s="116"/>
      <c r="C93" s="11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6" x14ac:dyDescent="0.2">
      <c r="A94" s="1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6" x14ac:dyDescent="0.2">
      <c r="A95" s="4"/>
      <c r="B95" s="15"/>
      <c r="C95" s="1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x14ac:dyDescent="0.2">
      <c r="A96" s="4"/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3" x14ac:dyDescent="0.2">
      <c r="A97" s="4"/>
      <c r="B97" s="4"/>
      <c r="C97" s="4"/>
    </row>
    <row r="98" spans="1:3" x14ac:dyDescent="0.2">
      <c r="A98" s="4"/>
      <c r="B98" s="4"/>
      <c r="C98" s="4"/>
    </row>
    <row r="99" spans="1:3" x14ac:dyDescent="0.2">
      <c r="A99" s="4"/>
      <c r="B99" s="4"/>
      <c r="C99" s="4"/>
    </row>
    <row r="100" spans="1:3" x14ac:dyDescent="0.2">
      <c r="A100" s="4"/>
      <c r="B100" s="4"/>
      <c r="C100" s="4"/>
    </row>
    <row r="101" spans="1:3" x14ac:dyDescent="0.2">
      <c r="A101" s="4"/>
      <c r="B101" s="4"/>
      <c r="C101" s="4"/>
    </row>
    <row r="102" spans="1:3" x14ac:dyDescent="0.2">
      <c r="A102" s="4"/>
      <c r="B102" s="4"/>
      <c r="C102" s="4"/>
    </row>
    <row r="103" spans="1:3" x14ac:dyDescent="0.2">
      <c r="A103" s="4"/>
      <c r="B103" s="4"/>
      <c r="C103" s="4"/>
    </row>
    <row r="104" spans="1:3" x14ac:dyDescent="0.2">
      <c r="A104" s="4"/>
      <c r="B104" s="4"/>
      <c r="C104" s="4"/>
    </row>
    <row r="105" spans="1:3" x14ac:dyDescent="0.2">
      <c r="A105" s="4"/>
      <c r="B105" s="4"/>
      <c r="C105" s="4"/>
    </row>
    <row r="106" spans="1:3" x14ac:dyDescent="0.2">
      <c r="A106" s="4"/>
      <c r="B106" s="4"/>
      <c r="C106" s="4"/>
    </row>
    <row r="107" spans="1:3" x14ac:dyDescent="0.2">
      <c r="A107" s="4"/>
      <c r="B107" s="4"/>
      <c r="C107" s="4"/>
    </row>
    <row r="108" spans="1:3" x14ac:dyDescent="0.2">
      <c r="A108" s="4"/>
      <c r="B108" s="4"/>
      <c r="C108" s="4"/>
    </row>
    <row r="109" spans="1:3" x14ac:dyDescent="0.2">
      <c r="A109" s="4"/>
      <c r="B109" s="4"/>
      <c r="C109" s="4"/>
    </row>
  </sheetData>
  <mergeCells count="10">
    <mergeCell ref="M2:P2"/>
    <mergeCell ref="A1:Q1"/>
    <mergeCell ref="E37:J37"/>
    <mergeCell ref="A56:B56"/>
    <mergeCell ref="A59:B59"/>
    <mergeCell ref="D2:K2"/>
    <mergeCell ref="D10:H10"/>
    <mergeCell ref="J10:N10"/>
    <mergeCell ref="D27:E27"/>
    <mergeCell ref="G27:I27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="81" zoomScaleNormal="81" workbookViewId="0">
      <selection sqref="A1:O1"/>
    </sheetView>
  </sheetViews>
  <sheetFormatPr baseColWidth="10" defaultRowHeight="16" x14ac:dyDescent="0.2"/>
  <cols>
    <col min="1" max="1" width="29.6640625" bestFit="1" customWidth="1"/>
    <col min="2" max="2" width="14.83203125" bestFit="1" customWidth="1"/>
    <col min="3" max="3" width="17" bestFit="1" customWidth="1"/>
    <col min="4" max="4" width="18" customWidth="1"/>
    <col min="5" max="5" width="12.6640625" bestFit="1" customWidth="1"/>
    <col min="6" max="6" width="21.33203125" bestFit="1" customWidth="1"/>
    <col min="7" max="7" width="20.6640625" customWidth="1"/>
    <col min="9" max="9" width="14" bestFit="1" customWidth="1"/>
    <col min="10" max="10" width="14.1640625" bestFit="1" customWidth="1"/>
    <col min="11" max="11" width="9.1640625" bestFit="1" customWidth="1"/>
  </cols>
  <sheetData>
    <row r="1" spans="1:15" ht="21" x14ac:dyDescent="0.25">
      <c r="A1" s="136" t="s">
        <v>170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</row>
    <row r="2" spans="1:15" ht="18" x14ac:dyDescent="0.25">
      <c r="A2" s="93" t="s">
        <v>0</v>
      </c>
      <c r="B2" s="1">
        <v>50</v>
      </c>
      <c r="C2" s="4"/>
      <c r="D2" s="139" t="s">
        <v>53</v>
      </c>
      <c r="E2" s="140"/>
      <c r="F2" s="140"/>
      <c r="G2" s="140"/>
      <c r="H2" s="140"/>
      <c r="I2" s="140"/>
      <c r="J2" s="140"/>
      <c r="K2" s="141"/>
      <c r="L2" s="4"/>
      <c r="M2" s="4"/>
      <c r="N2" s="4"/>
      <c r="O2" s="82"/>
    </row>
    <row r="3" spans="1:15" ht="20" x14ac:dyDescent="0.25">
      <c r="A3" s="93" t="s">
        <v>37</v>
      </c>
      <c r="B3" s="1">
        <v>70</v>
      </c>
      <c r="C3" s="4"/>
      <c r="D3" s="5"/>
      <c r="E3" s="5" t="s">
        <v>12</v>
      </c>
      <c r="F3" s="5" t="s">
        <v>13</v>
      </c>
      <c r="G3" s="5" t="s">
        <v>14</v>
      </c>
      <c r="H3" s="5" t="s">
        <v>15</v>
      </c>
      <c r="I3" s="5" t="s">
        <v>75</v>
      </c>
      <c r="J3" s="5" t="s">
        <v>16</v>
      </c>
      <c r="K3" s="6" t="s">
        <v>17</v>
      </c>
      <c r="L3" s="4"/>
      <c r="M3" s="4"/>
      <c r="N3" s="4"/>
      <c r="O3" s="74"/>
    </row>
    <row r="4" spans="1:15" ht="18" x14ac:dyDescent="0.25">
      <c r="A4" s="93" t="s">
        <v>38</v>
      </c>
      <c r="B4" s="1">
        <v>70</v>
      </c>
      <c r="C4" s="4"/>
      <c r="D4" s="6" t="s">
        <v>18</v>
      </c>
      <c r="E4" s="6">
        <f>B12/2</f>
        <v>0.75</v>
      </c>
      <c r="F4" s="6">
        <f>0</f>
        <v>0</v>
      </c>
      <c r="G4" s="6">
        <f>0</f>
        <v>0</v>
      </c>
      <c r="H4" s="7">
        <f>(B21-G4)/B11</f>
        <v>2.671875</v>
      </c>
      <c r="I4" s="8">
        <f>IF(AND(H4&gt;0,H4&lt;=B12),F4+H4,0)</f>
        <v>0</v>
      </c>
      <c r="J4" s="6">
        <f>IF(I4=0,E4-B35,"Neutral Axis")</f>
        <v>-38.25</v>
      </c>
      <c r="K4" s="7">
        <f>IF(I4=0,ABS(J4)*B22,B11*H4^2/2+B11*(B12-H4)^2/2)</f>
        <v>918</v>
      </c>
      <c r="L4" s="4"/>
      <c r="M4" s="4"/>
      <c r="N4" s="4"/>
      <c r="O4" s="74"/>
    </row>
    <row r="5" spans="1:15" ht="18" x14ac:dyDescent="0.25">
      <c r="A5" s="93" t="s">
        <v>39</v>
      </c>
      <c r="B5" s="1">
        <v>50</v>
      </c>
      <c r="C5" s="4"/>
      <c r="D5" s="6" t="s">
        <v>19</v>
      </c>
      <c r="E5" s="6">
        <f>(B12/2)+E4+(B7/2)</f>
        <v>39</v>
      </c>
      <c r="F5" s="6">
        <f>B12+F4</f>
        <v>1.5</v>
      </c>
      <c r="G5" s="6">
        <f>B22+G4</f>
        <v>24</v>
      </c>
      <c r="H5" s="7">
        <f>(B21-G5)/B8</f>
        <v>37.5</v>
      </c>
      <c r="I5" s="8">
        <f>IF(AND(H5&gt;0,H5&lt;=B7),F5+H5,0)</f>
        <v>39</v>
      </c>
      <c r="J5" s="6" t="str">
        <f>IF(I5=0,B35-E5,"Neutral Axis")</f>
        <v>Neutral Axis</v>
      </c>
      <c r="K5" s="7">
        <f>IF(I5=0,ABS(J5)*B24,B8*H5^2/2+B8*(B7-H5)^2/2)</f>
        <v>703.125</v>
      </c>
      <c r="L5" s="4"/>
      <c r="M5" s="4"/>
      <c r="N5" s="4"/>
      <c r="O5" s="74"/>
    </row>
    <row r="6" spans="1:15" x14ac:dyDescent="0.2">
      <c r="A6" s="93" t="s">
        <v>34</v>
      </c>
      <c r="B6" s="3">
        <v>29000</v>
      </c>
      <c r="C6" s="4"/>
      <c r="D6" s="6" t="s">
        <v>20</v>
      </c>
      <c r="E6" s="6">
        <f>(B7/2)+E5+(B10/2)</f>
        <v>77.25</v>
      </c>
      <c r="F6" s="6">
        <f>B7+F5</f>
        <v>76.5</v>
      </c>
      <c r="G6" s="6">
        <f>B24+G5</f>
        <v>61.5</v>
      </c>
      <c r="H6" s="7">
        <f>(B21-G6)/B9</f>
        <v>-1.171875</v>
      </c>
      <c r="I6" s="8">
        <f>IF(AND(H6&gt;0,H6&lt;=B10),F6+H6,0)</f>
        <v>0</v>
      </c>
      <c r="J6" s="6">
        <f>IF(I6=0,E6-B35,"Neutral Axis")</f>
        <v>38.25</v>
      </c>
      <c r="K6" s="7">
        <f>IF(I6=0,ABS(J6)*B23,B9*H6^2/2+B9*(B10-H6)^2/2)</f>
        <v>918</v>
      </c>
      <c r="L6" s="4"/>
      <c r="M6" s="4"/>
      <c r="N6" s="4"/>
      <c r="O6" s="74"/>
    </row>
    <row r="7" spans="1:15" x14ac:dyDescent="0.2">
      <c r="A7" s="77" t="s">
        <v>1</v>
      </c>
      <c r="B7" s="2">
        <v>75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74"/>
    </row>
    <row r="8" spans="1:15" ht="18" x14ac:dyDescent="0.25">
      <c r="A8" s="77" t="s">
        <v>2</v>
      </c>
      <c r="B8" s="47">
        <v>0.5</v>
      </c>
      <c r="C8" s="39"/>
      <c r="D8" s="142" t="s">
        <v>54</v>
      </c>
      <c r="E8" s="143"/>
      <c r="F8" s="143"/>
      <c r="G8" s="143"/>
      <c r="H8" s="143"/>
      <c r="I8" s="4"/>
      <c r="J8" s="143" t="s">
        <v>121</v>
      </c>
      <c r="K8" s="143"/>
      <c r="L8" s="143"/>
      <c r="M8" s="143"/>
      <c r="N8" s="143"/>
      <c r="O8" s="74"/>
    </row>
    <row r="9" spans="1:15" ht="18" x14ac:dyDescent="0.25">
      <c r="A9" s="77" t="s">
        <v>3</v>
      </c>
      <c r="B9" s="2">
        <v>16</v>
      </c>
      <c r="C9" s="4"/>
      <c r="D9" s="27" t="s">
        <v>7</v>
      </c>
      <c r="E9" s="36">
        <f>(2*E12)/B8</f>
        <v>150</v>
      </c>
      <c r="F9" s="4"/>
      <c r="G9" s="5" t="s">
        <v>10</v>
      </c>
      <c r="H9" s="5">
        <f>(2*E12*B8)/(B9*B10)</f>
        <v>1.5625</v>
      </c>
      <c r="I9" s="4"/>
      <c r="J9" s="27" t="s">
        <v>122</v>
      </c>
      <c r="K9" s="53">
        <f>B3</f>
        <v>70</v>
      </c>
      <c r="L9" s="4"/>
      <c r="M9" s="62" t="s">
        <v>123</v>
      </c>
      <c r="N9" s="62">
        <f>K10/K9</f>
        <v>0.7142857142857143</v>
      </c>
      <c r="O9" s="74"/>
    </row>
    <row r="10" spans="1:15" ht="18" x14ac:dyDescent="0.25">
      <c r="A10" s="77" t="s">
        <v>4</v>
      </c>
      <c r="B10" s="2">
        <v>1.5</v>
      </c>
      <c r="C10" s="4"/>
      <c r="D10" s="8" t="s">
        <v>8</v>
      </c>
      <c r="E10" s="9">
        <f>5.7*SQRT(B6/B3)</f>
        <v>116.0178557685965</v>
      </c>
      <c r="F10" s="4"/>
      <c r="G10" s="6" t="s">
        <v>9</v>
      </c>
      <c r="H10" s="23">
        <f>IF(E9&lt;=E10,1,IF(((1-(H9/(1200+(300*H9)))*(((2*E12)/B8)-E10)))&lt;=1,((1-(H9/(1200+(300*H9)))*(((2*E12)/B8)-E10))),1))</f>
        <v>0.96818151289194432</v>
      </c>
      <c r="I10" s="4"/>
      <c r="J10" s="27" t="s">
        <v>39</v>
      </c>
      <c r="K10" s="53">
        <f>B5</f>
        <v>50</v>
      </c>
      <c r="L10" s="4"/>
      <c r="M10" s="6" t="s">
        <v>124</v>
      </c>
      <c r="N10" s="9">
        <f>K20/K19</f>
        <v>1.5625</v>
      </c>
      <c r="O10" s="74"/>
    </row>
    <row r="11" spans="1:15" ht="18" x14ac:dyDescent="0.25">
      <c r="A11" s="77" t="s">
        <v>5</v>
      </c>
      <c r="B11" s="2">
        <v>16</v>
      </c>
      <c r="C11" s="4"/>
      <c r="D11" s="18"/>
      <c r="E11" s="4"/>
      <c r="F11" s="4"/>
      <c r="G11" s="4"/>
      <c r="H11" s="20"/>
      <c r="I11" s="4"/>
      <c r="J11" s="6" t="s">
        <v>125</v>
      </c>
      <c r="K11" s="25">
        <f t="shared" ref="K11:K16" si="0">B7</f>
        <v>75</v>
      </c>
      <c r="L11" s="4"/>
      <c r="M11" s="4"/>
      <c r="N11" s="60"/>
      <c r="O11" s="74"/>
    </row>
    <row r="12" spans="1:15" ht="18" x14ac:dyDescent="0.25">
      <c r="A12" s="77" t="s">
        <v>6</v>
      </c>
      <c r="B12" s="2">
        <v>1.5</v>
      </c>
      <c r="C12" s="4"/>
      <c r="D12" s="6" t="s">
        <v>78</v>
      </c>
      <c r="E12" s="9">
        <f>(B7+B10+B12)-B25-B10</f>
        <v>37.5</v>
      </c>
      <c r="F12" s="4"/>
      <c r="G12" s="4"/>
      <c r="H12" s="20"/>
      <c r="I12" s="4"/>
      <c r="J12" s="6" t="s">
        <v>2</v>
      </c>
      <c r="K12" s="25">
        <f t="shared" si="0"/>
        <v>0.5</v>
      </c>
      <c r="L12" s="4"/>
      <c r="M12" s="6" t="s">
        <v>128</v>
      </c>
      <c r="N12" s="6">
        <f>((K9*K19*K11)/12)*(12-(N10*((N9^3)-(3*N9))))</f>
        <v>155177.29591836734</v>
      </c>
      <c r="O12" s="74"/>
    </row>
    <row r="13" spans="1:15" ht="18" x14ac:dyDescent="0.25">
      <c r="A13" s="94" t="s">
        <v>153</v>
      </c>
      <c r="B13" s="17" t="s">
        <v>167</v>
      </c>
      <c r="C13" s="4"/>
      <c r="D13" s="6" t="s">
        <v>79</v>
      </c>
      <c r="E13" s="9">
        <f>(B7+B10+B12)-B35-B10</f>
        <v>37.5</v>
      </c>
      <c r="F13" s="4"/>
      <c r="G13" s="35" t="s">
        <v>68</v>
      </c>
      <c r="H13" s="6" t="str">
        <f>IF(E9&lt;=E10,"Applicable","NA")</f>
        <v>NA</v>
      </c>
      <c r="I13" s="4"/>
      <c r="J13" s="6" t="s">
        <v>3</v>
      </c>
      <c r="K13" s="25">
        <f t="shared" si="0"/>
        <v>16</v>
      </c>
      <c r="L13" s="4"/>
      <c r="M13" s="6" t="s">
        <v>129</v>
      </c>
      <c r="N13" s="6">
        <f>((K9*K19*K11)/12)*(12+(2*N10))</f>
        <v>158812.5</v>
      </c>
      <c r="O13" s="74"/>
    </row>
    <row r="14" spans="1:15" ht="18" x14ac:dyDescent="0.25">
      <c r="A14" s="94" t="s">
        <v>50</v>
      </c>
      <c r="B14" s="17">
        <v>1200</v>
      </c>
      <c r="C14" s="4"/>
      <c r="D14" s="18"/>
      <c r="E14" s="4"/>
      <c r="F14" s="4"/>
      <c r="G14" s="4"/>
      <c r="H14" s="20"/>
      <c r="I14" s="4"/>
      <c r="J14" s="6" t="s">
        <v>4</v>
      </c>
      <c r="K14" s="25">
        <f t="shared" si="0"/>
        <v>1.5</v>
      </c>
      <c r="L14" s="4"/>
      <c r="M14" s="4"/>
      <c r="N14" s="20"/>
      <c r="O14" s="74"/>
    </row>
    <row r="15" spans="1:15" ht="18" x14ac:dyDescent="0.25">
      <c r="A15" s="77" t="s">
        <v>48</v>
      </c>
      <c r="B15" s="2">
        <v>100</v>
      </c>
      <c r="C15" s="4"/>
      <c r="D15" s="8" t="s">
        <v>11</v>
      </c>
      <c r="E15" s="9">
        <f>IF(((SQRT(B6/B4))/(((0.54*(B39/(N15*B38)))-0.09)^2))&lt;=(E10*(E13/E12)),((SQRT(B6/B4))/(((0.54*(B39/(N15*B38)))-0.09)^2)),(E10*(E13/E12)))</f>
        <v>71.590110846059702</v>
      </c>
      <c r="F15" s="4"/>
      <c r="G15" s="6" t="str">
        <f>IF(((2*E13)/B8)&lt;=E15,"Compact Web", "Noncompact Web")</f>
        <v>Noncompact Web</v>
      </c>
      <c r="H15" s="20"/>
      <c r="I15" s="4"/>
      <c r="J15" s="6" t="s">
        <v>5</v>
      </c>
      <c r="K15" s="25">
        <f t="shared" si="0"/>
        <v>16</v>
      </c>
      <c r="L15" s="4"/>
      <c r="M15" s="64" t="s">
        <v>126</v>
      </c>
      <c r="N15" s="66">
        <f>N12/N13</f>
        <v>0.97711008842734259</v>
      </c>
      <c r="O15" s="74"/>
    </row>
    <row r="16" spans="1:15" ht="18" x14ac:dyDescent="0.25">
      <c r="A16" s="69" t="s">
        <v>86</v>
      </c>
      <c r="B16" s="2">
        <v>12</v>
      </c>
      <c r="C16" s="4"/>
      <c r="D16" s="8" t="s">
        <v>35</v>
      </c>
      <c r="E16" s="9">
        <f>IF((E15*(E12/E13))&lt;=E10,(E15*(E12/E13)),E10)</f>
        <v>71.590110846059702</v>
      </c>
      <c r="F16" s="4"/>
      <c r="G16" s="4"/>
      <c r="H16" s="20"/>
      <c r="I16" s="4"/>
      <c r="J16" s="6" t="s">
        <v>6</v>
      </c>
      <c r="K16" s="25">
        <f t="shared" si="0"/>
        <v>1.5</v>
      </c>
      <c r="L16" s="4"/>
      <c r="M16" s="63"/>
      <c r="N16" s="51"/>
      <c r="O16" s="74"/>
    </row>
    <row r="17" spans="1:15" x14ac:dyDescent="0.2">
      <c r="A17" s="95"/>
      <c r="B17" s="12"/>
      <c r="C17" s="4"/>
      <c r="D17" s="16"/>
      <c r="E17" s="4"/>
      <c r="F17" s="4"/>
      <c r="G17" s="4"/>
      <c r="H17" s="20"/>
      <c r="I17" s="4"/>
      <c r="J17" s="61"/>
      <c r="K17" s="12"/>
      <c r="L17" s="4"/>
      <c r="M17" s="63"/>
      <c r="N17" s="51"/>
      <c r="O17" s="74"/>
    </row>
    <row r="18" spans="1:15" ht="20" x14ac:dyDescent="0.25">
      <c r="A18" s="77" t="s">
        <v>166</v>
      </c>
      <c r="B18" s="34">
        <f>((B20/144)*490)/1000</f>
        <v>0.29093750000000002</v>
      </c>
      <c r="C18" s="4"/>
      <c r="D18" s="31" t="s">
        <v>36</v>
      </c>
      <c r="E18" s="23">
        <f>IF(G15="Noncompact Web",IF(((1-(1-((N15*B34)/B39))*((E9-E16)/(E10-E16)))*H18)&lt;=H18,((1-(1-((N15*B34)/B39))*((E9-E16)/(E10-E16)))*H18),H18),H18)</f>
        <v>0.86194443858493874</v>
      </c>
      <c r="F18" s="28"/>
      <c r="G18" s="37" t="s">
        <v>81</v>
      </c>
      <c r="H18" s="23">
        <f>B39/B34</f>
        <v>1.1276759291287135</v>
      </c>
      <c r="I18" s="4"/>
      <c r="J18" s="6" t="s">
        <v>21</v>
      </c>
      <c r="K18" s="6">
        <f>(K11*K12)+(K13*K14)+(K15*K16)</f>
        <v>85.5</v>
      </c>
      <c r="L18" s="4"/>
      <c r="M18" s="63"/>
      <c r="N18" s="51"/>
      <c r="O18" s="74"/>
    </row>
    <row r="19" spans="1:15" ht="20" x14ac:dyDescent="0.25">
      <c r="A19" s="77" t="s">
        <v>58</v>
      </c>
      <c r="B19" s="43">
        <f>(B18*(B15^2))/8</f>
        <v>363.671875</v>
      </c>
      <c r="C19" s="4"/>
      <c r="D19" s="31" t="s">
        <v>69</v>
      </c>
      <c r="E19" s="23">
        <f>IF(G15="Noncompact Web",IF(((1-(1-((N15*B31)/B39))*((E9-E16)/(E10-E16)))*H19)&lt;=H19,((1-(1-((N15*B31)/B39))*((E9-E16)/(E10-E16)))*H19),H19),H19)</f>
        <v>0.86194443858493874</v>
      </c>
      <c r="F19" s="28"/>
      <c r="G19" s="37" t="s">
        <v>82</v>
      </c>
      <c r="H19" s="23">
        <f>B39/B31</f>
        <v>1.1276759291287135</v>
      </c>
      <c r="I19" s="4"/>
      <c r="J19" s="6" t="s">
        <v>127</v>
      </c>
      <c r="K19" s="6">
        <f>K15*K16</f>
        <v>24</v>
      </c>
      <c r="L19" s="4"/>
      <c r="M19" s="63"/>
      <c r="N19" s="51"/>
      <c r="O19" s="74"/>
    </row>
    <row r="20" spans="1:15" ht="20" x14ac:dyDescent="0.25">
      <c r="A20" s="77" t="s">
        <v>21</v>
      </c>
      <c r="B20" s="30">
        <f>(B7*B8)+(B9*B10)+(B11*B12)</f>
        <v>85.5</v>
      </c>
      <c r="C20" s="4"/>
      <c r="D20" s="33"/>
      <c r="E20" s="28"/>
      <c r="F20" s="4"/>
      <c r="G20" s="4"/>
      <c r="H20" s="20"/>
      <c r="I20" s="4"/>
      <c r="J20" s="6" t="s">
        <v>25</v>
      </c>
      <c r="K20" s="6">
        <f>K12*K11</f>
        <v>37.5</v>
      </c>
      <c r="L20" s="56"/>
      <c r="M20" s="52"/>
      <c r="N20" s="21"/>
      <c r="O20" s="74"/>
    </row>
    <row r="21" spans="1:15" ht="20" x14ac:dyDescent="0.25">
      <c r="A21" s="77" t="s">
        <v>22</v>
      </c>
      <c r="B21" s="6">
        <f>B20/2</f>
        <v>42.75</v>
      </c>
      <c r="C21" s="4"/>
      <c r="D21" s="8" t="s">
        <v>55</v>
      </c>
      <c r="E21" s="29">
        <f>B9/(2*B10)</f>
        <v>5.333333333333333</v>
      </c>
      <c r="F21" s="4"/>
      <c r="G21" s="4"/>
      <c r="H21" s="20"/>
      <c r="I21" s="4"/>
      <c r="J21" s="4"/>
      <c r="K21" s="4"/>
      <c r="L21" s="4"/>
      <c r="M21" s="12"/>
      <c r="N21" s="28"/>
      <c r="O21" s="74"/>
    </row>
    <row r="22" spans="1:15" ht="20" x14ac:dyDescent="0.25">
      <c r="A22" s="77" t="s">
        <v>23</v>
      </c>
      <c r="B22" s="6">
        <f>B11*B12</f>
        <v>24</v>
      </c>
      <c r="C22" s="4"/>
      <c r="D22" s="8" t="s">
        <v>56</v>
      </c>
      <c r="E22" s="9">
        <f>0.38*SQRT(B6/B3)</f>
        <v>7.7345237179064332</v>
      </c>
      <c r="F22" s="4"/>
      <c r="G22" s="4"/>
      <c r="H22" s="20"/>
      <c r="I22" s="4"/>
      <c r="J22" s="4"/>
      <c r="K22" s="4"/>
      <c r="L22" s="4"/>
      <c r="M22" s="4"/>
      <c r="N22" s="4"/>
      <c r="O22" s="74"/>
    </row>
    <row r="23" spans="1:15" ht="20" x14ac:dyDescent="0.25">
      <c r="A23" s="77" t="s">
        <v>24</v>
      </c>
      <c r="B23" s="6">
        <f>B9*B10</f>
        <v>24</v>
      </c>
      <c r="C23" s="4"/>
      <c r="D23" s="8" t="s">
        <v>57</v>
      </c>
      <c r="E23" s="9">
        <f>IF(H13="NA",(0.56*SQRT(B6/E27)),(0.95*SQRT((B6*(4/SQRT(B7/B8)))/E27)))</f>
        <v>13.623509092741122</v>
      </c>
      <c r="F23" s="5"/>
      <c r="G23" s="6" t="str">
        <f>IF(E21&lt;=E22,"Compact Flange", "Noncompact Flange")</f>
        <v>Compact Flange</v>
      </c>
      <c r="H23" s="21"/>
      <c r="I23" s="4"/>
      <c r="J23" s="4"/>
      <c r="K23" s="4"/>
      <c r="L23" s="4"/>
      <c r="M23" s="4"/>
      <c r="N23" s="4"/>
      <c r="O23" s="74"/>
    </row>
    <row r="24" spans="1:15" ht="20" x14ac:dyDescent="0.25">
      <c r="A24" s="77" t="s">
        <v>25</v>
      </c>
      <c r="B24" s="6">
        <f>B8*B7</f>
        <v>37.5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74"/>
    </row>
    <row r="25" spans="1:15" ht="18" x14ac:dyDescent="0.25">
      <c r="A25" s="77" t="s">
        <v>80</v>
      </c>
      <c r="B25" s="9">
        <f>((B23*E6)+(B24*E5)+(B22*E4))/(B22+B23+B24)</f>
        <v>39</v>
      </c>
      <c r="C25" s="4"/>
      <c r="D25" s="143" t="s">
        <v>74</v>
      </c>
      <c r="E25" s="143"/>
      <c r="F25" s="4"/>
      <c r="G25" s="143" t="s">
        <v>60</v>
      </c>
      <c r="H25" s="143"/>
      <c r="I25" s="143"/>
      <c r="J25" s="13"/>
      <c r="K25" s="35" t="s">
        <v>138</v>
      </c>
      <c r="L25" s="9">
        <f>MIN(H37:H41)</f>
        <v>1.02</v>
      </c>
      <c r="M25" s="4"/>
      <c r="N25" s="4"/>
      <c r="O25" s="74"/>
    </row>
    <row r="26" spans="1:15" ht="20" x14ac:dyDescent="0.25">
      <c r="A26" s="77" t="s">
        <v>70</v>
      </c>
      <c r="B26" s="9">
        <f>(1/12)*B10*(B9^3)</f>
        <v>512</v>
      </c>
      <c r="C26" s="4"/>
      <c r="D26" s="6" t="s">
        <v>44</v>
      </c>
      <c r="E26" s="23">
        <f>B9/(SQRT(12*(1+((1/3)*((E12*B8)/(B9*B10))))))</f>
        <v>4.1140758178126404</v>
      </c>
      <c r="F26" s="4"/>
      <c r="G26" s="6" t="s">
        <v>63</v>
      </c>
      <c r="H26" s="6">
        <f>(B7/B8)</f>
        <v>150</v>
      </c>
      <c r="I26" s="6" t="str">
        <f>IF(H26&lt;=150,"Good","NA")</f>
        <v>Good</v>
      </c>
      <c r="J26" s="4"/>
      <c r="K26" s="4"/>
      <c r="L26" s="4"/>
      <c r="M26" s="4"/>
      <c r="N26" s="4"/>
      <c r="O26" s="74"/>
    </row>
    <row r="27" spans="1:15" ht="20" x14ac:dyDescent="0.25">
      <c r="A27" s="77" t="s">
        <v>71</v>
      </c>
      <c r="B27" s="9">
        <f>(1/12)*B12*(B11^3)</f>
        <v>512</v>
      </c>
      <c r="C27" s="4"/>
      <c r="D27" s="8" t="s">
        <v>40</v>
      </c>
      <c r="E27" s="6">
        <f>IF(H13="NA",IF(MIN(0.7*B3,B5)&gt;(0.5*B3),MIN(0.7*B3,B5),(0.5*B3)),IF(MIN(0.7*B3,B5,((N15*B4*(B30/B33))))&gt;(0.5*B3),MIN(0.7*B3,B5,((N15*B4*(B30/B33)))),(0.5*B3)))</f>
        <v>49</v>
      </c>
      <c r="F27" s="4"/>
      <c r="G27" s="6" t="s">
        <v>64</v>
      </c>
      <c r="H27" s="6">
        <f>IF((B9/(2*B10))&lt;=12,(B9/(2*B10)),"NA")</f>
        <v>5.333333333333333</v>
      </c>
      <c r="I27" s="6" t="str">
        <f>IF(H27&lt;=12,"Good","NA")</f>
        <v>Good</v>
      </c>
      <c r="J27" s="4"/>
      <c r="K27" s="6" t="s">
        <v>168</v>
      </c>
      <c r="L27" s="6">
        <f>($B$16*($B$15^2))*-0.125</f>
        <v>-15000</v>
      </c>
      <c r="M27" s="4"/>
      <c r="N27" s="4"/>
      <c r="O27" s="74"/>
    </row>
    <row r="28" spans="1:15" ht="20" x14ac:dyDescent="0.25">
      <c r="A28" s="77" t="s">
        <v>26</v>
      </c>
      <c r="B28" s="9">
        <f>(((B11*(B12^3))/12)+(B22*((B29-(B12/2))^2)))+(((B8*(B7^3))/12)+(B24*((((B7/2)+B12)-B29)^2)))+(((B9*(B10^3))/12)+(B23*((((B10/2)+B7+B12)-B29)^2)))</f>
        <v>87814.125</v>
      </c>
      <c r="C28" s="4"/>
      <c r="D28" s="24" t="s">
        <v>41</v>
      </c>
      <c r="E28" s="6">
        <f>(1/3)*((B7*(B8^3))+(B9*(B10^3)*(1-(0.63*(B10/B9))))+(B11*(B12^3)*(1-(0.63*(B12/B11)))))</f>
        <v>36.998750000000001</v>
      </c>
      <c r="F28" s="4"/>
      <c r="G28" s="6" t="s">
        <v>65</v>
      </c>
      <c r="H28" s="6">
        <f>IF((B11/(2*B12))&lt;=12,(B11/(2*B12)),"NA")</f>
        <v>5.333333333333333</v>
      </c>
      <c r="I28" s="6" t="str">
        <f>IF(H28&lt;=12,"Good","NA")</f>
        <v>Good</v>
      </c>
      <c r="J28" s="4"/>
      <c r="K28" s="6" t="s">
        <v>169</v>
      </c>
      <c r="L28" s="6">
        <f>($B$16*($B$15^2))*0.07</f>
        <v>8400</v>
      </c>
      <c r="M28" s="4"/>
      <c r="N28" s="4"/>
      <c r="O28" s="74"/>
    </row>
    <row r="29" spans="1:15" ht="18" x14ac:dyDescent="0.25">
      <c r="A29" s="77" t="s">
        <v>77</v>
      </c>
      <c r="B29" s="9">
        <f>((B22*(B12/2))+(B24*(B12+(B7/2)))+(B23*(B12+B7+(B10/2))))/(B22+B24+B23)</f>
        <v>39</v>
      </c>
      <c r="C29" s="4"/>
      <c r="D29" s="24" t="s">
        <v>43</v>
      </c>
      <c r="E29" s="9">
        <f>B7+(B10/2)+(B12/2)</f>
        <v>76.5</v>
      </c>
      <c r="F29" s="4"/>
      <c r="G29" s="25" t="s">
        <v>66</v>
      </c>
      <c r="H29" s="6">
        <f>B7/6</f>
        <v>12.5</v>
      </c>
      <c r="I29" s="6" t="str">
        <f>IF(B9&gt;=H29,"Good","NA")</f>
        <v>Good</v>
      </c>
      <c r="J29" s="4"/>
      <c r="K29" s="4"/>
      <c r="L29" s="4"/>
      <c r="M29" s="4"/>
      <c r="N29" s="4"/>
      <c r="O29" s="74"/>
    </row>
    <row r="30" spans="1:15" ht="20" x14ac:dyDescent="0.25">
      <c r="A30" s="94" t="s">
        <v>27</v>
      </c>
      <c r="B30" s="9">
        <f>B28/B29</f>
        <v>2251.6442307692309</v>
      </c>
      <c r="C30" s="4"/>
      <c r="D30" s="24" t="s">
        <v>59</v>
      </c>
      <c r="E30" s="9">
        <f>IF(H13="NA",IF(B13="No",((1*H10*(PI()^2)*B6)/((B14/E26)^2)),((L25*(PI()^2)*B6)/((B14/E26)^2))),IF(B13="No",((1*(PI()^2)*B6)/((B14/E26)^2))*SQRT(1+(0.078*(E28/(B33*E29))*((B14/E26)^2))),((L25*(PI()^2)*B6)/((B14/E26)^2))*SQRT(1+(0.078*(E28/(B33*E29))*((B14/E26)^2)))))</f>
        <v>3.2571414461714916</v>
      </c>
      <c r="F30" s="4"/>
      <c r="G30" s="25" t="s">
        <v>67</v>
      </c>
      <c r="H30" s="6">
        <f>B7/6</f>
        <v>12.5</v>
      </c>
      <c r="I30" s="6" t="str">
        <f>IF(B11&gt;=H30,"Good","NA")</f>
        <v>Good</v>
      </c>
      <c r="J30" s="14"/>
      <c r="K30" s="4"/>
      <c r="L30" s="4"/>
      <c r="M30" s="4"/>
      <c r="N30" s="4"/>
      <c r="O30" s="74"/>
    </row>
    <row r="31" spans="1:15" ht="18" x14ac:dyDescent="0.25">
      <c r="A31" s="77" t="s">
        <v>28</v>
      </c>
      <c r="B31" s="10">
        <f>(B2*B30)/12</f>
        <v>9381.8509615384628</v>
      </c>
      <c r="C31" s="4"/>
      <c r="D31" s="22"/>
      <c r="E31" s="19"/>
      <c r="F31" s="4"/>
      <c r="G31" s="25" t="s">
        <v>61</v>
      </c>
      <c r="H31" s="6">
        <f>(1.1*B8)</f>
        <v>0.55000000000000004</v>
      </c>
      <c r="I31" s="6" t="str">
        <f>IF(B10&gt;=H31,"Good","NA")</f>
        <v>Good</v>
      </c>
      <c r="J31" s="4"/>
      <c r="K31" s="4"/>
      <c r="L31" s="4"/>
      <c r="M31" s="4"/>
      <c r="N31" s="4"/>
      <c r="O31" s="74"/>
    </row>
    <row r="32" spans="1:15" ht="18" x14ac:dyDescent="0.25">
      <c r="A32" s="96" t="s">
        <v>76</v>
      </c>
      <c r="B32" s="9">
        <f>(B7+B10+B12)-B29</f>
        <v>39</v>
      </c>
      <c r="C32" s="4"/>
      <c r="D32" s="25" t="s">
        <v>51</v>
      </c>
      <c r="E32" s="26">
        <f>1*E26*SQRT(B6/B3)</f>
        <v>83.737939447729403</v>
      </c>
      <c r="F32" s="4"/>
      <c r="G32" s="25" t="s">
        <v>62</v>
      </c>
      <c r="H32" s="6">
        <f>(1.1*B8)</f>
        <v>0.55000000000000004</v>
      </c>
      <c r="I32" s="6" t="str">
        <f>IF(B12&gt;=H32,"Good","NA")</f>
        <v>Good</v>
      </c>
      <c r="J32" s="4"/>
      <c r="K32" s="4"/>
      <c r="L32" s="4"/>
      <c r="M32" s="4"/>
      <c r="N32" s="4"/>
      <c r="O32" s="74"/>
    </row>
    <row r="33" spans="1:15" ht="20" x14ac:dyDescent="0.25">
      <c r="A33" s="94" t="s">
        <v>29</v>
      </c>
      <c r="B33" s="9">
        <f>B28/B32</f>
        <v>2251.6442307692309</v>
      </c>
      <c r="C33" s="4"/>
      <c r="D33" s="31" t="s">
        <v>52</v>
      </c>
      <c r="E33" s="26">
        <f>IF(H13="NA",(PI()*E26*SQRT(B6/E27)),(1.95*E26*(B6/E27)*SQRT(E28/(B33*E29))*SQRT(1+SQRT(1+6.76*(((E27/B6)*((B33*E29)/E28))^2)))))</f>
        <v>314.42938236875267</v>
      </c>
      <c r="F33" s="4"/>
      <c r="G33" s="37" t="s">
        <v>72</v>
      </c>
      <c r="H33" s="9">
        <f>B26/B27</f>
        <v>1</v>
      </c>
      <c r="I33" s="6" t="str">
        <f>IF(AND(0.1&lt;=H33,H33&lt;=10),"Good","NA")</f>
        <v>Good</v>
      </c>
      <c r="J33" s="4"/>
      <c r="K33" s="4"/>
      <c r="L33" s="4"/>
      <c r="M33" s="4"/>
      <c r="N33" s="4"/>
      <c r="O33" s="74"/>
    </row>
    <row r="34" spans="1:15" ht="18" x14ac:dyDescent="0.25">
      <c r="A34" s="77" t="s">
        <v>30</v>
      </c>
      <c r="B34" s="10">
        <f>(B2*B33)/12</f>
        <v>9381.8509615384628</v>
      </c>
      <c r="C34" s="4"/>
      <c r="D34" s="32"/>
      <c r="E34" s="14"/>
      <c r="F34" s="4"/>
      <c r="G34" s="4"/>
      <c r="H34" s="4"/>
      <c r="I34" s="4"/>
      <c r="J34" s="4"/>
      <c r="K34" s="4"/>
      <c r="L34" s="4"/>
      <c r="M34" s="4"/>
      <c r="N34" s="4"/>
      <c r="O34" s="74"/>
    </row>
    <row r="35" spans="1:15" ht="18" x14ac:dyDescent="0.25">
      <c r="A35" s="96" t="s">
        <v>75</v>
      </c>
      <c r="B35" s="9">
        <f>SUM(I4:I6)</f>
        <v>39</v>
      </c>
      <c r="C35" s="4"/>
      <c r="D35" s="12"/>
      <c r="E35" s="143" t="s">
        <v>45</v>
      </c>
      <c r="F35" s="143"/>
      <c r="G35" s="143"/>
      <c r="H35" s="143"/>
      <c r="I35" s="143"/>
      <c r="J35" s="143"/>
      <c r="K35" s="4"/>
      <c r="L35" s="4"/>
      <c r="M35" s="4"/>
      <c r="N35" s="4"/>
      <c r="O35" s="74"/>
    </row>
    <row r="36" spans="1:15" ht="20" x14ac:dyDescent="0.25">
      <c r="A36" s="94" t="s">
        <v>31</v>
      </c>
      <c r="B36" s="9">
        <f>SUM(K4:K6)</f>
        <v>2539.125</v>
      </c>
      <c r="C36" s="4"/>
      <c r="D36" s="4"/>
      <c r="E36" s="5" t="s">
        <v>46</v>
      </c>
      <c r="F36" s="5" t="s">
        <v>88</v>
      </c>
      <c r="G36" s="5" t="s">
        <v>89</v>
      </c>
      <c r="H36" s="56" t="s">
        <v>47</v>
      </c>
      <c r="I36" s="6" t="s">
        <v>130</v>
      </c>
      <c r="J36" s="6" t="s">
        <v>131</v>
      </c>
      <c r="K36" s="16"/>
      <c r="L36" s="4"/>
      <c r="M36" s="4"/>
      <c r="N36" s="4"/>
      <c r="O36" s="74"/>
    </row>
    <row r="37" spans="1:15" ht="17" thickBot="1" x14ac:dyDescent="0.25">
      <c r="A37" s="97"/>
      <c r="B37" s="4"/>
      <c r="C37" s="4"/>
      <c r="D37" s="20"/>
      <c r="E37" s="23">
        <f>F37/$B$15</f>
        <v>0</v>
      </c>
      <c r="F37" s="2">
        <v>0</v>
      </c>
      <c r="G37" s="38">
        <f t="shared" ref="G37:G47" si="1">((($B$16*$B$15)/2)*F37)-($B$16*((F37^2)/2))</f>
        <v>0</v>
      </c>
      <c r="H37" s="9">
        <f t="shared" ref="H37:H42" si="2">ROUND((1.75-(1.05*(G37/G38))+(0.3*((G37/G38)^2))),2)</f>
        <v>1.75</v>
      </c>
      <c r="I37" s="30">
        <f>$B$42</f>
        <v>12425.585102798212</v>
      </c>
      <c r="J37" s="30">
        <f>IF($C$45="NA",IF($C$46="NA",$B$47,$B$46),$B$45)</f>
        <v>611.1603121726157</v>
      </c>
      <c r="K37" s="4"/>
      <c r="L37" s="4"/>
      <c r="M37" s="4"/>
      <c r="N37" s="4"/>
      <c r="O37" s="74"/>
    </row>
    <row r="38" spans="1:15" ht="20" thickTop="1" thickBot="1" x14ac:dyDescent="0.3">
      <c r="A38" s="98" t="s">
        <v>32</v>
      </c>
      <c r="B38" s="11">
        <f>IF(B31&lt;B34,B31,B34)</f>
        <v>9381.8509615384628</v>
      </c>
      <c r="C38" s="15"/>
      <c r="D38" s="4"/>
      <c r="E38" s="23">
        <f t="shared" ref="E38:E47" si="3">F38/$B$15</f>
        <v>0.1</v>
      </c>
      <c r="F38" s="2">
        <v>10</v>
      </c>
      <c r="G38" s="38">
        <f t="shared" si="1"/>
        <v>5400</v>
      </c>
      <c r="H38" s="9">
        <f t="shared" si="2"/>
        <v>1.25</v>
      </c>
      <c r="I38" s="30">
        <f t="shared" ref="I38:I47" si="4">$B$42</f>
        <v>12425.585102798212</v>
      </c>
      <c r="J38" s="30">
        <f t="shared" ref="J38:J46" si="5">IF($C$45="NA",IF($C$46="NA",$B$47,$B$46),$B$45)</f>
        <v>611.1603121726157</v>
      </c>
      <c r="K38" s="4"/>
      <c r="L38" s="4"/>
      <c r="M38" s="4"/>
      <c r="N38" s="4"/>
      <c r="O38" s="74"/>
    </row>
    <row r="39" spans="1:15" ht="20" thickTop="1" thickBot="1" x14ac:dyDescent="0.3">
      <c r="A39" s="98" t="s">
        <v>33</v>
      </c>
      <c r="B39" s="11">
        <f>(B2*B36)/12</f>
        <v>10579.6875</v>
      </c>
      <c r="C39" s="4"/>
      <c r="D39" s="4"/>
      <c r="E39" s="23">
        <f t="shared" si="3"/>
        <v>0.2</v>
      </c>
      <c r="F39" s="2">
        <v>20</v>
      </c>
      <c r="G39" s="38">
        <f>((($B$16*$B$15)/2)*F39)-($B$16*((F39^2)/2))</f>
        <v>9600</v>
      </c>
      <c r="H39" s="9">
        <f t="shared" si="2"/>
        <v>1.1200000000000001</v>
      </c>
      <c r="I39" s="30">
        <f t="shared" si="4"/>
        <v>12425.585102798212</v>
      </c>
      <c r="J39" s="30">
        <f t="shared" si="5"/>
        <v>611.1603121726157</v>
      </c>
      <c r="K39" s="4"/>
      <c r="L39" s="4"/>
      <c r="M39" s="4"/>
      <c r="N39" s="4"/>
      <c r="O39" s="74"/>
    </row>
    <row r="40" spans="1:15" ht="18" thickTop="1" thickBot="1" x14ac:dyDescent="0.25">
      <c r="A40" s="99"/>
      <c r="B40" s="4"/>
      <c r="C40" s="45"/>
      <c r="D40" s="4"/>
      <c r="E40" s="23">
        <f t="shared" si="3"/>
        <v>0.3</v>
      </c>
      <c r="F40" s="2">
        <v>30</v>
      </c>
      <c r="G40" s="38">
        <f t="shared" si="1"/>
        <v>12600</v>
      </c>
      <c r="H40" s="9">
        <f t="shared" si="2"/>
        <v>1.06</v>
      </c>
      <c r="I40" s="30">
        <f t="shared" si="4"/>
        <v>12425.585102798212</v>
      </c>
      <c r="J40" s="30">
        <f t="shared" si="5"/>
        <v>611.1603121726157</v>
      </c>
      <c r="K40" s="4"/>
      <c r="L40" s="4"/>
      <c r="M40" s="4"/>
      <c r="N40" s="4"/>
      <c r="O40" s="74"/>
    </row>
    <row r="41" spans="1:15" ht="18" thickTop="1" thickBot="1" x14ac:dyDescent="0.25">
      <c r="A41" s="148" t="s">
        <v>73</v>
      </c>
      <c r="B41" s="149"/>
      <c r="C41" s="15"/>
      <c r="D41" s="4"/>
      <c r="E41" s="23">
        <f t="shared" si="3"/>
        <v>0.4</v>
      </c>
      <c r="F41" s="2">
        <v>40</v>
      </c>
      <c r="G41" s="38">
        <f t="shared" si="1"/>
        <v>14400</v>
      </c>
      <c r="H41" s="9">
        <f t="shared" si="2"/>
        <v>1.02</v>
      </c>
      <c r="I41" s="30">
        <f t="shared" si="4"/>
        <v>12425.585102798212</v>
      </c>
      <c r="J41" s="30">
        <f t="shared" si="5"/>
        <v>611.1603121726157</v>
      </c>
      <c r="K41" s="4"/>
      <c r="L41" s="4"/>
      <c r="M41" s="4"/>
      <c r="N41" s="4"/>
      <c r="O41" s="74"/>
    </row>
    <row r="42" spans="1:15" ht="20" thickTop="1" thickBot="1" x14ac:dyDescent="0.3">
      <c r="A42" s="98" t="s">
        <v>49</v>
      </c>
      <c r="B42" s="65">
        <f>IF(H13="NA",IF(E21&lt;=E22, (H10*N15*((B3*B33)/12)),((1-(1-((E27/(N15*B3))*((E21-E22)/(E23-E22)))))*H10*N15*((B3*B33)/12))),IF(E21&lt;=E22,E18*B34,((1-(1-(((E27*B33)/(E18*B34*12))*((E21-E22)/(E23-E22)))))*(E18*B34))))</f>
        <v>12425.585102798212</v>
      </c>
      <c r="C42" s="4"/>
      <c r="D42" s="4"/>
      <c r="E42" s="23">
        <f t="shared" si="3"/>
        <v>0.5</v>
      </c>
      <c r="F42" s="41">
        <v>50</v>
      </c>
      <c r="G42" s="38">
        <f t="shared" si="1"/>
        <v>15000</v>
      </c>
      <c r="H42" s="9">
        <f t="shared" si="2"/>
        <v>0.98</v>
      </c>
      <c r="I42" s="30">
        <f t="shared" si="4"/>
        <v>12425.585102798212</v>
      </c>
      <c r="J42" s="30">
        <f t="shared" si="5"/>
        <v>611.1603121726157</v>
      </c>
      <c r="K42" s="4"/>
      <c r="L42" s="4"/>
      <c r="M42" s="4"/>
      <c r="N42" s="4"/>
      <c r="O42" s="74"/>
    </row>
    <row r="43" spans="1:15" ht="18" thickTop="1" thickBot="1" x14ac:dyDescent="0.25">
      <c r="A43" s="100"/>
      <c r="B43" s="4"/>
      <c r="C43" s="4"/>
      <c r="D43" s="4"/>
      <c r="E43" s="40">
        <f>F43/$B$15</f>
        <v>0.6</v>
      </c>
      <c r="F43" s="2">
        <v>60</v>
      </c>
      <c r="G43" s="38">
        <f t="shared" si="1"/>
        <v>14400</v>
      </c>
      <c r="H43" s="42">
        <f>H41</f>
        <v>1.02</v>
      </c>
      <c r="I43" s="30">
        <f t="shared" si="4"/>
        <v>12425.585102798212</v>
      </c>
      <c r="J43" s="30">
        <f t="shared" si="5"/>
        <v>611.1603121726157</v>
      </c>
      <c r="K43" s="4"/>
      <c r="L43" s="4"/>
      <c r="M43" s="4"/>
      <c r="N43" s="4"/>
      <c r="O43" s="74"/>
    </row>
    <row r="44" spans="1:15" ht="18" thickTop="1" thickBot="1" x14ac:dyDescent="0.25">
      <c r="A44" s="150" t="s">
        <v>42</v>
      </c>
      <c r="B44" s="151"/>
      <c r="C44" s="46"/>
      <c r="D44" s="4"/>
      <c r="E44" s="40">
        <f t="shared" si="3"/>
        <v>0.7</v>
      </c>
      <c r="F44" s="2">
        <v>70</v>
      </c>
      <c r="G44" s="38">
        <f t="shared" si="1"/>
        <v>12600</v>
      </c>
      <c r="H44" s="42">
        <f>H40</f>
        <v>1.06</v>
      </c>
      <c r="I44" s="30">
        <f t="shared" si="4"/>
        <v>12425.585102798212</v>
      </c>
      <c r="J44" s="30">
        <f t="shared" si="5"/>
        <v>611.1603121726157</v>
      </c>
      <c r="K44" s="4"/>
      <c r="L44" s="4"/>
      <c r="M44" s="4"/>
      <c r="N44" s="4"/>
      <c r="O44" s="74"/>
    </row>
    <row r="45" spans="1:15" ht="20" thickTop="1" thickBot="1" x14ac:dyDescent="0.3">
      <c r="A45" s="98" t="s">
        <v>102</v>
      </c>
      <c r="B45" s="11">
        <f>IF(H13="NA",(H10*N15*((B3*B33)/12)),(E18*B34))</f>
        <v>12425.585102798212</v>
      </c>
      <c r="C45" s="10" t="str">
        <f>IF(B14&lt;=E32, "Applicable","NA")</f>
        <v>NA</v>
      </c>
      <c r="D45" s="4"/>
      <c r="E45" s="40">
        <f t="shared" si="3"/>
        <v>0.8</v>
      </c>
      <c r="F45" s="44">
        <v>80</v>
      </c>
      <c r="G45" s="38">
        <f t="shared" si="1"/>
        <v>9600</v>
      </c>
      <c r="H45" s="42">
        <f>H39</f>
        <v>1.1200000000000001</v>
      </c>
      <c r="I45" s="30">
        <f t="shared" si="4"/>
        <v>12425.585102798212</v>
      </c>
      <c r="J45" s="30">
        <f t="shared" si="5"/>
        <v>611.1603121726157</v>
      </c>
      <c r="K45" s="4"/>
      <c r="L45" s="4"/>
      <c r="M45" s="4"/>
      <c r="N45" s="4"/>
      <c r="O45" s="74"/>
    </row>
    <row r="46" spans="1:15" ht="20" thickTop="1" thickBot="1" x14ac:dyDescent="0.3">
      <c r="A46" s="98" t="s">
        <v>103</v>
      </c>
      <c r="B46" s="11">
        <f>IF(H13="NA",IF((L25*(1-(1-((E27)/(N15*B3)))*((B14-E32)/(E33-E32)))*(H10*N15*((B3*B33)/12)))&lt;=(H10*N15*((B3*B33)/12)),(L25*(1-(1-((E27)/(N15*B3)))*((B14-E32)/(E33-E32)))*(H10*N15*((B3*B33)/12))),(H10*N15*((B3*B33)/12))),IF((L25*(1-(1-((E27*B33)/(E18*B34*12)))*((B14-E32)/(E33-E32)))*(E18*B34))&lt;=(E18*B34),(L25*(1-(1-((E27*B33)/(E18*B34*12)))*((B14-E32)/(E33-E32)))*(E18*B34)),(E18*B34)))</f>
        <v>-4718.3441773985705</v>
      </c>
      <c r="C46" s="10" t="str">
        <f>IF(AND(B14&lt;=E33,E32&lt;B14), "Applicable","NA")</f>
        <v>NA</v>
      </c>
      <c r="D46" s="4"/>
      <c r="E46" s="40">
        <f t="shared" si="3"/>
        <v>0.9</v>
      </c>
      <c r="F46" s="44">
        <v>90</v>
      </c>
      <c r="G46" s="38">
        <f t="shared" si="1"/>
        <v>5400</v>
      </c>
      <c r="H46" s="42">
        <f>H38</f>
        <v>1.25</v>
      </c>
      <c r="I46" s="30">
        <f t="shared" si="4"/>
        <v>12425.585102798212</v>
      </c>
      <c r="J46" s="30">
        <f t="shared" si="5"/>
        <v>611.1603121726157</v>
      </c>
      <c r="K46" s="4"/>
      <c r="L46" s="4"/>
      <c r="M46" s="4"/>
      <c r="N46" s="12"/>
      <c r="O46" s="74"/>
    </row>
    <row r="47" spans="1:15" ht="20" thickTop="1" thickBot="1" x14ac:dyDescent="0.3">
      <c r="A47" s="98" t="s">
        <v>104</v>
      </c>
      <c r="B47" s="11">
        <f>IF(H13="NA",IF(((E30*B33)/12)&lt;=(H10*N15*((B3*B33)/12)),((E30*B33)/12),(H10*N15*((B3*B33)/12))),IF(((E30*B33)/12)&lt;=(E18*B34),((E30*B33)/12),(E18*B34)))</f>
        <v>611.1603121726157</v>
      </c>
      <c r="C47" s="10" t="str">
        <f>IF(E33&lt;B14, "Applicable","NA")</f>
        <v>Applicable</v>
      </c>
      <c r="D47" s="4"/>
      <c r="E47" s="40">
        <f t="shared" si="3"/>
        <v>1</v>
      </c>
      <c r="F47" s="44">
        <v>100</v>
      </c>
      <c r="G47" s="38">
        <f t="shared" si="1"/>
        <v>0</v>
      </c>
      <c r="H47" s="9">
        <f>H37</f>
        <v>1.75</v>
      </c>
      <c r="I47" s="30">
        <f t="shared" si="4"/>
        <v>12425.585102798212</v>
      </c>
      <c r="J47" s="30">
        <f>IF($C$45="NA",IF($C$46="NA",$B$47,$B$46),$B$45)</f>
        <v>611.1603121726157</v>
      </c>
      <c r="K47" s="4"/>
      <c r="L47" s="4"/>
      <c r="M47" s="4"/>
      <c r="N47" s="12"/>
      <c r="O47" s="74"/>
    </row>
    <row r="48" spans="1:15" ht="18" thickTop="1" thickBot="1" x14ac:dyDescent="0.25">
      <c r="A48" s="101"/>
      <c r="B48" s="102"/>
      <c r="C48" s="102"/>
      <c r="D48" s="91"/>
      <c r="E48" s="103"/>
      <c r="F48" s="91"/>
      <c r="G48" s="91"/>
      <c r="H48" s="91"/>
      <c r="I48" s="91"/>
      <c r="J48" s="91"/>
      <c r="K48" s="91"/>
      <c r="L48" s="91"/>
      <c r="M48" s="91"/>
      <c r="N48" s="91"/>
      <c r="O48" s="92"/>
    </row>
    <row r="49" spans="1:15" x14ac:dyDescent="0.2">
      <c r="A49" s="4"/>
      <c r="B49" s="15"/>
      <c r="C49" s="15"/>
      <c r="E49" s="14"/>
      <c r="F49" s="4"/>
      <c r="G49" s="4"/>
      <c r="H49" s="4"/>
      <c r="I49" s="4"/>
      <c r="J49" s="4"/>
      <c r="K49" s="4"/>
      <c r="L49" s="4"/>
    </row>
    <row r="50" spans="1:15" ht="21" x14ac:dyDescent="0.25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</row>
    <row r="51" spans="1:15" x14ac:dyDescent="0.2">
      <c r="A51" s="12"/>
      <c r="B51" s="12"/>
      <c r="C51" s="111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</row>
    <row r="52" spans="1:15" x14ac:dyDescent="0.2">
      <c r="A52" s="12"/>
      <c r="B52" s="12"/>
      <c r="C52" s="111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</row>
    <row r="53" spans="1:15" x14ac:dyDescent="0.2">
      <c r="A53" s="108"/>
      <c r="B53" s="112"/>
      <c r="C53" s="111"/>
      <c r="D53" s="12"/>
      <c r="E53" s="12"/>
      <c r="F53" s="12"/>
      <c r="G53" s="12"/>
      <c r="H53" s="12"/>
      <c r="I53" s="113"/>
      <c r="J53" s="114"/>
      <c r="K53" s="114"/>
      <c r="L53" s="12"/>
      <c r="M53" s="113"/>
      <c r="N53" s="114"/>
      <c r="O53" s="114"/>
    </row>
    <row r="54" spans="1:15" x14ac:dyDescent="0.2">
      <c r="A54" s="108"/>
      <c r="B54" s="112"/>
      <c r="C54" s="1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">
      <c r="A55" s="108"/>
      <c r="B55" s="112"/>
      <c r="C55" s="111"/>
      <c r="D55" s="115"/>
      <c r="E55" s="116"/>
      <c r="F55" s="12"/>
      <c r="G55" s="12"/>
      <c r="H55" s="115"/>
      <c r="I55" s="117"/>
      <c r="J55" s="12"/>
      <c r="K55" s="116"/>
      <c r="L55" s="115"/>
      <c r="M55" s="117"/>
      <c r="N55" s="12"/>
      <c r="O55" s="116"/>
    </row>
    <row r="56" spans="1:15" x14ac:dyDescent="0.2">
      <c r="A56" s="12"/>
      <c r="B56" s="12"/>
      <c r="C56" s="111"/>
      <c r="D56" s="115"/>
      <c r="E56" s="116"/>
      <c r="F56" s="12"/>
      <c r="G56" s="12"/>
      <c r="H56" s="115"/>
      <c r="I56" s="117"/>
      <c r="J56" s="12"/>
      <c r="K56" s="116"/>
      <c r="L56" s="115"/>
      <c r="M56" s="117"/>
      <c r="N56" s="12"/>
      <c r="O56" s="116"/>
    </row>
    <row r="57" spans="1:15" x14ac:dyDescent="0.2">
      <c r="A57" s="115"/>
      <c r="B57" s="12"/>
      <c r="C57" s="116"/>
      <c r="D57" s="115"/>
      <c r="E57" s="116"/>
      <c r="F57" s="12"/>
      <c r="G57" s="12"/>
      <c r="H57" s="115"/>
      <c r="I57" s="117"/>
      <c r="J57" s="12"/>
      <c r="K57" s="116"/>
      <c r="L57" s="115"/>
      <c r="M57" s="117"/>
      <c r="N57" s="12"/>
      <c r="O57" s="116"/>
    </row>
    <row r="58" spans="1:15" x14ac:dyDescent="0.2">
      <c r="A58" s="12"/>
      <c r="B58" s="12"/>
      <c r="C58" s="116"/>
      <c r="D58" s="118"/>
      <c r="E58" s="12"/>
      <c r="F58" s="12"/>
      <c r="G58" s="12"/>
      <c r="H58" s="118"/>
      <c r="I58" s="12"/>
      <c r="J58" s="12"/>
      <c r="K58" s="116"/>
      <c r="L58" s="118"/>
      <c r="M58" s="12"/>
      <c r="N58" s="12"/>
      <c r="O58" s="116"/>
    </row>
    <row r="59" spans="1:15" x14ac:dyDescent="0.2">
      <c r="A59" s="12"/>
      <c r="B59" s="12"/>
      <c r="C59" s="116"/>
      <c r="D59" s="118"/>
      <c r="E59" s="119"/>
      <c r="F59" s="12"/>
      <c r="G59" s="12"/>
      <c r="H59" s="118"/>
      <c r="I59" s="119"/>
      <c r="J59" s="12"/>
      <c r="K59" s="116"/>
      <c r="L59" s="118"/>
      <c r="M59" s="119"/>
      <c r="N59" s="12"/>
      <c r="O59" s="116"/>
    </row>
    <row r="60" spans="1:15" x14ac:dyDescent="0.2">
      <c r="A60" s="12"/>
      <c r="B60" s="12"/>
      <c r="C60" s="116"/>
      <c r="D60" s="12"/>
      <c r="E60" s="12"/>
      <c r="F60" s="116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">
      <c r="A61" s="108"/>
      <c r="B61" s="112"/>
      <c r="C61" s="116"/>
      <c r="D61" s="12"/>
      <c r="E61" s="12"/>
      <c r="F61" s="126"/>
      <c r="G61" s="126"/>
      <c r="H61" s="126"/>
      <c r="I61" s="126"/>
      <c r="J61" s="126"/>
      <c r="K61" s="12"/>
      <c r="L61" s="12"/>
      <c r="M61" s="12"/>
      <c r="N61" s="12"/>
      <c r="O61" s="12"/>
    </row>
    <row r="62" spans="1:15" x14ac:dyDescent="0.2">
      <c r="A62" s="108"/>
      <c r="B62" s="116"/>
      <c r="C62" s="116"/>
      <c r="D62" s="12"/>
      <c r="E62" s="12"/>
      <c r="F62" s="12"/>
      <c r="G62" s="12"/>
      <c r="H62" s="120"/>
      <c r="I62" s="116"/>
      <c r="J62" s="116"/>
      <c r="K62" s="12"/>
      <c r="L62" s="12"/>
      <c r="M62" s="12"/>
      <c r="N62" s="12"/>
      <c r="O62" s="12"/>
    </row>
    <row r="63" spans="1:15" x14ac:dyDescent="0.2">
      <c r="A63" s="108"/>
      <c r="B63" s="116"/>
      <c r="C63" s="116"/>
      <c r="D63" s="12"/>
      <c r="E63" s="12"/>
      <c r="F63" s="118"/>
      <c r="G63" s="12"/>
      <c r="H63" s="112"/>
      <c r="I63" s="112"/>
      <c r="J63" s="112"/>
      <c r="K63" s="12"/>
      <c r="L63" s="12"/>
      <c r="M63" s="12"/>
      <c r="N63" s="12"/>
      <c r="O63" s="12"/>
    </row>
    <row r="64" spans="1:15" x14ac:dyDescent="0.2">
      <c r="A64" s="108"/>
      <c r="B64" s="116"/>
      <c r="C64" s="116"/>
      <c r="D64" s="12"/>
      <c r="E64" s="12"/>
      <c r="F64" s="118"/>
      <c r="G64" s="12"/>
      <c r="H64" s="112"/>
      <c r="I64" s="112"/>
      <c r="J64" s="112"/>
      <c r="K64" s="12"/>
      <c r="L64" s="12"/>
      <c r="M64" s="12"/>
      <c r="N64" s="12"/>
      <c r="O64" s="12"/>
    </row>
    <row r="65" spans="1:16" x14ac:dyDescent="0.2">
      <c r="A65" s="108"/>
      <c r="B65" s="116"/>
      <c r="C65" s="116"/>
      <c r="D65" s="12"/>
      <c r="E65" s="12"/>
      <c r="F65" s="118"/>
      <c r="G65" s="12"/>
      <c r="H65" s="112"/>
      <c r="I65" s="112"/>
      <c r="J65" s="112"/>
      <c r="K65" s="12"/>
      <c r="L65" s="12"/>
      <c r="M65" s="12"/>
      <c r="N65" s="12"/>
      <c r="O65" s="12"/>
    </row>
    <row r="66" spans="1:16" x14ac:dyDescent="0.2">
      <c r="A66" s="126"/>
      <c r="B66" s="126"/>
      <c r="C66" s="116"/>
      <c r="D66" s="12"/>
      <c r="E66" s="12"/>
      <c r="F66" s="118"/>
      <c r="G66" s="12"/>
      <c r="H66" s="112"/>
      <c r="I66" s="112"/>
      <c r="J66" s="112"/>
      <c r="K66" s="12"/>
      <c r="L66" s="12"/>
      <c r="M66" s="12"/>
      <c r="N66" s="12"/>
      <c r="O66" s="12"/>
    </row>
    <row r="67" spans="1:16" x14ac:dyDescent="0.2">
      <c r="A67" s="116"/>
      <c r="B67" s="112"/>
      <c r="C67" s="109"/>
      <c r="D67" s="112"/>
      <c r="E67" s="12"/>
      <c r="F67" s="118"/>
      <c r="G67" s="12"/>
      <c r="H67" s="112"/>
      <c r="I67" s="112"/>
      <c r="J67" s="112"/>
      <c r="K67" s="12"/>
      <c r="L67" s="12"/>
      <c r="M67" s="12"/>
      <c r="N67" s="12"/>
      <c r="O67" s="12"/>
    </row>
    <row r="68" spans="1:16" x14ac:dyDescent="0.2">
      <c r="A68" s="116"/>
      <c r="B68" s="112"/>
      <c r="C68" s="116"/>
      <c r="D68" s="12"/>
      <c r="E68" s="12"/>
      <c r="F68" s="118"/>
      <c r="G68" s="12"/>
      <c r="H68" s="112"/>
      <c r="I68" s="112"/>
      <c r="J68" s="112"/>
      <c r="K68" s="12"/>
      <c r="L68" s="12"/>
      <c r="M68" s="12"/>
      <c r="N68" s="12"/>
      <c r="O68" s="12"/>
    </row>
    <row r="69" spans="1:16" x14ac:dyDescent="0.2">
      <c r="A69" s="116"/>
      <c r="B69" s="112"/>
      <c r="C69" s="116"/>
      <c r="D69" s="12"/>
      <c r="E69" s="12"/>
      <c r="F69" s="118"/>
      <c r="G69" s="12"/>
      <c r="H69" s="112"/>
      <c r="I69" s="112"/>
      <c r="J69" s="112"/>
      <c r="K69" s="12"/>
      <c r="L69" s="12"/>
      <c r="M69" s="12"/>
      <c r="N69" s="12"/>
      <c r="O69" s="12"/>
    </row>
    <row r="70" spans="1:16" x14ac:dyDescent="0.2">
      <c r="A70" s="12"/>
      <c r="B70" s="12"/>
      <c r="C70" s="116"/>
      <c r="D70" s="12"/>
      <c r="E70" s="12"/>
      <c r="F70" s="118"/>
      <c r="G70" s="12"/>
      <c r="H70" s="112"/>
      <c r="I70" s="112"/>
      <c r="J70" s="112"/>
      <c r="K70" s="12"/>
      <c r="L70" s="12"/>
      <c r="M70" s="12"/>
      <c r="N70" s="12"/>
      <c r="O70" s="12"/>
    </row>
    <row r="71" spans="1:16" x14ac:dyDescent="0.2">
      <c r="A71" s="121"/>
      <c r="B71" s="116"/>
      <c r="C71" s="116"/>
      <c r="D71" s="116"/>
      <c r="E71" s="12"/>
      <c r="F71" s="118"/>
      <c r="G71" s="12"/>
      <c r="H71" s="112"/>
      <c r="I71" s="112"/>
      <c r="J71" s="112"/>
      <c r="K71" s="12"/>
      <c r="L71" s="12"/>
      <c r="M71" s="12"/>
      <c r="N71" s="12"/>
      <c r="O71" s="12"/>
    </row>
    <row r="72" spans="1:16" x14ac:dyDescent="0.2">
      <c r="A72" s="12"/>
      <c r="B72" s="112"/>
      <c r="C72" s="112"/>
      <c r="D72" s="112"/>
      <c r="E72" s="12"/>
      <c r="F72" s="118"/>
      <c r="G72" s="12"/>
      <c r="H72" s="112"/>
      <c r="I72" s="112"/>
      <c r="J72" s="112"/>
      <c r="K72" s="12"/>
      <c r="L72" s="12"/>
      <c r="M72" s="12"/>
      <c r="N72" s="12"/>
      <c r="O72" s="12"/>
    </row>
    <row r="73" spans="1:16" x14ac:dyDescent="0.2">
      <c r="A73" s="12"/>
      <c r="B73" s="112"/>
      <c r="C73" s="112"/>
      <c r="D73" s="112"/>
      <c r="E73" s="12"/>
      <c r="F73" s="118"/>
      <c r="G73" s="122"/>
      <c r="H73" s="112"/>
      <c r="I73" s="112"/>
      <c r="J73" s="112"/>
      <c r="K73" s="12"/>
      <c r="L73" s="12"/>
      <c r="M73" s="12"/>
      <c r="N73" s="12"/>
      <c r="O73" s="12"/>
    </row>
    <row r="74" spans="1:16" x14ac:dyDescent="0.2">
      <c r="A74" s="12"/>
      <c r="B74" s="112"/>
      <c r="C74" s="111"/>
      <c r="D74" s="112"/>
      <c r="E74" s="12"/>
      <c r="F74" s="118"/>
      <c r="G74" s="123"/>
      <c r="H74" s="112"/>
      <c r="I74" s="112"/>
      <c r="J74" s="112"/>
      <c r="K74" s="12"/>
      <c r="L74" s="12"/>
      <c r="M74" s="12"/>
      <c r="N74" s="12"/>
      <c r="O74" s="12"/>
    </row>
    <row r="75" spans="1:16" x14ac:dyDescent="0.2">
      <c r="A75" s="12"/>
      <c r="B75" s="116"/>
      <c r="C75" s="116"/>
      <c r="D75" s="116"/>
      <c r="E75" s="12"/>
      <c r="F75" s="118"/>
      <c r="G75" s="123"/>
      <c r="H75" s="112"/>
      <c r="I75" s="112"/>
      <c r="J75" s="112"/>
      <c r="K75" s="12"/>
      <c r="L75" s="12"/>
      <c r="M75" s="12"/>
      <c r="N75" s="12"/>
      <c r="O75" s="12"/>
    </row>
    <row r="76" spans="1:16" x14ac:dyDescent="0.2">
      <c r="A76" s="110"/>
      <c r="B76" s="116"/>
      <c r="C76" s="116"/>
      <c r="D76" s="116"/>
      <c r="E76" s="12"/>
      <c r="F76" s="118"/>
      <c r="G76" s="124"/>
      <c r="H76" s="112"/>
      <c r="I76" s="112"/>
      <c r="J76" s="112"/>
      <c r="K76" s="12"/>
      <c r="L76" s="12"/>
      <c r="M76" s="12"/>
      <c r="N76" s="12"/>
      <c r="O76" s="12"/>
    </row>
    <row r="77" spans="1:16" x14ac:dyDescent="0.2">
      <c r="A77" s="110"/>
      <c r="B77" s="116"/>
      <c r="C77" s="116"/>
      <c r="D77" s="116"/>
      <c r="E77" s="12"/>
      <c r="F77" s="118"/>
      <c r="G77" s="111"/>
      <c r="H77" s="112"/>
      <c r="I77" s="112"/>
      <c r="J77" s="112"/>
      <c r="K77" s="12"/>
      <c r="L77" s="12"/>
      <c r="M77" s="12"/>
      <c r="N77" s="12"/>
      <c r="O77" s="12"/>
      <c r="P77" s="4"/>
    </row>
    <row r="78" spans="1:16" x14ac:dyDescent="0.2">
      <c r="A78" s="12"/>
      <c r="B78" s="116"/>
      <c r="C78" s="116"/>
      <c r="D78" s="116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4"/>
    </row>
    <row r="79" spans="1:16" x14ac:dyDescent="0.2">
      <c r="A79" s="1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">
      <c r="A80" s="4"/>
      <c r="B80" s="15"/>
      <c r="C80" s="15"/>
      <c r="D80" s="15"/>
      <c r="E80" s="4"/>
      <c r="F80" s="4"/>
      <c r="G80" s="4"/>
      <c r="H80" s="67"/>
      <c r="I80" s="4"/>
      <c r="J80" s="4"/>
      <c r="K80" s="4"/>
      <c r="L80" s="4"/>
      <c r="M80" s="4"/>
      <c r="N80" s="4"/>
      <c r="O80" s="4"/>
      <c r="P80" s="4"/>
    </row>
    <row r="81" spans="1:16" x14ac:dyDescent="0.2">
      <c r="A81" s="4"/>
      <c r="B81" s="15"/>
      <c r="C81" s="4"/>
      <c r="D81" s="28"/>
      <c r="E81" s="4"/>
      <c r="F81" s="68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">
      <c r="A82" s="4"/>
      <c r="B82" s="4"/>
      <c r="C82" s="4"/>
      <c r="D82" s="2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">
      <c r="A83" s="4"/>
      <c r="B83" s="4"/>
      <c r="C83" s="4"/>
      <c r="D83" s="2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</sheetData>
  <mergeCells count="9">
    <mergeCell ref="E35:J35"/>
    <mergeCell ref="A41:B41"/>
    <mergeCell ref="A44:B44"/>
    <mergeCell ref="A1:O1"/>
    <mergeCell ref="D2:K2"/>
    <mergeCell ref="D8:H8"/>
    <mergeCell ref="J8:N8"/>
    <mergeCell ref="D25:E25"/>
    <mergeCell ref="G25:I25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26" sqref="G26"/>
    </sheetView>
  </sheetViews>
  <sheetFormatPr baseColWidth="10" defaultRowHeight="16" x14ac:dyDescent="0.2"/>
  <cols>
    <col min="7" max="7" width="15.83203125" bestFit="1" customWidth="1"/>
  </cols>
  <sheetData>
    <row r="1" spans="1:11" ht="21" x14ac:dyDescent="0.25">
      <c r="A1" s="165" t="s">
        <v>171</v>
      </c>
      <c r="B1" s="166"/>
      <c r="C1" s="166"/>
      <c r="D1" s="166"/>
      <c r="E1" s="166"/>
      <c r="F1" s="166"/>
      <c r="G1" s="166"/>
      <c r="H1" s="166"/>
      <c r="I1" s="166"/>
      <c r="J1" s="166"/>
      <c r="K1" s="167"/>
    </row>
    <row r="2" spans="1:11" ht="18" x14ac:dyDescent="0.25">
      <c r="A2" s="93" t="s">
        <v>0</v>
      </c>
      <c r="B2" s="1">
        <v>50</v>
      </c>
      <c r="C2" s="4"/>
      <c r="D2" s="139" t="s">
        <v>53</v>
      </c>
      <c r="E2" s="140"/>
      <c r="F2" s="140"/>
      <c r="G2" s="140"/>
      <c r="H2" s="140"/>
      <c r="I2" s="140"/>
      <c r="J2" s="140"/>
      <c r="K2" s="160"/>
    </row>
    <row r="3" spans="1:11" ht="20" x14ac:dyDescent="0.25">
      <c r="A3" s="93" t="s">
        <v>37</v>
      </c>
      <c r="B3" s="1">
        <v>50</v>
      </c>
      <c r="C3" s="4"/>
      <c r="D3" s="5"/>
      <c r="E3" s="5" t="s">
        <v>12</v>
      </c>
      <c r="F3" s="5" t="s">
        <v>13</v>
      </c>
      <c r="G3" s="5" t="s">
        <v>14</v>
      </c>
      <c r="H3" s="5" t="s">
        <v>15</v>
      </c>
      <c r="I3" s="5" t="s">
        <v>172</v>
      </c>
      <c r="J3" s="5" t="s">
        <v>16</v>
      </c>
      <c r="K3" s="161" t="s">
        <v>17</v>
      </c>
    </row>
    <row r="4" spans="1:11" ht="18" x14ac:dyDescent="0.25">
      <c r="A4" s="93" t="s">
        <v>38</v>
      </c>
      <c r="B4" s="1">
        <v>50</v>
      </c>
      <c r="C4" s="4"/>
      <c r="D4" s="6" t="s">
        <v>18</v>
      </c>
      <c r="E4" s="6">
        <f>B14/2</f>
        <v>0.625</v>
      </c>
      <c r="F4" s="6">
        <f>0</f>
        <v>0</v>
      </c>
      <c r="G4" s="6">
        <f>0</f>
        <v>0</v>
      </c>
      <c r="H4" s="7">
        <f>(B18-G4)/B13</f>
        <v>1.65</v>
      </c>
      <c r="I4" s="8">
        <f>IF(AND(H4&gt;0,H4&lt;=B14),F4+H4,0)</f>
        <v>0</v>
      </c>
      <c r="J4" s="6">
        <f>IF(I4=0,E4-B29,"Neutral Axis")</f>
        <v>-16.625</v>
      </c>
      <c r="K4" s="162">
        <f>IF(I4=0,ABS(J4)*B19,B13*H4^2/2+B13*(B14-H4)^2/2)</f>
        <v>415.625</v>
      </c>
    </row>
    <row r="5" spans="1:11" ht="18" x14ac:dyDescent="0.25">
      <c r="A5" s="93" t="s">
        <v>39</v>
      </c>
      <c r="B5" s="1">
        <v>50</v>
      </c>
      <c r="C5" s="4"/>
      <c r="D5" s="6" t="s">
        <v>19</v>
      </c>
      <c r="E5" s="6">
        <f>(B14/2)+E4+(B7/2)</f>
        <v>22.25</v>
      </c>
      <c r="F5" s="6">
        <f>B14+F4</f>
        <v>1.25</v>
      </c>
      <c r="G5" s="6">
        <f>B19+G4</f>
        <v>25</v>
      </c>
      <c r="H5" s="7">
        <f>(B18-G5)/B10</f>
        <v>16</v>
      </c>
      <c r="I5" s="8">
        <f>IF(AND(H5&gt;0,H5&lt;=B7),F5+H5,0)</f>
        <v>17.25</v>
      </c>
      <c r="J5" s="6" t="str">
        <f>IF(I5=0,B29-E5,"Neutral Axis")</f>
        <v>Neutral Axis</v>
      </c>
      <c r="K5" s="162">
        <f>IF(I5=0,ABS(J5)*B21,B10*H5^2/2+B10*(B7-H5)^2/2)</f>
        <v>233</v>
      </c>
    </row>
    <row r="6" spans="1:11" x14ac:dyDescent="0.2">
      <c r="A6" s="93" t="s">
        <v>34</v>
      </c>
      <c r="B6" s="3">
        <v>29000</v>
      </c>
      <c r="C6" s="4"/>
      <c r="D6" s="6" t="s">
        <v>20</v>
      </c>
      <c r="E6" s="6">
        <f>(B7/2)+E5+(B12/2)</f>
        <v>43.875</v>
      </c>
      <c r="F6" s="6">
        <f>B7+F5</f>
        <v>43.25</v>
      </c>
      <c r="G6" s="6">
        <f>B21+G5</f>
        <v>46</v>
      </c>
      <c r="H6" s="7">
        <f>(B18-G6)/B11</f>
        <v>-0.8125</v>
      </c>
      <c r="I6" s="8">
        <f>IF(AND(H6&gt;0,H6&lt;=B12),F6+H6,0)</f>
        <v>0</v>
      </c>
      <c r="J6" s="6">
        <f>IF(I6=0,E6-B29,"Neutral Axis")</f>
        <v>26.625</v>
      </c>
      <c r="K6" s="162">
        <f>IF(I6=0,ABS(J6)*B20,B11*H6^2/2+B11*(B12-H6)^2/2)</f>
        <v>532.5</v>
      </c>
    </row>
    <row r="7" spans="1:11" x14ac:dyDescent="0.2">
      <c r="A7" s="77" t="s">
        <v>1</v>
      </c>
      <c r="B7" s="2">
        <v>42</v>
      </c>
      <c r="C7" s="4"/>
      <c r="D7" s="4"/>
      <c r="E7" s="4"/>
      <c r="F7" s="4"/>
      <c r="G7" s="4"/>
      <c r="H7" s="4"/>
      <c r="I7" s="4"/>
      <c r="J7" s="4"/>
      <c r="K7" s="74"/>
    </row>
    <row r="8" spans="1:11" ht="18" x14ac:dyDescent="0.25">
      <c r="A8" s="77" t="s">
        <v>173</v>
      </c>
      <c r="B8" s="2">
        <v>22.64</v>
      </c>
      <c r="C8" s="4"/>
      <c r="D8" s="143" t="s">
        <v>54</v>
      </c>
      <c r="E8" s="143"/>
      <c r="F8" s="143"/>
      <c r="G8" s="143"/>
      <c r="H8" s="143"/>
      <c r="I8" s="4"/>
      <c r="J8" s="4"/>
      <c r="K8" s="74"/>
    </row>
    <row r="9" spans="1:11" ht="18" x14ac:dyDescent="0.25">
      <c r="A9" s="77" t="s">
        <v>174</v>
      </c>
      <c r="B9" s="2">
        <v>26</v>
      </c>
      <c r="C9" s="4"/>
      <c r="D9" s="27" t="s">
        <v>7</v>
      </c>
      <c r="E9" s="36">
        <f>(2*B8)/B10</f>
        <v>90.56</v>
      </c>
      <c r="F9" s="4"/>
      <c r="G9" s="5" t="s">
        <v>10</v>
      </c>
      <c r="H9" s="5">
        <f>(2*B8*B10)/(B11*B12)</f>
        <v>1.1320000000000001</v>
      </c>
      <c r="I9" s="4"/>
      <c r="J9" s="4"/>
      <c r="K9" s="74"/>
    </row>
    <row r="10" spans="1:11" ht="18" x14ac:dyDescent="0.25">
      <c r="A10" s="77" t="s">
        <v>2</v>
      </c>
      <c r="B10" s="2">
        <v>0.5</v>
      </c>
      <c r="C10" s="4"/>
      <c r="D10" s="8" t="s">
        <v>8</v>
      </c>
      <c r="E10" s="9">
        <f>5.7*SQRT(B6/B2)</f>
        <v>137.27417819823216</v>
      </c>
      <c r="F10" s="4"/>
      <c r="G10" s="6" t="s">
        <v>9</v>
      </c>
      <c r="H10" s="26">
        <f>IF(E9&lt;=E10,1,(1-(H9/(1200+(300*H9)))*(((2*B8)/B10)-E10)))</f>
        <v>1</v>
      </c>
      <c r="I10" s="4"/>
      <c r="J10" s="4"/>
      <c r="K10" s="74"/>
    </row>
    <row r="11" spans="1:11" ht="18" x14ac:dyDescent="0.25">
      <c r="A11" s="77" t="s">
        <v>3</v>
      </c>
      <c r="B11" s="2">
        <v>16</v>
      </c>
      <c r="C11" s="4"/>
      <c r="D11" s="8" t="s">
        <v>11</v>
      </c>
      <c r="E11" s="9">
        <f>IF(((SQRT(B6/B2))/(((0.54*(B33/(1*B32)))-0.09)^2))&lt;=(E10*(B9/B8)),((SQRT(B6/B2))/(((0.54*(B33/(1*B32)))-0.09)^2)),(E10*(B9/B8)))</f>
        <v>80.811364454620858</v>
      </c>
      <c r="F11" s="4"/>
      <c r="G11" s="4"/>
      <c r="H11" s="20"/>
      <c r="I11" s="4"/>
      <c r="J11" s="4"/>
      <c r="K11" s="74"/>
    </row>
    <row r="12" spans="1:11" ht="18" x14ac:dyDescent="0.25">
      <c r="A12" s="77" t="s">
        <v>4</v>
      </c>
      <c r="B12" s="2">
        <v>1.25</v>
      </c>
      <c r="C12" s="4"/>
      <c r="D12" s="8" t="s">
        <v>35</v>
      </c>
      <c r="E12" s="9">
        <f>E11*(B8/B9)</f>
        <v>70.368049663562161</v>
      </c>
      <c r="F12" s="4"/>
      <c r="G12" s="6" t="str">
        <f>IF(((2*B9)/B10)&lt;=E11,"Compact Web", "Noncompact Web")</f>
        <v>Noncompact Web</v>
      </c>
      <c r="H12" s="20"/>
      <c r="I12" s="4"/>
      <c r="J12" s="4"/>
      <c r="K12" s="74"/>
    </row>
    <row r="13" spans="1:11" ht="18" x14ac:dyDescent="0.25">
      <c r="A13" s="77" t="s">
        <v>5</v>
      </c>
      <c r="B13" s="2">
        <v>20</v>
      </c>
      <c r="C13" s="4"/>
      <c r="D13" s="16"/>
      <c r="E13" s="4"/>
      <c r="F13" s="4"/>
      <c r="G13" s="4"/>
      <c r="H13" s="20"/>
      <c r="I13" s="4"/>
      <c r="J13" s="4"/>
      <c r="K13" s="74"/>
    </row>
    <row r="14" spans="1:11" ht="18" x14ac:dyDescent="0.25">
      <c r="A14" s="77" t="s">
        <v>6</v>
      </c>
      <c r="B14" s="2">
        <v>1.25</v>
      </c>
      <c r="C14" s="4"/>
      <c r="D14" s="25" t="s">
        <v>36</v>
      </c>
      <c r="E14" s="23">
        <f>IF(G12="Noncompact Web",((1-(1-((1*B28)/B33))*((E9-E12)/(E10-E12)))*(B33/B28)),(B33/B28))</f>
        <v>1.1240084844540159</v>
      </c>
      <c r="F14" s="4"/>
      <c r="G14" s="4"/>
      <c r="H14" s="20"/>
      <c r="I14" s="4"/>
      <c r="J14" s="4"/>
      <c r="K14" s="74"/>
    </row>
    <row r="15" spans="1:11" ht="18" x14ac:dyDescent="0.25">
      <c r="A15" s="94" t="s">
        <v>50</v>
      </c>
      <c r="B15" s="17">
        <v>1200</v>
      </c>
      <c r="C15" s="4"/>
      <c r="D15" s="25" t="s">
        <v>69</v>
      </c>
      <c r="E15" s="23">
        <f>IF(G12="Noncompact Web",((1-(1-((1*B25)/B33))*((E9-E12)/(E10-E12)))*(B33/B25)),(B33/B25))</f>
        <v>1.0112336542685172</v>
      </c>
      <c r="F15" s="4"/>
      <c r="G15" s="4"/>
      <c r="H15" s="20"/>
      <c r="I15" s="4"/>
      <c r="J15" s="4"/>
      <c r="K15" s="74"/>
    </row>
    <row r="16" spans="1:11" x14ac:dyDescent="0.2">
      <c r="A16" s="95"/>
      <c r="B16" s="4"/>
      <c r="C16" s="4"/>
      <c r="D16" s="158"/>
      <c r="E16" s="4"/>
      <c r="F16" s="4"/>
      <c r="G16" s="4"/>
      <c r="H16" s="20"/>
      <c r="I16" s="4"/>
      <c r="J16" s="4"/>
      <c r="K16" s="74"/>
    </row>
    <row r="17" spans="1:11" ht="20" x14ac:dyDescent="0.25">
      <c r="A17" s="96" t="s">
        <v>21</v>
      </c>
      <c r="B17" s="6">
        <f>(B7*B10)+(B11*B12)+(B13*B14)</f>
        <v>66</v>
      </c>
      <c r="C17" s="4"/>
      <c r="D17" s="8" t="s">
        <v>55</v>
      </c>
      <c r="E17" s="29">
        <f>B11/(2*B12)</f>
        <v>6.4</v>
      </c>
      <c r="F17" s="4"/>
      <c r="G17" s="4"/>
      <c r="H17" s="20"/>
      <c r="I17" s="4"/>
      <c r="J17" s="4"/>
      <c r="K17" s="74"/>
    </row>
    <row r="18" spans="1:11" ht="20" x14ac:dyDescent="0.25">
      <c r="A18" s="77" t="s">
        <v>22</v>
      </c>
      <c r="B18" s="6">
        <f>B17/2</f>
        <v>33</v>
      </c>
      <c r="C18" s="4"/>
      <c r="D18" s="8" t="s">
        <v>56</v>
      </c>
      <c r="E18" s="9">
        <f>0.38*SQRT(B6/B3)</f>
        <v>9.1516118798821449</v>
      </c>
      <c r="F18" s="5"/>
      <c r="G18" s="6" t="str">
        <f>IF(E17&lt;=E18,"Compact Flange", "Noncompact Flange")</f>
        <v>Compact Flange</v>
      </c>
      <c r="H18" s="21"/>
      <c r="I18" s="4"/>
      <c r="J18" s="4"/>
      <c r="K18" s="74"/>
    </row>
    <row r="19" spans="1:11" ht="20" x14ac:dyDescent="0.25">
      <c r="A19" s="77" t="s">
        <v>23</v>
      </c>
      <c r="B19" s="6">
        <f>B13*B14</f>
        <v>25</v>
      </c>
      <c r="C19" s="4"/>
      <c r="D19" s="8" t="s">
        <v>57</v>
      </c>
      <c r="E19" s="9">
        <f>0.95*SQRT((B6*(4/SQRT(B7/B10)))/B3)</f>
        <v>15.114638906968977</v>
      </c>
      <c r="F19" s="4"/>
      <c r="G19" s="4"/>
      <c r="H19" s="4"/>
      <c r="I19" s="4"/>
      <c r="J19" s="4"/>
      <c r="K19" s="74"/>
    </row>
    <row r="20" spans="1:11" ht="20" x14ac:dyDescent="0.25">
      <c r="A20" s="77" t="s">
        <v>24</v>
      </c>
      <c r="B20" s="6">
        <f>B11*B12</f>
        <v>20</v>
      </c>
      <c r="C20" s="4"/>
      <c r="D20" s="108"/>
      <c r="E20" s="4"/>
      <c r="F20" s="4"/>
      <c r="G20" s="4"/>
      <c r="H20" s="4"/>
      <c r="I20" s="4"/>
      <c r="J20" s="4"/>
      <c r="K20" s="74"/>
    </row>
    <row r="21" spans="1:11" ht="20" x14ac:dyDescent="0.25">
      <c r="A21" s="77" t="s">
        <v>25</v>
      </c>
      <c r="B21" s="6">
        <f>B10*B7</f>
        <v>21</v>
      </c>
      <c r="C21" s="4"/>
      <c r="D21" s="8" t="s">
        <v>40</v>
      </c>
      <c r="E21" s="6">
        <f>MIN(0.7*B3,B5,((1*B4*B24)/B27))</f>
        <v>35</v>
      </c>
      <c r="F21" s="4"/>
      <c r="G21" s="4"/>
      <c r="H21" s="4"/>
      <c r="I21" s="4"/>
      <c r="J21" s="4"/>
      <c r="K21" s="74"/>
    </row>
    <row r="22" spans="1:11" ht="21" thickBot="1" x14ac:dyDescent="0.3">
      <c r="A22" s="77" t="s">
        <v>26</v>
      </c>
      <c r="B22" s="9">
        <f>(((B13*(B14^3))/12)+(B19*((B23-(B14/2))^2)))+(((B10*(B7^3))/12)+(B21*((((B7/2)+B14)-B23)^2)))+(((B11*(B12^3))/12)+(B20*((((B12/2)+B7+B14)-B23)^2)))</f>
        <v>23959.550899621216</v>
      </c>
      <c r="C22" s="4"/>
      <c r="D22" s="12"/>
      <c r="E22" s="14"/>
      <c r="F22" s="4"/>
      <c r="G22" s="4"/>
      <c r="H22" s="4"/>
      <c r="I22" s="4"/>
      <c r="J22" s="4"/>
      <c r="K22" s="74"/>
    </row>
    <row r="23" spans="1:11" ht="20" thickTop="1" thickBot="1" x14ac:dyDescent="0.3">
      <c r="A23" s="77" t="s">
        <v>175</v>
      </c>
      <c r="B23" s="9">
        <f>((B19*(B14/2))+(B21*(B14+(B7/2)))+(B20*(B14+B7+(B12/2))))/(B19+B21+B20)</f>
        <v>20.611742424242426</v>
      </c>
      <c r="C23" s="4"/>
      <c r="D23" s="159" t="s">
        <v>49</v>
      </c>
      <c r="E23" s="55">
        <f>E14*B28</f>
        <v>4697.3459675525746</v>
      </c>
      <c r="F23" s="4"/>
      <c r="G23" s="4"/>
      <c r="H23" s="4"/>
      <c r="I23" s="4"/>
      <c r="J23" s="4"/>
      <c r="K23" s="74"/>
    </row>
    <row r="24" spans="1:11" ht="22" thickTop="1" thickBot="1" x14ac:dyDescent="0.3">
      <c r="A24" s="94" t="s">
        <v>27</v>
      </c>
      <c r="B24" s="9">
        <f>B22/B23</f>
        <v>1162.4223904254343</v>
      </c>
      <c r="C24" s="4"/>
      <c r="D24" s="159" t="s">
        <v>176</v>
      </c>
      <c r="E24" s="55">
        <f>E15*B25</f>
        <v>4897.8360069727369</v>
      </c>
      <c r="F24" s="4"/>
      <c r="G24" s="4"/>
      <c r="H24" s="4"/>
      <c r="I24" s="4"/>
      <c r="J24" s="4"/>
      <c r="K24" s="74"/>
    </row>
    <row r="25" spans="1:11" ht="19" thickTop="1" x14ac:dyDescent="0.25">
      <c r="A25" s="77" t="s">
        <v>28</v>
      </c>
      <c r="B25" s="10">
        <f>(B2*B24)/12</f>
        <v>4843.4266267726425</v>
      </c>
      <c r="C25" s="4"/>
      <c r="D25" s="4"/>
      <c r="E25" s="4"/>
      <c r="F25" s="4"/>
      <c r="G25" s="4"/>
      <c r="H25" s="4"/>
      <c r="I25" s="4"/>
      <c r="J25" s="4"/>
      <c r="K25" s="74"/>
    </row>
    <row r="26" spans="1:11" ht="18" x14ac:dyDescent="0.25">
      <c r="A26" s="96" t="s">
        <v>177</v>
      </c>
      <c r="B26" s="9">
        <f>(B7+B12+B14)-B23</f>
        <v>23.888257575757574</v>
      </c>
      <c r="C26" s="16"/>
      <c r="D26" s="126"/>
      <c r="E26" s="126"/>
      <c r="F26" s="126"/>
      <c r="G26" s="126"/>
      <c r="H26" s="12"/>
      <c r="I26" s="12"/>
      <c r="J26" s="12"/>
      <c r="K26" s="163"/>
    </row>
    <row r="27" spans="1:11" ht="20" x14ac:dyDescent="0.25">
      <c r="A27" s="94" t="s">
        <v>29</v>
      </c>
      <c r="B27" s="9">
        <f>B22/B26</f>
        <v>1002.9844505668757</v>
      </c>
      <c r="C27" s="4"/>
      <c r="D27" s="12"/>
      <c r="E27" s="12"/>
      <c r="F27" s="12"/>
      <c r="G27" s="12"/>
      <c r="H27" s="12"/>
      <c r="I27" s="12"/>
      <c r="J27" s="12"/>
      <c r="K27" s="163"/>
    </row>
    <row r="28" spans="1:11" ht="18" x14ac:dyDescent="0.25">
      <c r="A28" s="77" t="s">
        <v>30</v>
      </c>
      <c r="B28" s="10">
        <f>(B2*B27)/12</f>
        <v>4179.1018773619826</v>
      </c>
      <c r="C28" s="4"/>
      <c r="D28" s="118"/>
      <c r="E28" s="12"/>
      <c r="F28" s="12"/>
      <c r="G28" s="116"/>
      <c r="H28" s="12"/>
      <c r="I28" s="12"/>
      <c r="J28" s="111"/>
      <c r="K28" s="163"/>
    </row>
    <row r="29" spans="1:11" ht="18" x14ac:dyDescent="0.25">
      <c r="A29" s="77" t="s">
        <v>172</v>
      </c>
      <c r="B29" s="9">
        <f>SUM(I4:I6)</f>
        <v>17.25</v>
      </c>
      <c r="C29" s="4"/>
      <c r="D29" s="118"/>
      <c r="E29" s="12"/>
      <c r="F29" s="12"/>
      <c r="G29" s="116"/>
      <c r="H29" s="12"/>
      <c r="I29" s="12"/>
      <c r="J29" s="12"/>
      <c r="K29" s="163"/>
    </row>
    <row r="30" spans="1:11" ht="20" x14ac:dyDescent="0.25">
      <c r="A30" s="94" t="s">
        <v>31</v>
      </c>
      <c r="B30" s="9">
        <f>SUM(K4:K6)</f>
        <v>1181.125</v>
      </c>
      <c r="C30" s="4"/>
      <c r="D30" s="118"/>
      <c r="E30" s="12"/>
      <c r="F30" s="12"/>
      <c r="G30" s="116"/>
      <c r="H30" s="12"/>
      <c r="I30" s="12"/>
      <c r="J30" s="12"/>
      <c r="K30" s="163"/>
    </row>
    <row r="31" spans="1:11" ht="17" thickBot="1" x14ac:dyDescent="0.25">
      <c r="A31" s="164"/>
      <c r="B31" s="4"/>
      <c r="C31" s="4"/>
      <c r="D31" s="118"/>
      <c r="E31" s="12"/>
      <c r="F31" s="12"/>
      <c r="G31" s="116"/>
      <c r="H31" s="12"/>
      <c r="I31" s="12"/>
      <c r="J31" s="12"/>
      <c r="K31" s="163"/>
    </row>
    <row r="32" spans="1:11" ht="20" thickTop="1" thickBot="1" x14ac:dyDescent="0.3">
      <c r="A32" s="98" t="s">
        <v>32</v>
      </c>
      <c r="B32" s="11">
        <f>IF(B25&lt;B28,B25,B28)</f>
        <v>4179.1018773619826</v>
      </c>
      <c r="C32" s="4"/>
      <c r="D32" s="118"/>
      <c r="E32" s="12"/>
      <c r="F32" s="12"/>
      <c r="G32" s="116"/>
      <c r="H32" s="12"/>
      <c r="I32" s="12"/>
      <c r="J32" s="12"/>
      <c r="K32" s="163"/>
    </row>
    <row r="33" spans="1:11" ht="20" thickTop="1" thickBot="1" x14ac:dyDescent="0.3">
      <c r="A33" s="98" t="s">
        <v>33</v>
      </c>
      <c r="B33" s="168">
        <f>(B2*B30)/12</f>
        <v>4921.354166666667</v>
      </c>
      <c r="C33" s="169"/>
      <c r="D33" s="118"/>
      <c r="E33" s="12"/>
      <c r="F33" s="12"/>
      <c r="G33" s="116"/>
      <c r="H33" s="12"/>
      <c r="I33" s="12"/>
      <c r="J33" s="111"/>
      <c r="K33" s="163"/>
    </row>
    <row r="34" spans="1:11" ht="18" thickTop="1" thickBot="1" x14ac:dyDescent="0.25">
      <c r="A34" s="89"/>
      <c r="B34" s="91"/>
      <c r="C34" s="91"/>
      <c r="D34" s="91"/>
      <c r="E34" s="91"/>
      <c r="F34" s="91"/>
      <c r="G34" s="91"/>
      <c r="H34" s="91"/>
      <c r="I34" s="91"/>
      <c r="J34" s="91"/>
      <c r="K34" s="92"/>
    </row>
  </sheetData>
  <mergeCells count="3">
    <mergeCell ref="A1:K1"/>
    <mergeCell ref="D2:K2"/>
    <mergeCell ref="D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L25" sqref="L25"/>
    </sheetView>
  </sheetViews>
  <sheetFormatPr baseColWidth="10" defaultRowHeight="16" x14ac:dyDescent="0.2"/>
  <sheetData>
    <row r="1" spans="1:11" ht="21" x14ac:dyDescent="0.25">
      <c r="A1" s="136" t="s">
        <v>178</v>
      </c>
      <c r="B1" s="137"/>
      <c r="C1" s="137"/>
      <c r="D1" s="137"/>
      <c r="E1" s="137"/>
      <c r="F1" s="137"/>
      <c r="G1" s="137"/>
      <c r="H1" s="137"/>
      <c r="I1" s="137"/>
      <c r="J1" s="137"/>
      <c r="K1" s="138"/>
    </row>
    <row r="2" spans="1:11" ht="18" x14ac:dyDescent="0.25">
      <c r="A2" s="93" t="s">
        <v>0</v>
      </c>
      <c r="B2" s="1">
        <v>50</v>
      </c>
      <c r="C2" s="4"/>
      <c r="D2" s="139" t="s">
        <v>53</v>
      </c>
      <c r="E2" s="140"/>
      <c r="F2" s="140"/>
      <c r="G2" s="140"/>
      <c r="H2" s="140"/>
      <c r="I2" s="140"/>
      <c r="J2" s="140"/>
      <c r="K2" s="160"/>
    </row>
    <row r="3" spans="1:11" ht="20" x14ac:dyDescent="0.25">
      <c r="A3" s="93" t="s">
        <v>37</v>
      </c>
      <c r="B3" s="1">
        <v>50</v>
      </c>
      <c r="C3" s="4"/>
      <c r="D3" s="5"/>
      <c r="E3" s="5" t="s">
        <v>12</v>
      </c>
      <c r="F3" s="5" t="s">
        <v>13</v>
      </c>
      <c r="G3" s="5" t="s">
        <v>14</v>
      </c>
      <c r="H3" s="5" t="s">
        <v>15</v>
      </c>
      <c r="I3" s="5" t="s">
        <v>172</v>
      </c>
      <c r="J3" s="5" t="s">
        <v>16</v>
      </c>
      <c r="K3" s="161" t="s">
        <v>17</v>
      </c>
    </row>
    <row r="4" spans="1:11" ht="18" x14ac:dyDescent="0.25">
      <c r="A4" s="93" t="s">
        <v>38</v>
      </c>
      <c r="B4" s="1">
        <v>50</v>
      </c>
      <c r="C4" s="4"/>
      <c r="D4" s="6" t="s">
        <v>18</v>
      </c>
      <c r="E4" s="6">
        <f>B13/2</f>
        <v>1.5</v>
      </c>
      <c r="F4" s="6">
        <f>0</f>
        <v>0</v>
      </c>
      <c r="G4" s="6">
        <f>0</f>
        <v>0</v>
      </c>
      <c r="H4" s="7">
        <f>(B17-G4)/B12</f>
        <v>4.4117647058823533</v>
      </c>
      <c r="I4" s="8">
        <f>IF(AND(H4&gt;0,H4&lt;=B13),F4+H4,0)</f>
        <v>0</v>
      </c>
      <c r="J4" s="6">
        <f>IF(I4=0,E4-B28,"Neutral Axis")</f>
        <v>-17.5</v>
      </c>
      <c r="K4" s="162">
        <f>IF(I4=0,ABS(J4)*B18,B12*H4^2/2+B12*(B13-H4)^2/2)</f>
        <v>892.5</v>
      </c>
    </row>
    <row r="5" spans="1:11" ht="18" x14ac:dyDescent="0.25">
      <c r="A5" s="93" t="s">
        <v>39</v>
      </c>
      <c r="B5" s="1">
        <v>50</v>
      </c>
      <c r="C5" s="4"/>
      <c r="D5" s="6" t="s">
        <v>19</v>
      </c>
      <c r="E5" s="6">
        <f>(B13/2)+E4+(B7/2)</f>
        <v>19</v>
      </c>
      <c r="F5" s="6">
        <f>B13+F4</f>
        <v>3</v>
      </c>
      <c r="G5" s="6">
        <f>B18+G4</f>
        <v>51</v>
      </c>
      <c r="H5" s="7">
        <f>(B17-G5)/B9</f>
        <v>16</v>
      </c>
      <c r="I5" s="8">
        <f>IF(AND(H5&gt;0,H5&lt;=B7),F5+H5,0)</f>
        <v>19</v>
      </c>
      <c r="J5" s="6" t="str">
        <f>IF(I5=0,B28-E5,"Neutral Axis")</f>
        <v>Neutral Axis</v>
      </c>
      <c r="K5" s="162">
        <f>IF(I5=0,ABS(J5)*B20,B9*H5^2/2+B9*(B7-H5)^2/2)</f>
        <v>384</v>
      </c>
    </row>
    <row r="6" spans="1:11" x14ac:dyDescent="0.2">
      <c r="A6" s="93" t="s">
        <v>34</v>
      </c>
      <c r="B6" s="3">
        <v>29000</v>
      </c>
      <c r="C6" s="4"/>
      <c r="D6" s="6" t="s">
        <v>20</v>
      </c>
      <c r="E6" s="6">
        <f>(B7/2)+E5+(B11/2)</f>
        <v>36.5</v>
      </c>
      <c r="F6" s="6">
        <f>B7+F5</f>
        <v>35</v>
      </c>
      <c r="G6" s="6">
        <f>B20+G5</f>
        <v>99</v>
      </c>
      <c r="H6" s="7">
        <f>(B17-G6)/B10</f>
        <v>-1.411764705882353</v>
      </c>
      <c r="I6" s="8">
        <f>IF(AND(H6&gt;0,H6&lt;=B11),F6+H6,0)</f>
        <v>0</v>
      </c>
      <c r="J6" s="6">
        <f>IF(I6=0,E6-B28,"Neutral Axis")</f>
        <v>17.5</v>
      </c>
      <c r="K6" s="162">
        <f>IF(I6=0,ABS(J6)*B19,B10*H6^2/2+B10*(B11-H6)^2/2)</f>
        <v>892.5</v>
      </c>
    </row>
    <row r="7" spans="1:11" ht="17" thickBot="1" x14ac:dyDescent="0.25">
      <c r="A7" s="77" t="s">
        <v>1</v>
      </c>
      <c r="B7" s="2">
        <v>32</v>
      </c>
      <c r="C7" s="4"/>
      <c r="D7" s="4"/>
      <c r="E7" s="4"/>
      <c r="F7" s="4"/>
      <c r="G7" s="4"/>
      <c r="H7" s="4"/>
      <c r="I7" s="4"/>
      <c r="J7" s="4"/>
      <c r="K7" s="74"/>
    </row>
    <row r="8" spans="1:11" ht="20" thickTop="1" thickBot="1" x14ac:dyDescent="0.3">
      <c r="A8" s="77" t="s">
        <v>173</v>
      </c>
      <c r="B8" s="2">
        <v>16</v>
      </c>
      <c r="C8" s="4"/>
      <c r="D8" s="170" t="s">
        <v>179</v>
      </c>
      <c r="E8" s="171">
        <f>(0.9*B6*(9/((B8/B7)^2)))/((B7/B9)^2)</f>
        <v>2064.55078125</v>
      </c>
      <c r="F8" s="172"/>
      <c r="G8" s="172"/>
      <c r="H8" s="172"/>
      <c r="I8" s="4"/>
      <c r="J8" s="4"/>
      <c r="K8" s="74"/>
    </row>
    <row r="9" spans="1:11" ht="19" thickTop="1" x14ac:dyDescent="0.25">
      <c r="A9" s="77" t="s">
        <v>2</v>
      </c>
      <c r="B9" s="2">
        <v>1.5</v>
      </c>
      <c r="C9" s="4"/>
      <c r="D9" s="63"/>
      <c r="E9" s="13"/>
      <c r="F9" s="4"/>
      <c r="G9" s="4"/>
      <c r="H9" s="4"/>
      <c r="I9" s="4"/>
      <c r="J9" s="4"/>
      <c r="K9" s="74"/>
    </row>
    <row r="10" spans="1:11" ht="18" x14ac:dyDescent="0.25">
      <c r="A10" s="77" t="s">
        <v>3</v>
      </c>
      <c r="B10" s="2">
        <v>17</v>
      </c>
      <c r="C10" s="4"/>
      <c r="D10" s="63"/>
      <c r="E10" s="13"/>
      <c r="F10" s="4"/>
      <c r="G10" s="4"/>
      <c r="H10" s="14"/>
      <c r="I10" s="4"/>
      <c r="J10" s="4"/>
      <c r="K10" s="74"/>
    </row>
    <row r="11" spans="1:11" ht="18" x14ac:dyDescent="0.25">
      <c r="A11" s="77" t="s">
        <v>4</v>
      </c>
      <c r="B11" s="2">
        <v>3</v>
      </c>
      <c r="C11" s="4"/>
      <c r="D11" s="63"/>
      <c r="E11" s="13"/>
      <c r="F11" s="4"/>
      <c r="G11" s="4"/>
      <c r="H11" s="4"/>
      <c r="I11" s="4"/>
      <c r="J11" s="4"/>
      <c r="K11" s="74"/>
    </row>
    <row r="12" spans="1:11" ht="18" x14ac:dyDescent="0.25">
      <c r="A12" s="77" t="s">
        <v>5</v>
      </c>
      <c r="B12" s="2">
        <v>17</v>
      </c>
      <c r="C12" s="4"/>
      <c r="D12" s="63"/>
      <c r="E12" s="13"/>
      <c r="F12" s="4"/>
      <c r="G12" s="4"/>
      <c r="H12" s="4"/>
      <c r="I12" s="4"/>
      <c r="J12" s="4"/>
      <c r="K12" s="74"/>
    </row>
    <row r="13" spans="1:11" ht="18" x14ac:dyDescent="0.25">
      <c r="A13" s="77" t="s">
        <v>6</v>
      </c>
      <c r="B13" s="2">
        <v>3</v>
      </c>
      <c r="C13" s="4"/>
      <c r="D13" s="4"/>
      <c r="E13" s="4"/>
      <c r="F13" s="4"/>
      <c r="G13" s="4"/>
      <c r="H13" s="4"/>
      <c r="I13" s="4"/>
      <c r="J13" s="4"/>
      <c r="K13" s="74"/>
    </row>
    <row r="14" spans="1:11" ht="18" x14ac:dyDescent="0.25">
      <c r="A14" s="94" t="s">
        <v>50</v>
      </c>
      <c r="B14" s="17">
        <v>300</v>
      </c>
      <c r="C14" s="4"/>
      <c r="D14" s="12"/>
      <c r="E14" s="28"/>
      <c r="F14" s="4"/>
      <c r="G14" s="4"/>
      <c r="H14" s="4"/>
      <c r="I14" s="4"/>
      <c r="J14" s="4"/>
      <c r="K14" s="74"/>
    </row>
    <row r="15" spans="1:11" x14ac:dyDescent="0.2">
      <c r="A15" s="95"/>
      <c r="B15" s="4"/>
      <c r="C15" s="4"/>
      <c r="D15" s="4"/>
      <c r="E15" s="4"/>
      <c r="F15" s="4"/>
      <c r="G15" s="4"/>
      <c r="H15" s="4"/>
      <c r="I15" s="4"/>
      <c r="J15" s="4"/>
      <c r="K15" s="74"/>
    </row>
    <row r="16" spans="1:11" ht="20" x14ac:dyDescent="0.25">
      <c r="A16" s="96" t="s">
        <v>21</v>
      </c>
      <c r="B16" s="6">
        <f>(B7*B9)+(B10*B11)+(B12*B13)</f>
        <v>150</v>
      </c>
      <c r="C16" s="4"/>
      <c r="D16" s="63"/>
      <c r="E16" s="173"/>
      <c r="F16" s="4"/>
      <c r="G16" s="4"/>
      <c r="H16" s="4"/>
      <c r="I16" s="4"/>
      <c r="J16" s="4"/>
      <c r="K16" s="74"/>
    </row>
    <row r="17" spans="1:11" ht="20" x14ac:dyDescent="0.25">
      <c r="A17" s="77" t="s">
        <v>22</v>
      </c>
      <c r="B17" s="6">
        <f>B16/2</f>
        <v>75</v>
      </c>
      <c r="C17" s="4"/>
      <c r="D17" s="63"/>
      <c r="E17" s="13"/>
      <c r="F17" s="4"/>
      <c r="G17" s="4"/>
      <c r="H17" s="4"/>
      <c r="I17" s="4"/>
      <c r="J17" s="4"/>
      <c r="K17" s="74"/>
    </row>
    <row r="18" spans="1:11" ht="20" x14ac:dyDescent="0.25">
      <c r="A18" s="77" t="s">
        <v>23</v>
      </c>
      <c r="B18" s="6">
        <f>B12*B13</f>
        <v>51</v>
      </c>
      <c r="C18" s="4"/>
      <c r="D18" s="63"/>
      <c r="E18" s="13"/>
      <c r="F18" s="4"/>
      <c r="G18" s="4"/>
      <c r="H18" s="4"/>
      <c r="I18" s="4"/>
      <c r="J18" s="4"/>
      <c r="K18" s="74"/>
    </row>
    <row r="19" spans="1:11" ht="20" x14ac:dyDescent="0.25">
      <c r="A19" s="77" t="s">
        <v>24</v>
      </c>
      <c r="B19" s="6">
        <f>B10*B11</f>
        <v>51</v>
      </c>
      <c r="C19" s="4"/>
      <c r="D19" s="108"/>
      <c r="E19" s="4"/>
      <c r="F19" s="4"/>
      <c r="G19" s="4"/>
      <c r="H19" s="4"/>
      <c r="I19" s="4"/>
      <c r="J19" s="4"/>
      <c r="K19" s="74"/>
    </row>
    <row r="20" spans="1:11" ht="20" x14ac:dyDescent="0.25">
      <c r="A20" s="77" t="s">
        <v>25</v>
      </c>
      <c r="B20" s="6">
        <f>B9*B7</f>
        <v>48</v>
      </c>
      <c r="C20" s="4"/>
      <c r="D20" s="63"/>
      <c r="E20" s="4"/>
      <c r="F20" s="4"/>
      <c r="G20" s="4"/>
      <c r="H20" s="4"/>
      <c r="I20" s="4"/>
      <c r="J20" s="4"/>
      <c r="K20" s="74"/>
    </row>
    <row r="21" spans="1:11" ht="20" x14ac:dyDescent="0.25">
      <c r="A21" s="77" t="s">
        <v>26</v>
      </c>
      <c r="B21" s="9">
        <f>(((B12*(B13^3))/12)+(B18*((B22-(B13/2))^2)))+(((B9*(B7^3))/12)+(B20*((((B7/2)+B13)-B22)^2)))+(((B10*(B11^3))/12)+(B19*((((B11/2)+B7+B13)-B22)^2)))</f>
        <v>35410</v>
      </c>
      <c r="C21" s="4"/>
      <c r="D21" s="12"/>
      <c r="E21" s="14"/>
      <c r="F21" s="4"/>
      <c r="G21" s="4"/>
      <c r="H21" s="4"/>
      <c r="I21" s="4"/>
      <c r="J21" s="4"/>
      <c r="K21" s="74"/>
    </row>
    <row r="22" spans="1:11" ht="18" x14ac:dyDescent="0.25">
      <c r="A22" s="77" t="s">
        <v>175</v>
      </c>
      <c r="B22" s="9">
        <f>((B18*(B13/2))+(B20*(B13+(B7/2)))+(B19*(B13+B7+(B11/2))))/(B18+B20+B19)</f>
        <v>19</v>
      </c>
      <c r="C22" s="4"/>
      <c r="D22" s="4"/>
      <c r="E22" s="14"/>
      <c r="F22" s="4"/>
      <c r="G22" s="4"/>
      <c r="H22" s="4"/>
      <c r="I22" s="4"/>
      <c r="J22" s="4"/>
      <c r="K22" s="74"/>
    </row>
    <row r="23" spans="1:11" ht="20" x14ac:dyDescent="0.25">
      <c r="A23" s="94" t="s">
        <v>27</v>
      </c>
      <c r="B23" s="9">
        <f>B21/B22</f>
        <v>1863.6842105263158</v>
      </c>
      <c r="C23" s="4"/>
      <c r="D23" s="12"/>
      <c r="E23" s="14"/>
      <c r="F23" s="4"/>
      <c r="G23" s="4"/>
      <c r="H23" s="4"/>
      <c r="I23" s="4"/>
      <c r="J23" s="4"/>
      <c r="K23" s="74"/>
    </row>
    <row r="24" spans="1:11" ht="18" x14ac:dyDescent="0.25">
      <c r="A24" s="77" t="s">
        <v>28</v>
      </c>
      <c r="B24" s="10">
        <f>(B2*B23)/12</f>
        <v>7765.3508771929819</v>
      </c>
      <c r="C24" s="4"/>
      <c r="D24" s="4"/>
      <c r="E24" s="4"/>
      <c r="F24" s="4"/>
      <c r="G24" s="4"/>
      <c r="H24" s="4"/>
      <c r="I24" s="4"/>
      <c r="J24" s="4"/>
      <c r="K24" s="74"/>
    </row>
    <row r="25" spans="1:11" ht="18" x14ac:dyDescent="0.25">
      <c r="A25" s="96" t="s">
        <v>177</v>
      </c>
      <c r="B25" s="9">
        <f>(B7+B11+B13)-B22</f>
        <v>19</v>
      </c>
      <c r="C25" s="4"/>
      <c r="D25" s="126"/>
      <c r="E25" s="126"/>
      <c r="F25" s="4"/>
      <c r="G25" s="4"/>
      <c r="H25" s="4"/>
      <c r="I25" s="4"/>
      <c r="J25" s="4"/>
      <c r="K25" s="74"/>
    </row>
    <row r="26" spans="1:11" ht="20" x14ac:dyDescent="0.25">
      <c r="A26" s="94" t="s">
        <v>29</v>
      </c>
      <c r="B26" s="9">
        <f>B21/B25</f>
        <v>1863.6842105263158</v>
      </c>
      <c r="C26" s="16"/>
      <c r="D26" s="12"/>
      <c r="E26" s="12"/>
      <c r="F26" s="126"/>
      <c r="G26" s="126"/>
      <c r="H26" s="12"/>
      <c r="I26" s="12"/>
      <c r="J26" s="12"/>
      <c r="K26" s="163"/>
    </row>
    <row r="27" spans="1:11" ht="18" x14ac:dyDescent="0.25">
      <c r="A27" s="77" t="s">
        <v>30</v>
      </c>
      <c r="B27" s="10">
        <f>(B2*B26)/12</f>
        <v>7765.3508771929819</v>
      </c>
      <c r="C27" s="4"/>
      <c r="D27" s="118"/>
      <c r="E27" s="12"/>
      <c r="F27" s="12"/>
      <c r="G27" s="12"/>
      <c r="H27" s="12"/>
      <c r="I27" s="12"/>
      <c r="J27" s="12"/>
      <c r="K27" s="163"/>
    </row>
    <row r="28" spans="1:11" ht="18" x14ac:dyDescent="0.25">
      <c r="A28" s="77" t="s">
        <v>172</v>
      </c>
      <c r="B28" s="9">
        <f>SUM(I4:I6)</f>
        <v>19</v>
      </c>
      <c r="C28" s="4"/>
      <c r="D28" s="118"/>
      <c r="E28" s="12"/>
      <c r="F28" s="12"/>
      <c r="G28" s="116"/>
      <c r="H28" s="12"/>
      <c r="I28" s="12"/>
      <c r="J28" s="111"/>
      <c r="K28" s="163"/>
    </row>
    <row r="29" spans="1:11" ht="20" x14ac:dyDescent="0.25">
      <c r="A29" s="94" t="s">
        <v>31</v>
      </c>
      <c r="B29" s="9">
        <f>SUM(K4:K6)</f>
        <v>2169</v>
      </c>
      <c r="C29" s="4"/>
      <c r="D29" s="118"/>
      <c r="E29" s="12"/>
      <c r="F29" s="12"/>
      <c r="G29" s="116"/>
      <c r="H29" s="12"/>
      <c r="I29" s="12"/>
      <c r="J29" s="12"/>
      <c r="K29" s="163"/>
    </row>
    <row r="30" spans="1:11" ht="17" thickBot="1" x14ac:dyDescent="0.25">
      <c r="A30" s="164"/>
      <c r="B30" s="4"/>
      <c r="C30" s="4"/>
      <c r="D30" s="118"/>
      <c r="E30" s="12"/>
      <c r="F30" s="12"/>
      <c r="G30" s="116"/>
      <c r="H30" s="12"/>
      <c r="I30" s="12"/>
      <c r="J30" s="12"/>
      <c r="K30" s="163"/>
    </row>
    <row r="31" spans="1:11" ht="20" thickTop="1" thickBot="1" x14ac:dyDescent="0.3">
      <c r="A31" s="98" t="s">
        <v>32</v>
      </c>
      <c r="B31" s="11">
        <f>IF(B24&lt;B27,B24,B27)</f>
        <v>7765.3508771929819</v>
      </c>
      <c r="C31" s="4"/>
      <c r="D31" s="118"/>
      <c r="E31" s="12"/>
      <c r="F31" s="12"/>
      <c r="G31" s="116"/>
      <c r="H31" s="12"/>
      <c r="I31" s="12"/>
      <c r="J31" s="12"/>
      <c r="K31" s="163"/>
    </row>
    <row r="32" spans="1:11" ht="20" thickTop="1" thickBot="1" x14ac:dyDescent="0.3">
      <c r="A32" s="98" t="s">
        <v>33</v>
      </c>
      <c r="B32" s="11">
        <f>(B2*B29)/12</f>
        <v>9037.5</v>
      </c>
      <c r="C32" s="4"/>
      <c r="D32" s="118"/>
      <c r="E32" s="12"/>
      <c r="F32" s="12"/>
      <c r="G32" s="116"/>
      <c r="H32" s="12"/>
      <c r="I32" s="12"/>
      <c r="J32" s="12"/>
      <c r="K32" s="163"/>
    </row>
    <row r="33" spans="1:11" ht="18" thickTop="1" thickBot="1" x14ac:dyDescent="0.25">
      <c r="A33" s="89"/>
      <c r="B33" s="91"/>
      <c r="C33" s="91"/>
      <c r="D33" s="91"/>
      <c r="E33" s="91"/>
      <c r="F33" s="91"/>
      <c r="G33" s="91"/>
      <c r="H33" s="91"/>
      <c r="I33" s="91"/>
      <c r="J33" s="91"/>
      <c r="K33" s="92"/>
    </row>
  </sheetData>
  <mergeCells count="2">
    <mergeCell ref="A1:K1"/>
    <mergeCell ref="D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Moment &amp; Shear</vt:lpstr>
      <vt:lpstr>Composite Girder Moment</vt:lpstr>
      <vt:lpstr>Moment Redistribution</vt:lpstr>
      <vt:lpstr>Tension Flange Yielding</vt:lpstr>
      <vt:lpstr>Web Bend Buckling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2018-03-21T17:53:48Z</dcterms:created>
  <dcterms:modified xsi:type="dcterms:W3CDTF">2018-07-18T11:08:14Z</dcterms:modified>
</cp:coreProperties>
</file>