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jason\Downloads\"/>
    </mc:Choice>
  </mc:AlternateContent>
  <xr:revisionPtr revIDLastSave="0" documentId="13_ncr:1_{87A8AE0A-0EA9-4FB7-A44D-EA7619C1E109}" xr6:coauthVersionLast="47" xr6:coauthVersionMax="47" xr10:uidLastSave="{00000000-0000-0000-0000-000000000000}"/>
  <bookViews>
    <workbookView xWindow="-108" yWindow="-108" windowWidth="23256" windowHeight="13896" xr2:uid="{00000000-000D-0000-FFFF-FFFF00000000}"/>
  </bookViews>
  <sheets>
    <sheet name="Deal Structure" sheetId="2" r:id="rId1"/>
    <sheet name="Deal Structure 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10" i="2" s="1"/>
  <c r="U40" i="2"/>
  <c r="N18" i="2"/>
  <c r="N20" i="2" s="1"/>
  <c r="N21" i="2" s="1"/>
  <c r="B21" i="2"/>
  <c r="M13" i="3"/>
  <c r="B6" i="3"/>
  <c r="M12" i="3" s="1"/>
  <c r="B21" i="3"/>
  <c r="B14" i="3"/>
  <c r="M45" i="3"/>
  <c r="AW41" i="3"/>
  <c r="V41" i="3"/>
  <c r="AW40" i="3"/>
  <c r="M38" i="3"/>
  <c r="N38" i="3" s="1"/>
  <c r="O38" i="3" s="1"/>
  <c r="P38" i="3" s="1"/>
  <c r="Q38" i="3" s="1"/>
  <c r="R38" i="3" s="1"/>
  <c r="S38" i="3" s="1"/>
  <c r="T38" i="3" s="1"/>
  <c r="U38" i="3" s="1"/>
  <c r="V38" i="3" s="1"/>
  <c r="W38" i="3" s="1"/>
  <c r="X38" i="3" s="1"/>
  <c r="Y38" i="3" s="1"/>
  <c r="Z38" i="3" s="1"/>
  <c r="AA38" i="3" s="1"/>
  <c r="AB38" i="3" s="1"/>
  <c r="AC38" i="3" s="1"/>
  <c r="AD38" i="3" s="1"/>
  <c r="AE38" i="3" s="1"/>
  <c r="AF38" i="3" s="1"/>
  <c r="AG38" i="3" s="1"/>
  <c r="AH38" i="3" s="1"/>
  <c r="AI38" i="3" s="1"/>
  <c r="AJ38" i="3" s="1"/>
  <c r="AK38" i="3" s="1"/>
  <c r="AL38" i="3" s="1"/>
  <c r="AM38" i="3" s="1"/>
  <c r="AN38" i="3" s="1"/>
  <c r="AO38" i="3" s="1"/>
  <c r="AP38" i="3" s="1"/>
  <c r="AQ38" i="3" s="1"/>
  <c r="AR38" i="3" s="1"/>
  <c r="AS38" i="3" s="1"/>
  <c r="AT38" i="3" s="1"/>
  <c r="AU38" i="3" s="1"/>
  <c r="AV38" i="3" s="1"/>
  <c r="AW38" i="3" s="1"/>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T37" i="3"/>
  <c r="S37" i="3"/>
  <c r="R37" i="3"/>
  <c r="Q37" i="3"/>
  <c r="P37" i="3"/>
  <c r="O37" i="3"/>
  <c r="N37"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N19" i="3"/>
  <c r="N21" i="3" s="1"/>
  <c r="N22" i="3" s="1"/>
  <c r="M11" i="3"/>
  <c r="B9" i="3"/>
  <c r="F32" i="3" s="1"/>
  <c r="B8" i="3"/>
  <c r="M8" i="3"/>
  <c r="AT8" i="3" s="1"/>
  <c r="AW7" i="3"/>
  <c r="F39" i="3" s="1"/>
  <c r="AT7" i="3"/>
  <c r="AR7" i="3"/>
  <c r="AH7" i="3"/>
  <c r="AG7" i="3"/>
  <c r="AE7" i="3"/>
  <c r="Q7" i="3"/>
  <c r="M7" i="3"/>
  <c r="AI7" i="3" s="1"/>
  <c r="N2" i="3"/>
  <c r="O2" i="3" s="1"/>
  <c r="M2" i="3"/>
  <c r="M6" i="3" s="1"/>
  <c r="N1" i="3"/>
  <c r="O1" i="3" s="1"/>
  <c r="P1" i="3" s="1"/>
  <c r="Q1" i="3" s="1"/>
  <c r="R1" i="3" s="1"/>
  <c r="S1" i="3" s="1"/>
  <c r="T1" i="3" s="1"/>
  <c r="U1" i="3" s="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AT1" i="3" s="1"/>
  <c r="AU1" i="3" s="1"/>
  <c r="AV1" i="3" s="1"/>
  <c r="AW1" i="3" s="1"/>
  <c r="M10" i="2"/>
  <c r="G36" i="3"/>
  <c r="C14" i="3"/>
  <c r="G25" i="3"/>
  <c r="G31" i="3"/>
  <c r="G26" i="3"/>
  <c r="G28" i="3"/>
  <c r="G39" i="3"/>
  <c r="G27" i="3"/>
  <c r="G21" i="3"/>
  <c r="G34" i="3"/>
  <c r="G22" i="3"/>
  <c r="G30" i="3"/>
  <c r="G38" i="3"/>
  <c r="C10" i="3"/>
  <c r="G42" i="3"/>
  <c r="G33" i="3"/>
  <c r="G24" i="3"/>
  <c r="G40" i="3"/>
  <c r="C11" i="3"/>
  <c r="G23" i="3"/>
  <c r="G37" i="3"/>
  <c r="C9" i="3"/>
  <c r="G29" i="3"/>
  <c r="G32" i="3"/>
  <c r="C8" i="3"/>
  <c r="G43" i="3"/>
  <c r="G35" i="3"/>
  <c r="B11" i="2" l="1"/>
  <c r="AW36" i="3"/>
  <c r="N30" i="3"/>
  <c r="F31" i="3"/>
  <c r="U37" i="3" s="1"/>
  <c r="AU7" i="3"/>
  <c r="B10" i="3"/>
  <c r="AO35" i="3" s="1"/>
  <c r="N7" i="3"/>
  <c r="O7" i="3"/>
  <c r="R7" i="3"/>
  <c r="AB7" i="3"/>
  <c r="AD7" i="3"/>
  <c r="P2" i="3"/>
  <c r="O6" i="3"/>
  <c r="O3" i="3"/>
  <c r="O30" i="3" s="1"/>
  <c r="M16" i="3"/>
  <c r="T7" i="3"/>
  <c r="AJ7" i="3"/>
  <c r="O8" i="3"/>
  <c r="AE8" i="3"/>
  <c r="AU8" i="3"/>
  <c r="U7" i="3"/>
  <c r="AK7" i="3"/>
  <c r="P8" i="3"/>
  <c r="AF8" i="3"/>
  <c r="AV8" i="3"/>
  <c r="V7" i="3"/>
  <c r="AL7" i="3"/>
  <c r="Q8" i="3"/>
  <c r="AG8" i="3"/>
  <c r="AW8" i="3"/>
  <c r="W7" i="3"/>
  <c r="AM7" i="3"/>
  <c r="R8" i="3"/>
  <c r="AH8" i="3"/>
  <c r="N6" i="3"/>
  <c r="X7" i="3"/>
  <c r="AN7" i="3"/>
  <c r="S8" i="3"/>
  <c r="AI8" i="3"/>
  <c r="Y7" i="3"/>
  <c r="AO7" i="3"/>
  <c r="T8" i="3"/>
  <c r="AJ8" i="3"/>
  <c r="Z35" i="3"/>
  <c r="Z7" i="3"/>
  <c r="AP7" i="3"/>
  <c r="U8" i="3"/>
  <c r="AK8" i="3"/>
  <c r="AA7" i="3"/>
  <c r="AQ7" i="3"/>
  <c r="V8" i="3"/>
  <c r="AL8" i="3"/>
  <c r="W8" i="3"/>
  <c r="AM8" i="3"/>
  <c r="AC7" i="3"/>
  <c r="AS7" i="3"/>
  <c r="X8" i="3"/>
  <c r="AN8" i="3"/>
  <c r="Y8" i="3"/>
  <c r="AO8" i="3"/>
  <c r="Z8" i="3"/>
  <c r="AP8" i="3"/>
  <c r="P7" i="3"/>
  <c r="AF7" i="3"/>
  <c r="AV7" i="3"/>
  <c r="AA8" i="3"/>
  <c r="AQ8" i="3"/>
  <c r="AB8" i="3"/>
  <c r="AR8" i="3"/>
  <c r="AC8" i="3"/>
  <c r="AS8" i="3"/>
  <c r="S7" i="3"/>
  <c r="N8" i="3"/>
  <c r="AD8" i="3"/>
  <c r="Q35" i="3" l="1"/>
  <c r="AK35" i="3"/>
  <c r="T35" i="3"/>
  <c r="X35" i="3"/>
  <c r="AR35" i="3"/>
  <c r="AB35" i="3"/>
  <c r="Y35" i="3"/>
  <c r="AQ35" i="3"/>
  <c r="AT35" i="3"/>
  <c r="AA35" i="3"/>
  <c r="AL35" i="3"/>
  <c r="AD35" i="3"/>
  <c r="V35" i="3"/>
  <c r="N35" i="3"/>
  <c r="AN35" i="3"/>
  <c r="AW35" i="3"/>
  <c r="AG35" i="3"/>
  <c r="AP35" i="3"/>
  <c r="AM35" i="3"/>
  <c r="U35" i="3"/>
  <c r="W35" i="3"/>
  <c r="O19" i="3"/>
  <c r="AJ35" i="3"/>
  <c r="AU35" i="3"/>
  <c r="AS35" i="3"/>
  <c r="AI35" i="3"/>
  <c r="AF35" i="3"/>
  <c r="B11" i="3"/>
  <c r="R35" i="3"/>
  <c r="AH35" i="3"/>
  <c r="AE35" i="3"/>
  <c r="AC35" i="3"/>
  <c r="S35" i="3"/>
  <c r="P35" i="3"/>
  <c r="O35" i="3"/>
  <c r="AV35" i="3"/>
  <c r="N24" i="3"/>
  <c r="F42" i="3"/>
  <c r="F41" i="3"/>
  <c r="M44" i="3"/>
  <c r="P6" i="3"/>
  <c r="Q2" i="3"/>
  <c r="P3" i="3"/>
  <c r="P30" i="3" s="1"/>
  <c r="O21" i="3"/>
  <c r="O22" i="3" s="1"/>
  <c r="O24" i="3" s="1"/>
  <c r="P19" i="3"/>
  <c r="N25" i="3" l="1"/>
  <c r="N27" i="3" s="1"/>
  <c r="N28" i="3" s="1"/>
  <c r="N33" i="3" s="1"/>
  <c r="P21" i="3"/>
  <c r="P22" i="3" s="1"/>
  <c r="P24" i="3" s="1"/>
  <c r="Q19" i="3"/>
  <c r="O25" i="3"/>
  <c r="O27" i="3"/>
  <c r="O28" i="3" s="1"/>
  <c r="O33" i="3" s="1"/>
  <c r="Q6" i="3"/>
  <c r="Q3" i="3"/>
  <c r="Q30" i="3" s="1"/>
  <c r="R2" i="3"/>
  <c r="AW45" i="3"/>
  <c r="AG45" i="3"/>
  <c r="Q45" i="3"/>
  <c r="AV45" i="3"/>
  <c r="AF45" i="3"/>
  <c r="P45" i="3"/>
  <c r="AU45" i="3"/>
  <c r="AE45" i="3"/>
  <c r="O45" i="3"/>
  <c r="AT45" i="3"/>
  <c r="AD45" i="3"/>
  <c r="N45" i="3"/>
  <c r="AS45" i="3"/>
  <c r="AC45" i="3"/>
  <c r="AR45" i="3"/>
  <c r="AB45" i="3"/>
  <c r="AQ45" i="3"/>
  <c r="AA45" i="3"/>
  <c r="AP45" i="3"/>
  <c r="Z45" i="3"/>
  <c r="AO45" i="3"/>
  <c r="Y45" i="3"/>
  <c r="AN45" i="3"/>
  <c r="X45" i="3"/>
  <c r="AM45" i="3"/>
  <c r="W45" i="3"/>
  <c r="AL45" i="3"/>
  <c r="V45" i="3"/>
  <c r="AK45" i="3"/>
  <c r="U45" i="3"/>
  <c r="AJ45" i="3"/>
  <c r="T45" i="3"/>
  <c r="AI45" i="3"/>
  <c r="S45" i="3"/>
  <c r="AH45" i="3"/>
  <c r="R45" i="3"/>
  <c r="R6" i="3" l="1"/>
  <c r="R3" i="3"/>
  <c r="R30" i="3" s="1"/>
  <c r="S2" i="3"/>
  <c r="O42" i="3"/>
  <c r="O34" i="3"/>
  <c r="Q21" i="3"/>
  <c r="Q22" i="3" s="1"/>
  <c r="Q24" i="3" s="1"/>
  <c r="R19" i="3"/>
  <c r="P25" i="3"/>
  <c r="P27" i="3" s="1"/>
  <c r="P28" i="3" s="1"/>
  <c r="P33" i="3" s="1"/>
  <c r="N42" i="3"/>
  <c r="N34" i="3"/>
  <c r="S6" i="3" l="1"/>
  <c r="S3" i="3"/>
  <c r="S30" i="3" s="1"/>
  <c r="T2" i="3"/>
  <c r="N43" i="3"/>
  <c r="N44" i="3" s="1"/>
  <c r="P42" i="3"/>
  <c r="P34" i="3"/>
  <c r="R21" i="3"/>
  <c r="R22" i="3" s="1"/>
  <c r="R24" i="3" s="1"/>
  <c r="S19" i="3"/>
  <c r="Q25" i="3"/>
  <c r="Q27" i="3" s="1"/>
  <c r="Q28" i="3" s="1"/>
  <c r="O43" i="3"/>
  <c r="O44" i="3" s="1"/>
  <c r="Q33" i="3" l="1"/>
  <c r="R25" i="3"/>
  <c r="R27" i="3" s="1"/>
  <c r="R28" i="3" s="1"/>
  <c r="P43" i="3"/>
  <c r="P44" i="3" s="1"/>
  <c r="S21" i="3"/>
  <c r="S22" i="3" s="1"/>
  <c r="S24" i="3" s="1"/>
  <c r="T19" i="3"/>
  <c r="T6" i="3"/>
  <c r="T3" i="3"/>
  <c r="T30" i="3" s="1"/>
  <c r="U2" i="3"/>
  <c r="R33" i="3" l="1"/>
  <c r="S25" i="3"/>
  <c r="S27" i="3" s="1"/>
  <c r="S28" i="3" s="1"/>
  <c r="S33" i="3" s="1"/>
  <c r="U6" i="3"/>
  <c r="V2" i="3"/>
  <c r="U3" i="3"/>
  <c r="U30" i="3" s="1"/>
  <c r="T21" i="3"/>
  <c r="T22" i="3" s="1"/>
  <c r="T24" i="3" s="1"/>
  <c r="U19" i="3"/>
  <c r="Q42" i="3"/>
  <c r="Q34" i="3"/>
  <c r="S42" i="3" l="1"/>
  <c r="S34" i="3"/>
  <c r="V19" i="3"/>
  <c r="U21" i="3"/>
  <c r="U22" i="3" s="1"/>
  <c r="U24" i="3" s="1"/>
  <c r="V6" i="3"/>
  <c r="W2" i="3"/>
  <c r="V3" i="3"/>
  <c r="V30" i="3" s="1"/>
  <c r="Q43" i="3"/>
  <c r="Q44" i="3" s="1"/>
  <c r="T25" i="3"/>
  <c r="T27" i="3" s="1"/>
  <c r="T28" i="3" s="1"/>
  <c r="T33" i="3" s="1"/>
  <c r="R42" i="3"/>
  <c r="R34" i="3"/>
  <c r="R43" i="3" s="1"/>
  <c r="R44" i="3" s="1"/>
  <c r="T34" i="3" l="1"/>
  <c r="T42" i="3"/>
  <c r="W6" i="3"/>
  <c r="X2" i="3"/>
  <c r="W3" i="3"/>
  <c r="W30" i="3" s="1"/>
  <c r="U25" i="3"/>
  <c r="U27" i="3" s="1"/>
  <c r="U28" i="3" s="1"/>
  <c r="U33" i="3" s="1"/>
  <c r="W19" i="3"/>
  <c r="V21" i="3"/>
  <c r="V22" i="3" s="1"/>
  <c r="V24" i="3" s="1"/>
  <c r="S43" i="3"/>
  <c r="S44" i="3" s="1"/>
  <c r="U34" i="3" l="1"/>
  <c r="U42" i="3"/>
  <c r="X6" i="3"/>
  <c r="Y2" i="3"/>
  <c r="X3" i="3"/>
  <c r="X30" i="3" s="1"/>
  <c r="V25" i="3"/>
  <c r="V27" i="3" s="1"/>
  <c r="V28" i="3" s="1"/>
  <c r="V33" i="3" s="1"/>
  <c r="X19" i="3"/>
  <c r="W21" i="3"/>
  <c r="W22" i="3" s="1"/>
  <c r="W24" i="3" s="1"/>
  <c r="T43" i="3"/>
  <c r="T44" i="3" s="1"/>
  <c r="V34" i="3" l="1"/>
  <c r="V42" i="3"/>
  <c r="Y19" i="3"/>
  <c r="X21" i="3"/>
  <c r="X22" i="3" s="1"/>
  <c r="X24" i="3" s="1"/>
  <c r="W25" i="3"/>
  <c r="W27" i="3" s="1"/>
  <c r="W28" i="3" s="1"/>
  <c r="W33" i="3" s="1"/>
  <c r="Y6" i="3"/>
  <c r="Z2" i="3"/>
  <c r="Y3" i="3"/>
  <c r="Y30" i="3" s="1"/>
  <c r="U43" i="3"/>
  <c r="U44" i="3" s="1"/>
  <c r="W34" i="3" l="1"/>
  <c r="W42" i="3"/>
  <c r="Z3" i="3"/>
  <c r="Z30" i="3" s="1"/>
  <c r="AA2" i="3"/>
  <c r="Z6" i="3"/>
  <c r="X25" i="3"/>
  <c r="X27" i="3" s="1"/>
  <c r="X28" i="3" s="1"/>
  <c r="X33" i="3" s="1"/>
  <c r="Z19" i="3"/>
  <c r="Y21" i="3"/>
  <c r="Y22" i="3" s="1"/>
  <c r="Y24" i="3" s="1"/>
  <c r="V43" i="3"/>
  <c r="V44" i="3" s="1"/>
  <c r="X34" i="3" l="1"/>
  <c r="X42" i="3"/>
  <c r="Y25" i="3"/>
  <c r="Y27" i="3"/>
  <c r="Y28" i="3" s="1"/>
  <c r="Y33" i="3" s="1"/>
  <c r="AA3" i="3"/>
  <c r="AA30" i="3" s="1"/>
  <c r="AB2" i="3"/>
  <c r="AA6" i="3"/>
  <c r="AA19" i="3"/>
  <c r="Z21" i="3"/>
  <c r="Z22" i="3" s="1"/>
  <c r="Z24" i="3" s="1"/>
  <c r="W43" i="3"/>
  <c r="W44" i="3" s="1"/>
  <c r="Z25" i="3" l="1"/>
  <c r="Z27" i="3" s="1"/>
  <c r="Z28" i="3" s="1"/>
  <c r="Z33" i="3" s="1"/>
  <c r="AB19" i="3"/>
  <c r="AA21" i="3"/>
  <c r="AA22" i="3" s="1"/>
  <c r="AA24" i="3" s="1"/>
  <c r="AB3" i="3"/>
  <c r="AB30" i="3" s="1"/>
  <c r="AC2" i="3"/>
  <c r="AB6" i="3"/>
  <c r="Y34" i="3"/>
  <c r="Y42" i="3"/>
  <c r="X43" i="3"/>
  <c r="X44" i="3" s="1"/>
  <c r="AC3" i="3" l="1"/>
  <c r="AC30" i="3" s="1"/>
  <c r="AD2" i="3"/>
  <c r="AC6" i="3"/>
  <c r="Y43" i="3"/>
  <c r="Y44" i="3" s="1"/>
  <c r="AA25" i="3"/>
  <c r="AA27" i="3"/>
  <c r="AA28" i="3" s="1"/>
  <c r="AA33" i="3" s="1"/>
  <c r="AB21" i="3"/>
  <c r="AB22" i="3" s="1"/>
  <c r="AB24" i="3" s="1"/>
  <c r="AC19" i="3"/>
  <c r="Z34" i="3"/>
  <c r="Z43" i="3" s="1"/>
  <c r="Z44" i="3" s="1"/>
  <c r="Z42" i="3"/>
  <c r="AA42" i="3" l="1"/>
  <c r="AA34" i="3"/>
  <c r="AA43" i="3" s="1"/>
  <c r="AA44" i="3" s="1"/>
  <c r="AC21" i="3"/>
  <c r="AC22" i="3" s="1"/>
  <c r="AC24" i="3" s="1"/>
  <c r="AD19" i="3"/>
  <c r="AD3" i="3"/>
  <c r="AD30" i="3" s="1"/>
  <c r="AE2" i="3"/>
  <c r="AD6" i="3"/>
  <c r="AB25" i="3"/>
  <c r="AB27" i="3" s="1"/>
  <c r="AB28" i="3" s="1"/>
  <c r="AB33" i="3" s="1"/>
  <c r="AB42" i="3" l="1"/>
  <c r="AB34" i="3"/>
  <c r="AB43" i="3" s="1"/>
  <c r="AB44" i="3" s="1"/>
  <c r="AC25" i="3"/>
  <c r="AC27" i="3" s="1"/>
  <c r="AC28" i="3" s="1"/>
  <c r="AC33" i="3" s="1"/>
  <c r="AF2" i="3"/>
  <c r="AE6" i="3"/>
  <c r="AE3" i="3"/>
  <c r="AE30" i="3" s="1"/>
  <c r="AD21" i="3"/>
  <c r="AD22" i="3" s="1"/>
  <c r="AD24" i="3" s="1"/>
  <c r="AE19" i="3"/>
  <c r="AD25" i="3" l="1"/>
  <c r="AD27" i="3" s="1"/>
  <c r="AD28" i="3" s="1"/>
  <c r="AD33" i="3" s="1"/>
  <c r="AF6" i="3"/>
  <c r="AG2" i="3"/>
  <c r="AF3" i="3"/>
  <c r="AF30" i="3" s="1"/>
  <c r="AE21" i="3"/>
  <c r="AE22" i="3" s="1"/>
  <c r="AE24" i="3" s="1"/>
  <c r="AF19" i="3"/>
  <c r="AC42" i="3"/>
  <c r="AC34" i="3"/>
  <c r="AC43" i="3" s="1"/>
  <c r="AC44" i="3" s="1"/>
  <c r="AD42" i="3" l="1"/>
  <c r="AD34" i="3"/>
  <c r="AD43" i="3" s="1"/>
  <c r="AD44" i="3" s="1"/>
  <c r="AG6" i="3"/>
  <c r="AG3" i="3"/>
  <c r="AG30" i="3" s="1"/>
  <c r="AH2" i="3"/>
  <c r="AF21" i="3"/>
  <c r="AF22" i="3" s="1"/>
  <c r="AF24" i="3" s="1"/>
  <c r="AG19" i="3"/>
  <c r="AE25" i="3"/>
  <c r="AE27" i="3"/>
  <c r="AE28" i="3" s="1"/>
  <c r="AE33" i="3" s="1"/>
  <c r="AE42" i="3" l="1"/>
  <c r="AE34" i="3"/>
  <c r="AE43" i="3" s="1"/>
  <c r="AE44" i="3" s="1"/>
  <c r="AG21" i="3"/>
  <c r="AG22" i="3" s="1"/>
  <c r="AG24" i="3" s="1"/>
  <c r="AH19" i="3"/>
  <c r="AH6" i="3"/>
  <c r="AH3" i="3"/>
  <c r="AH30" i="3" s="1"/>
  <c r="AI2" i="3"/>
  <c r="AF25" i="3"/>
  <c r="AF27" i="3" s="1"/>
  <c r="AF28" i="3" s="1"/>
  <c r="AF33" i="3" s="1"/>
  <c r="AF42" i="3" l="1"/>
  <c r="AF34" i="3"/>
  <c r="AF43" i="3" s="1"/>
  <c r="AF44" i="3" s="1"/>
  <c r="AI6" i="3"/>
  <c r="AI3" i="3"/>
  <c r="AI30" i="3" s="1"/>
  <c r="AJ2" i="3"/>
  <c r="AH21" i="3"/>
  <c r="AH22" i="3" s="1"/>
  <c r="AH24" i="3" s="1"/>
  <c r="AI19" i="3"/>
  <c r="AG25" i="3"/>
  <c r="AG27" i="3" s="1"/>
  <c r="AG28" i="3" s="1"/>
  <c r="AG33" i="3" s="1"/>
  <c r="AG42" i="3" l="1"/>
  <c r="AG34" i="3"/>
  <c r="AG43" i="3" s="1"/>
  <c r="AG44" i="3" s="1"/>
  <c r="AH25" i="3"/>
  <c r="AH27" i="3" s="1"/>
  <c r="AH28" i="3" s="1"/>
  <c r="AH33" i="3" s="1"/>
  <c r="AI21" i="3"/>
  <c r="AI22" i="3" s="1"/>
  <c r="AI24" i="3" s="1"/>
  <c r="AJ19" i="3"/>
  <c r="AJ6" i="3"/>
  <c r="AJ3" i="3"/>
  <c r="AJ30" i="3" s="1"/>
  <c r="AK2" i="3"/>
  <c r="AH42" i="3" l="1"/>
  <c r="AH34" i="3"/>
  <c r="AH43" i="3" s="1"/>
  <c r="AH44" i="3" s="1"/>
  <c r="AK6" i="3"/>
  <c r="AK3" i="3"/>
  <c r="AK30" i="3" s="1"/>
  <c r="AL2" i="3"/>
  <c r="AJ21" i="3"/>
  <c r="AJ22" i="3" s="1"/>
  <c r="AJ24" i="3" s="1"/>
  <c r="AK19" i="3"/>
  <c r="AI25" i="3"/>
  <c r="AI27" i="3" s="1"/>
  <c r="AI28" i="3" s="1"/>
  <c r="AI33" i="3" s="1"/>
  <c r="AI42" i="3" l="1"/>
  <c r="AI34" i="3"/>
  <c r="AI43" i="3" s="1"/>
  <c r="AI44" i="3" s="1"/>
  <c r="AL19" i="3"/>
  <c r="AK21" i="3"/>
  <c r="AK22" i="3" s="1"/>
  <c r="AK24" i="3" s="1"/>
  <c r="AJ25" i="3"/>
  <c r="AJ27" i="3" s="1"/>
  <c r="AJ28" i="3" s="1"/>
  <c r="AJ33" i="3" s="1"/>
  <c r="AL6" i="3"/>
  <c r="AL3" i="3"/>
  <c r="AL30" i="3" s="1"/>
  <c r="AM2" i="3"/>
  <c r="AJ34" i="3" l="1"/>
  <c r="AJ43" i="3" s="1"/>
  <c r="AJ44" i="3" s="1"/>
  <c r="AJ42" i="3"/>
  <c r="AK25" i="3"/>
  <c r="AK27" i="3" s="1"/>
  <c r="AK28" i="3" s="1"/>
  <c r="AK33" i="3" s="1"/>
  <c r="AM19" i="3"/>
  <c r="AL21" i="3"/>
  <c r="AL22" i="3" s="1"/>
  <c r="AL24" i="3" s="1"/>
  <c r="AM6" i="3"/>
  <c r="AM3" i="3"/>
  <c r="AM30" i="3" s="1"/>
  <c r="AN2" i="3"/>
  <c r="AK34" i="3" l="1"/>
  <c r="AK43" i="3" s="1"/>
  <c r="AK44" i="3" s="1"/>
  <c r="AK42" i="3"/>
  <c r="AN6" i="3"/>
  <c r="AN3" i="3"/>
  <c r="AN30" i="3" s="1"/>
  <c r="AO2" i="3"/>
  <c r="AL25" i="3"/>
  <c r="AL27" i="3" s="1"/>
  <c r="AL28" i="3" s="1"/>
  <c r="AL33" i="3" s="1"/>
  <c r="AN19" i="3"/>
  <c r="AM21" i="3"/>
  <c r="AM22" i="3" s="1"/>
  <c r="AM24" i="3" s="1"/>
  <c r="AL34" i="3" l="1"/>
  <c r="AL43" i="3" s="1"/>
  <c r="AL44" i="3" s="1"/>
  <c r="AL42" i="3"/>
  <c r="AM25" i="3"/>
  <c r="AM27" i="3" s="1"/>
  <c r="AM28" i="3" s="1"/>
  <c r="AM33" i="3" s="1"/>
  <c r="AO19" i="3"/>
  <c r="AN21" i="3"/>
  <c r="AN22" i="3" s="1"/>
  <c r="AN24" i="3" s="1"/>
  <c r="AO6" i="3"/>
  <c r="AO3" i="3"/>
  <c r="AO30" i="3" s="1"/>
  <c r="AP2" i="3"/>
  <c r="AM34" i="3" l="1"/>
  <c r="AM43" i="3" s="1"/>
  <c r="AM44" i="3" s="1"/>
  <c r="AM42" i="3"/>
  <c r="AP3" i="3"/>
  <c r="AP30" i="3" s="1"/>
  <c r="AQ2" i="3"/>
  <c r="AP6" i="3"/>
  <c r="AN25" i="3"/>
  <c r="AN27" i="3" s="1"/>
  <c r="AN28" i="3" s="1"/>
  <c r="AN33" i="3" s="1"/>
  <c r="AP19" i="3"/>
  <c r="AO21" i="3"/>
  <c r="AO22" i="3" s="1"/>
  <c r="AO24" i="3" s="1"/>
  <c r="AN34" i="3" l="1"/>
  <c r="AN43" i="3" s="1"/>
  <c r="AN44" i="3" s="1"/>
  <c r="AN42" i="3"/>
  <c r="AQ19" i="3"/>
  <c r="AP21" i="3"/>
  <c r="AP22" i="3" s="1"/>
  <c r="AP24" i="3" s="1"/>
  <c r="AO25" i="3"/>
  <c r="AO27" i="3"/>
  <c r="AO28" i="3" s="1"/>
  <c r="AO33" i="3" s="1"/>
  <c r="AQ3" i="3"/>
  <c r="AQ30" i="3" s="1"/>
  <c r="AR2" i="3"/>
  <c r="AQ6" i="3"/>
  <c r="AO34" i="3" l="1"/>
  <c r="AO43" i="3" s="1"/>
  <c r="AO44" i="3" s="1"/>
  <c r="AO42" i="3"/>
  <c r="AR3" i="3"/>
  <c r="AR30" i="3" s="1"/>
  <c r="AS2" i="3"/>
  <c r="AR6" i="3"/>
  <c r="AP25" i="3"/>
  <c r="AP27" i="3"/>
  <c r="AP28" i="3" s="1"/>
  <c r="AP33" i="3" s="1"/>
  <c r="AR19" i="3"/>
  <c r="AQ21" i="3"/>
  <c r="AQ22" i="3" s="1"/>
  <c r="AQ24" i="3" s="1"/>
  <c r="AQ25" i="3" l="1"/>
  <c r="AQ27" i="3"/>
  <c r="AQ28" i="3" s="1"/>
  <c r="AQ33" i="3" s="1"/>
  <c r="AP34" i="3"/>
  <c r="AP43" i="3" s="1"/>
  <c r="AP44" i="3" s="1"/>
  <c r="AP42" i="3"/>
  <c r="AR21" i="3"/>
  <c r="AR22" i="3" s="1"/>
  <c r="AR24" i="3" s="1"/>
  <c r="AS19" i="3"/>
  <c r="AS3" i="3"/>
  <c r="AS30" i="3" s="1"/>
  <c r="AT2" i="3"/>
  <c r="AS6" i="3"/>
  <c r="AS21" i="3" l="1"/>
  <c r="AS22" i="3" s="1"/>
  <c r="AS24" i="3" s="1"/>
  <c r="AT19" i="3"/>
  <c r="AT3" i="3"/>
  <c r="AT30" i="3" s="1"/>
  <c r="AU2" i="3"/>
  <c r="AT6" i="3"/>
  <c r="AR25" i="3"/>
  <c r="AR27" i="3"/>
  <c r="AR28" i="3" s="1"/>
  <c r="AR33" i="3" s="1"/>
  <c r="AQ42" i="3"/>
  <c r="AQ34" i="3"/>
  <c r="AQ43" i="3" s="1"/>
  <c r="AQ44" i="3" s="1"/>
  <c r="AR42" i="3" l="1"/>
  <c r="AR34" i="3"/>
  <c r="AR43" i="3" s="1"/>
  <c r="AR44" i="3" s="1"/>
  <c r="AV2" i="3"/>
  <c r="AU6" i="3"/>
  <c r="AU3" i="3"/>
  <c r="AU30" i="3" s="1"/>
  <c r="AT21" i="3"/>
  <c r="AT22" i="3" s="1"/>
  <c r="AT24" i="3" s="1"/>
  <c r="AU19" i="3"/>
  <c r="AS25" i="3"/>
  <c r="AS27" i="3" s="1"/>
  <c r="AS28" i="3" s="1"/>
  <c r="AS33" i="3" s="1"/>
  <c r="AS42" i="3" l="1"/>
  <c r="AS34" i="3"/>
  <c r="AS43" i="3" s="1"/>
  <c r="AS44" i="3" s="1"/>
  <c r="AU21" i="3"/>
  <c r="AU22" i="3" s="1"/>
  <c r="AU24" i="3" s="1"/>
  <c r="AV19" i="3"/>
  <c r="AT25" i="3"/>
  <c r="AT27" i="3"/>
  <c r="AT28" i="3" s="1"/>
  <c r="AT33" i="3" s="1"/>
  <c r="AW2" i="3"/>
  <c r="AV6" i="3"/>
  <c r="AV3" i="3"/>
  <c r="AV30" i="3" s="1"/>
  <c r="AU25" i="3" l="1"/>
  <c r="AU27" i="3" s="1"/>
  <c r="AU28" i="3" s="1"/>
  <c r="AU33" i="3" s="1"/>
  <c r="AW6" i="3"/>
  <c r="AW3" i="3"/>
  <c r="AW30" i="3" s="1"/>
  <c r="F28" i="3" s="1"/>
  <c r="AT42" i="3"/>
  <c r="AT34" i="3"/>
  <c r="AT43" i="3" s="1"/>
  <c r="AT44" i="3" s="1"/>
  <c r="AV21" i="3"/>
  <c r="AV22" i="3" s="1"/>
  <c r="AV24" i="3" s="1"/>
  <c r="AW19" i="3"/>
  <c r="AW21" i="3" s="1"/>
  <c r="AW22" i="3" s="1"/>
  <c r="AW24" i="3" s="1"/>
  <c r="AW25" i="3" l="1"/>
  <c r="AW27" i="3" s="1"/>
  <c r="AW28" i="3" s="1"/>
  <c r="AV25" i="3"/>
  <c r="AV27" i="3"/>
  <c r="AV28" i="3" s="1"/>
  <c r="AV33" i="3" s="1"/>
  <c r="F23" i="3"/>
  <c r="AU42" i="3"/>
  <c r="AU34" i="3"/>
  <c r="AU43" i="3" s="1"/>
  <c r="AU44" i="3" s="1"/>
  <c r="AW33" i="3" l="1"/>
  <c r="F26" i="3"/>
  <c r="F21" i="3" s="1"/>
  <c r="F40" i="3" s="1"/>
  <c r="F27" i="3"/>
  <c r="F22" i="3" s="1"/>
  <c r="AV42" i="3"/>
  <c r="AV34" i="3"/>
  <c r="AV43" i="3" s="1"/>
  <c r="AV44" i="3" s="1"/>
  <c r="AW42" i="3" l="1"/>
  <c r="AW34" i="3"/>
  <c r="F29" i="3"/>
  <c r="F24" i="3" l="1"/>
  <c r="F37" i="3"/>
  <c r="F36" i="3"/>
  <c r="F38" i="3"/>
  <c r="AW43" i="3"/>
  <c r="AW44" i="3" s="1"/>
  <c r="F30" i="3"/>
  <c r="F33" i="3" s="1"/>
  <c r="F25" i="3"/>
  <c r="F35" i="3" l="1"/>
  <c r="F34" i="3"/>
  <c r="F43" i="3"/>
  <c r="AO90" i="2" l="1"/>
  <c r="AP90" i="2"/>
  <c r="AQ90" i="2"/>
  <c r="AR90" i="2"/>
  <c r="AS90" i="2"/>
  <c r="AT90" i="2"/>
  <c r="AU90" i="2"/>
  <c r="AV90" i="2"/>
  <c r="AW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N90"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N7" i="2"/>
  <c r="M7" i="2"/>
  <c r="M44" i="2"/>
  <c r="N36" i="2"/>
  <c r="N35" i="2"/>
  <c r="AW39" i="2"/>
  <c r="M37" i="2"/>
  <c r="S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T36" i="2"/>
  <c r="R36" i="2"/>
  <c r="Q36" i="2"/>
  <c r="P36" i="2"/>
  <c r="O36" i="2"/>
  <c r="G21" i="2"/>
  <c r="G34" i="2"/>
  <c r="G43" i="2"/>
  <c r="G42" i="2"/>
  <c r="G40" i="2"/>
  <c r="N91" i="2" l="1"/>
  <c r="W91" i="2"/>
  <c r="AR91" i="2"/>
  <c r="S91" i="2"/>
  <c r="AC91" i="2"/>
  <c r="AT91" i="2"/>
  <c r="U91" i="2"/>
  <c r="AS91" i="2"/>
  <c r="T91" i="2"/>
  <c r="AD91" i="2"/>
  <c r="AB91" i="2"/>
  <c r="Y91" i="2"/>
  <c r="AI91" i="2"/>
  <c r="AA91" i="2"/>
  <c r="Z91" i="2"/>
  <c r="AJ91" i="2"/>
  <c r="AH91" i="2"/>
  <c r="R91" i="2"/>
  <c r="X91" i="2"/>
  <c r="V91" i="2"/>
  <c r="AW91" i="2"/>
  <c r="AG91" i="2"/>
  <c r="Q91" i="2"/>
  <c r="AQ91" i="2"/>
  <c r="AM91" i="2"/>
  <c r="AL91" i="2"/>
  <c r="AV91" i="2"/>
  <c r="AF91" i="2"/>
  <c r="P91" i="2"/>
  <c r="AP91" i="2"/>
  <c r="AO91" i="2"/>
  <c r="AN91" i="2"/>
  <c r="AK91" i="2"/>
  <c r="AU91" i="2"/>
  <c r="AE91" i="2"/>
  <c r="O91"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6" i="2"/>
  <c r="AW40" i="2"/>
  <c r="AW36" i="2" s="1"/>
  <c r="V40" i="2"/>
  <c r="V36" i="2" s="1"/>
  <c r="N37"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1" i="2"/>
  <c r="M11" i="2"/>
  <c r="G39" i="2"/>
  <c r="AJ92" i="2" l="1"/>
  <c r="AN92" i="2"/>
  <c r="AO92" i="2"/>
  <c r="P92" i="2"/>
  <c r="Y92" i="2"/>
  <c r="AQ92" i="2"/>
  <c r="AG92" i="2"/>
  <c r="AW92" i="2"/>
  <c r="AT92" i="2"/>
  <c r="AA92" i="2"/>
  <c r="AD92" i="2"/>
  <c r="O92" i="2"/>
  <c r="V92" i="2"/>
  <c r="AC92" i="2"/>
  <c r="AV92" i="2"/>
  <c r="AM92" i="2"/>
  <c r="AS92" i="2"/>
  <c r="X92" i="2"/>
  <c r="S92" i="2"/>
  <c r="Z92" i="2"/>
  <c r="AF92" i="2"/>
  <c r="AL92" i="2"/>
  <c r="T92" i="2"/>
  <c r="U92" i="2"/>
  <c r="AE92" i="2"/>
  <c r="AU92" i="2"/>
  <c r="R92" i="2"/>
  <c r="AR92" i="2"/>
  <c r="AP92" i="2"/>
  <c r="AI92" i="2"/>
  <c r="AB92" i="2"/>
  <c r="Q92" i="2"/>
  <c r="AK92" i="2"/>
  <c r="AH92" i="2"/>
  <c r="W92" i="2"/>
  <c r="N92" i="2"/>
  <c r="O6" i="2"/>
  <c r="AE6" i="2"/>
  <c r="AU6" i="2"/>
  <c r="U6" i="2"/>
  <c r="W6" i="2"/>
  <c r="AN6" i="2"/>
  <c r="AO6" i="2"/>
  <c r="AC6" i="2"/>
  <c r="P6" i="2"/>
  <c r="AF6" i="2"/>
  <c r="AV6" i="2"/>
  <c r="T6" i="2"/>
  <c r="V6" i="2"/>
  <c r="AM6" i="2"/>
  <c r="Z6" i="2"/>
  <c r="AR6" i="2"/>
  <c r="Q6" i="2"/>
  <c r="AG6" i="2"/>
  <c r="AW6" i="2"/>
  <c r="F39" i="2" s="1"/>
  <c r="Y6" i="2"/>
  <c r="AA6" i="2"/>
  <c r="AT6" i="2"/>
  <c r="R6" i="2"/>
  <c r="AH6" i="2"/>
  <c r="N6" i="2"/>
  <c r="AS6" i="2"/>
  <c r="S6" i="2"/>
  <c r="AI6" i="2"/>
  <c r="AJ6" i="2"/>
  <c r="AK6" i="2"/>
  <c r="AL6" i="2"/>
  <c r="X6" i="2"/>
  <c r="AP6" i="2"/>
  <c r="AQ6" i="2"/>
  <c r="AB6" i="2"/>
  <c r="AD6" i="2"/>
  <c r="O37" i="2"/>
  <c r="O1" i="2"/>
  <c r="M2" i="2"/>
  <c r="N2" i="2" s="1"/>
  <c r="B14" i="2"/>
  <c r="G30" i="2"/>
  <c r="G36" i="2"/>
  <c r="C10" i="2"/>
  <c r="G28" i="2"/>
  <c r="G23" i="2"/>
  <c r="G35" i="2"/>
  <c r="G37" i="2"/>
  <c r="G27" i="2"/>
  <c r="G24" i="2"/>
  <c r="G26" i="2"/>
  <c r="C8" i="2"/>
  <c r="C14" i="2"/>
  <c r="C9" i="2"/>
  <c r="G31" i="2"/>
  <c r="G38" i="2"/>
  <c r="G32" i="2"/>
  <c r="G22" i="2"/>
  <c r="G25" i="2"/>
  <c r="G29" i="2"/>
  <c r="G33" i="2"/>
  <c r="C11" i="2"/>
  <c r="AL34" i="2" l="1"/>
  <c r="V34" i="2"/>
  <c r="AK34" i="2"/>
  <c r="U34" i="2"/>
  <c r="AJ34" i="2"/>
  <c r="T34" i="2"/>
  <c r="AI34" i="2"/>
  <c r="S34" i="2"/>
  <c r="R34" i="2"/>
  <c r="AG34" i="2"/>
  <c r="AV34" i="2"/>
  <c r="P34" i="2"/>
  <c r="AE34" i="2"/>
  <c r="AD34" i="2"/>
  <c r="AC34" i="2"/>
  <c r="AR34" i="2"/>
  <c r="AB34" i="2"/>
  <c r="AQ34" i="2"/>
  <c r="AA34" i="2"/>
  <c r="AP34" i="2"/>
  <c r="Z34" i="2"/>
  <c r="AO34" i="2"/>
  <c r="Y34" i="2"/>
  <c r="AN34" i="2"/>
  <c r="AM34" i="2"/>
  <c r="AH34" i="2"/>
  <c r="AW34" i="2"/>
  <c r="Q34" i="2"/>
  <c r="AF34" i="2"/>
  <c r="AU34" i="2"/>
  <c r="O34" i="2"/>
  <c r="AT34" i="2"/>
  <c r="N34" i="2"/>
  <c r="AS34" i="2"/>
  <c r="X34" i="2"/>
  <c r="W34" i="2"/>
  <c r="P37" i="2"/>
  <c r="N29" i="2"/>
  <c r="M12" i="2"/>
  <c r="M15" i="2" s="1"/>
  <c r="F42" i="2" s="1"/>
  <c r="F31" i="2"/>
  <c r="O2" i="2"/>
  <c r="O3" i="2" s="1"/>
  <c r="M5" i="2"/>
  <c r="P1" i="2"/>
  <c r="F32" i="2"/>
  <c r="AW35" i="2" s="1"/>
  <c r="U36" i="2" l="1"/>
  <c r="F41" i="2"/>
  <c r="M43" i="2"/>
  <c r="Q37" i="2"/>
  <c r="O5" i="2"/>
  <c r="O29" i="2"/>
  <c r="P2" i="2"/>
  <c r="N5" i="2"/>
  <c r="N23" i="2" s="1"/>
  <c r="Q1" i="2"/>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Z44" i="2" l="1"/>
  <c r="AP44" i="2"/>
  <c r="P44" i="2"/>
  <c r="Q44" i="2"/>
  <c r="N44" i="2"/>
  <c r="AL44" i="2"/>
  <c r="AA44" i="2"/>
  <c r="AQ44" i="2"/>
  <c r="AT44" i="2"/>
  <c r="AV44" i="2"/>
  <c r="AW44" i="2"/>
  <c r="AH44" i="2"/>
  <c r="AB44" i="2"/>
  <c r="AR44" i="2"/>
  <c r="AS44" i="2"/>
  <c r="AF44" i="2"/>
  <c r="AG44" i="2"/>
  <c r="R44" i="2"/>
  <c r="AJ44" i="2"/>
  <c r="AM44" i="2"/>
  <c r="X44" i="2"/>
  <c r="AO44" i="2"/>
  <c r="AC44" i="2"/>
  <c r="T44" i="2"/>
  <c r="Y44" i="2"/>
  <c r="AD44" i="2"/>
  <c r="AI44" i="2"/>
  <c r="U44" i="2"/>
  <c r="O44" i="2"/>
  <c r="AE44" i="2"/>
  <c r="AU44" i="2"/>
  <c r="S44" i="2"/>
  <c r="W44" i="2"/>
  <c r="AN44" i="2"/>
  <c r="AK44" i="2"/>
  <c r="V44" i="2"/>
  <c r="R37" i="2"/>
  <c r="N24" i="2"/>
  <c r="P5" i="2"/>
  <c r="P3" i="2"/>
  <c r="P29" i="2" s="1"/>
  <c r="Q2" i="2"/>
  <c r="S37" i="2" l="1"/>
  <c r="N26" i="2"/>
  <c r="N27" i="2" s="1"/>
  <c r="Q5" i="2"/>
  <c r="Q3" i="2"/>
  <c r="Q29" i="2" s="1"/>
  <c r="R2" i="2"/>
  <c r="N32" i="2" l="1"/>
  <c r="N41" i="2" s="1"/>
  <c r="T37" i="2"/>
  <c r="R5" i="2"/>
  <c r="R3" i="2"/>
  <c r="R29" i="2" s="1"/>
  <c r="S2" i="2"/>
  <c r="U37" i="2" l="1"/>
  <c r="N33" i="2"/>
  <c r="S5" i="2"/>
  <c r="T2" i="2"/>
  <c r="S3" i="2"/>
  <c r="S29" i="2" s="1"/>
  <c r="N42" i="2" l="1"/>
  <c r="N43" i="2" s="1"/>
  <c r="V37" i="2"/>
  <c r="T5" i="2"/>
  <c r="T3" i="2"/>
  <c r="T29" i="2" s="1"/>
  <c r="U2" i="2"/>
  <c r="W37" i="2" l="1"/>
  <c r="U5" i="2"/>
  <c r="V2" i="2"/>
  <c r="U3" i="2"/>
  <c r="U29" i="2" s="1"/>
  <c r="X37" i="2" l="1"/>
  <c r="V5" i="2"/>
  <c r="V3" i="2"/>
  <c r="V29" i="2" s="1"/>
  <c r="W2" i="2"/>
  <c r="Y37" i="2" l="1"/>
  <c r="W5" i="2"/>
  <c r="W3" i="2"/>
  <c r="W29" i="2" s="1"/>
  <c r="X2" i="2"/>
  <c r="Z37" i="2" l="1"/>
  <c r="X5" i="2"/>
  <c r="X3" i="2"/>
  <c r="X29" i="2" s="1"/>
  <c r="Y2" i="2"/>
  <c r="AA37" i="2" l="1"/>
  <c r="Y5" i="2"/>
  <c r="Y3" i="2"/>
  <c r="Y29" i="2" s="1"/>
  <c r="Z2" i="2"/>
  <c r="AB37" i="2" l="1"/>
  <c r="Z5" i="2"/>
  <c r="Z3" i="2"/>
  <c r="Z29" i="2" s="1"/>
  <c r="AA2" i="2"/>
  <c r="AC37" i="2" l="1"/>
  <c r="AA5" i="2"/>
  <c r="AB2" i="2"/>
  <c r="AA3" i="2"/>
  <c r="AA29" i="2" s="1"/>
  <c r="AD37" i="2" l="1"/>
  <c r="AB5" i="2"/>
  <c r="AB3" i="2"/>
  <c r="AB29" i="2" s="1"/>
  <c r="AC2" i="2"/>
  <c r="AE37" i="2" l="1"/>
  <c r="AC5" i="2"/>
  <c r="AD2" i="2"/>
  <c r="AC3" i="2"/>
  <c r="AC29" i="2" s="1"/>
  <c r="AF37" i="2" l="1"/>
  <c r="AD5" i="2"/>
  <c r="AD3" i="2"/>
  <c r="AD29" i="2" s="1"/>
  <c r="AE2" i="2"/>
  <c r="AG37" i="2" l="1"/>
  <c r="AE5" i="2"/>
  <c r="AE3" i="2"/>
  <c r="AE29" i="2" s="1"/>
  <c r="AF2" i="2"/>
  <c r="AH37" i="2" l="1"/>
  <c r="AF5" i="2"/>
  <c r="AF3" i="2"/>
  <c r="AF29" i="2" s="1"/>
  <c r="AG2" i="2"/>
  <c r="AI37" i="2" l="1"/>
  <c r="AG5" i="2"/>
  <c r="AH2" i="2"/>
  <c r="AG3" i="2"/>
  <c r="AG29" i="2" s="1"/>
  <c r="AJ37" i="2" l="1"/>
  <c r="AH5" i="2"/>
  <c r="AH3" i="2"/>
  <c r="AH29" i="2" s="1"/>
  <c r="AI2" i="2"/>
  <c r="AK37" i="2" l="1"/>
  <c r="AI5" i="2"/>
  <c r="AI3" i="2"/>
  <c r="AI29" i="2" s="1"/>
  <c r="AJ2" i="2"/>
  <c r="AL37" i="2" l="1"/>
  <c r="AJ5" i="2"/>
  <c r="AJ3" i="2"/>
  <c r="AJ29" i="2" s="1"/>
  <c r="AK2" i="2"/>
  <c r="AM37" i="2" l="1"/>
  <c r="AK5" i="2"/>
  <c r="AK3" i="2"/>
  <c r="AK29" i="2" s="1"/>
  <c r="AL2" i="2"/>
  <c r="AN37" i="2" l="1"/>
  <c r="AL5" i="2"/>
  <c r="AL3" i="2"/>
  <c r="AL29" i="2" s="1"/>
  <c r="AM2" i="2"/>
  <c r="AO37" i="2" l="1"/>
  <c r="AM5" i="2"/>
  <c r="AM3" i="2"/>
  <c r="AM29" i="2" s="1"/>
  <c r="AN2" i="2"/>
  <c r="AP37" i="2" l="1"/>
  <c r="AN5" i="2"/>
  <c r="AN3" i="2"/>
  <c r="AN29" i="2" s="1"/>
  <c r="AO2" i="2"/>
  <c r="AQ37" i="2" l="1"/>
  <c r="AO5" i="2"/>
  <c r="AP2" i="2"/>
  <c r="AO3" i="2"/>
  <c r="AO29" i="2" s="1"/>
  <c r="AR37" i="2" l="1"/>
  <c r="AP5" i="2"/>
  <c r="AP3" i="2"/>
  <c r="AP29" i="2" s="1"/>
  <c r="AQ2" i="2"/>
  <c r="AS37" i="2" l="1"/>
  <c r="AQ5" i="2"/>
  <c r="AR2" i="2"/>
  <c r="AQ3" i="2"/>
  <c r="AQ29" i="2" s="1"/>
  <c r="AT37" i="2" l="1"/>
  <c r="AR5" i="2"/>
  <c r="AR3" i="2"/>
  <c r="AR29" i="2" s="1"/>
  <c r="AS2" i="2"/>
  <c r="AS5" i="2" s="1"/>
  <c r="AU37" i="2" l="1"/>
  <c r="AT2" i="2"/>
  <c r="AT5" i="2" s="1"/>
  <c r="AS3" i="2"/>
  <c r="AS29" i="2" s="1"/>
  <c r="AV37" i="2" l="1"/>
  <c r="AT3" i="2"/>
  <c r="AT29" i="2" s="1"/>
  <c r="AU2" i="2"/>
  <c r="AU5" i="2" s="1"/>
  <c r="AW37" i="2" l="1"/>
  <c r="AV2" i="2"/>
  <c r="AV5" i="2" s="1"/>
  <c r="AU3" i="2"/>
  <c r="AU29" i="2" s="1"/>
  <c r="AV3" i="2" l="1"/>
  <c r="AV29" i="2" s="1"/>
  <c r="AW2" i="2"/>
  <c r="AW5" i="2" s="1"/>
  <c r="AW3" i="2" l="1"/>
  <c r="AW29" i="2" s="1"/>
  <c r="F28" i="2" l="1"/>
  <c r="F23" i="2" s="1"/>
  <c r="O18" i="2" l="1"/>
  <c r="O20" i="2" l="1"/>
  <c r="O21" i="2" s="1"/>
  <c r="O23" i="2" s="1"/>
  <c r="P18" i="2"/>
  <c r="P20" i="2" l="1"/>
  <c r="P21" i="2" s="1"/>
  <c r="P23" i="2" s="1"/>
  <c r="Q18" i="2"/>
  <c r="O24" i="2"/>
  <c r="O26" i="2" s="1"/>
  <c r="O27" i="2" l="1"/>
  <c r="Q20" i="2"/>
  <c r="Q21" i="2" s="1"/>
  <c r="Q23" i="2" s="1"/>
  <c r="R18" i="2"/>
  <c r="P24" i="2"/>
  <c r="P26" i="2" s="1"/>
  <c r="O32" i="2" l="1"/>
  <c r="P27" i="2"/>
  <c r="R20" i="2"/>
  <c r="R21" i="2" s="1"/>
  <c r="R23" i="2" s="1"/>
  <c r="S18" i="2"/>
  <c r="Q24" i="2"/>
  <c r="Q26" i="2" s="1"/>
  <c r="Q27" i="2" s="1"/>
  <c r="Q32" i="2" s="1"/>
  <c r="Q41" i="2" s="1"/>
  <c r="O33" i="2" l="1"/>
  <c r="O41" i="2"/>
  <c r="T18" i="2"/>
  <c r="S20" i="2"/>
  <c r="S21" i="2" s="1"/>
  <c r="S23" i="2" s="1"/>
  <c r="Q33" i="2"/>
  <c r="R24" i="2"/>
  <c r="R26" i="2" s="1"/>
  <c r="R27" i="2" s="1"/>
  <c r="R32" i="2" s="1"/>
  <c r="R41" i="2" s="1"/>
  <c r="P32" i="2"/>
  <c r="P41" i="2" s="1"/>
  <c r="O42" i="2" l="1"/>
  <c r="O43" i="2" s="1"/>
  <c r="P33" i="2"/>
  <c r="R33" i="2"/>
  <c r="S24" i="2"/>
  <c r="S26" i="2" s="1"/>
  <c r="U18" i="2"/>
  <c r="T20" i="2"/>
  <c r="T21" i="2" s="1"/>
  <c r="T23" i="2" s="1"/>
  <c r="P42" i="2" l="1"/>
  <c r="P43" i="2" s="1"/>
  <c r="T24" i="2"/>
  <c r="T26" i="2" s="1"/>
  <c r="T27" i="2" s="1"/>
  <c r="T32" i="2" s="1"/>
  <c r="T41" i="2" s="1"/>
  <c r="V18" i="2"/>
  <c r="U20" i="2"/>
  <c r="U21" i="2" s="1"/>
  <c r="U23" i="2" s="1"/>
  <c r="S27" i="2"/>
  <c r="Q42" i="2" l="1"/>
  <c r="Q43" i="2" s="1"/>
  <c r="S32" i="2"/>
  <c r="U24" i="2"/>
  <c r="U26" i="2" s="1"/>
  <c r="W18" i="2"/>
  <c r="V20" i="2"/>
  <c r="V21" i="2" s="1"/>
  <c r="V23" i="2" s="1"/>
  <c r="T33" i="2"/>
  <c r="R42" i="2" l="1"/>
  <c r="R43" i="2" s="1"/>
  <c r="S41" i="2"/>
  <c r="X18" i="2"/>
  <c r="W20" i="2"/>
  <c r="W21" i="2" s="1"/>
  <c r="W23" i="2" s="1"/>
  <c r="V24" i="2"/>
  <c r="V26" i="2" s="1"/>
  <c r="V27" i="2" s="1"/>
  <c r="V32" i="2" s="1"/>
  <c r="V41" i="2" s="1"/>
  <c r="U27" i="2"/>
  <c r="S33" i="2"/>
  <c r="S42" i="2" l="1"/>
  <c r="U32" i="2"/>
  <c r="V33" i="2"/>
  <c r="W24" i="2"/>
  <c r="W26" i="2" s="1"/>
  <c r="X20" i="2"/>
  <c r="X21" i="2" s="1"/>
  <c r="X23" i="2" s="1"/>
  <c r="Y18" i="2"/>
  <c r="T42" i="2" l="1"/>
  <c r="S43" i="2"/>
  <c r="U41" i="2"/>
  <c r="Y20" i="2"/>
  <c r="Y21" i="2" s="1"/>
  <c r="Y23" i="2" s="1"/>
  <c r="Z18" i="2"/>
  <c r="X24" i="2"/>
  <c r="X26" i="2" s="1"/>
  <c r="X27" i="2" s="1"/>
  <c r="X32" i="2" s="1"/>
  <c r="X41" i="2" s="1"/>
  <c r="W27" i="2"/>
  <c r="U33" i="2"/>
  <c r="U42" i="2" l="1"/>
  <c r="T43" i="2"/>
  <c r="W32" i="2"/>
  <c r="X33" i="2"/>
  <c r="Z20" i="2"/>
  <c r="Z21" i="2" s="1"/>
  <c r="Z23" i="2" s="1"/>
  <c r="AA18" i="2"/>
  <c r="Y24" i="2"/>
  <c r="Y26" i="2" s="1"/>
  <c r="Y27" i="2" s="1"/>
  <c r="Y32" i="2" s="1"/>
  <c r="Y41" i="2" s="1"/>
  <c r="V42" i="2" l="1"/>
  <c r="U43" i="2"/>
  <c r="W41" i="2"/>
  <c r="Y33" i="2"/>
  <c r="AB18" i="2"/>
  <c r="AA20" i="2"/>
  <c r="AA21" i="2" s="1"/>
  <c r="AA23" i="2" s="1"/>
  <c r="Z24" i="2"/>
  <c r="Z26" i="2" s="1"/>
  <c r="Z27" i="2" s="1"/>
  <c r="Z32" i="2" s="1"/>
  <c r="Z41" i="2" s="1"/>
  <c r="W33" i="2"/>
  <c r="W42" i="2" l="1"/>
  <c r="V43" i="2"/>
  <c r="Z33" i="2"/>
  <c r="AA24" i="2"/>
  <c r="AA26" i="2" s="1"/>
  <c r="AA27" i="2" s="1"/>
  <c r="AA32" i="2" s="1"/>
  <c r="AA41" i="2" s="1"/>
  <c r="AB20" i="2"/>
  <c r="AB21" i="2" s="1"/>
  <c r="AB23" i="2" s="1"/>
  <c r="AC18" i="2"/>
  <c r="X42" i="2" l="1"/>
  <c r="W43" i="2"/>
  <c r="AB24" i="2"/>
  <c r="AB26" i="2" s="1"/>
  <c r="AB27" i="2" s="1"/>
  <c r="AB32" i="2" s="1"/>
  <c r="AB41" i="2" s="1"/>
  <c r="AC20" i="2"/>
  <c r="AC21" i="2" s="1"/>
  <c r="AC23" i="2" s="1"/>
  <c r="AD18" i="2"/>
  <c r="AA33" i="2"/>
  <c r="Y42" i="2" l="1"/>
  <c r="X43" i="2"/>
  <c r="AB33" i="2"/>
  <c r="AC24" i="2"/>
  <c r="AC26" i="2" s="1"/>
  <c r="AC27" i="2" s="1"/>
  <c r="AC32" i="2" s="1"/>
  <c r="AC41" i="2" s="1"/>
  <c r="AD20" i="2"/>
  <c r="AD21" i="2" s="1"/>
  <c r="AD23" i="2" s="1"/>
  <c r="AE18" i="2"/>
  <c r="Z42" i="2" l="1"/>
  <c r="Y43" i="2"/>
  <c r="AF18" i="2"/>
  <c r="AE20" i="2"/>
  <c r="AE21" i="2" s="1"/>
  <c r="AE23" i="2" s="1"/>
  <c r="AD24" i="2"/>
  <c r="AD26" i="2" s="1"/>
  <c r="AD27" i="2" s="1"/>
  <c r="AD32" i="2" s="1"/>
  <c r="AD41" i="2" s="1"/>
  <c r="AC33" i="2"/>
  <c r="AA42" i="2" l="1"/>
  <c r="Z43" i="2"/>
  <c r="AD33" i="2"/>
  <c r="AE24" i="2"/>
  <c r="AE26" i="2"/>
  <c r="AE27" i="2" s="1"/>
  <c r="AE32" i="2" s="1"/>
  <c r="AE41" i="2" s="1"/>
  <c r="AG18" i="2"/>
  <c r="AF20" i="2"/>
  <c r="AF21" i="2" s="1"/>
  <c r="AF23" i="2" s="1"/>
  <c r="AB42" i="2" l="1"/>
  <c r="AA43" i="2"/>
  <c r="AF24" i="2"/>
  <c r="AF26" i="2" s="1"/>
  <c r="AF27" i="2" s="1"/>
  <c r="AF32" i="2" s="1"/>
  <c r="AF41" i="2" s="1"/>
  <c r="AH18" i="2"/>
  <c r="AG20" i="2"/>
  <c r="AG21" i="2" s="1"/>
  <c r="AG23" i="2" s="1"/>
  <c r="AE33" i="2"/>
  <c r="AC42" i="2" l="1"/>
  <c r="AB43" i="2"/>
  <c r="AG24" i="2"/>
  <c r="AG26" i="2" s="1"/>
  <c r="AG27" i="2" s="1"/>
  <c r="AG32" i="2" s="1"/>
  <c r="AG41" i="2" s="1"/>
  <c r="AH20" i="2"/>
  <c r="AH21" i="2" s="1"/>
  <c r="AH23" i="2" s="1"/>
  <c r="AI18" i="2"/>
  <c r="AF33" i="2"/>
  <c r="AD42" i="2" l="1"/>
  <c r="AC43" i="2"/>
  <c r="AJ18" i="2"/>
  <c r="AI20" i="2"/>
  <c r="AI21" i="2" s="1"/>
  <c r="AI23" i="2" s="1"/>
  <c r="AH24" i="2"/>
  <c r="AH26" i="2" s="1"/>
  <c r="AH27" i="2" s="1"/>
  <c r="AH32" i="2" s="1"/>
  <c r="AH41" i="2" s="1"/>
  <c r="AG33" i="2"/>
  <c r="AE42" i="2" l="1"/>
  <c r="AD43" i="2"/>
  <c r="AH33" i="2"/>
  <c r="AI24" i="2"/>
  <c r="AI26" i="2"/>
  <c r="AI27" i="2" s="1"/>
  <c r="AI32" i="2" s="1"/>
  <c r="AI41" i="2" s="1"/>
  <c r="AJ20" i="2"/>
  <c r="AJ21" i="2" s="1"/>
  <c r="AJ23" i="2" s="1"/>
  <c r="AK18" i="2"/>
  <c r="AF42" i="2" l="1"/>
  <c r="AE43" i="2"/>
  <c r="AL18" i="2"/>
  <c r="AK20" i="2"/>
  <c r="AK21" i="2" s="1"/>
  <c r="AK23" i="2" s="1"/>
  <c r="AI33" i="2"/>
  <c r="AJ24" i="2"/>
  <c r="AJ26" i="2" s="1"/>
  <c r="AJ27" i="2" s="1"/>
  <c r="AJ32" i="2" s="1"/>
  <c r="AJ41" i="2" s="1"/>
  <c r="AG42" i="2" l="1"/>
  <c r="AF43" i="2"/>
  <c r="AJ33" i="2"/>
  <c r="AK24" i="2"/>
  <c r="AK26" i="2" s="1"/>
  <c r="AK27" i="2" s="1"/>
  <c r="AK32" i="2" s="1"/>
  <c r="AK41" i="2" s="1"/>
  <c r="AM18" i="2"/>
  <c r="AL20" i="2"/>
  <c r="AL21" i="2" s="1"/>
  <c r="AL23" i="2" s="1"/>
  <c r="AH42" i="2" l="1"/>
  <c r="AG43" i="2"/>
  <c r="AK33" i="2"/>
  <c r="AL24" i="2"/>
  <c r="AL26" i="2" s="1"/>
  <c r="AL27" i="2" s="1"/>
  <c r="AL32" i="2" s="1"/>
  <c r="AL41" i="2" s="1"/>
  <c r="AM20" i="2"/>
  <c r="AM21" i="2" s="1"/>
  <c r="AM23" i="2" s="1"/>
  <c r="AN18" i="2"/>
  <c r="AI42" i="2" l="1"/>
  <c r="AH43" i="2"/>
  <c r="AM24" i="2"/>
  <c r="AM26" i="2" s="1"/>
  <c r="AM27" i="2" s="1"/>
  <c r="AM32" i="2" s="1"/>
  <c r="AM41" i="2" s="1"/>
  <c r="AN20" i="2"/>
  <c r="AN21" i="2" s="1"/>
  <c r="AN23" i="2" s="1"/>
  <c r="AO18" i="2"/>
  <c r="AL33" i="2"/>
  <c r="AJ42" i="2" l="1"/>
  <c r="AI43" i="2"/>
  <c r="AN24" i="2"/>
  <c r="AN26" i="2" s="1"/>
  <c r="AN27" i="2" s="1"/>
  <c r="AN32" i="2" s="1"/>
  <c r="AN41" i="2" s="1"/>
  <c r="AP18" i="2"/>
  <c r="AO20" i="2"/>
  <c r="AO21" i="2" s="1"/>
  <c r="AO23" i="2" s="1"/>
  <c r="AM33" i="2"/>
  <c r="AK42" i="2" l="1"/>
  <c r="AJ43" i="2"/>
  <c r="AO24" i="2"/>
  <c r="AO26" i="2" s="1"/>
  <c r="AO27" i="2" s="1"/>
  <c r="AO32" i="2" s="1"/>
  <c r="AO41" i="2" s="1"/>
  <c r="AQ18" i="2"/>
  <c r="AP20" i="2"/>
  <c r="AP21" i="2" s="1"/>
  <c r="AP23" i="2" s="1"/>
  <c r="AN33" i="2"/>
  <c r="AL42" i="2" l="1"/>
  <c r="AK43" i="2"/>
  <c r="AP24" i="2"/>
  <c r="AP26" i="2" s="1"/>
  <c r="AP27" i="2" s="1"/>
  <c r="AP32" i="2" s="1"/>
  <c r="AP41" i="2" s="1"/>
  <c r="AR18" i="2"/>
  <c r="AQ20" i="2"/>
  <c r="AQ21" i="2" s="1"/>
  <c r="AQ23" i="2" s="1"/>
  <c r="AO33" i="2"/>
  <c r="AM42" i="2" l="1"/>
  <c r="AL43" i="2"/>
  <c r="AP33" i="2"/>
  <c r="AS18" i="2"/>
  <c r="AR20" i="2"/>
  <c r="AR21" i="2" s="1"/>
  <c r="AR23" i="2" s="1"/>
  <c r="AQ24" i="2"/>
  <c r="AQ26" i="2" s="1"/>
  <c r="AQ27" i="2" s="1"/>
  <c r="AQ32" i="2" s="1"/>
  <c r="AQ41" i="2" s="1"/>
  <c r="AN42" i="2" l="1"/>
  <c r="AM43" i="2"/>
  <c r="AQ33" i="2"/>
  <c r="AR24" i="2"/>
  <c r="AR26" i="2"/>
  <c r="AR27" i="2" s="1"/>
  <c r="AR32" i="2" s="1"/>
  <c r="AR41" i="2" s="1"/>
  <c r="AS20" i="2"/>
  <c r="AS21" i="2" s="1"/>
  <c r="AS23" i="2" s="1"/>
  <c r="AT18" i="2"/>
  <c r="AO42" i="2" l="1"/>
  <c r="AN43" i="2"/>
  <c r="AT20" i="2"/>
  <c r="AT21" i="2" s="1"/>
  <c r="AT23" i="2" s="1"/>
  <c r="AU18" i="2"/>
  <c r="AS24" i="2"/>
  <c r="AS26" i="2" s="1"/>
  <c r="AS27" i="2" s="1"/>
  <c r="AS32" i="2" s="1"/>
  <c r="AS41" i="2" s="1"/>
  <c r="AR33" i="2"/>
  <c r="AP42" i="2" l="1"/>
  <c r="AO43" i="2"/>
  <c r="AS33" i="2"/>
  <c r="AU20" i="2"/>
  <c r="AU21" i="2" s="1"/>
  <c r="AU23" i="2" s="1"/>
  <c r="AV18" i="2"/>
  <c r="AT24" i="2"/>
  <c r="AT26" i="2" s="1"/>
  <c r="AT27" i="2" s="1"/>
  <c r="AT32" i="2" s="1"/>
  <c r="AT41" i="2" s="1"/>
  <c r="AQ42" i="2" l="1"/>
  <c r="AP43" i="2"/>
  <c r="AV20" i="2"/>
  <c r="AV21" i="2" s="1"/>
  <c r="AV23" i="2" s="1"/>
  <c r="AW18" i="2"/>
  <c r="AW20" i="2" s="1"/>
  <c r="AW21" i="2" s="1"/>
  <c r="AW23" i="2" s="1"/>
  <c r="AT33" i="2"/>
  <c r="AU24" i="2"/>
  <c r="AU26" i="2" s="1"/>
  <c r="AU27" i="2" s="1"/>
  <c r="AU32" i="2" s="1"/>
  <c r="AU41" i="2" s="1"/>
  <c r="AR42" i="2" l="1"/>
  <c r="AQ43" i="2"/>
  <c r="AU33" i="2"/>
  <c r="AW24" i="2"/>
  <c r="AW26" i="2" s="1"/>
  <c r="AV24" i="2"/>
  <c r="AV26" i="2" s="1"/>
  <c r="AV27" i="2" s="1"/>
  <c r="AV32" i="2" s="1"/>
  <c r="AV41" i="2" s="1"/>
  <c r="AS42" i="2" l="1"/>
  <c r="AR43" i="2"/>
  <c r="AV33" i="2"/>
  <c r="AW27" i="2"/>
  <c r="F26" i="2" s="1"/>
  <c r="AT42" i="2" l="1"/>
  <c r="AS43" i="2"/>
  <c r="F27" i="2"/>
  <c r="F22" i="2" s="1"/>
  <c r="F21" i="2"/>
  <c r="F40" i="2" s="1"/>
  <c r="AW32" i="2"/>
  <c r="AW41" i="2" s="1"/>
  <c r="AU42" i="2" l="1"/>
  <c r="AT43" i="2"/>
  <c r="F29" i="2"/>
  <c r="F37" i="2" s="1"/>
  <c r="AW33" i="2"/>
  <c r="F36" i="2" l="1"/>
  <c r="F30" i="2"/>
  <c r="F33" i="2" s="1"/>
  <c r="F34" i="2" s="1"/>
  <c r="F25" i="2"/>
  <c r="AV42" i="2"/>
  <c r="AV43" i="2" s="1"/>
  <c r="AU43" i="2"/>
  <c r="AW42" i="2" l="1"/>
  <c r="AW43" i="2" s="1"/>
  <c r="F35" i="2"/>
  <c r="F43" i="2"/>
  <c r="F38" i="2"/>
  <c r="F24" i="2"/>
</calcChain>
</file>

<file path=xl/sharedStrings.xml><?xml version="1.0" encoding="utf-8"?>
<sst xmlns="http://schemas.openxmlformats.org/spreadsheetml/2006/main" count="188" uniqueCount="86">
  <si>
    <t>days in period</t>
  </si>
  <si>
    <t>BTC Stats</t>
  </si>
  <si>
    <t>Block Reward</t>
  </si>
  <si>
    <t>Price</t>
  </si>
  <si>
    <t>Difficulty</t>
  </si>
  <si>
    <t>Pool Fee</t>
  </si>
  <si>
    <t>Set-up Costs</t>
  </si>
  <si>
    <t>Rig expense</t>
  </si>
  <si>
    <t>2-Month Deposit</t>
  </si>
  <si>
    <t>Total Capex</t>
  </si>
  <si>
    <t>Mining</t>
  </si>
  <si>
    <t>Max TH/s</t>
  </si>
  <si>
    <t>Uptime</t>
  </si>
  <si>
    <t>Total TH/s</t>
  </si>
  <si>
    <t>Total TH/month</t>
  </si>
  <si>
    <t>Expected Mining Reward</t>
  </si>
  <si>
    <t>Net BTC Mined</t>
  </si>
  <si>
    <t>$usd</t>
  </si>
  <si>
    <t>Electrical cost</t>
  </si>
  <si>
    <t>Outputs</t>
  </si>
  <si>
    <t>Net Mining Proceeds</t>
  </si>
  <si>
    <t>Net Profit</t>
  </si>
  <si>
    <t>Hardware Sales</t>
  </si>
  <si>
    <t>ROI</t>
  </si>
  <si>
    <t>Machines Remaining</t>
  </si>
  <si>
    <t>Ending BTC Price</t>
  </si>
  <si>
    <t>Rigs sold</t>
  </si>
  <si>
    <t>Quantity</t>
  </si>
  <si>
    <t>Hashrate (Th)</t>
  </si>
  <si>
    <t>Price ($/Th)</t>
  </si>
  <si>
    <t>Efficiency (Watts/Th)</t>
  </si>
  <si>
    <t>Hosting Rate ($/kWh)</t>
  </si>
  <si>
    <t>2mo Security Deposit</t>
  </si>
  <si>
    <t xml:space="preserve">Total Capital upfront </t>
  </si>
  <si>
    <t>Breakeven BTC Price</t>
  </si>
  <si>
    <t>IRR</t>
  </si>
  <si>
    <t>Operational Yield</t>
  </si>
  <si>
    <t>Est.ROI (Months)</t>
  </si>
  <si>
    <t>Check curren hashprice here</t>
  </si>
  <si>
    <t>Depreciation</t>
  </si>
  <si>
    <t>Salvage</t>
  </si>
  <si>
    <t>CAGR</t>
  </si>
  <si>
    <t>Total Return</t>
  </si>
  <si>
    <t>Total 3 yr. Revenue</t>
  </si>
  <si>
    <t>Formula</t>
  </si>
  <si>
    <t>Inputs</t>
  </si>
  <si>
    <t>Bitcoin Start Price</t>
  </si>
  <si>
    <t>Variables</t>
  </si>
  <si>
    <t>Bitcoin Growth Rate /Mo.</t>
  </si>
  <si>
    <t>Difficulty Growth Rate /Mo.</t>
  </si>
  <si>
    <t xml:space="preserve">Depreciation % </t>
  </si>
  <si>
    <t>Difficulty Start Value (T)</t>
  </si>
  <si>
    <t>Block Reward (Including Fees)</t>
  </si>
  <si>
    <t>Hash Price ($/Th)</t>
  </si>
  <si>
    <t>Source number from Online</t>
  </si>
  <si>
    <t>Miner (kWh)</t>
  </si>
  <si>
    <t xml:space="preserve">Salvage % </t>
  </si>
  <si>
    <t>Post Halving Reward</t>
  </si>
  <si>
    <t>Tax Return Date</t>
  </si>
  <si>
    <t>Revenue (Monthly )</t>
  </si>
  <si>
    <t>Monthly Profit (Mining)</t>
  </si>
  <si>
    <t>3 Year Profit (Mining)</t>
  </si>
  <si>
    <t>Revenue (Monthly)</t>
  </si>
  <si>
    <t>Est. Host Cost (Monthly)</t>
  </si>
  <si>
    <t>Rigs Depreciated</t>
  </si>
  <si>
    <t>Set up Costs Per Miner</t>
  </si>
  <si>
    <t>Start Month</t>
  </si>
  <si>
    <t>Host Cost (Monthly)</t>
  </si>
  <si>
    <t>Buying Bitcoin Return</t>
  </si>
  <si>
    <t>Mining- Buying</t>
  </si>
  <si>
    <t>Secuity Deposit</t>
  </si>
  <si>
    <t>Security Deposits Returned</t>
  </si>
  <si>
    <t>Cumulative Bitcoin</t>
  </si>
  <si>
    <t>Buying Bitcoin Profit</t>
  </si>
  <si>
    <t>Don't have to show on Dash</t>
  </si>
  <si>
    <t>Mining Profit</t>
  </si>
  <si>
    <t>Growth Rate Decay</t>
  </si>
  <si>
    <t>Buy @Starrt Amount</t>
  </si>
  <si>
    <t>Next Halving Date</t>
  </si>
  <si>
    <t>Cost of Miners</t>
  </si>
  <si>
    <t>Block Fees</t>
  </si>
  <si>
    <t>Miner Daily Usage (kWh)</t>
  </si>
  <si>
    <t>Cost of Miner(s)</t>
  </si>
  <si>
    <t>Buy @Start Amount</t>
  </si>
  <si>
    <t>D- Growth Rate Decay</t>
  </si>
  <si>
    <t>BTC- Growth Rate Decay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</si>
</sst>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_(&quot;$&quot;* \(#,##0.00\);_(&quot;$&quot;* &quot;-&quot;??_);_(@_)"/>
    <numFmt numFmtId="164" formatCode="&quot;Month &quot;0"/>
    <numFmt numFmtId="165" formatCode="&quot;$&quot;#,##0.00"/>
    <numFmt numFmtId="166" formatCode="_([$$-409]* #,##0.00_);_([$$-409]* \(#,##0.00\);_([$$-409]* &quot;-&quot;??_);_(@_)"/>
    <numFmt numFmtId="167" formatCode="&quot;$&quot;#,##0"/>
    <numFmt numFmtId="168" formatCode="0.00000"/>
    <numFmt numFmtId="169" formatCode="[$₿]\ #,##0.000000"/>
    <numFmt numFmtId="170" formatCode="_(#,##0.00_);_(\ \(#,##0.00\);_(\ &quot;-&quot;??_);_(@_)"/>
    <numFmt numFmtId="171" formatCode="0.0"/>
    <numFmt numFmtId="172" formatCode="&quot;$&quot;#,##0.000"/>
    <numFmt numFmtId="173" formatCode="0.0000"/>
    <numFmt numFmtId="174" formatCode="&quot;$&quot;#,##0.00000"/>
    <numFmt numFmtId="175" formatCode="0.0%"/>
    <numFmt numFmtId="176" formatCode="&quot;$&quot;#,##0.0"/>
    <numFmt numFmtId="177" formatCode="0.000"/>
    <numFmt numFmtId="178" formatCode="&quot;$&quot;#,##0.0000"/>
    <numFmt numFmtId="179" formatCode="&quot;$&quot;#,##0.0000000000"/>
    <numFmt numFmtId="180" formatCode="[$₿]\ #,##0.000000" x16r2:formatCode16="[$₿-x-xbt2]\ #,##0.000000"/>
    <numFmt numFmtId="181" formatCode="[$₿]\ #,##0.00000" x16r2:formatCode16="[$₿-x-xbt2]\ #,##0.00000"/>
  </numFmts>
  <fonts count="25" x14ac:knownFonts="1">
    <font>
      <sz val="11"/>
      <color theme="1"/>
      <name val="Calibri"/>
      <scheme val="minor"/>
    </font>
    <font>
      <sz val="11"/>
      <color theme="1"/>
      <name val="Calibri"/>
      <family val="2"/>
      <scheme val="minor"/>
    </font>
    <font>
      <sz val="11"/>
      <color theme="1"/>
      <name val="Calibri"/>
    </font>
    <font>
      <b/>
      <sz val="11"/>
      <color theme="0"/>
      <name val="Calibri"/>
    </font>
    <font>
      <sz val="11"/>
      <name val="Calibri"/>
    </font>
    <font>
      <b/>
      <sz val="12"/>
      <color theme="0"/>
      <name val="Calibri"/>
    </font>
    <font>
      <sz val="11"/>
      <color rgb="FF4472C4"/>
      <name val="Calibri"/>
    </font>
    <font>
      <sz val="11"/>
      <color theme="8"/>
      <name val="Calibri"/>
    </font>
    <font>
      <b/>
      <sz val="11"/>
      <color rgb="FFFFFFFF"/>
      <name val="Calibri"/>
    </font>
    <font>
      <b/>
      <sz val="12"/>
      <color rgb="FFFFFFFF"/>
      <name val="Calibri"/>
    </font>
    <font>
      <b/>
      <sz val="11"/>
      <color theme="1"/>
      <name val="Calibri"/>
    </font>
    <font>
      <sz val="11"/>
      <color rgb="FF000000"/>
      <name val="Calibri"/>
    </font>
    <font>
      <sz val="12"/>
      <color theme="1"/>
      <name val="Calibri"/>
    </font>
    <font>
      <b/>
      <sz val="12"/>
      <color theme="1"/>
      <name val="Calibri"/>
    </font>
    <font>
      <sz val="11"/>
      <color theme="1"/>
      <name val="Arial"/>
    </font>
    <font>
      <u/>
      <sz val="12"/>
      <color rgb="FF1155CC"/>
      <name val="Calibri"/>
    </font>
    <font>
      <sz val="11"/>
      <color theme="1"/>
      <name val="Calibri"/>
      <scheme val="minor"/>
    </font>
    <font>
      <sz val="11"/>
      <color theme="0" tint="-0.34998626667073579"/>
      <name val="Calibri"/>
      <family val="2"/>
    </font>
    <font>
      <sz val="12"/>
      <color theme="1"/>
      <name val="Calibri"/>
      <family val="2"/>
    </font>
    <font>
      <b/>
      <sz val="12"/>
      <color rgb="FFFFFFFF"/>
      <name val="Calibri"/>
      <family val="2"/>
    </font>
    <font>
      <b/>
      <sz val="11"/>
      <color theme="1"/>
      <name val="Calibri"/>
      <family val="2"/>
      <scheme val="minor"/>
    </font>
    <font>
      <sz val="11"/>
      <color theme="1"/>
      <name val="Calibri"/>
      <family val="2"/>
    </font>
    <font>
      <b/>
      <sz val="12"/>
      <color theme="1"/>
      <name val="Calibri"/>
      <family val="2"/>
    </font>
    <font>
      <b/>
      <sz val="12"/>
      <color theme="2"/>
      <name val="Calibri"/>
      <family val="2"/>
    </font>
    <font>
      <b/>
      <sz val="11"/>
      <color theme="1"/>
      <name val="Calibri"/>
      <family val="2"/>
    </font>
  </fonts>
  <fills count="20">
    <fill>
      <patternFill patternType="none"/>
    </fill>
    <fill>
      <patternFill patternType="gray125"/>
    </fill>
    <fill>
      <patternFill patternType="solid">
        <fgColor rgb="FFD0CECE"/>
        <bgColor rgb="FFD0CECE"/>
      </patternFill>
    </fill>
    <fill>
      <patternFill patternType="solid">
        <fgColor rgb="FF00B050"/>
        <bgColor rgb="FF00B050"/>
      </patternFill>
    </fill>
    <fill>
      <patternFill patternType="solid">
        <fgColor rgb="FFFFFFFF"/>
        <bgColor rgb="FFFFFFFF"/>
      </patternFill>
    </fill>
    <fill>
      <patternFill patternType="solid">
        <fgColor rgb="FFFFE599"/>
        <bgColor rgb="FFFFE599"/>
      </patternFill>
    </fill>
    <fill>
      <patternFill patternType="solid">
        <fgColor theme="9" tint="0.39997558519241921"/>
        <bgColor rgb="FF00B050"/>
      </patternFill>
    </fill>
    <fill>
      <patternFill patternType="solid">
        <fgColor theme="9" tint="0.39997558519241921"/>
        <bgColor indexed="64"/>
      </patternFill>
    </fill>
    <fill>
      <patternFill patternType="solid">
        <fgColor theme="5" tint="0.39997558519241921"/>
        <bgColor rgb="FFFFFF00"/>
      </patternFill>
    </fill>
    <fill>
      <patternFill patternType="solid">
        <fgColor theme="9" tint="0.79998168889431442"/>
        <bgColor rgb="FF00FF00"/>
      </patternFill>
    </fill>
    <fill>
      <patternFill patternType="solid">
        <fgColor theme="9" tint="0.79998168889431442"/>
        <bgColor rgb="FF00B050"/>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A23B"/>
        <bgColor rgb="FF00B050"/>
      </patternFill>
    </fill>
    <fill>
      <patternFill patternType="solid">
        <fgColor rgb="FFFFA23B"/>
        <bgColor indexed="64"/>
      </patternFill>
    </fill>
    <fill>
      <patternFill patternType="solid">
        <fgColor rgb="FFFFA23B"/>
        <bgColor rgb="FF00FF00"/>
      </patternFill>
    </fill>
    <fill>
      <patternFill patternType="solid">
        <fgColor rgb="FFFFA23B"/>
        <bgColor rgb="FFFF9900"/>
      </patternFill>
    </fill>
    <fill>
      <patternFill patternType="solid">
        <fgColor theme="9" tint="0.39997558519241921"/>
        <bgColor rgb="FF00FF00"/>
      </patternFill>
    </fill>
    <fill>
      <patternFill patternType="solid">
        <fgColor theme="7" tint="0.59999389629810485"/>
        <bgColor indexed="64"/>
      </patternFill>
    </fill>
    <fill>
      <patternFill patternType="solid">
        <fgColor theme="4" tint="0.79998168889431442"/>
        <bgColor indexed="64"/>
      </patternFill>
    </fill>
  </fills>
  <borders count="22">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right/>
      <top/>
      <bottom style="double">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3">
    <xf numFmtId="0" fontId="0" fillId="0" borderId="0"/>
    <xf numFmtId="44" fontId="16" fillId="0" borderId="0" applyFont="0" applyFill="0" applyBorder="0" applyAlignment="0" applyProtection="0"/>
    <xf numFmtId="9" fontId="16" fillId="0" borderId="0" applyFont="0" applyFill="0" applyBorder="0" applyAlignment="0" applyProtection="0"/>
  </cellStyleXfs>
  <cellXfs count="176">
    <xf numFmtId="0" fontId="0" fillId="0" borderId="0" xfId="0"/>
    <xf numFmtId="0" fontId="2" fillId="2" borderId="1" xfId="0" applyFont="1" applyFill="1" applyBorder="1"/>
    <xf numFmtId="164" fontId="2" fillId="2" borderId="1" xfId="0" applyNumberFormat="1" applyFont="1" applyFill="1" applyBorder="1" applyAlignment="1">
      <alignment horizontal="center"/>
    </xf>
    <xf numFmtId="14" fontId="2" fillId="2" borderId="1" xfId="0" applyNumberFormat="1" applyFont="1" applyFill="1" applyBorder="1" applyAlignment="1">
      <alignment horizontal="center"/>
    </xf>
    <xf numFmtId="0" fontId="2" fillId="0" borderId="0" xfId="0" applyFont="1"/>
    <xf numFmtId="0" fontId="5" fillId="3" borderId="2" xfId="0" applyFont="1" applyFill="1" applyBorder="1"/>
    <xf numFmtId="0" fontId="5" fillId="3" borderId="3" xfId="0" applyFont="1" applyFill="1" applyBorder="1"/>
    <xf numFmtId="0" fontId="2" fillId="0" borderId="4" xfId="0" applyFont="1" applyBorder="1"/>
    <xf numFmtId="3" fontId="7" fillId="0" borderId="0" xfId="0" applyNumberFormat="1" applyFont="1"/>
    <xf numFmtId="0" fontId="7" fillId="0" borderId="0" xfId="0" applyFont="1"/>
    <xf numFmtId="0" fontId="5" fillId="3" borderId="5" xfId="0" applyFont="1" applyFill="1" applyBorder="1"/>
    <xf numFmtId="0" fontId="5" fillId="3" borderId="1" xfId="0" applyFont="1" applyFill="1" applyBorder="1"/>
    <xf numFmtId="165" fontId="2" fillId="0" borderId="0" xfId="0" applyNumberFormat="1" applyFont="1"/>
    <xf numFmtId="3" fontId="2" fillId="0" borderId="0" xfId="0" applyNumberFormat="1" applyFont="1"/>
    <xf numFmtId="0" fontId="2" fillId="0" borderId="6" xfId="0" applyFont="1" applyBorder="1"/>
    <xf numFmtId="166" fontId="2" fillId="0" borderId="7" xfId="0" applyNumberFormat="1" applyFont="1" applyBorder="1"/>
    <xf numFmtId="9" fontId="7" fillId="0" borderId="0" xfId="0" applyNumberFormat="1" applyFont="1"/>
    <xf numFmtId="1" fontId="2" fillId="0" borderId="0" xfId="0" applyNumberFormat="1" applyFont="1"/>
    <xf numFmtId="0" fontId="2" fillId="0" borderId="8" xfId="0" applyFont="1" applyBorder="1"/>
    <xf numFmtId="0" fontId="2" fillId="0" borderId="9" xfId="0" applyFont="1" applyBorder="1"/>
    <xf numFmtId="169" fontId="2" fillId="0" borderId="9" xfId="0" applyNumberFormat="1" applyFont="1" applyBorder="1"/>
    <xf numFmtId="168" fontId="2" fillId="0" borderId="9" xfId="0" applyNumberFormat="1" applyFont="1" applyBorder="1"/>
    <xf numFmtId="166" fontId="2" fillId="0" borderId="0" xfId="0" applyNumberFormat="1" applyFont="1"/>
    <xf numFmtId="170" fontId="2" fillId="0" borderId="0" xfId="0" applyNumberFormat="1" applyFont="1"/>
    <xf numFmtId="0" fontId="11" fillId="0" borderId="0" xfId="0" applyFont="1"/>
    <xf numFmtId="166" fontId="11" fillId="0" borderId="11" xfId="0" applyNumberFormat="1" applyFont="1" applyBorder="1"/>
    <xf numFmtId="0" fontId="10" fillId="0" borderId="0" xfId="0" applyFont="1"/>
    <xf numFmtId="0" fontId="12" fillId="0" borderId="0" xfId="0" applyFont="1" applyAlignment="1">
      <alignment horizontal="right"/>
    </xf>
    <xf numFmtId="165" fontId="12" fillId="0" borderId="0" xfId="0" applyNumberFormat="1" applyFont="1" applyAlignment="1">
      <alignment horizontal="right"/>
    </xf>
    <xf numFmtId="171" fontId="12" fillId="0" borderId="0" xfId="0" applyNumberFormat="1" applyFont="1" applyAlignment="1">
      <alignment horizontal="right"/>
    </xf>
    <xf numFmtId="172" fontId="12" fillId="0" borderId="0" xfId="0" applyNumberFormat="1" applyFont="1" applyAlignment="1">
      <alignment horizontal="right"/>
    </xf>
    <xf numFmtId="4" fontId="12" fillId="0" borderId="0" xfId="0" applyNumberFormat="1" applyFont="1" applyAlignment="1">
      <alignment horizontal="right"/>
    </xf>
    <xf numFmtId="0" fontId="14" fillId="0" borderId="0" xfId="0" applyFont="1"/>
    <xf numFmtId="0" fontId="15" fillId="0" borderId="0" xfId="0" applyFont="1"/>
    <xf numFmtId="0" fontId="4" fillId="0" borderId="10" xfId="0" applyFont="1" applyBorder="1"/>
    <xf numFmtId="0" fontId="17" fillId="0" borderId="0" xfId="0" applyFont="1" applyAlignment="1">
      <alignment horizontal="right"/>
    </xf>
    <xf numFmtId="0" fontId="17" fillId="0" borderId="0" xfId="0" applyFont="1"/>
    <xf numFmtId="173" fontId="12" fillId="0" borderId="0" xfId="0" applyNumberFormat="1" applyFont="1" applyAlignment="1">
      <alignment horizontal="right"/>
    </xf>
    <xf numFmtId="165" fontId="9" fillId="0" borderId="0" xfId="0" applyNumberFormat="1" applyFont="1" applyAlignment="1">
      <alignment horizontal="right"/>
    </xf>
    <xf numFmtId="9" fontId="12" fillId="0" borderId="0" xfId="2" applyFont="1" applyFill="1" applyAlignment="1">
      <alignment horizontal="right"/>
    </xf>
    <xf numFmtId="175" fontId="12" fillId="0" borderId="0" xfId="2" applyNumberFormat="1" applyFont="1" applyFill="1" applyAlignment="1">
      <alignment horizontal="right"/>
    </xf>
    <xf numFmtId="10" fontId="13" fillId="0" borderId="0" xfId="0" applyNumberFormat="1" applyFont="1" applyAlignment="1">
      <alignment horizontal="right"/>
    </xf>
    <xf numFmtId="0" fontId="14" fillId="0" borderId="10" xfId="0" applyFont="1" applyBorder="1"/>
    <xf numFmtId="165" fontId="12" fillId="0" borderId="10" xfId="0" applyNumberFormat="1" applyFont="1" applyBorder="1" applyAlignment="1">
      <alignment horizontal="right"/>
    </xf>
    <xf numFmtId="174" fontId="12" fillId="0" borderId="10" xfId="0" applyNumberFormat="1" applyFont="1" applyBorder="1" applyAlignment="1">
      <alignment horizontal="right"/>
    </xf>
    <xf numFmtId="3" fontId="14" fillId="0" borderId="10" xfId="0" applyNumberFormat="1" applyFont="1" applyBorder="1"/>
    <xf numFmtId="176" fontId="12" fillId="0" borderId="0" xfId="1" applyNumberFormat="1" applyFont="1" applyFill="1" applyAlignment="1">
      <alignment horizontal="right"/>
    </xf>
    <xf numFmtId="10" fontId="13" fillId="8" borderId="14" xfId="0" applyNumberFormat="1" applyFont="1" applyFill="1" applyBorder="1" applyAlignment="1">
      <alignment horizontal="right"/>
    </xf>
    <xf numFmtId="4" fontId="12" fillId="0" borderId="15" xfId="0" applyNumberFormat="1" applyFont="1" applyBorder="1" applyAlignment="1">
      <alignment horizontal="right"/>
    </xf>
    <xf numFmtId="165" fontId="12" fillId="9" borderId="14" xfId="0" applyNumberFormat="1" applyFont="1" applyFill="1" applyBorder="1" applyAlignment="1">
      <alignment horizontal="right"/>
    </xf>
    <xf numFmtId="0" fontId="12" fillId="0" borderId="13" xfId="0" applyFont="1" applyBorder="1"/>
    <xf numFmtId="0" fontId="12" fillId="0" borderId="14" xfId="0" applyFont="1" applyBorder="1"/>
    <xf numFmtId="0" fontId="12" fillId="9" borderId="14" xfId="0" applyFont="1" applyFill="1" applyBorder="1"/>
    <xf numFmtId="0" fontId="18" fillId="9" borderId="14" xfId="0" applyFont="1" applyFill="1" applyBorder="1"/>
    <xf numFmtId="0" fontId="13" fillId="8" borderId="14" xfId="0" applyFont="1" applyFill="1" applyBorder="1"/>
    <xf numFmtId="0" fontId="12" fillId="0" borderId="15" xfId="0" applyFont="1" applyBorder="1"/>
    <xf numFmtId="0" fontId="12" fillId="0" borderId="12" xfId="0" applyFont="1" applyBorder="1" applyAlignment="1">
      <alignment horizontal="right"/>
    </xf>
    <xf numFmtId="0" fontId="0" fillId="0" borderId="12" xfId="0" applyBorder="1" applyAlignment="1">
      <alignment horizontal="center"/>
    </xf>
    <xf numFmtId="0" fontId="18" fillId="10" borderId="14" xfId="0" applyFont="1" applyFill="1" applyBorder="1"/>
    <xf numFmtId="165" fontId="18" fillId="10" borderId="14" xfId="0" applyNumberFormat="1" applyFont="1" applyFill="1" applyBorder="1" applyAlignment="1">
      <alignment horizontal="right"/>
    </xf>
    <xf numFmtId="0" fontId="18" fillId="0" borderId="14" xfId="0" applyFont="1" applyBorder="1"/>
    <xf numFmtId="0" fontId="18" fillId="0" borderId="10" xfId="0" applyFont="1" applyBorder="1"/>
    <xf numFmtId="0" fontId="18" fillId="0" borderId="20" xfId="0" applyFont="1" applyBorder="1"/>
    <xf numFmtId="165" fontId="12" fillId="11" borderId="14" xfId="0" applyNumberFormat="1" applyFont="1" applyFill="1" applyBorder="1" applyAlignment="1">
      <alignment horizontal="right"/>
    </xf>
    <xf numFmtId="0" fontId="18" fillId="0" borderId="12" xfId="0" applyFont="1" applyBorder="1" applyAlignment="1">
      <alignment horizontal="right"/>
    </xf>
    <xf numFmtId="0" fontId="18" fillId="0" borderId="12" xfId="0" applyFont="1" applyBorder="1" applyAlignment="1">
      <alignment horizontal="center"/>
    </xf>
    <xf numFmtId="0" fontId="18" fillId="0" borderId="13" xfId="0" applyFont="1" applyBorder="1"/>
    <xf numFmtId="9" fontId="12" fillId="0" borderId="14" xfId="2" applyFont="1" applyBorder="1" applyAlignment="1">
      <alignment horizontal="right"/>
    </xf>
    <xf numFmtId="0" fontId="12" fillId="0" borderId="21" xfId="0" applyFont="1" applyBorder="1" applyAlignment="1">
      <alignment horizontal="right"/>
    </xf>
    <xf numFmtId="0" fontId="12" fillId="0" borderId="16" xfId="0" applyFont="1" applyBorder="1" applyAlignment="1">
      <alignment horizontal="right"/>
    </xf>
    <xf numFmtId="165" fontId="12" fillId="0" borderId="16" xfId="0" applyNumberFormat="1" applyFont="1" applyBorder="1" applyAlignment="1">
      <alignment horizontal="right"/>
    </xf>
    <xf numFmtId="171" fontId="12" fillId="0" borderId="16" xfId="0" applyNumberFormat="1" applyFont="1" applyBorder="1" applyAlignment="1">
      <alignment horizontal="right"/>
    </xf>
    <xf numFmtId="172" fontId="12" fillId="0" borderId="16" xfId="0" applyNumberFormat="1" applyFont="1" applyBorder="1" applyAlignment="1">
      <alignment horizontal="right"/>
    </xf>
    <xf numFmtId="0" fontId="0" fillId="0" borderId="16" xfId="0" applyBorder="1"/>
    <xf numFmtId="167" fontId="12" fillId="0" borderId="16" xfId="0" applyNumberFormat="1" applyFont="1" applyBorder="1" applyAlignment="1">
      <alignment horizontal="right"/>
    </xf>
    <xf numFmtId="14" fontId="12" fillId="0" borderId="16" xfId="0" applyNumberFormat="1" applyFont="1" applyBorder="1" applyAlignment="1">
      <alignment horizontal="right"/>
    </xf>
    <xf numFmtId="179" fontId="12" fillId="0" borderId="0" xfId="0" applyNumberFormat="1" applyFont="1" applyAlignment="1">
      <alignment horizontal="right"/>
    </xf>
    <xf numFmtId="177" fontId="12" fillId="0" borderId="16" xfId="0" applyNumberFormat="1" applyFont="1" applyBorder="1" applyAlignment="1">
      <alignment horizontal="right"/>
    </xf>
    <xf numFmtId="0" fontId="18" fillId="12" borderId="14" xfId="0" applyFont="1" applyFill="1" applyBorder="1"/>
    <xf numFmtId="173" fontId="12" fillId="12" borderId="16" xfId="0" applyNumberFormat="1" applyFont="1" applyFill="1" applyBorder="1" applyAlignment="1">
      <alignment horizontal="right"/>
    </xf>
    <xf numFmtId="0" fontId="12" fillId="12" borderId="12" xfId="0" applyFont="1" applyFill="1" applyBorder="1" applyAlignment="1">
      <alignment horizontal="right"/>
    </xf>
    <xf numFmtId="0" fontId="12" fillId="12" borderId="14" xfId="0" applyFont="1" applyFill="1" applyBorder="1"/>
    <xf numFmtId="165" fontId="12" fillId="12" borderId="14" xfId="0" applyNumberFormat="1" applyFont="1" applyFill="1" applyBorder="1" applyAlignment="1">
      <alignment horizontal="right"/>
    </xf>
    <xf numFmtId="177" fontId="12" fillId="0" borderId="19" xfId="0" applyNumberFormat="1" applyFont="1" applyBorder="1" applyAlignment="1">
      <alignment horizontal="right"/>
    </xf>
    <xf numFmtId="0" fontId="12" fillId="0" borderId="10" xfId="0" applyFont="1" applyBorder="1"/>
    <xf numFmtId="172" fontId="12" fillId="0" borderId="10" xfId="0" applyNumberFormat="1" applyFont="1" applyBorder="1" applyAlignment="1">
      <alignment horizontal="right"/>
    </xf>
    <xf numFmtId="167" fontId="12" fillId="0" borderId="10" xfId="0" applyNumberFormat="1" applyFont="1" applyBorder="1" applyAlignment="1">
      <alignment horizontal="right"/>
    </xf>
    <xf numFmtId="1" fontId="12" fillId="0" borderId="10" xfId="0" applyNumberFormat="1" applyFont="1" applyBorder="1" applyAlignment="1">
      <alignment horizontal="right"/>
    </xf>
    <xf numFmtId="173" fontId="12" fillId="0" borderId="10" xfId="0" applyNumberFormat="1" applyFont="1" applyBorder="1" applyAlignment="1">
      <alignment horizontal="right"/>
    </xf>
    <xf numFmtId="14" fontId="12" fillId="0" borderId="10" xfId="0" applyNumberFormat="1" applyFont="1" applyBorder="1" applyAlignment="1">
      <alignment horizontal="right"/>
    </xf>
    <xf numFmtId="0" fontId="0" fillId="12" borderId="12" xfId="0" applyFill="1" applyBorder="1" applyAlignment="1">
      <alignment horizontal="right"/>
    </xf>
    <xf numFmtId="171" fontId="12" fillId="0" borderId="10" xfId="0" applyNumberFormat="1" applyFont="1" applyBorder="1" applyAlignment="1">
      <alignment horizontal="right"/>
    </xf>
    <xf numFmtId="0" fontId="18" fillId="11" borderId="14" xfId="0" applyFont="1" applyFill="1" applyBorder="1"/>
    <xf numFmtId="0" fontId="18" fillId="13" borderId="14" xfId="0" applyFont="1" applyFill="1" applyBorder="1"/>
    <xf numFmtId="0" fontId="18" fillId="14" borderId="14" xfId="0" applyFont="1" applyFill="1" applyBorder="1"/>
    <xf numFmtId="0" fontId="18" fillId="15" borderId="14" xfId="0" applyFont="1" applyFill="1" applyBorder="1"/>
    <xf numFmtId="0" fontId="18" fillId="16" borderId="14" xfId="0" applyFont="1" applyFill="1" applyBorder="1"/>
    <xf numFmtId="181" fontId="12" fillId="16" borderId="14" xfId="0" applyNumberFormat="1" applyFont="1" applyFill="1" applyBorder="1" applyAlignment="1">
      <alignment horizontal="right"/>
    </xf>
    <xf numFmtId="0" fontId="12" fillId="5" borderId="15" xfId="0" applyFont="1" applyFill="1" applyBorder="1"/>
    <xf numFmtId="165" fontId="12" fillId="5" borderId="15" xfId="0" applyNumberFormat="1" applyFont="1" applyFill="1" applyBorder="1" applyAlignment="1">
      <alignment horizontal="right"/>
    </xf>
    <xf numFmtId="0" fontId="21" fillId="0" borderId="5" xfId="0" applyFont="1" applyBorder="1"/>
    <xf numFmtId="0" fontId="21" fillId="0" borderId="0" xfId="0" applyFont="1"/>
    <xf numFmtId="0" fontId="1" fillId="0" borderId="0" xfId="0" applyFont="1"/>
    <xf numFmtId="0" fontId="1" fillId="0" borderId="16" xfId="0" applyFont="1" applyBorder="1"/>
    <xf numFmtId="0" fontId="0" fillId="0" borderId="10" xfId="0" applyBorder="1"/>
    <xf numFmtId="2" fontId="12" fillId="0" borderId="10" xfId="0" applyNumberFormat="1" applyFont="1" applyBorder="1" applyAlignment="1">
      <alignment horizontal="right"/>
    </xf>
    <xf numFmtId="165" fontId="2" fillId="0" borderId="4" xfId="0" applyNumberFormat="1" applyFont="1" applyBorder="1"/>
    <xf numFmtId="165" fontId="7" fillId="0" borderId="0" xfId="0" applyNumberFormat="1" applyFont="1"/>
    <xf numFmtId="177" fontId="2" fillId="0" borderId="0" xfId="0" applyNumberFormat="1" applyFont="1"/>
    <xf numFmtId="0" fontId="2" fillId="0" borderId="4" xfId="0" applyFont="1" applyBorder="1" applyAlignment="1">
      <alignment horizontal="left"/>
    </xf>
    <xf numFmtId="165" fontId="2" fillId="0" borderId="9" xfId="0" applyNumberFormat="1" applyFont="1" applyBorder="1"/>
    <xf numFmtId="165" fontId="2" fillId="4" borderId="1" xfId="0" applyNumberFormat="1" applyFont="1" applyFill="1" applyBorder="1"/>
    <xf numFmtId="180" fontId="2" fillId="0" borderId="0" xfId="0" applyNumberFormat="1" applyFont="1"/>
    <xf numFmtId="0" fontId="22" fillId="17" borderId="14" xfId="0" applyFont="1" applyFill="1" applyBorder="1"/>
    <xf numFmtId="165" fontId="22" fillId="17" borderId="14" xfId="0" applyNumberFormat="1" applyFont="1" applyFill="1" applyBorder="1" applyAlignment="1">
      <alignment horizontal="right"/>
    </xf>
    <xf numFmtId="9" fontId="22" fillId="17" borderId="14" xfId="2" applyFont="1" applyFill="1" applyBorder="1" applyAlignment="1">
      <alignment horizontal="right"/>
    </xf>
    <xf numFmtId="175" fontId="22" fillId="17" borderId="14" xfId="2" applyNumberFormat="1" applyFont="1" applyFill="1" applyBorder="1" applyAlignment="1">
      <alignment horizontal="right"/>
    </xf>
    <xf numFmtId="0" fontId="2" fillId="0" borderId="10" xfId="0" applyFont="1" applyBorder="1"/>
    <xf numFmtId="0" fontId="2" fillId="0" borderId="10" xfId="0" applyFont="1" applyBorder="1" applyAlignment="1">
      <alignment wrapText="1"/>
    </xf>
    <xf numFmtId="3" fontId="6" fillId="0" borderId="10" xfId="0" applyNumberFormat="1" applyFont="1" applyBorder="1"/>
    <xf numFmtId="10" fontId="6" fillId="0" borderId="10" xfId="0" applyNumberFormat="1" applyFont="1" applyBorder="1"/>
    <xf numFmtId="3" fontId="6" fillId="0" borderId="10" xfId="0" applyNumberFormat="1" applyFont="1" applyBorder="1" applyAlignment="1">
      <alignment horizontal="right"/>
    </xf>
    <xf numFmtId="0" fontId="6" fillId="0" borderId="10" xfId="0" applyFont="1" applyBorder="1"/>
    <xf numFmtId="9" fontId="6" fillId="0" borderId="10" xfId="0" applyNumberFormat="1" applyFont="1" applyBorder="1"/>
    <xf numFmtId="165" fontId="6" fillId="0" borderId="10" xfId="0" applyNumberFormat="1" applyFont="1" applyBorder="1" applyAlignment="1">
      <alignment horizontal="right"/>
    </xf>
    <xf numFmtId="167" fontId="6" fillId="0" borderId="10" xfId="0" applyNumberFormat="1" applyFont="1" applyBorder="1"/>
    <xf numFmtId="0" fontId="21" fillId="0" borderId="10" xfId="0" applyFont="1" applyBorder="1"/>
    <xf numFmtId="9" fontId="6" fillId="0" borderId="10" xfId="2" applyFont="1" applyFill="1" applyBorder="1" applyAlignment="1">
      <alignment horizontal="right"/>
    </xf>
    <xf numFmtId="14" fontId="6" fillId="0" borderId="10" xfId="0" applyNumberFormat="1" applyFont="1" applyBorder="1"/>
    <xf numFmtId="14" fontId="2" fillId="0" borderId="10" xfId="0" applyNumberFormat="1" applyFont="1" applyBorder="1"/>
    <xf numFmtId="0" fontId="6" fillId="0" borderId="10" xfId="0" applyFont="1" applyBorder="1" applyAlignment="1">
      <alignment horizontal="right"/>
    </xf>
    <xf numFmtId="9" fontId="6" fillId="0" borderId="10" xfId="0" applyNumberFormat="1" applyFont="1" applyBorder="1" applyAlignment="1">
      <alignment horizontal="center"/>
    </xf>
    <xf numFmtId="165" fontId="2" fillId="0" borderId="10" xfId="0" applyNumberFormat="1" applyFont="1" applyBorder="1" applyAlignment="1">
      <alignment horizontal="center"/>
    </xf>
    <xf numFmtId="169" fontId="2" fillId="0" borderId="10" xfId="0" applyNumberFormat="1" applyFont="1" applyBorder="1" applyAlignment="1">
      <alignment horizontal="center"/>
    </xf>
    <xf numFmtId="0" fontId="10" fillId="0" borderId="10" xfId="0" applyFont="1" applyBorder="1"/>
    <xf numFmtId="165" fontId="10" fillId="0" borderId="10" xfId="0" applyNumberFormat="1" applyFont="1" applyBorder="1" applyAlignment="1">
      <alignment horizontal="center"/>
    </xf>
    <xf numFmtId="10" fontId="10" fillId="0" borderId="10" xfId="0" applyNumberFormat="1" applyFont="1" applyBorder="1" applyAlignment="1">
      <alignment horizontal="center"/>
    </xf>
    <xf numFmtId="3" fontId="2" fillId="0" borderId="10" xfId="0" applyNumberFormat="1" applyFont="1" applyBorder="1" applyAlignment="1">
      <alignment horizontal="center"/>
    </xf>
    <xf numFmtId="165" fontId="22" fillId="18" borderId="12" xfId="0" applyNumberFormat="1" applyFont="1" applyFill="1" applyBorder="1" applyAlignment="1">
      <alignment horizontal="left"/>
    </xf>
    <xf numFmtId="165" fontId="22" fillId="18" borderId="12" xfId="2" applyNumberFormat="1" applyFont="1" applyFill="1" applyBorder="1" applyAlignment="1">
      <alignment horizontal="right"/>
    </xf>
    <xf numFmtId="0" fontId="20" fillId="0" borderId="12" xfId="0" applyFont="1" applyBorder="1"/>
    <xf numFmtId="165" fontId="22" fillId="0" borderId="12" xfId="0" applyNumberFormat="1" applyFont="1" applyBorder="1" applyAlignment="1">
      <alignment horizontal="right"/>
    </xf>
    <xf numFmtId="0" fontId="20" fillId="0" borderId="0" xfId="0" applyFont="1"/>
    <xf numFmtId="165" fontId="0" fillId="0" borderId="0" xfId="1" applyNumberFormat="1" applyFont="1"/>
    <xf numFmtId="165" fontId="0" fillId="0" borderId="0" xfId="0" applyNumberFormat="1"/>
    <xf numFmtId="0" fontId="24" fillId="0" borderId="10" xfId="0" applyFont="1" applyBorder="1"/>
    <xf numFmtId="0" fontId="24" fillId="0" borderId="0" xfId="0" applyFont="1"/>
    <xf numFmtId="180" fontId="12" fillId="5" borderId="15" xfId="0" applyNumberFormat="1" applyFont="1" applyFill="1" applyBorder="1" applyAlignment="1">
      <alignment horizontal="right"/>
    </xf>
    <xf numFmtId="0" fontId="18" fillId="5" borderId="15" xfId="0" applyFont="1" applyFill="1" applyBorder="1"/>
    <xf numFmtId="0" fontId="18" fillId="19" borderId="14" xfId="0" applyFont="1" applyFill="1" applyBorder="1"/>
    <xf numFmtId="9" fontId="12" fillId="19" borderId="16" xfId="2" applyFont="1" applyFill="1" applyBorder="1" applyAlignment="1">
      <alignment horizontal="right"/>
    </xf>
    <xf numFmtId="0" fontId="12" fillId="19" borderId="16" xfId="0" applyFont="1" applyFill="1" applyBorder="1" applyAlignment="1">
      <alignment horizontal="right"/>
    </xf>
    <xf numFmtId="0" fontId="18" fillId="19" borderId="16" xfId="0" applyFont="1" applyFill="1" applyBorder="1" applyAlignment="1">
      <alignment horizontal="right"/>
    </xf>
    <xf numFmtId="2" fontId="12" fillId="19" borderId="16" xfId="0" applyNumberFormat="1" applyFont="1" applyFill="1" applyBorder="1" applyAlignment="1">
      <alignment horizontal="right"/>
    </xf>
    <xf numFmtId="178" fontId="12" fillId="19" borderId="16" xfId="1" applyNumberFormat="1" applyFont="1" applyFill="1" applyBorder="1" applyAlignment="1">
      <alignment horizontal="right"/>
    </xf>
    <xf numFmtId="0" fontId="12" fillId="19" borderId="12" xfId="0" applyFont="1" applyFill="1" applyBorder="1" applyAlignment="1">
      <alignment horizontal="right"/>
    </xf>
    <xf numFmtId="0" fontId="18" fillId="0" borderId="16" xfId="0" applyFont="1" applyBorder="1" applyAlignment="1">
      <alignment horizontal="right"/>
    </xf>
    <xf numFmtId="164" fontId="21" fillId="2" borderId="1" xfId="0" applyNumberFormat="1" applyFont="1" applyFill="1" applyBorder="1" applyAlignment="1">
      <alignment horizontal="center"/>
    </xf>
    <xf numFmtId="0" fontId="1" fillId="0" borderId="10" xfId="0" applyFont="1" applyBorder="1"/>
    <xf numFmtId="9" fontId="1" fillId="0" borderId="14" xfId="2" applyFont="1" applyBorder="1"/>
    <xf numFmtId="9" fontId="12" fillId="0" borderId="15" xfId="2" applyFont="1" applyBorder="1" applyAlignment="1">
      <alignment horizontal="right"/>
    </xf>
    <xf numFmtId="175" fontId="12" fillId="0" borderId="14" xfId="2" applyNumberFormat="1" applyFont="1" applyBorder="1" applyAlignment="1">
      <alignment horizontal="right"/>
    </xf>
    <xf numFmtId="175" fontId="1" fillId="0" borderId="13" xfId="2" applyNumberFormat="1" applyFont="1" applyBorder="1"/>
    <xf numFmtId="0" fontId="2" fillId="0" borderId="1" xfId="0" applyFont="1" applyBorder="1"/>
    <xf numFmtId="175" fontId="1" fillId="0" borderId="14" xfId="2" applyNumberFormat="1" applyFont="1" applyBorder="1"/>
    <xf numFmtId="173" fontId="12" fillId="0" borderId="19" xfId="0" applyNumberFormat="1" applyFont="1" applyBorder="1" applyAlignment="1">
      <alignment horizontal="right"/>
    </xf>
    <xf numFmtId="0" fontId="9" fillId="6" borderId="12" xfId="0" applyFont="1" applyFill="1" applyBorder="1" applyAlignment="1">
      <alignment horizontal="center"/>
    </xf>
    <xf numFmtId="0" fontId="0" fillId="7" borderId="12" xfId="0" applyFill="1" applyBorder="1"/>
    <xf numFmtId="0" fontId="13" fillId="0" borderId="10" xfId="0" applyFont="1" applyBorder="1" applyAlignment="1">
      <alignment horizontal="center"/>
    </xf>
    <xf numFmtId="0" fontId="19" fillId="6" borderId="12" xfId="0" applyFont="1" applyFill="1" applyBorder="1" applyAlignment="1">
      <alignment horizontal="center"/>
    </xf>
    <xf numFmtId="0" fontId="3" fillId="0" borderId="10" xfId="0" applyFont="1" applyBorder="1" applyAlignment="1">
      <alignment horizontal="center"/>
    </xf>
    <xf numFmtId="0" fontId="23" fillId="7" borderId="17" xfId="0" applyFont="1" applyFill="1" applyBorder="1" applyAlignment="1">
      <alignment horizontal="center"/>
    </xf>
    <xf numFmtId="0" fontId="23" fillId="7" borderId="18" xfId="0" applyFont="1" applyFill="1" applyBorder="1" applyAlignment="1">
      <alignment horizontal="center"/>
    </xf>
    <xf numFmtId="0" fontId="9" fillId="0" borderId="10" xfId="0" applyFont="1" applyBorder="1" applyAlignment="1">
      <alignment horizontal="center"/>
    </xf>
    <xf numFmtId="0" fontId="5" fillId="0" borderId="10" xfId="0" applyFont="1" applyBorder="1" applyAlignment="1">
      <alignment horizontal="center"/>
    </xf>
    <xf numFmtId="0" fontId="8" fillId="0" borderId="10"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FA2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Mining</a:t>
            </a:r>
            <a:r>
              <a:rPr lang="en-US" baseline="0"/>
              <a:t> Vs. Buying Bitcoin</a:t>
            </a:r>
          </a:p>
          <a:p>
            <a:pPr>
              <a:defRPr/>
            </a:pPr>
            <a:endParaRPr lang="en-US"/>
          </a:p>
        </c:rich>
      </c:tx>
      <c:layout>
        <c:manualLayout>
          <c:xMode val="edge"/>
          <c:yMode val="edge"/>
          <c:x val="0.43644588471543244"/>
          <c:y val="5.0151091173529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284900522036572E-2"/>
          <c:y val="0.14308492089432368"/>
          <c:w val="0.89531881101190747"/>
          <c:h val="0.72623245319332741"/>
        </c:manualLayout>
      </c:layout>
      <c:lineChart>
        <c:grouping val="standard"/>
        <c:varyColors val="0"/>
        <c:ser>
          <c:idx val="0"/>
          <c:order val="0"/>
          <c:tx>
            <c:strRef>
              <c:f>'Deal Structure'!$L$43</c:f>
              <c:strCache>
                <c:ptCount val="1"/>
                <c:pt idx="0">
                  <c:v>Mining Profit</c:v>
                </c:pt>
              </c:strCache>
            </c:strRef>
          </c:tx>
          <c:spPr>
            <a:ln w="28575" cap="rnd">
              <a:solidFill>
                <a:schemeClr val="accent1"/>
              </a:solidFill>
              <a:round/>
            </a:ln>
            <a:effectLst/>
          </c:spPr>
          <c:marker>
            <c:symbol val="none"/>
          </c:marker>
          <c:cat>
            <c:numRef>
              <c:f>'Deal Structure'!$L$45:$AW$45</c:f>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f>'Deal Structure'!$M$43:$AW$43</c:f>
              <c:numCache>
                <c:formatCode>"$"#,##0.00</c:formatCode>
                <c:ptCount val="37"/>
                <c:pt idx="0">
                  <c:v>-8356.42</c:v>
                </c:pt>
                <c:pt idx="1">
                  <c:v>-7940.6487552653671</c:v>
                </c:pt>
                <c:pt idx="2">
                  <c:v>-7506.6658624510665</c:v>
                </c:pt>
                <c:pt idx="3">
                  <c:v>-7069.9780548918552</c:v>
                </c:pt>
                <c:pt idx="4">
                  <c:v>-6605.602603269539</c:v>
                </c:pt>
                <c:pt idx="5">
                  <c:v>-6128.4523421803788</c:v>
                </c:pt>
                <c:pt idx="6">
                  <c:v>-5681.6258677530768</c:v>
                </c:pt>
                <c:pt idx="7">
                  <c:v>-5184.8014789214558</c:v>
                </c:pt>
                <c:pt idx="8">
                  <c:v>-3043.6927935008171</c:v>
                </c:pt>
                <c:pt idx="9">
                  <c:v>-2532.1368411176709</c:v>
                </c:pt>
                <c:pt idx="10">
                  <c:v>-2028.9090609760851</c:v>
                </c:pt>
                <c:pt idx="11">
                  <c:v>-1507.4960775783838</c:v>
                </c:pt>
                <c:pt idx="12">
                  <c:v>-982.60839870659402</c:v>
                </c:pt>
                <c:pt idx="13">
                  <c:v>-469.16915991316455</c:v>
                </c:pt>
                <c:pt idx="14">
                  <c:v>59.737554499764883</c:v>
                </c:pt>
                <c:pt idx="15">
                  <c:v>575.60904588243193</c:v>
                </c:pt>
                <c:pt idx="16">
                  <c:v>1105.5550253434421</c:v>
                </c:pt>
                <c:pt idx="17">
                  <c:v>1635.1897880377128</c:v>
                </c:pt>
                <c:pt idx="18">
                  <c:v>2122.1174649232416</c:v>
                </c:pt>
                <c:pt idx="19">
                  <c:v>2649.1709751602502</c:v>
                </c:pt>
                <c:pt idx="20">
                  <c:v>3160.6319388109605</c:v>
                </c:pt>
                <c:pt idx="21">
                  <c:v>3683.8816000311781</c:v>
                </c:pt>
                <c:pt idx="22">
                  <c:v>4190.9509707039506</c:v>
                </c:pt>
                <c:pt idx="23">
                  <c:v>4709.2632271140392</c:v>
                </c:pt>
                <c:pt idx="24">
                  <c:v>5224.8466382726438</c:v>
                </c:pt>
                <c:pt idx="25">
                  <c:v>5723.710760928323</c:v>
                </c:pt>
                <c:pt idx="26">
                  <c:v>6233.2899422289192</c:v>
                </c:pt>
                <c:pt idx="27">
                  <c:v>6725.972953060791</c:v>
                </c:pt>
                <c:pt idx="28">
                  <c:v>7229.174835133761</c:v>
                </c:pt>
                <c:pt idx="29">
                  <c:v>7729.1499876207617</c:v>
                </c:pt>
                <c:pt idx="30">
                  <c:v>8198.444786503982</c:v>
                </c:pt>
                <c:pt idx="31">
                  <c:v>8691.7816855546353</c:v>
                </c:pt>
                <c:pt idx="32">
                  <c:v>8764.0389979648298</c:v>
                </c:pt>
                <c:pt idx="33">
                  <c:v>8831.9416510649498</c:v>
                </c:pt>
                <c:pt idx="34">
                  <c:v>8895.3731662812497</c:v>
                </c:pt>
                <c:pt idx="35">
                  <c:v>8954.9231861919452</c:v>
                </c:pt>
                <c:pt idx="36">
                  <c:v>11717.068382819512</c:v>
                </c:pt>
              </c:numCache>
            </c:numRef>
          </c:val>
          <c:smooth val="0"/>
          <c:extLst>
            <c:ext xmlns:c16="http://schemas.microsoft.com/office/drawing/2014/chart" uri="{C3380CC4-5D6E-409C-BE32-E72D297353CC}">
              <c16:uniqueId val="{00000000-8089-4C2D-8997-06FFFE685E99}"/>
            </c:ext>
          </c:extLst>
        </c:ser>
        <c:ser>
          <c:idx val="1"/>
          <c:order val="1"/>
          <c:tx>
            <c:strRef>
              <c:f>'Deal Structure'!$L$44</c:f>
              <c:strCache>
                <c:ptCount val="1"/>
                <c:pt idx="0">
                  <c:v>Buying Bitcoin Profit</c:v>
                </c:pt>
              </c:strCache>
            </c:strRef>
          </c:tx>
          <c:spPr>
            <a:ln w="28575" cap="rnd">
              <a:solidFill>
                <a:schemeClr val="accent2"/>
              </a:solidFill>
              <a:round/>
            </a:ln>
            <a:effectLst/>
          </c:spPr>
          <c:marker>
            <c:symbol val="none"/>
          </c:marker>
          <c:cat>
            <c:numRef>
              <c:f>'Deal Structure'!$L$45:$AW$45</c:f>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f>'Deal Structure'!$M$44:$AW$44</c:f>
              <c:numCache>
                <c:formatCode>"$"#,##0.00</c:formatCode>
                <c:ptCount val="37"/>
                <c:pt idx="0">
                  <c:v>0</c:v>
                </c:pt>
                <c:pt idx="1">
                  <c:v>320.75839437485411</c:v>
                </c:pt>
                <c:pt idx="2">
                  <c:v>630.91381061792163</c:v>
                </c:pt>
                <c:pt idx="3">
                  <c:v>930.08006925695008</c:v>
                </c:pt>
                <c:pt idx="4">
                  <c:v>1217.9855516524858</c:v>
                </c:pt>
                <c:pt idx="5">
                  <c:v>1494.4623234537576</c:v>
                </c:pt>
                <c:pt idx="6">
                  <c:v>1759.4352570768115</c:v>
                </c:pt>
                <c:pt idx="7">
                  <c:v>2012.9113743203743</c:v>
                </c:pt>
                <c:pt idx="8">
                  <c:v>2254.9695805494703</c:v>
                </c:pt>
                <c:pt idx="9">
                  <c:v>2485.7509180601719</c:v>
                </c:pt>
                <c:pt idx="10">
                  <c:v>2705.4494284171215</c:v>
                </c:pt>
                <c:pt idx="11">
                  <c:v>2914.303681573625</c:v>
                </c:pt>
                <c:pt idx="12">
                  <c:v>3112.5890030949759</c:v>
                </c:pt>
                <c:pt idx="13">
                  <c:v>3300.610409339437</c:v>
                </c:pt>
                <c:pt idx="14">
                  <c:v>3478.6962434727538</c:v>
                </c:pt>
                <c:pt idx="15">
                  <c:v>3647.1924921405371</c:v>
                </c:pt>
                <c:pt idx="16">
                  <c:v>3806.4577529446469</c:v>
                </c:pt>
                <c:pt idx="17">
                  <c:v>3956.8588160373165</c:v>
                </c:pt>
                <c:pt idx="18">
                  <c:v>4098.7668186738247</c:v>
                </c:pt>
                <c:pt idx="19">
                  <c:v>4232.5539290119741</c:v>
                </c:pt>
                <c:pt idx="20">
                  <c:v>4358.5905144272328</c:v>
                </c:pt>
                <c:pt idx="21">
                  <c:v>4477.2427497900408</c:v>
                </c:pt>
                <c:pt idx="22">
                  <c:v>4588.8706222394867</c:v>
                </c:pt>
                <c:pt idx="23">
                  <c:v>4693.8262907444496</c:v>
                </c:pt>
                <c:pt idx="24">
                  <c:v>4792.4527609698507</c:v>
                </c:pt>
                <c:pt idx="25">
                  <c:v>4885.0828384995802</c:v>
                </c:pt>
                <c:pt idx="26">
                  <c:v>4972.0383261780717</c:v>
                </c:pt>
                <c:pt idx="27">
                  <c:v>5053.6294341179055</c:v>
                </c:pt>
                <c:pt idx="28">
                  <c:v>5130.1543737009488</c:v>
                </c:pt>
                <c:pt idx="29">
                  <c:v>5201.899109617043</c:v>
                </c:pt>
                <c:pt idx="30">
                  <c:v>5269.1372465933418</c:v>
                </c:pt>
                <c:pt idx="31">
                  <c:v>5332.1300299392569</c:v>
                </c:pt>
                <c:pt idx="32">
                  <c:v>5391.1264413473782</c:v>
                </c:pt>
                <c:pt idx="33">
                  <c:v>5446.3633735382882</c:v>
                </c:pt>
                <c:pt idx="34">
                  <c:v>5498.0658693129735</c:v>
                </c:pt>
                <c:pt idx="35">
                  <c:v>5546.4474123803666</c:v>
                </c:pt>
                <c:pt idx="36">
                  <c:v>5591.7102589641581</c:v>
                </c:pt>
              </c:numCache>
            </c:numRef>
          </c:val>
          <c:smooth val="0"/>
          <c:extLst>
            <c:ext xmlns:c16="http://schemas.microsoft.com/office/drawing/2014/chart" uri="{C3380CC4-5D6E-409C-BE32-E72D297353CC}">
              <c16:uniqueId val="{00000001-8089-4C2D-8997-06FFFE685E99}"/>
            </c:ext>
          </c:extLst>
        </c:ser>
        <c:dLbls>
          <c:showLegendKey val="0"/>
          <c:showVal val="0"/>
          <c:showCatName val="0"/>
          <c:showSerName val="0"/>
          <c:showPercent val="0"/>
          <c:showBubbleSize val="0"/>
        </c:dLbls>
        <c:smooth val="0"/>
        <c:axId val="1070903535"/>
        <c:axId val="1070904015"/>
        <c:extLst>
          <c:ext xmlns:c15="http://schemas.microsoft.com/office/drawing/2012/chart" uri="{02D57815-91ED-43cb-92C2-25804820EDAC}">
            <c15:filteredLineSeries>
              <c15:ser>
                <c:idx val="2"/>
                <c:order val="2"/>
                <c:tx>
                  <c:strRef>
                    <c:extLst>
                      <c:ext uri="{02D57815-91ED-43cb-92C2-25804820EDAC}">
                        <c15:formulaRef>
                          <c15:sqref>'Deal Structure'!$L$45</c15:sqref>
                        </c15:formulaRef>
                      </c:ext>
                    </c:extLst>
                    <c:strCache>
                      <c:ptCount val="1"/>
                    </c:strCache>
                  </c:strRef>
                </c:tx>
                <c:spPr>
                  <a:ln w="28575" cap="rnd">
                    <a:solidFill>
                      <a:schemeClr val="accent3"/>
                    </a:solidFill>
                    <a:round/>
                  </a:ln>
                  <a:effectLst/>
                </c:spPr>
                <c:marker>
                  <c:symbol val="none"/>
                </c:marker>
                <c:cat>
                  <c:numRef>
                    <c:extLst>
                      <c:ext uri="{02D57815-91ED-43cb-92C2-25804820EDAC}">
                        <c15:formulaRef>
                          <c15:sqref>'Deal Structure'!$L$45:$AW$45</c15:sqref>
                        </c15:formulaRef>
                      </c:ext>
                    </c:extLst>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extLst>
                      <c:ext uri="{02D57815-91ED-43cb-92C2-25804820EDAC}">
                        <c15:formulaRef>
                          <c15:sqref>'Deal Structure'!$M$45:$AW$45</c15:sqref>
                        </c15:formulaRef>
                      </c:ext>
                    </c:extLst>
                    <c:numCache>
                      <c:formatCode>m/d/yyyy</c:formatCode>
                      <c:ptCount val="37"/>
                      <c:pt idx="0">
                        <c:v>45901</c:v>
                      </c:pt>
                      <c:pt idx="1">
                        <c:v>45930</c:v>
                      </c:pt>
                      <c:pt idx="2">
                        <c:v>45961</c:v>
                      </c:pt>
                      <c:pt idx="3">
                        <c:v>45991</c:v>
                      </c:pt>
                      <c:pt idx="4">
                        <c:v>46022</c:v>
                      </c:pt>
                      <c:pt idx="5">
                        <c:v>46053</c:v>
                      </c:pt>
                      <c:pt idx="6">
                        <c:v>46081</c:v>
                      </c:pt>
                      <c:pt idx="7">
                        <c:v>46112</c:v>
                      </c:pt>
                      <c:pt idx="8">
                        <c:v>46142</c:v>
                      </c:pt>
                      <c:pt idx="9">
                        <c:v>46173</c:v>
                      </c:pt>
                      <c:pt idx="10">
                        <c:v>46203</c:v>
                      </c:pt>
                      <c:pt idx="11">
                        <c:v>46234</c:v>
                      </c:pt>
                      <c:pt idx="12">
                        <c:v>46265</c:v>
                      </c:pt>
                      <c:pt idx="13">
                        <c:v>46295</c:v>
                      </c:pt>
                      <c:pt idx="14">
                        <c:v>46326</c:v>
                      </c:pt>
                      <c:pt idx="15">
                        <c:v>46356</c:v>
                      </c:pt>
                      <c:pt idx="16">
                        <c:v>46387</c:v>
                      </c:pt>
                      <c:pt idx="17">
                        <c:v>46418</c:v>
                      </c:pt>
                      <c:pt idx="18">
                        <c:v>46446</c:v>
                      </c:pt>
                      <c:pt idx="19">
                        <c:v>46477</c:v>
                      </c:pt>
                      <c:pt idx="20">
                        <c:v>46507</c:v>
                      </c:pt>
                      <c:pt idx="21">
                        <c:v>46538</c:v>
                      </c:pt>
                      <c:pt idx="22">
                        <c:v>46568</c:v>
                      </c:pt>
                      <c:pt idx="23">
                        <c:v>46599</c:v>
                      </c:pt>
                      <c:pt idx="24">
                        <c:v>46630</c:v>
                      </c:pt>
                      <c:pt idx="25">
                        <c:v>46660</c:v>
                      </c:pt>
                      <c:pt idx="26">
                        <c:v>46691</c:v>
                      </c:pt>
                      <c:pt idx="27">
                        <c:v>46721</c:v>
                      </c:pt>
                      <c:pt idx="28">
                        <c:v>46752</c:v>
                      </c:pt>
                      <c:pt idx="29">
                        <c:v>46783</c:v>
                      </c:pt>
                      <c:pt idx="30">
                        <c:v>46812</c:v>
                      </c:pt>
                      <c:pt idx="31">
                        <c:v>46843</c:v>
                      </c:pt>
                      <c:pt idx="32">
                        <c:v>46873</c:v>
                      </c:pt>
                      <c:pt idx="33">
                        <c:v>46904</c:v>
                      </c:pt>
                      <c:pt idx="34">
                        <c:v>46934</c:v>
                      </c:pt>
                      <c:pt idx="35">
                        <c:v>46965</c:v>
                      </c:pt>
                      <c:pt idx="36">
                        <c:v>46996</c:v>
                      </c:pt>
                    </c:numCache>
                  </c:numRef>
                </c:val>
                <c:smooth val="0"/>
                <c:extLst>
                  <c:ext xmlns:c16="http://schemas.microsoft.com/office/drawing/2014/chart" uri="{C3380CC4-5D6E-409C-BE32-E72D297353CC}">
                    <c16:uniqueId val="{00000002-8089-4C2D-8997-06FFFE685E99}"/>
                  </c:ext>
                </c:extLst>
              </c15:ser>
            </c15:filteredLineSeries>
          </c:ext>
        </c:extLst>
      </c:lineChart>
      <c:dateAx>
        <c:axId val="1070903535"/>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4015"/>
        <c:crosses val="autoZero"/>
        <c:auto val="0"/>
        <c:lblOffset val="100"/>
        <c:baseTimeUnit val="months"/>
        <c:majorUnit val="3"/>
        <c:majorTimeUnit val="months"/>
      </c:dateAx>
      <c:valAx>
        <c:axId val="1070904015"/>
        <c:scaling>
          <c:orientation val="minMax"/>
          <c:max val="6000"/>
          <c:min val="-5000"/>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3535"/>
        <c:crossesAt val="4590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Mining</a:t>
            </a:r>
            <a:r>
              <a:rPr lang="en-US" baseline="0"/>
              <a:t> Vs. Buying Bitcoin</a:t>
            </a:r>
          </a:p>
          <a:p>
            <a:pPr>
              <a:defRPr/>
            </a:pPr>
            <a:endParaRPr lang="en-US"/>
          </a:p>
        </c:rich>
      </c:tx>
      <c:layout>
        <c:manualLayout>
          <c:xMode val="edge"/>
          <c:yMode val="edge"/>
          <c:x val="0.43644588471543244"/>
          <c:y val="5.0151091173529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284900522036572E-2"/>
          <c:y val="0.14308492089432368"/>
          <c:w val="0.89531881101190747"/>
          <c:h val="0.72623245319332741"/>
        </c:manualLayout>
      </c:layout>
      <c:lineChart>
        <c:grouping val="standard"/>
        <c:varyColors val="0"/>
        <c:ser>
          <c:idx val="0"/>
          <c:order val="0"/>
          <c:tx>
            <c:strRef>
              <c:f>'Deal Structure'!$L$43</c:f>
              <c:strCache>
                <c:ptCount val="1"/>
                <c:pt idx="0">
                  <c:v>Mining Profit</c:v>
                </c:pt>
              </c:strCache>
            </c:strRef>
          </c:tx>
          <c:spPr>
            <a:ln w="28575" cap="rnd">
              <a:solidFill>
                <a:schemeClr val="accent1"/>
              </a:solidFill>
              <a:round/>
            </a:ln>
            <a:effectLst/>
          </c:spPr>
          <c:marker>
            <c:symbol val="none"/>
          </c:marker>
          <c:cat>
            <c:numRef>
              <c:f>'Deal Structure'!$L$45:$AW$45</c:f>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f>'Deal Structure'!$M$43:$AW$43</c:f>
              <c:numCache>
                <c:formatCode>"$"#,##0.00</c:formatCode>
                <c:ptCount val="37"/>
                <c:pt idx="0">
                  <c:v>-8356.42</c:v>
                </c:pt>
                <c:pt idx="1">
                  <c:v>-7940.6487552653671</c:v>
                </c:pt>
                <c:pt idx="2">
                  <c:v>-7506.6658624510665</c:v>
                </c:pt>
                <c:pt idx="3">
                  <c:v>-7069.9780548918552</c:v>
                </c:pt>
                <c:pt idx="4">
                  <c:v>-6605.602603269539</c:v>
                </c:pt>
                <c:pt idx="5">
                  <c:v>-6128.4523421803788</c:v>
                </c:pt>
                <c:pt idx="6">
                  <c:v>-5681.6258677530768</c:v>
                </c:pt>
                <c:pt idx="7">
                  <c:v>-5184.8014789214558</c:v>
                </c:pt>
                <c:pt idx="8">
                  <c:v>-3043.6927935008171</c:v>
                </c:pt>
                <c:pt idx="9">
                  <c:v>-2532.1368411176709</c:v>
                </c:pt>
                <c:pt idx="10">
                  <c:v>-2028.9090609760851</c:v>
                </c:pt>
                <c:pt idx="11">
                  <c:v>-1507.4960775783838</c:v>
                </c:pt>
                <c:pt idx="12">
                  <c:v>-982.60839870659402</c:v>
                </c:pt>
                <c:pt idx="13">
                  <c:v>-469.16915991316455</c:v>
                </c:pt>
                <c:pt idx="14">
                  <c:v>59.737554499764883</c:v>
                </c:pt>
                <c:pt idx="15">
                  <c:v>575.60904588243193</c:v>
                </c:pt>
                <c:pt idx="16">
                  <c:v>1105.5550253434421</c:v>
                </c:pt>
                <c:pt idx="17">
                  <c:v>1635.1897880377128</c:v>
                </c:pt>
                <c:pt idx="18">
                  <c:v>2122.1174649232416</c:v>
                </c:pt>
                <c:pt idx="19">
                  <c:v>2649.1709751602502</c:v>
                </c:pt>
                <c:pt idx="20">
                  <c:v>3160.6319388109605</c:v>
                </c:pt>
                <c:pt idx="21">
                  <c:v>3683.8816000311781</c:v>
                </c:pt>
                <c:pt idx="22">
                  <c:v>4190.9509707039506</c:v>
                </c:pt>
                <c:pt idx="23">
                  <c:v>4709.2632271140392</c:v>
                </c:pt>
                <c:pt idx="24">
                  <c:v>5224.8466382726438</c:v>
                </c:pt>
                <c:pt idx="25">
                  <c:v>5723.710760928323</c:v>
                </c:pt>
                <c:pt idx="26">
                  <c:v>6233.2899422289192</c:v>
                </c:pt>
                <c:pt idx="27">
                  <c:v>6725.972953060791</c:v>
                </c:pt>
                <c:pt idx="28">
                  <c:v>7229.174835133761</c:v>
                </c:pt>
                <c:pt idx="29">
                  <c:v>7729.1499876207617</c:v>
                </c:pt>
                <c:pt idx="30">
                  <c:v>8198.444786503982</c:v>
                </c:pt>
                <c:pt idx="31">
                  <c:v>8691.7816855546353</c:v>
                </c:pt>
                <c:pt idx="32">
                  <c:v>8764.0389979648298</c:v>
                </c:pt>
                <c:pt idx="33">
                  <c:v>8831.9416510649498</c:v>
                </c:pt>
                <c:pt idx="34">
                  <c:v>8895.3731662812497</c:v>
                </c:pt>
                <c:pt idx="35">
                  <c:v>8954.9231861919452</c:v>
                </c:pt>
                <c:pt idx="36">
                  <c:v>11717.068382819512</c:v>
                </c:pt>
              </c:numCache>
            </c:numRef>
          </c:val>
          <c:smooth val="0"/>
          <c:extLst>
            <c:ext xmlns:c16="http://schemas.microsoft.com/office/drawing/2014/chart" uri="{C3380CC4-5D6E-409C-BE32-E72D297353CC}">
              <c16:uniqueId val="{00000000-0624-4F44-838D-D450128C2BB0}"/>
            </c:ext>
          </c:extLst>
        </c:ser>
        <c:ser>
          <c:idx val="1"/>
          <c:order val="1"/>
          <c:tx>
            <c:strRef>
              <c:f>'Deal Structure'!$L$44</c:f>
              <c:strCache>
                <c:ptCount val="1"/>
                <c:pt idx="0">
                  <c:v>Buying Bitcoin Profit</c:v>
                </c:pt>
              </c:strCache>
            </c:strRef>
          </c:tx>
          <c:spPr>
            <a:ln w="28575" cap="rnd">
              <a:solidFill>
                <a:schemeClr val="accent2"/>
              </a:solidFill>
              <a:round/>
            </a:ln>
            <a:effectLst/>
          </c:spPr>
          <c:marker>
            <c:symbol val="none"/>
          </c:marker>
          <c:cat>
            <c:numRef>
              <c:f>'Deal Structure'!$L$45:$AW$45</c:f>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f>'Deal Structure'!$M$44:$AW$44</c:f>
              <c:numCache>
                <c:formatCode>"$"#,##0.00</c:formatCode>
                <c:ptCount val="37"/>
                <c:pt idx="0">
                  <c:v>0</c:v>
                </c:pt>
                <c:pt idx="1">
                  <c:v>320.75839437485411</c:v>
                </c:pt>
                <c:pt idx="2">
                  <c:v>630.91381061792163</c:v>
                </c:pt>
                <c:pt idx="3">
                  <c:v>930.08006925695008</c:v>
                </c:pt>
                <c:pt idx="4">
                  <c:v>1217.9855516524858</c:v>
                </c:pt>
                <c:pt idx="5">
                  <c:v>1494.4623234537576</c:v>
                </c:pt>
                <c:pt idx="6">
                  <c:v>1759.4352570768115</c:v>
                </c:pt>
                <c:pt idx="7">
                  <c:v>2012.9113743203743</c:v>
                </c:pt>
                <c:pt idx="8">
                  <c:v>2254.9695805494703</c:v>
                </c:pt>
                <c:pt idx="9">
                  <c:v>2485.7509180601719</c:v>
                </c:pt>
                <c:pt idx="10">
                  <c:v>2705.4494284171215</c:v>
                </c:pt>
                <c:pt idx="11">
                  <c:v>2914.303681573625</c:v>
                </c:pt>
                <c:pt idx="12">
                  <c:v>3112.5890030949759</c:v>
                </c:pt>
                <c:pt idx="13">
                  <c:v>3300.610409339437</c:v>
                </c:pt>
                <c:pt idx="14">
                  <c:v>3478.6962434727538</c:v>
                </c:pt>
                <c:pt idx="15">
                  <c:v>3647.1924921405371</c:v>
                </c:pt>
                <c:pt idx="16">
                  <c:v>3806.4577529446469</c:v>
                </c:pt>
                <c:pt idx="17">
                  <c:v>3956.8588160373165</c:v>
                </c:pt>
                <c:pt idx="18">
                  <c:v>4098.7668186738247</c:v>
                </c:pt>
                <c:pt idx="19">
                  <c:v>4232.5539290119741</c:v>
                </c:pt>
                <c:pt idx="20">
                  <c:v>4358.5905144272328</c:v>
                </c:pt>
                <c:pt idx="21">
                  <c:v>4477.2427497900408</c:v>
                </c:pt>
                <c:pt idx="22">
                  <c:v>4588.8706222394867</c:v>
                </c:pt>
                <c:pt idx="23">
                  <c:v>4693.8262907444496</c:v>
                </c:pt>
                <c:pt idx="24">
                  <c:v>4792.4527609698507</c:v>
                </c:pt>
                <c:pt idx="25">
                  <c:v>4885.0828384995802</c:v>
                </c:pt>
                <c:pt idx="26">
                  <c:v>4972.0383261780717</c:v>
                </c:pt>
                <c:pt idx="27">
                  <c:v>5053.6294341179055</c:v>
                </c:pt>
                <c:pt idx="28">
                  <c:v>5130.1543737009488</c:v>
                </c:pt>
                <c:pt idx="29">
                  <c:v>5201.899109617043</c:v>
                </c:pt>
                <c:pt idx="30">
                  <c:v>5269.1372465933418</c:v>
                </c:pt>
                <c:pt idx="31">
                  <c:v>5332.1300299392569</c:v>
                </c:pt>
                <c:pt idx="32">
                  <c:v>5391.1264413473782</c:v>
                </c:pt>
                <c:pt idx="33">
                  <c:v>5446.3633735382882</c:v>
                </c:pt>
                <c:pt idx="34">
                  <c:v>5498.0658693129735</c:v>
                </c:pt>
                <c:pt idx="35">
                  <c:v>5546.4474123803666</c:v>
                </c:pt>
                <c:pt idx="36">
                  <c:v>5591.7102589641581</c:v>
                </c:pt>
              </c:numCache>
            </c:numRef>
          </c:val>
          <c:smooth val="0"/>
          <c:extLst>
            <c:ext xmlns:c16="http://schemas.microsoft.com/office/drawing/2014/chart" uri="{C3380CC4-5D6E-409C-BE32-E72D297353CC}">
              <c16:uniqueId val="{00000001-0624-4F44-838D-D450128C2BB0}"/>
            </c:ext>
          </c:extLst>
        </c:ser>
        <c:dLbls>
          <c:showLegendKey val="0"/>
          <c:showVal val="0"/>
          <c:showCatName val="0"/>
          <c:showSerName val="0"/>
          <c:showPercent val="0"/>
          <c:showBubbleSize val="0"/>
        </c:dLbls>
        <c:smooth val="0"/>
        <c:axId val="1070903535"/>
        <c:axId val="1070904015"/>
        <c:extLst>
          <c:ext xmlns:c15="http://schemas.microsoft.com/office/drawing/2012/chart" uri="{02D57815-91ED-43cb-92C2-25804820EDAC}">
            <c15:filteredLineSeries>
              <c15:ser>
                <c:idx val="2"/>
                <c:order val="2"/>
                <c:tx>
                  <c:strRef>
                    <c:extLst>
                      <c:ext uri="{02D57815-91ED-43cb-92C2-25804820EDAC}">
                        <c15:formulaRef>
                          <c15:sqref>'Deal Structure'!$L$45</c15:sqref>
                        </c15:formulaRef>
                      </c:ext>
                    </c:extLst>
                    <c:strCache>
                      <c:ptCount val="1"/>
                    </c:strCache>
                  </c:strRef>
                </c:tx>
                <c:spPr>
                  <a:ln w="28575" cap="rnd">
                    <a:solidFill>
                      <a:schemeClr val="accent3"/>
                    </a:solidFill>
                    <a:round/>
                  </a:ln>
                  <a:effectLst/>
                </c:spPr>
                <c:marker>
                  <c:symbol val="none"/>
                </c:marker>
                <c:cat>
                  <c:numRef>
                    <c:extLst>
                      <c:ext uri="{02D57815-91ED-43cb-92C2-25804820EDAC}">
                        <c15:formulaRef>
                          <c15:sqref>'Deal Structure'!$L$45:$AW$45</c15:sqref>
                        </c15:formulaRef>
                      </c:ext>
                    </c:extLst>
                    <c:numCache>
                      <c:formatCode>m/d/yyyy</c:formatCode>
                      <c:ptCount val="38"/>
                      <c:pt idx="1">
                        <c:v>45901</c:v>
                      </c:pt>
                      <c:pt idx="2">
                        <c:v>45930</c:v>
                      </c:pt>
                      <c:pt idx="3">
                        <c:v>45961</c:v>
                      </c:pt>
                      <c:pt idx="4">
                        <c:v>45991</c:v>
                      </c:pt>
                      <c:pt idx="5">
                        <c:v>46022</c:v>
                      </c:pt>
                      <c:pt idx="6">
                        <c:v>46053</c:v>
                      </c:pt>
                      <c:pt idx="7">
                        <c:v>46081</c:v>
                      </c:pt>
                      <c:pt idx="8">
                        <c:v>46112</c:v>
                      </c:pt>
                      <c:pt idx="9">
                        <c:v>46142</c:v>
                      </c:pt>
                      <c:pt idx="10">
                        <c:v>46173</c:v>
                      </c:pt>
                      <c:pt idx="11">
                        <c:v>46203</c:v>
                      </c:pt>
                      <c:pt idx="12">
                        <c:v>46234</c:v>
                      </c:pt>
                      <c:pt idx="13">
                        <c:v>46265</c:v>
                      </c:pt>
                      <c:pt idx="14">
                        <c:v>46295</c:v>
                      </c:pt>
                      <c:pt idx="15">
                        <c:v>46326</c:v>
                      </c:pt>
                      <c:pt idx="16">
                        <c:v>46356</c:v>
                      </c:pt>
                      <c:pt idx="17">
                        <c:v>46387</c:v>
                      </c:pt>
                      <c:pt idx="18">
                        <c:v>46418</c:v>
                      </c:pt>
                      <c:pt idx="19">
                        <c:v>46446</c:v>
                      </c:pt>
                      <c:pt idx="20">
                        <c:v>46477</c:v>
                      </c:pt>
                      <c:pt idx="21">
                        <c:v>46507</c:v>
                      </c:pt>
                      <c:pt idx="22">
                        <c:v>46538</c:v>
                      </c:pt>
                      <c:pt idx="23">
                        <c:v>46568</c:v>
                      </c:pt>
                      <c:pt idx="24">
                        <c:v>46599</c:v>
                      </c:pt>
                      <c:pt idx="25">
                        <c:v>46630</c:v>
                      </c:pt>
                      <c:pt idx="26">
                        <c:v>46660</c:v>
                      </c:pt>
                      <c:pt idx="27">
                        <c:v>46691</c:v>
                      </c:pt>
                      <c:pt idx="28">
                        <c:v>46721</c:v>
                      </c:pt>
                      <c:pt idx="29">
                        <c:v>46752</c:v>
                      </c:pt>
                      <c:pt idx="30">
                        <c:v>46783</c:v>
                      </c:pt>
                      <c:pt idx="31">
                        <c:v>46812</c:v>
                      </c:pt>
                      <c:pt idx="32">
                        <c:v>46843</c:v>
                      </c:pt>
                      <c:pt idx="33">
                        <c:v>46873</c:v>
                      </c:pt>
                      <c:pt idx="34">
                        <c:v>46904</c:v>
                      </c:pt>
                      <c:pt idx="35">
                        <c:v>46934</c:v>
                      </c:pt>
                      <c:pt idx="36">
                        <c:v>46965</c:v>
                      </c:pt>
                      <c:pt idx="37">
                        <c:v>46996</c:v>
                      </c:pt>
                    </c:numCache>
                  </c:numRef>
                </c:cat>
                <c:val>
                  <c:numRef>
                    <c:extLst>
                      <c:ext uri="{02D57815-91ED-43cb-92C2-25804820EDAC}">
                        <c15:formulaRef>
                          <c15:sqref>'Deal Structure'!$M$45:$AW$45</c15:sqref>
                        </c15:formulaRef>
                      </c:ext>
                    </c:extLst>
                    <c:numCache>
                      <c:formatCode>m/d/yyyy</c:formatCode>
                      <c:ptCount val="37"/>
                      <c:pt idx="0">
                        <c:v>45901</c:v>
                      </c:pt>
                      <c:pt idx="1">
                        <c:v>45930</c:v>
                      </c:pt>
                      <c:pt idx="2">
                        <c:v>45961</c:v>
                      </c:pt>
                      <c:pt idx="3">
                        <c:v>45991</c:v>
                      </c:pt>
                      <c:pt idx="4">
                        <c:v>46022</c:v>
                      </c:pt>
                      <c:pt idx="5">
                        <c:v>46053</c:v>
                      </c:pt>
                      <c:pt idx="6">
                        <c:v>46081</c:v>
                      </c:pt>
                      <c:pt idx="7">
                        <c:v>46112</c:v>
                      </c:pt>
                      <c:pt idx="8">
                        <c:v>46142</c:v>
                      </c:pt>
                      <c:pt idx="9">
                        <c:v>46173</c:v>
                      </c:pt>
                      <c:pt idx="10">
                        <c:v>46203</c:v>
                      </c:pt>
                      <c:pt idx="11">
                        <c:v>46234</c:v>
                      </c:pt>
                      <c:pt idx="12">
                        <c:v>46265</c:v>
                      </c:pt>
                      <c:pt idx="13">
                        <c:v>46295</c:v>
                      </c:pt>
                      <c:pt idx="14">
                        <c:v>46326</c:v>
                      </c:pt>
                      <c:pt idx="15">
                        <c:v>46356</c:v>
                      </c:pt>
                      <c:pt idx="16">
                        <c:v>46387</c:v>
                      </c:pt>
                      <c:pt idx="17">
                        <c:v>46418</c:v>
                      </c:pt>
                      <c:pt idx="18">
                        <c:v>46446</c:v>
                      </c:pt>
                      <c:pt idx="19">
                        <c:v>46477</c:v>
                      </c:pt>
                      <c:pt idx="20">
                        <c:v>46507</c:v>
                      </c:pt>
                      <c:pt idx="21">
                        <c:v>46538</c:v>
                      </c:pt>
                      <c:pt idx="22">
                        <c:v>46568</c:v>
                      </c:pt>
                      <c:pt idx="23">
                        <c:v>46599</c:v>
                      </c:pt>
                      <c:pt idx="24">
                        <c:v>46630</c:v>
                      </c:pt>
                      <c:pt idx="25">
                        <c:v>46660</c:v>
                      </c:pt>
                      <c:pt idx="26">
                        <c:v>46691</c:v>
                      </c:pt>
                      <c:pt idx="27">
                        <c:v>46721</c:v>
                      </c:pt>
                      <c:pt idx="28">
                        <c:v>46752</c:v>
                      </c:pt>
                      <c:pt idx="29">
                        <c:v>46783</c:v>
                      </c:pt>
                      <c:pt idx="30">
                        <c:v>46812</c:v>
                      </c:pt>
                      <c:pt idx="31">
                        <c:v>46843</c:v>
                      </c:pt>
                      <c:pt idx="32">
                        <c:v>46873</c:v>
                      </c:pt>
                      <c:pt idx="33">
                        <c:v>46904</c:v>
                      </c:pt>
                      <c:pt idx="34">
                        <c:v>46934</c:v>
                      </c:pt>
                      <c:pt idx="35">
                        <c:v>46965</c:v>
                      </c:pt>
                      <c:pt idx="36">
                        <c:v>46996</c:v>
                      </c:pt>
                    </c:numCache>
                  </c:numRef>
                </c:val>
                <c:smooth val="0"/>
                <c:extLst>
                  <c:ext xmlns:c16="http://schemas.microsoft.com/office/drawing/2014/chart" uri="{C3380CC4-5D6E-409C-BE32-E72D297353CC}">
                    <c16:uniqueId val="{00000002-0624-4F44-838D-D450128C2BB0}"/>
                  </c:ext>
                </c:extLst>
              </c15:ser>
            </c15:filteredLineSeries>
          </c:ext>
        </c:extLst>
      </c:lineChart>
      <c:dateAx>
        <c:axId val="1070903535"/>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4015"/>
        <c:crosses val="autoZero"/>
        <c:auto val="0"/>
        <c:lblOffset val="100"/>
        <c:baseTimeUnit val="months"/>
        <c:majorUnit val="3"/>
        <c:majorTimeUnit val="months"/>
      </c:dateAx>
      <c:valAx>
        <c:axId val="1070904015"/>
        <c:scaling>
          <c:orientation val="minMax"/>
          <c:max val="50000"/>
          <c:min val="-25000"/>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3535"/>
        <c:crossesAt val="4590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235026</xdr:colOff>
      <xdr:row>3</xdr:row>
      <xdr:rowOff>36829</xdr:rowOff>
    </xdr:from>
    <xdr:to>
      <xdr:col>10</xdr:col>
      <xdr:colOff>1315374</xdr:colOff>
      <xdr:row>15</xdr:row>
      <xdr:rowOff>82761</xdr:rowOff>
    </xdr:to>
    <xdr:graphicFrame macro="">
      <xdr:nvGraphicFramePr>
        <xdr:cNvPr id="4" name="Chart 3">
          <a:extLst>
            <a:ext uri="{FF2B5EF4-FFF2-40B4-BE49-F238E27FC236}">
              <a16:creationId xmlns:a16="http://schemas.microsoft.com/office/drawing/2014/main" id="{88F0084D-449F-7018-BE7B-4C6F63B23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272101</xdr:colOff>
      <xdr:row>45</xdr:row>
      <xdr:rowOff>98619</xdr:rowOff>
    </xdr:from>
    <xdr:to>
      <xdr:col>10</xdr:col>
      <xdr:colOff>111776</xdr:colOff>
      <xdr:row>57</xdr:row>
      <xdr:rowOff>160620</xdr:rowOff>
    </xdr:to>
    <xdr:sp macro="" textlink="">
      <xdr:nvSpPr>
        <xdr:cNvPr id="5" name="TextBox 4">
          <a:extLst>
            <a:ext uri="{FF2B5EF4-FFF2-40B4-BE49-F238E27FC236}">
              <a16:creationId xmlns:a16="http://schemas.microsoft.com/office/drawing/2014/main" id="{DA277E06-4497-27CC-0A59-0F2B117BADC9}"/>
            </a:ext>
          </a:extLst>
        </xdr:cNvPr>
        <xdr:cNvSpPr txBox="1"/>
      </xdr:nvSpPr>
      <xdr:spPr>
        <a:xfrm>
          <a:off x="6716813" y="8816416"/>
          <a:ext cx="6206895" cy="23867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a:t>Main things to do to represent Mining results</a:t>
          </a:r>
          <a:r>
            <a:rPr lang="en-US" sz="1400" baseline="0"/>
            <a:t> better:</a:t>
          </a:r>
          <a:br>
            <a:rPr lang="en-US" sz="1400" baseline="0"/>
          </a:br>
          <a:r>
            <a:rPr lang="en-US" sz="1400" baseline="0"/>
            <a:t>1. Inlcude the volatility of bitcoin price and difficulty to see how that may impact mining vs holding profits. Make difficulty grow more linearly on macro level compared to bitcoin, when bitcoin price has merchant behaviors that lead to fear and greed influencing the price more, but still less so with institutional adoption.</a:t>
          </a:r>
          <a:br>
            <a:rPr lang="en-US" sz="1400" baseline="0"/>
          </a:br>
          <a:endParaRPr lang="en-US" sz="1400" baseline="0"/>
        </a:p>
        <a:p>
          <a:r>
            <a:rPr lang="en-US" sz="1400" baseline="0"/>
            <a:t>2. Adjust difficulty and price growth formulas so that the difficulty trend line does not react to when bitcoin pumps or dumps so but has a delayed correlation to bitcoin price that it tracks. </a:t>
          </a:r>
          <a:endParaRPr lang="en-US" sz="1400"/>
        </a:p>
      </xdr:txBody>
    </xdr:sp>
    <xdr:clientData/>
  </xdr:twoCellAnchor>
  <xdr:twoCellAnchor editAs="oneCell">
    <xdr:from>
      <xdr:col>0</xdr:col>
      <xdr:colOff>67368</xdr:colOff>
      <xdr:row>45</xdr:row>
      <xdr:rowOff>0</xdr:rowOff>
    </xdr:from>
    <xdr:to>
      <xdr:col>3</xdr:col>
      <xdr:colOff>941998</xdr:colOff>
      <xdr:row>63</xdr:row>
      <xdr:rowOff>123133</xdr:rowOff>
    </xdr:to>
    <xdr:pic>
      <xdr:nvPicPr>
        <xdr:cNvPr id="6" name="Picture 5">
          <a:extLst>
            <a:ext uri="{FF2B5EF4-FFF2-40B4-BE49-F238E27FC236}">
              <a16:creationId xmlns:a16="http://schemas.microsoft.com/office/drawing/2014/main" id="{68404CE8-C518-27B2-9C22-D6F275A3EF52}"/>
            </a:ext>
          </a:extLst>
        </xdr:cNvPr>
        <xdr:cNvPicPr>
          <a:picLocks noChangeAspect="1"/>
        </xdr:cNvPicPr>
      </xdr:nvPicPr>
      <xdr:blipFill>
        <a:blip xmlns:r="http://schemas.openxmlformats.org/officeDocument/2006/relationships" r:embed="rId2"/>
        <a:stretch>
          <a:fillRect/>
        </a:stretch>
      </xdr:blipFill>
      <xdr:spPr>
        <a:xfrm>
          <a:off x="67368" y="9351818"/>
          <a:ext cx="6366399" cy="38619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235026</xdr:colOff>
      <xdr:row>3</xdr:row>
      <xdr:rowOff>36829</xdr:rowOff>
    </xdr:from>
    <xdr:to>
      <xdr:col>10</xdr:col>
      <xdr:colOff>609600</xdr:colOff>
      <xdr:row>15</xdr:row>
      <xdr:rowOff>82761</xdr:rowOff>
    </xdr:to>
    <xdr:graphicFrame macro="">
      <xdr:nvGraphicFramePr>
        <xdr:cNvPr id="2" name="Chart 1">
          <a:extLst>
            <a:ext uri="{FF2B5EF4-FFF2-40B4-BE49-F238E27FC236}">
              <a16:creationId xmlns:a16="http://schemas.microsoft.com/office/drawing/2014/main" id="{8554A930-BE8C-4949-8666-82638C8A7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hashrateindex.com/network-data/bitcoin-hashprice-inde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029"/>
  <sheetViews>
    <sheetView showGridLines="0" tabSelected="1" topLeftCell="A13" zoomScale="59" zoomScaleNormal="55" workbookViewId="0">
      <selection activeCell="C37" sqref="C37"/>
    </sheetView>
  </sheetViews>
  <sheetFormatPr defaultColWidth="14.44140625" defaultRowHeight="15" customHeight="1" x14ac:dyDescent="0.3"/>
  <cols>
    <col min="1" max="1" width="27.5546875" customWidth="1"/>
    <col min="2" max="2" width="17.88671875" bestFit="1" customWidth="1"/>
    <col min="3" max="3" width="34.5546875" bestFit="1" customWidth="1"/>
    <col min="4" max="4" width="14.109375" customWidth="1"/>
    <col min="5" max="5" width="27.21875" customWidth="1"/>
    <col min="6" max="6" width="17.5546875" customWidth="1"/>
    <col min="7" max="7" width="38.109375" customWidth="1"/>
    <col min="8" max="8" width="3.109375" customWidth="1"/>
    <col min="9" max="9" width="4.33203125" customWidth="1"/>
    <col min="10" max="10" width="2.44140625" customWidth="1"/>
    <col min="11" max="11" width="22.21875" customWidth="1"/>
    <col min="12" max="12" width="22.6640625" bestFit="1" customWidth="1"/>
    <col min="13" max="13" width="20.77734375" customWidth="1"/>
    <col min="14" max="14" width="25.109375" customWidth="1"/>
    <col min="15" max="44" width="12" bestFit="1" customWidth="1"/>
    <col min="45" max="49" width="12.6640625" bestFit="1" customWidth="1"/>
  </cols>
  <sheetData>
    <row r="1" spans="1:49" ht="15.6" x14ac:dyDescent="0.3">
      <c r="A1" s="166" t="s">
        <v>45</v>
      </c>
      <c r="B1" s="167"/>
      <c r="C1" s="57" t="s">
        <v>44</v>
      </c>
      <c r="I1" s="117"/>
      <c r="J1" s="117"/>
      <c r="K1" s="163"/>
      <c r="L1" s="1"/>
      <c r="M1" s="2">
        <v>0</v>
      </c>
      <c r="N1" s="2">
        <f t="shared" ref="N1:AW1" si="0">M1+1</f>
        <v>1</v>
      </c>
      <c r="O1" s="2">
        <f t="shared" si="0"/>
        <v>2</v>
      </c>
      <c r="P1" s="2">
        <f t="shared" si="0"/>
        <v>3</v>
      </c>
      <c r="Q1" s="2">
        <f t="shared" si="0"/>
        <v>4</v>
      </c>
      <c r="R1" s="2">
        <f t="shared" si="0"/>
        <v>5</v>
      </c>
      <c r="S1" s="2">
        <f t="shared" si="0"/>
        <v>6</v>
      </c>
      <c r="T1" s="2">
        <f t="shared" si="0"/>
        <v>7</v>
      </c>
      <c r="U1" s="2">
        <f t="shared" si="0"/>
        <v>8</v>
      </c>
      <c r="V1" s="2">
        <f t="shared" si="0"/>
        <v>9</v>
      </c>
      <c r="W1" s="2">
        <f t="shared" si="0"/>
        <v>10</v>
      </c>
      <c r="X1" s="2">
        <f t="shared" si="0"/>
        <v>11</v>
      </c>
      <c r="Y1" s="2">
        <f t="shared" si="0"/>
        <v>12</v>
      </c>
      <c r="Z1" s="2">
        <f t="shared" si="0"/>
        <v>13</v>
      </c>
      <c r="AA1" s="2">
        <f t="shared" si="0"/>
        <v>14</v>
      </c>
      <c r="AB1" s="2">
        <f t="shared" si="0"/>
        <v>15</v>
      </c>
      <c r="AC1" s="2">
        <f t="shared" si="0"/>
        <v>16</v>
      </c>
      <c r="AD1" s="2">
        <f t="shared" si="0"/>
        <v>17</v>
      </c>
      <c r="AE1" s="2">
        <f t="shared" si="0"/>
        <v>18</v>
      </c>
      <c r="AF1" s="2">
        <f t="shared" si="0"/>
        <v>19</v>
      </c>
      <c r="AG1" s="2">
        <f t="shared" si="0"/>
        <v>20</v>
      </c>
      <c r="AH1" s="2">
        <f t="shared" si="0"/>
        <v>21</v>
      </c>
      <c r="AI1" s="2">
        <f t="shared" si="0"/>
        <v>22</v>
      </c>
      <c r="AJ1" s="2">
        <f t="shared" si="0"/>
        <v>23</v>
      </c>
      <c r="AK1" s="2">
        <f t="shared" si="0"/>
        <v>24</v>
      </c>
      <c r="AL1" s="2">
        <f t="shared" si="0"/>
        <v>25</v>
      </c>
      <c r="AM1" s="2">
        <f t="shared" si="0"/>
        <v>26</v>
      </c>
      <c r="AN1" s="2">
        <f t="shared" si="0"/>
        <v>27</v>
      </c>
      <c r="AO1" s="2">
        <f t="shared" si="0"/>
        <v>28</v>
      </c>
      <c r="AP1" s="2">
        <f t="shared" si="0"/>
        <v>29</v>
      </c>
      <c r="AQ1" s="2">
        <f t="shared" si="0"/>
        <v>30</v>
      </c>
      <c r="AR1" s="2">
        <f t="shared" si="0"/>
        <v>31</v>
      </c>
      <c r="AS1" s="2">
        <f t="shared" si="0"/>
        <v>32</v>
      </c>
      <c r="AT1" s="2">
        <f t="shared" si="0"/>
        <v>33</v>
      </c>
      <c r="AU1" s="2">
        <f t="shared" si="0"/>
        <v>34</v>
      </c>
      <c r="AV1" s="2">
        <f t="shared" si="0"/>
        <v>35</v>
      </c>
      <c r="AW1" s="2">
        <f t="shared" si="0"/>
        <v>36</v>
      </c>
    </row>
    <row r="2" spans="1:49" ht="15.6" x14ac:dyDescent="0.3">
      <c r="A2" s="50" t="s">
        <v>27</v>
      </c>
      <c r="B2" s="68">
        <v>1</v>
      </c>
      <c r="C2" s="69"/>
      <c r="D2" s="27"/>
      <c r="E2" s="27"/>
      <c r="F2" s="27"/>
      <c r="I2" s="117"/>
      <c r="J2" s="117"/>
      <c r="K2" s="163"/>
      <c r="L2" s="1"/>
      <c r="M2" s="3">
        <f>B17</f>
        <v>45901</v>
      </c>
      <c r="N2" s="3">
        <f>EOMONTH(M2,0)</f>
        <v>45930</v>
      </c>
      <c r="O2" s="3">
        <f t="shared" ref="O2:AW2" si="1">EOMONTH(N2,1)</f>
        <v>45961</v>
      </c>
      <c r="P2" s="3">
        <f t="shared" si="1"/>
        <v>45991</v>
      </c>
      <c r="Q2" s="3">
        <f t="shared" si="1"/>
        <v>46022</v>
      </c>
      <c r="R2" s="3">
        <f t="shared" si="1"/>
        <v>46053</v>
      </c>
      <c r="S2" s="3">
        <f t="shared" si="1"/>
        <v>46081</v>
      </c>
      <c r="T2" s="3">
        <f t="shared" si="1"/>
        <v>46112</v>
      </c>
      <c r="U2" s="3">
        <f t="shared" si="1"/>
        <v>46142</v>
      </c>
      <c r="V2" s="3">
        <f t="shared" si="1"/>
        <v>46173</v>
      </c>
      <c r="W2" s="3">
        <f t="shared" si="1"/>
        <v>46203</v>
      </c>
      <c r="X2" s="3">
        <f t="shared" si="1"/>
        <v>46234</v>
      </c>
      <c r="Y2" s="3">
        <f t="shared" si="1"/>
        <v>46265</v>
      </c>
      <c r="Z2" s="3">
        <f t="shared" si="1"/>
        <v>46295</v>
      </c>
      <c r="AA2" s="3">
        <f t="shared" si="1"/>
        <v>46326</v>
      </c>
      <c r="AB2" s="3">
        <f t="shared" si="1"/>
        <v>46356</v>
      </c>
      <c r="AC2" s="3">
        <f t="shared" si="1"/>
        <v>46387</v>
      </c>
      <c r="AD2" s="3">
        <f t="shared" si="1"/>
        <v>46418</v>
      </c>
      <c r="AE2" s="3">
        <f t="shared" si="1"/>
        <v>46446</v>
      </c>
      <c r="AF2" s="3">
        <f t="shared" si="1"/>
        <v>46477</v>
      </c>
      <c r="AG2" s="3">
        <f t="shared" si="1"/>
        <v>46507</v>
      </c>
      <c r="AH2" s="3">
        <f t="shared" si="1"/>
        <v>46538</v>
      </c>
      <c r="AI2" s="3">
        <f t="shared" si="1"/>
        <v>46568</v>
      </c>
      <c r="AJ2" s="3">
        <f t="shared" si="1"/>
        <v>46599</v>
      </c>
      <c r="AK2" s="3">
        <f t="shared" si="1"/>
        <v>46630</v>
      </c>
      <c r="AL2" s="3">
        <f t="shared" si="1"/>
        <v>46660</v>
      </c>
      <c r="AM2" s="3">
        <f t="shared" si="1"/>
        <v>46691</v>
      </c>
      <c r="AN2" s="3">
        <f t="shared" si="1"/>
        <v>46721</v>
      </c>
      <c r="AO2" s="3">
        <f t="shared" si="1"/>
        <v>46752</v>
      </c>
      <c r="AP2" s="3">
        <f t="shared" si="1"/>
        <v>46783</v>
      </c>
      <c r="AQ2" s="3">
        <f t="shared" si="1"/>
        <v>46812</v>
      </c>
      <c r="AR2" s="3">
        <f t="shared" si="1"/>
        <v>46843</v>
      </c>
      <c r="AS2" s="3">
        <f t="shared" si="1"/>
        <v>46873</v>
      </c>
      <c r="AT2" s="3">
        <f t="shared" si="1"/>
        <v>46904</v>
      </c>
      <c r="AU2" s="3">
        <f t="shared" si="1"/>
        <v>46934</v>
      </c>
      <c r="AV2" s="3">
        <f t="shared" si="1"/>
        <v>46965</v>
      </c>
      <c r="AW2" s="3">
        <f t="shared" si="1"/>
        <v>46996</v>
      </c>
    </row>
    <row r="3" spans="1:49" ht="15.6" x14ac:dyDescent="0.3">
      <c r="A3" s="51" t="s">
        <v>28</v>
      </c>
      <c r="B3" s="69">
        <v>500</v>
      </c>
      <c r="C3" s="69"/>
      <c r="D3" s="27"/>
      <c r="E3" s="27"/>
      <c r="F3" s="27"/>
      <c r="I3" s="118"/>
      <c r="J3" s="117"/>
      <c r="K3" s="4"/>
      <c r="L3" s="35" t="s">
        <v>0</v>
      </c>
      <c r="M3" s="36"/>
      <c r="N3" s="36">
        <v>31</v>
      </c>
      <c r="O3" s="36">
        <f>O2-N2</f>
        <v>31</v>
      </c>
      <c r="P3" s="36">
        <f t="shared" ref="P3:AW3" si="2">P2-O2</f>
        <v>30</v>
      </c>
      <c r="Q3" s="36">
        <f t="shared" si="2"/>
        <v>31</v>
      </c>
      <c r="R3" s="36">
        <f t="shared" si="2"/>
        <v>31</v>
      </c>
      <c r="S3" s="36">
        <f t="shared" si="2"/>
        <v>28</v>
      </c>
      <c r="T3" s="36">
        <f t="shared" si="2"/>
        <v>31</v>
      </c>
      <c r="U3" s="36">
        <f t="shared" si="2"/>
        <v>30</v>
      </c>
      <c r="V3" s="36">
        <f t="shared" si="2"/>
        <v>31</v>
      </c>
      <c r="W3" s="36">
        <f t="shared" si="2"/>
        <v>30</v>
      </c>
      <c r="X3" s="36">
        <f t="shared" si="2"/>
        <v>31</v>
      </c>
      <c r="Y3" s="36">
        <f t="shared" si="2"/>
        <v>31</v>
      </c>
      <c r="Z3" s="36">
        <f t="shared" si="2"/>
        <v>30</v>
      </c>
      <c r="AA3" s="36">
        <f t="shared" si="2"/>
        <v>31</v>
      </c>
      <c r="AB3" s="36">
        <f t="shared" si="2"/>
        <v>30</v>
      </c>
      <c r="AC3" s="36">
        <f t="shared" si="2"/>
        <v>31</v>
      </c>
      <c r="AD3" s="36">
        <f t="shared" si="2"/>
        <v>31</v>
      </c>
      <c r="AE3" s="36">
        <f t="shared" si="2"/>
        <v>28</v>
      </c>
      <c r="AF3" s="36">
        <f t="shared" si="2"/>
        <v>31</v>
      </c>
      <c r="AG3" s="36">
        <f t="shared" si="2"/>
        <v>30</v>
      </c>
      <c r="AH3" s="36">
        <f t="shared" si="2"/>
        <v>31</v>
      </c>
      <c r="AI3" s="36">
        <f t="shared" si="2"/>
        <v>30</v>
      </c>
      <c r="AJ3" s="36">
        <f t="shared" si="2"/>
        <v>31</v>
      </c>
      <c r="AK3" s="36">
        <f t="shared" si="2"/>
        <v>31</v>
      </c>
      <c r="AL3" s="36">
        <f t="shared" si="2"/>
        <v>30</v>
      </c>
      <c r="AM3" s="36">
        <f t="shared" si="2"/>
        <v>31</v>
      </c>
      <c r="AN3" s="36">
        <f t="shared" si="2"/>
        <v>30</v>
      </c>
      <c r="AO3" s="36">
        <f t="shared" si="2"/>
        <v>31</v>
      </c>
      <c r="AP3" s="36">
        <f t="shared" si="2"/>
        <v>31</v>
      </c>
      <c r="AQ3" s="36">
        <f t="shared" si="2"/>
        <v>29</v>
      </c>
      <c r="AR3" s="36">
        <f t="shared" si="2"/>
        <v>31</v>
      </c>
      <c r="AS3" s="36">
        <f t="shared" si="2"/>
        <v>30</v>
      </c>
      <c r="AT3" s="36">
        <f t="shared" si="2"/>
        <v>31</v>
      </c>
      <c r="AU3" s="36">
        <f t="shared" si="2"/>
        <v>30</v>
      </c>
      <c r="AV3" s="36">
        <f t="shared" si="2"/>
        <v>31</v>
      </c>
      <c r="AW3" s="36">
        <f t="shared" si="2"/>
        <v>31</v>
      </c>
    </row>
    <row r="4" spans="1:49" ht="15.6" x14ac:dyDescent="0.3">
      <c r="A4" s="51" t="s">
        <v>29</v>
      </c>
      <c r="B4" s="70">
        <v>15</v>
      </c>
      <c r="C4" s="69"/>
      <c r="D4" s="28"/>
      <c r="E4" s="28"/>
      <c r="F4" s="28"/>
      <c r="I4" s="170"/>
      <c r="J4" s="170"/>
      <c r="K4" s="4"/>
      <c r="L4" s="5" t="s">
        <v>1</v>
      </c>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ht="15.6" x14ac:dyDescent="0.3">
      <c r="A5" s="51" t="s">
        <v>30</v>
      </c>
      <c r="B5" s="71">
        <v>14.9</v>
      </c>
      <c r="C5" s="69"/>
      <c r="D5" s="29"/>
      <c r="E5" s="29"/>
      <c r="F5" s="29"/>
      <c r="I5" s="117"/>
      <c r="J5" s="119"/>
      <c r="K5" s="4"/>
      <c r="L5" s="7" t="s">
        <v>2</v>
      </c>
      <c r="M5" s="108">
        <f t="shared" ref="M5:AR5" si="3">IF(M2&lt;$B$19,$B$20,$B$2)</f>
        <v>3.125</v>
      </c>
      <c r="N5" s="108">
        <f t="shared" si="3"/>
        <v>3.125</v>
      </c>
      <c r="O5" s="108">
        <f t="shared" si="3"/>
        <v>3.125</v>
      </c>
      <c r="P5" s="108">
        <f t="shared" si="3"/>
        <v>3.125</v>
      </c>
      <c r="Q5" s="108">
        <f t="shared" si="3"/>
        <v>3.125</v>
      </c>
      <c r="R5" s="108">
        <f t="shared" si="3"/>
        <v>3.125</v>
      </c>
      <c r="S5" s="108">
        <f t="shared" si="3"/>
        <v>3.125</v>
      </c>
      <c r="T5" s="108">
        <f t="shared" si="3"/>
        <v>3.125</v>
      </c>
      <c r="U5" s="108">
        <f t="shared" si="3"/>
        <v>3.125</v>
      </c>
      <c r="V5" s="108">
        <f t="shared" si="3"/>
        <v>3.125</v>
      </c>
      <c r="W5" s="108">
        <f t="shared" si="3"/>
        <v>3.125</v>
      </c>
      <c r="X5" s="108">
        <f t="shared" si="3"/>
        <v>3.125</v>
      </c>
      <c r="Y5" s="108">
        <f t="shared" si="3"/>
        <v>3.125</v>
      </c>
      <c r="Z5" s="108">
        <f t="shared" si="3"/>
        <v>3.125</v>
      </c>
      <c r="AA5" s="108">
        <f t="shared" si="3"/>
        <v>3.125</v>
      </c>
      <c r="AB5" s="108">
        <f t="shared" si="3"/>
        <v>3.125</v>
      </c>
      <c r="AC5" s="108">
        <f t="shared" si="3"/>
        <v>3.125</v>
      </c>
      <c r="AD5" s="108">
        <f t="shared" si="3"/>
        <v>3.125</v>
      </c>
      <c r="AE5" s="108">
        <f t="shared" si="3"/>
        <v>3.125</v>
      </c>
      <c r="AF5" s="108">
        <f t="shared" si="3"/>
        <v>3.125</v>
      </c>
      <c r="AG5" s="108">
        <f t="shared" si="3"/>
        <v>3.125</v>
      </c>
      <c r="AH5" s="108">
        <f t="shared" si="3"/>
        <v>3.125</v>
      </c>
      <c r="AI5" s="108">
        <f t="shared" si="3"/>
        <v>3.125</v>
      </c>
      <c r="AJ5" s="108">
        <f t="shared" si="3"/>
        <v>3.125</v>
      </c>
      <c r="AK5" s="108">
        <f t="shared" si="3"/>
        <v>3.125</v>
      </c>
      <c r="AL5" s="108">
        <f t="shared" si="3"/>
        <v>3.125</v>
      </c>
      <c r="AM5" s="108">
        <f t="shared" si="3"/>
        <v>3.125</v>
      </c>
      <c r="AN5" s="108">
        <f t="shared" si="3"/>
        <v>3.125</v>
      </c>
      <c r="AO5" s="108">
        <f t="shared" si="3"/>
        <v>3.125</v>
      </c>
      <c r="AP5" s="108">
        <f t="shared" si="3"/>
        <v>3.125</v>
      </c>
      <c r="AQ5" s="108">
        <f t="shared" si="3"/>
        <v>3.125</v>
      </c>
      <c r="AR5" s="108">
        <f t="shared" si="3"/>
        <v>3.125</v>
      </c>
      <c r="AS5" s="108">
        <f>IF(AS2&lt;$B$19,$B$20,$B$21)</f>
        <v>1.5625</v>
      </c>
      <c r="AT5" s="108">
        <f>IF(AT2&lt;$B$19,$B$20,$B$21)</f>
        <v>1.5625</v>
      </c>
      <c r="AU5" s="108">
        <f>IF(AU2&lt;$B$19,$B$20,$B$21)</f>
        <v>1.5625</v>
      </c>
      <c r="AV5" s="108">
        <f>IF(AV2&lt;$B$19,$B$20,$B$21)</f>
        <v>1.5625</v>
      </c>
      <c r="AW5" s="108">
        <f>IF(AW2&lt;$B$19,$B$20,$B$21)</f>
        <v>1.5625</v>
      </c>
    </row>
    <row r="6" spans="1:49" ht="15.6" x14ac:dyDescent="0.3">
      <c r="A6" s="60" t="s">
        <v>65</v>
      </c>
      <c r="B6" s="74">
        <v>25</v>
      </c>
      <c r="C6" s="69"/>
      <c r="D6" s="30"/>
      <c r="E6" s="30"/>
      <c r="F6" s="30"/>
      <c r="I6" s="117"/>
      <c r="J6" s="120"/>
      <c r="K6" s="4"/>
      <c r="L6" s="106" t="s">
        <v>3</v>
      </c>
      <c r="M6" s="107">
        <f>B12</f>
        <v>111836.4</v>
      </c>
      <c r="N6" s="107">
        <f>$M$6 * EXP( ($B$24/$B$25) * (1 - EXP(-$B$25*(COLUMNS($M7:N7)-1))) )</f>
        <v>116129.20291041664</v>
      </c>
      <c r="O6" s="107">
        <f>$M$6 * EXP( ($B$24/$B$25) * (1 - EXP(-$B$25*(COLUMNS($M7:O7)-1))) )</f>
        <v>120280.10307976264</v>
      </c>
      <c r="P6" s="107">
        <f>$M$6 * EXP( ($B$24/$B$25) * (1 - EXP(-$B$25*(COLUMNS($M7:P7)-1))) )</f>
        <v>124283.93215580931</v>
      </c>
      <c r="Q6" s="107">
        <f>$M$6 * EXP( ($B$24/$B$25) * (1 - EXP(-$B$25*(COLUMNS($M7:Q7)-1))) )</f>
        <v>128137.05498728261</v>
      </c>
      <c r="R6" s="107">
        <f>$M$6 * EXP( ($B$24/$B$25) * (1 - EXP(-$B$25*(COLUMNS($M7:R7)-1))) )</f>
        <v>131837.22405990888</v>
      </c>
      <c r="S6" s="107">
        <f>$M$6 * EXP( ($B$24/$B$25) * (1 - EXP(-$B$25*(COLUMNS($M7:S7)-1))) )</f>
        <v>135383.43391937518</v>
      </c>
      <c r="T6" s="107">
        <f>$M$6 * EXP( ($B$24/$B$25) * (1 - EXP(-$B$25*(COLUMNS($M7:T7)-1))) )</f>
        <v>138775.7785404567</v>
      </c>
      <c r="U6" s="107">
        <f>$M$6 * EXP( ($B$24/$B$25) * (1 - EXP(-$B$25*(COLUMNS($M7:U7)-1))) )</f>
        <v>142015.31393660954</v>
      </c>
      <c r="V6" s="107">
        <f>$M$6 * EXP( ($B$24/$B$25) * (1 - EXP(-$B$25*(COLUMNS($M7:V7)-1))) )</f>
        <v>145103.92771791565</v>
      </c>
      <c r="W6" s="107">
        <f>$M$6 * EXP( ($B$24/$B$25) * (1 - EXP(-$B$25*(COLUMNS($M7:W7)-1))) )</f>
        <v>148044.21679908724</v>
      </c>
      <c r="X6" s="107">
        <f>$M$6 * EXP( ($B$24/$B$25) * (1 - EXP(-$B$25*(COLUMNS($M7:X7)-1))) )</f>
        <v>150839.37403121678</v>
      </c>
      <c r="Y6" s="107">
        <f>$M$6 * EXP( ($B$24/$B$25) * (1 - EXP(-$B$25*(COLUMNS($M7:Y7)-1))) )</f>
        <v>153493.08417644529</v>
      </c>
      <c r="Z6" s="107">
        <f>$M$6 * EXP( ($B$24/$B$25) * (1 - EXP(-$B$25*(COLUMNS($M7:Z7)-1))) )</f>
        <v>156009.42935743404</v>
      </c>
      <c r="AA6" s="107">
        <f>$M$6 * EXP( ($B$24/$B$25) * (1 - EXP(-$B$25*(COLUMNS($M7:AA7)-1))) )</f>
        <v>158392.80388629535</v>
      </c>
      <c r="AB6" s="107">
        <f>$M$6 * EXP( ($B$24/$B$25) * (1 - EXP(-$B$25*(COLUMNS($M7:AB7)-1))) )</f>
        <v>160647.83820296562</v>
      </c>
      <c r="AC6" s="107">
        <f>$M$6 * EXP( ($B$24/$B$25) * (1 - EXP(-$B$25*(COLUMNS($M7:AC7)-1))) )</f>
        <v>162779.33152347759</v>
      </c>
      <c r="AD6" s="107">
        <f>$M$6 * EXP( ($B$24/$B$25) * (1 - EXP(-$B$25*(COLUMNS($M7:AD7)-1))) )</f>
        <v>164792.1927071492</v>
      </c>
      <c r="AE6" s="107">
        <f>$M$6 * EXP( ($B$24/$B$25) * (1 - EXP(-$B$25*(COLUMNS($M7:AE7)-1))) )</f>
        <v>166691.38879184308</v>
      </c>
      <c r="AF6" s="107">
        <f>$M$6 * EXP( ($B$24/$B$25) * (1 - EXP(-$B$25*(COLUMNS($M7:AF7)-1))) )</f>
        <v>168481.90061229028</v>
      </c>
      <c r="AG6" s="107">
        <f>$M$6 * EXP( ($B$24/$B$25) * (1 - EXP(-$B$25*(COLUMNS($M7:AG7)-1))) )</f>
        <v>170168.68490282798</v>
      </c>
      <c r="AH6" s="107">
        <f>$M$6 * EXP( ($B$24/$B$25) * (1 - EXP(-$B$25*(COLUMNS($M7:AH7)-1))) )</f>
        <v>171756.64228827882</v>
      </c>
      <c r="AI6" s="107">
        <f>$M$6 * EXP( ($B$24/$B$25) * (1 - EXP(-$B$25*(COLUMNS($M7:AI7)-1))) )</f>
        <v>173250.59058125658</v>
      </c>
      <c r="AJ6" s="107">
        <f>$M$6 * EXP( ($B$24/$B$25) * (1 - EXP(-$B$25*(COLUMNS($M7:AJ7)-1))) )</f>
        <v>174655.24282769565</v>
      </c>
      <c r="AK6" s="107">
        <f>$M$6 * EXP( ($B$24/$B$25) * (1 - EXP(-$B$25*(COLUMNS($M7:AK7)-1))) )</f>
        <v>175975.18957220062</v>
      </c>
      <c r="AL6" s="107">
        <f>$M$6 * EXP( ($B$24/$B$25) * (1 - EXP(-$B$25*(COLUMNS($M7:AL7)-1))) )</f>
        <v>177214.88484872403</v>
      </c>
      <c r="AM6" s="107">
        <f>$M$6 * EXP( ($B$24/$B$25) * (1 - EXP(-$B$25*(COLUMNS($M7:AM7)-1))) )</f>
        <v>178378.63543835533</v>
      </c>
      <c r="AN6" s="107">
        <f>$M$6 * EXP( ($B$24/$B$25) * (1 - EXP(-$B$25*(COLUMNS($M7:AN7)-1))) )</f>
        <v>179470.59297328087</v>
      </c>
      <c r="AO6" s="107">
        <f>$M$6 * EXP( ($B$24/$B$25) * (1 - EXP(-$B$25*(COLUMNS($M7:AO7)-1))) )</f>
        <v>180494.74850318304</v>
      </c>
      <c r="AP6" s="107">
        <f>$M$6 * EXP( ($B$24/$B$25) * (1 - EXP(-$B$25*(COLUMNS($M7:AP7)-1))) )</f>
        <v>181454.92917670193</v>
      </c>
      <c r="AQ6" s="107">
        <f>$M$6 * EXP( ($B$24/$B$25) * (1 - EXP(-$B$25*(COLUMNS($M7:AQ7)-1))) )</f>
        <v>182354.79672550107</v>
      </c>
      <c r="AR6" s="107">
        <f>$M$6 * EXP( ($B$24/$B$25) * (1 - EXP(-$B$25*(COLUMNS($M7:AR7)-1))) )</f>
        <v>183197.84747156064</v>
      </c>
      <c r="AS6" s="107">
        <f>$M$6 * EXP( ($B$24/$B$25) * (1 - EXP(-$B$25*(COLUMNS($M7:AS7)-1))) )</f>
        <v>183987.41360930901</v>
      </c>
      <c r="AT6" s="107">
        <f>$M$6 * EXP( ($B$24/$B$25) * (1 - EXP(-$B$25*(COLUMNS($M7:AT7)-1))) )</f>
        <v>184726.66554294512</v>
      </c>
      <c r="AU6" s="107">
        <f>$M$6 * EXP( ($B$24/$B$25) * (1 - EXP(-$B$25*(COLUMNS($M7:AU7)-1))) )</f>
        <v>185418.61508574645</v>
      </c>
      <c r="AV6" s="107">
        <f>$M$6 * EXP( ($B$24/$B$25) * (1 - EXP(-$B$25*(COLUMNS($M7:AV7)-1))) )</f>
        <v>186066.11935229867</v>
      </c>
      <c r="AW6" s="107">
        <f>$M$6 * EXP( ($B$24/$B$25) * (1 - EXP(-$B$25*(COLUMNS($M7:AW7)-1))) )</f>
        <v>186671.88519648596</v>
      </c>
    </row>
    <row r="7" spans="1:49" ht="15.6" x14ac:dyDescent="0.3">
      <c r="A7" s="51" t="s">
        <v>31</v>
      </c>
      <c r="B7" s="72">
        <v>7.4999999999999997E-2</v>
      </c>
      <c r="C7" s="73"/>
      <c r="D7" s="28"/>
      <c r="E7" s="28"/>
      <c r="F7" s="28"/>
      <c r="I7" s="117"/>
      <c r="J7" s="121"/>
      <c r="K7" s="4"/>
      <c r="L7" s="7" t="s">
        <v>4</v>
      </c>
      <c r="M7" s="8">
        <f>B13*10^12</f>
        <v>129699999999999.98</v>
      </c>
      <c r="N7" s="9">
        <f>$M$7 * EXP( ($B$26/$B$27) * (1 - EXP(-$B$27*(COLUMNS($M7:N7)-1))) )</f>
        <v>134051518027796.03</v>
      </c>
      <c r="O7" s="9">
        <f>$M$7 * EXP( ($B$26/$B$27) * (1 - EXP(-$B$27*(COLUMNS($M7:O7)-1))) )</f>
        <v>138283027737713</v>
      </c>
      <c r="P7" s="9">
        <f>$M$7 * EXP( ($B$26/$B$27) * (1 - EXP(-$B$27*(COLUMNS($M7:P7)-1))) )</f>
        <v>142390170829625</v>
      </c>
      <c r="Q7" s="9">
        <f>$M$7 * EXP( ($B$26/$B$27) * (1 - EXP(-$B$27*(COLUMNS($M7:Q7)-1))) )</f>
        <v>146369605907428.41</v>
      </c>
      <c r="R7" s="9">
        <f>$M$7 * EXP( ($B$26/$B$27) * (1 - EXP(-$B$27*(COLUMNS($M7:R7)-1))) )</f>
        <v>150218930439144.03</v>
      </c>
      <c r="S7" s="9">
        <f>$M$7 * EXP( ($B$26/$B$27) * (1 - EXP(-$B$27*(COLUMNS($M7:S7)-1))) )</f>
        <v>153936601623585.5</v>
      </c>
      <c r="T7" s="9">
        <f>$M$7 * EXP( ($B$26/$B$27) * (1 - EXP(-$B$27*(COLUMNS($M7:T7)-1))) )</f>
        <v>157521857554472.97</v>
      </c>
      <c r="U7" s="9">
        <f>$M$7 * EXP( ($B$26/$B$27) * (1 - EXP(-$B$27*(COLUMNS($M7:U7)-1))) )</f>
        <v>160974639825494.78</v>
      </c>
      <c r="V7" s="9">
        <f>$M$7 * EXP( ($B$26/$B$27) * (1 - EXP(-$B$27*(COLUMNS($M7:V7)-1))) )</f>
        <v>164295518493929.59</v>
      </c>
      <c r="W7" s="9">
        <f>$M$7 * EXP( ($B$26/$B$27) * (1 - EXP(-$B$27*(COLUMNS($M7:W7)-1))) )</f>
        <v>167485620117628</v>
      </c>
      <c r="X7" s="9">
        <f>$M$7 * EXP( ($B$26/$B$27) * (1 - EXP(-$B$27*(COLUMNS($M7:X7)-1))) )</f>
        <v>170546559400922.88</v>
      </c>
      <c r="Y7" s="9">
        <f>$M$7 * EXP( ($B$26/$B$27) * (1 - EXP(-$B$27*(COLUMNS($M7:Y7)-1))) )</f>
        <v>173480374829027.03</v>
      </c>
      <c r="Z7" s="9">
        <f>$M$7 * EXP( ($B$26/$B$27) * (1 - EXP(-$B$27*(COLUMNS($M7:Z7)-1))) )</f>
        <v>176289468536714.81</v>
      </c>
      <c r="AA7" s="9">
        <f>$M$7 * EXP( ($B$26/$B$27) * (1 - EXP(-$B$27*(COLUMNS($M7:AA7)-1))) )</f>
        <v>178976550544161.19</v>
      </c>
      <c r="AB7" s="9">
        <f>$M$7 * EXP( ($B$26/$B$27) * (1 - EXP(-$B$27*(COLUMNS($M7:AB7)-1))) )</f>
        <v>181544587399041.16</v>
      </c>
      <c r="AC7" s="9">
        <f>$M$7 * EXP( ($B$26/$B$27) * (1 - EXP(-$B$27*(COLUMNS($M7:AC7)-1))) )</f>
        <v>183996755187540.78</v>
      </c>
      <c r="AD7" s="9">
        <f>$M$7 * EXP( ($B$26/$B$27) * (1 - EXP(-$B$27*(COLUMNS($M7:AD7)-1))) )</f>
        <v>186336396815905.56</v>
      </c>
      <c r="AE7" s="9">
        <f>$M$7 * EXP( ($B$26/$B$27) * (1 - EXP(-$B$27*(COLUMNS($M7:AE7)-1))) )</f>
        <v>188566983416681</v>
      </c>
      <c r="AF7" s="9">
        <f>$M$7 * EXP( ($B$26/$B$27) * (1 - EXP(-$B$27*(COLUMNS($M7:AF7)-1))) )</f>
        <v>190692079698084.03</v>
      </c>
      <c r="AG7" s="9">
        <f>$M$7 * EXP( ($B$26/$B$27) * (1 - EXP(-$B$27*(COLUMNS($M7:AG7)-1))) )</f>
        <v>192715313029288.53</v>
      </c>
      <c r="AH7" s="9">
        <f>$M$7 * EXP( ($B$26/$B$27) * (1 - EXP(-$B$27*(COLUMNS($M7:AH7)-1))) )</f>
        <v>194640346037254.5</v>
      </c>
      <c r="AI7" s="9">
        <f>$M$7 * EXP( ($B$26/$B$27) * (1 - EXP(-$B$27*(COLUMNS($M7:AI7)-1))) )</f>
        <v>196470852480662.81</v>
      </c>
      <c r="AJ7" s="9">
        <f>$M$7 * EXP( ($B$26/$B$27) * (1 - EXP(-$B$27*(COLUMNS($M7:AJ7)-1))) )</f>
        <v>198210496162264.69</v>
      </c>
      <c r="AK7" s="9">
        <f>$M$7 * EXP( ($B$26/$B$27) * (1 - EXP(-$B$27*(COLUMNS($M7:AK7)-1))) )</f>
        <v>199862912641404.88</v>
      </c>
      <c r="AL7" s="9">
        <f>$M$7 * EXP( ($B$26/$B$27) * (1 - EXP(-$B$27*(COLUMNS($M7:AL7)-1))) )</f>
        <v>201431693512646.31</v>
      </c>
      <c r="AM7" s="9">
        <f>$M$7 * EXP( ($B$26/$B$27) * (1 - EXP(-$B$27*(COLUMNS($M7:AM7)-1))) )</f>
        <v>202920373023472.94</v>
      </c>
      <c r="AN7" s="9">
        <f>$M$7 * EXP( ($B$26/$B$27) * (1 - EXP(-$B$27*(COLUMNS($M7:AN7)-1))) )</f>
        <v>204332416813257.31</v>
      </c>
      <c r="AO7" s="9">
        <f>$M$7 * EXP( ($B$26/$B$27) * (1 - EXP(-$B$27*(COLUMNS($M7:AO7)-1))) )</f>
        <v>205671212566441.03</v>
      </c>
      <c r="AP7" s="9">
        <f>$M$7 * EXP( ($B$26/$B$27) * (1 - EXP(-$B$27*(COLUMNS($M7:AP7)-1))) )</f>
        <v>206940062384685.78</v>
      </c>
      <c r="AQ7" s="9">
        <f>$M$7 * EXP( ($B$26/$B$27) * (1 - EXP(-$B$27*(COLUMNS($M7:AQ7)-1))) )</f>
        <v>208142176695192.66</v>
      </c>
      <c r="AR7" s="9">
        <f>$M$7 * EXP( ($B$26/$B$27) * (1 - EXP(-$B$27*(COLUMNS($M7:AR7)-1))) )</f>
        <v>209280669525119.34</v>
      </c>
      <c r="AS7" s="9">
        <f>$M$7 * EXP( ($B$26/$B$27) * (1 - EXP(-$B$27*(COLUMNS($M7:AS7)-1))) )</f>
        <v>210358554984776.78</v>
      </c>
      <c r="AT7" s="9">
        <f>$M$7 * EXP( ($B$26/$B$27) * (1 - EXP(-$B$27*(COLUMNS($M7:AT7)-1))) )</f>
        <v>211378744814847.53</v>
      </c>
      <c r="AU7" s="9">
        <f>$M$7 * EXP( ($B$26/$B$27) * (1 - EXP(-$B$27*(COLUMNS($M7:AU7)-1))) )</f>
        <v>212344046865073.94</v>
      </c>
      <c r="AV7" s="9">
        <f>$M$7 * EXP( ($B$26/$B$27) * (1 - EXP(-$B$27*(COLUMNS($M7:AV7)-1))) )</f>
        <v>213257164383592</v>
      </c>
      <c r="AW7" s="9">
        <f>$M$7 * EXP( ($B$26/$B$27) * (1 - EXP(-$B$27*(COLUMNS($M7:AW7)-1))) )</f>
        <v>214120696007251.81</v>
      </c>
    </row>
    <row r="8" spans="1:49" ht="15.6" x14ac:dyDescent="0.3">
      <c r="A8" s="81" t="s">
        <v>81</v>
      </c>
      <c r="B8" s="79">
        <f>B3*B5/1000</f>
        <v>7.45</v>
      </c>
      <c r="C8" s="90" t="str">
        <f ca="1">_xlfn.FORMULATEXT(B8)</f>
        <v>=B3*B5/1000</v>
      </c>
      <c r="D8" s="28"/>
      <c r="E8" s="76"/>
      <c r="F8" s="28"/>
      <c r="I8" s="117"/>
      <c r="J8" s="120"/>
      <c r="K8" s="4"/>
      <c r="L8" s="7"/>
      <c r="M8" s="4"/>
      <c r="N8" s="4"/>
      <c r="O8" s="4"/>
      <c r="P8" s="4"/>
    </row>
    <row r="9" spans="1:49" ht="15.6" x14ac:dyDescent="0.3">
      <c r="A9" s="78" t="s">
        <v>82</v>
      </c>
      <c r="B9" s="82">
        <f>B4*B3*B2</f>
        <v>7500</v>
      </c>
      <c r="C9" s="80" t="str">
        <f ca="1">_xlfn.FORMULATEXT(B9)</f>
        <v>=B4*B3*B2</v>
      </c>
      <c r="D9" s="28"/>
      <c r="E9" s="28"/>
      <c r="F9" s="46"/>
      <c r="I9" s="117"/>
      <c r="J9" s="120"/>
      <c r="K9" s="4"/>
      <c r="L9" s="10" t="s">
        <v>6</v>
      </c>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ht="15.6" x14ac:dyDescent="0.3">
      <c r="A10" s="81" t="s">
        <v>32</v>
      </c>
      <c r="B10" s="82">
        <f>B8*24*31*B7*B2*2</f>
        <v>831.42</v>
      </c>
      <c r="C10" s="80" t="str">
        <f ca="1">_xlfn.FORMULATEXT(B10)</f>
        <v>=B8*24*31*B7*B2*2</v>
      </c>
      <c r="D10" s="28"/>
      <c r="E10" s="28"/>
      <c r="F10" s="46"/>
      <c r="I10" s="117"/>
      <c r="J10" s="122"/>
      <c r="K10" s="4"/>
      <c r="L10" s="7" t="s">
        <v>7</v>
      </c>
      <c r="M10" s="12">
        <f>B2*B3*B4</f>
        <v>7500</v>
      </c>
      <c r="N10" s="4"/>
      <c r="O10" s="4"/>
      <c r="P10" s="4"/>
    </row>
    <row r="11" spans="1:49" ht="15.6" x14ac:dyDescent="0.3">
      <c r="A11" s="81" t="s">
        <v>33</v>
      </c>
      <c r="B11" s="82">
        <f>(B9*B2)+B10+(B6*B2)</f>
        <v>8356.42</v>
      </c>
      <c r="C11" s="80" t="str">
        <f ca="1">_xlfn.FORMULATEXT(B11)</f>
        <v>=(B9*B2)+B10+(B6*B2)</v>
      </c>
      <c r="D11" s="28"/>
      <c r="E11" s="28"/>
      <c r="F11" s="46"/>
      <c r="I11" s="117"/>
      <c r="J11" s="122"/>
      <c r="K11" s="4"/>
      <c r="L11" s="7" t="s">
        <v>6</v>
      </c>
      <c r="M11" s="12">
        <f>B2*B6</f>
        <v>25</v>
      </c>
      <c r="N11" s="4"/>
      <c r="O11" s="4"/>
      <c r="P11" s="4"/>
    </row>
    <row r="12" spans="1:49" ht="15.6" x14ac:dyDescent="0.3">
      <c r="A12" s="60" t="s">
        <v>46</v>
      </c>
      <c r="B12" s="74">
        <v>111836.4</v>
      </c>
      <c r="C12" s="69" t="s">
        <v>54</v>
      </c>
      <c r="D12" s="28"/>
      <c r="E12" s="28"/>
      <c r="F12" s="46"/>
      <c r="I12" s="117"/>
      <c r="J12" s="119"/>
      <c r="K12" s="4"/>
      <c r="L12" s="7" t="s">
        <v>8</v>
      </c>
      <c r="M12" s="12">
        <f>B8*24*31*B7*B2*2</f>
        <v>831.42</v>
      </c>
      <c r="N12" s="4"/>
      <c r="O12" s="4"/>
      <c r="P12" s="4"/>
    </row>
    <row r="13" spans="1:49" ht="15.6" x14ac:dyDescent="0.3">
      <c r="A13" s="149" t="s">
        <v>51</v>
      </c>
      <c r="B13" s="153">
        <v>129.69999999999999</v>
      </c>
      <c r="C13" s="151" t="s">
        <v>54</v>
      </c>
      <c r="D13" s="156"/>
      <c r="E13" s="28"/>
      <c r="F13" s="46"/>
      <c r="I13" s="117"/>
      <c r="J13" s="122"/>
      <c r="K13" s="4"/>
      <c r="L13" s="7"/>
      <c r="M13" s="13"/>
      <c r="N13" s="4"/>
      <c r="O13" s="4"/>
      <c r="P13" s="4"/>
    </row>
    <row r="14" spans="1:49" ht="15.6" x14ac:dyDescent="0.3">
      <c r="A14" s="149" t="s">
        <v>53</v>
      </c>
      <c r="B14" s="154">
        <f>(B12*B20*144)/((B13*2^32/600))</f>
        <v>5.4205968148816806E-2</v>
      </c>
      <c r="C14" s="155" t="str">
        <f ca="1">_xlfn.FORMULATEXT(B14)</f>
        <v>=(B12*B20*144)/((B13*2^32/600))</v>
      </c>
      <c r="D14" s="156"/>
      <c r="E14" s="28"/>
      <c r="F14" s="46"/>
      <c r="I14" s="117"/>
      <c r="J14" s="122"/>
      <c r="K14" s="4"/>
      <c r="L14" s="7"/>
      <c r="M14" s="4"/>
      <c r="N14" s="4"/>
      <c r="O14" s="4"/>
      <c r="P14" s="4"/>
    </row>
    <row r="15" spans="1:49" ht="15.6" x14ac:dyDescent="0.3">
      <c r="A15" s="149" t="s">
        <v>12</v>
      </c>
      <c r="B15" s="150">
        <v>0.99</v>
      </c>
      <c r="C15" s="152" t="s">
        <v>74</v>
      </c>
      <c r="D15" s="28"/>
      <c r="E15" s="28"/>
      <c r="F15" s="46"/>
      <c r="I15" s="104"/>
      <c r="J15" s="104"/>
      <c r="K15" s="4"/>
      <c r="L15" s="14" t="s">
        <v>9</v>
      </c>
      <c r="M15" s="15">
        <f>SUM(M10:M13)</f>
        <v>8356.42</v>
      </c>
      <c r="N15" s="4"/>
      <c r="O15" s="4"/>
      <c r="P15" s="4"/>
    </row>
    <row r="16" spans="1:49" ht="15.6" x14ac:dyDescent="0.3">
      <c r="A16" s="149" t="s">
        <v>5</v>
      </c>
      <c r="B16" s="150">
        <v>0.01</v>
      </c>
      <c r="C16" s="152" t="s">
        <v>74</v>
      </c>
      <c r="D16" s="28"/>
      <c r="E16" s="28"/>
      <c r="F16" s="46"/>
      <c r="I16" s="170"/>
      <c r="J16" s="170"/>
      <c r="K16" s="4"/>
      <c r="L16" s="7"/>
      <c r="M16" s="4"/>
      <c r="N16" s="4"/>
      <c r="O16" s="4"/>
      <c r="P16" s="4"/>
    </row>
    <row r="17" spans="1:49" ht="15.6" x14ac:dyDescent="0.3">
      <c r="A17" s="60" t="s">
        <v>66</v>
      </c>
      <c r="B17" s="75">
        <v>45901</v>
      </c>
      <c r="C17" s="75"/>
      <c r="D17" s="28"/>
      <c r="E17" s="28"/>
      <c r="F17" s="46"/>
      <c r="I17" s="117"/>
      <c r="J17" s="123"/>
      <c r="K17" s="4"/>
      <c r="L17" s="10" t="s">
        <v>10</v>
      </c>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ht="15.6" x14ac:dyDescent="0.3">
      <c r="A18" s="60" t="s">
        <v>58</v>
      </c>
      <c r="B18" s="75">
        <v>45762</v>
      </c>
      <c r="C18" s="75"/>
      <c r="D18" s="28"/>
      <c r="E18" s="28"/>
      <c r="F18" s="46"/>
      <c r="I18" s="117"/>
      <c r="J18" s="122"/>
      <c r="K18" s="4"/>
      <c r="L18" s="7" t="s">
        <v>11</v>
      </c>
      <c r="M18" s="4"/>
      <c r="N18" s="4">
        <f>B3*B2</f>
        <v>500</v>
      </c>
      <c r="O18" s="4">
        <f t="shared" ref="O18:AW18" si="4">SUM(N18-(N39*$B$10))</f>
        <v>500</v>
      </c>
      <c r="P18" s="4">
        <f t="shared" si="4"/>
        <v>500</v>
      </c>
      <c r="Q18" s="4">
        <f t="shared" si="4"/>
        <v>500</v>
      </c>
      <c r="R18" s="4">
        <f t="shared" si="4"/>
        <v>500</v>
      </c>
      <c r="S18" s="4">
        <f t="shared" si="4"/>
        <v>500</v>
      </c>
      <c r="T18" s="4">
        <f t="shared" si="4"/>
        <v>500</v>
      </c>
      <c r="U18" s="4">
        <f t="shared" si="4"/>
        <v>500</v>
      </c>
      <c r="V18" s="4">
        <f t="shared" si="4"/>
        <v>500</v>
      </c>
      <c r="W18" s="4">
        <f t="shared" si="4"/>
        <v>500</v>
      </c>
      <c r="X18" s="4">
        <f t="shared" si="4"/>
        <v>500</v>
      </c>
      <c r="Y18" s="4">
        <f t="shared" si="4"/>
        <v>500</v>
      </c>
      <c r="Z18" s="4">
        <f t="shared" si="4"/>
        <v>500</v>
      </c>
      <c r="AA18" s="4">
        <f t="shared" si="4"/>
        <v>500</v>
      </c>
      <c r="AB18" s="4">
        <f t="shared" si="4"/>
        <v>500</v>
      </c>
      <c r="AC18" s="4">
        <f t="shared" si="4"/>
        <v>500</v>
      </c>
      <c r="AD18" s="4">
        <f t="shared" si="4"/>
        <v>500</v>
      </c>
      <c r="AE18" s="4">
        <f t="shared" si="4"/>
        <v>500</v>
      </c>
      <c r="AF18" s="4">
        <f t="shared" si="4"/>
        <v>500</v>
      </c>
      <c r="AG18" s="4">
        <f t="shared" si="4"/>
        <v>500</v>
      </c>
      <c r="AH18" s="4">
        <f t="shared" si="4"/>
        <v>500</v>
      </c>
      <c r="AI18" s="4">
        <f t="shared" si="4"/>
        <v>500</v>
      </c>
      <c r="AJ18" s="4">
        <f t="shared" si="4"/>
        <v>500</v>
      </c>
      <c r="AK18" s="4">
        <f t="shared" si="4"/>
        <v>500</v>
      </c>
      <c r="AL18" s="4">
        <f t="shared" si="4"/>
        <v>500</v>
      </c>
      <c r="AM18" s="4">
        <f t="shared" si="4"/>
        <v>500</v>
      </c>
      <c r="AN18" s="4">
        <f t="shared" si="4"/>
        <v>500</v>
      </c>
      <c r="AO18" s="4">
        <f t="shared" si="4"/>
        <v>500</v>
      </c>
      <c r="AP18" s="4">
        <f t="shared" si="4"/>
        <v>500</v>
      </c>
      <c r="AQ18" s="4">
        <f t="shared" si="4"/>
        <v>500</v>
      </c>
      <c r="AR18" s="4">
        <f t="shared" si="4"/>
        <v>500</v>
      </c>
      <c r="AS18" s="4">
        <f t="shared" si="4"/>
        <v>500</v>
      </c>
      <c r="AT18" s="4">
        <f t="shared" si="4"/>
        <v>500</v>
      </c>
      <c r="AU18" s="4">
        <f t="shared" si="4"/>
        <v>500</v>
      </c>
      <c r="AV18" s="4">
        <f t="shared" si="4"/>
        <v>500</v>
      </c>
      <c r="AW18" s="4">
        <f t="shared" si="4"/>
        <v>500</v>
      </c>
    </row>
    <row r="19" spans="1:49" ht="15.6" x14ac:dyDescent="0.3">
      <c r="A19" s="60" t="s">
        <v>78</v>
      </c>
      <c r="B19" s="75">
        <v>46844</v>
      </c>
      <c r="C19" s="69" t="s">
        <v>54</v>
      </c>
      <c r="D19" s="28"/>
      <c r="E19" s="28"/>
      <c r="F19" s="46"/>
      <c r="I19" s="117"/>
      <c r="J19" s="117"/>
      <c r="K19" s="4"/>
      <c r="L19" s="7" t="s">
        <v>12</v>
      </c>
      <c r="M19" s="4"/>
      <c r="N19" s="16">
        <f t="shared" ref="N19:AW19" si="5">$B$15</f>
        <v>0.99</v>
      </c>
      <c r="O19" s="16">
        <f t="shared" si="5"/>
        <v>0.99</v>
      </c>
      <c r="P19" s="16">
        <f t="shared" si="5"/>
        <v>0.99</v>
      </c>
      <c r="Q19" s="16">
        <f t="shared" si="5"/>
        <v>0.99</v>
      </c>
      <c r="R19" s="16">
        <f t="shared" si="5"/>
        <v>0.99</v>
      </c>
      <c r="S19" s="16">
        <f t="shared" si="5"/>
        <v>0.99</v>
      </c>
      <c r="T19" s="16">
        <f t="shared" si="5"/>
        <v>0.99</v>
      </c>
      <c r="U19" s="16">
        <f t="shared" si="5"/>
        <v>0.99</v>
      </c>
      <c r="V19" s="16">
        <f t="shared" si="5"/>
        <v>0.99</v>
      </c>
      <c r="W19" s="16">
        <f t="shared" si="5"/>
        <v>0.99</v>
      </c>
      <c r="X19" s="16">
        <f t="shared" si="5"/>
        <v>0.99</v>
      </c>
      <c r="Y19" s="16">
        <f t="shared" si="5"/>
        <v>0.99</v>
      </c>
      <c r="Z19" s="16">
        <f t="shared" si="5"/>
        <v>0.99</v>
      </c>
      <c r="AA19" s="16">
        <f t="shared" si="5"/>
        <v>0.99</v>
      </c>
      <c r="AB19" s="16">
        <f t="shared" si="5"/>
        <v>0.99</v>
      </c>
      <c r="AC19" s="16">
        <f t="shared" si="5"/>
        <v>0.99</v>
      </c>
      <c r="AD19" s="16">
        <f t="shared" si="5"/>
        <v>0.99</v>
      </c>
      <c r="AE19" s="16">
        <f t="shared" si="5"/>
        <v>0.99</v>
      </c>
      <c r="AF19" s="16">
        <f t="shared" si="5"/>
        <v>0.99</v>
      </c>
      <c r="AG19" s="16">
        <f t="shared" si="5"/>
        <v>0.99</v>
      </c>
      <c r="AH19" s="16">
        <f t="shared" si="5"/>
        <v>0.99</v>
      </c>
      <c r="AI19" s="16">
        <f t="shared" si="5"/>
        <v>0.99</v>
      </c>
      <c r="AJ19" s="16">
        <f t="shared" si="5"/>
        <v>0.99</v>
      </c>
      <c r="AK19" s="16">
        <f t="shared" si="5"/>
        <v>0.99</v>
      </c>
      <c r="AL19" s="16">
        <f t="shared" si="5"/>
        <v>0.99</v>
      </c>
      <c r="AM19" s="16">
        <f t="shared" si="5"/>
        <v>0.99</v>
      </c>
      <c r="AN19" s="16">
        <f t="shared" si="5"/>
        <v>0.99</v>
      </c>
      <c r="AO19" s="16">
        <f t="shared" si="5"/>
        <v>0.99</v>
      </c>
      <c r="AP19" s="16">
        <f t="shared" si="5"/>
        <v>0.99</v>
      </c>
      <c r="AQ19" s="16">
        <f t="shared" si="5"/>
        <v>0.99</v>
      </c>
      <c r="AR19" s="16">
        <f t="shared" si="5"/>
        <v>0.99</v>
      </c>
      <c r="AS19" s="16">
        <f t="shared" si="5"/>
        <v>0.99</v>
      </c>
      <c r="AT19" s="16">
        <f t="shared" si="5"/>
        <v>0.99</v>
      </c>
      <c r="AU19" s="16">
        <f t="shared" si="5"/>
        <v>0.99</v>
      </c>
      <c r="AV19" s="16">
        <f t="shared" si="5"/>
        <v>0.99</v>
      </c>
      <c r="AW19" s="16">
        <f t="shared" si="5"/>
        <v>0.99</v>
      </c>
    </row>
    <row r="20" spans="1:49" ht="15.6" x14ac:dyDescent="0.3">
      <c r="A20" s="60" t="s">
        <v>52</v>
      </c>
      <c r="B20" s="77">
        <v>3.125</v>
      </c>
      <c r="C20" s="69" t="s">
        <v>54</v>
      </c>
      <c r="D20" s="28"/>
      <c r="E20" s="171" t="s">
        <v>19</v>
      </c>
      <c r="F20" s="172"/>
      <c r="G20" s="65" t="s">
        <v>44</v>
      </c>
      <c r="I20" s="175"/>
      <c r="J20" s="175"/>
      <c r="K20" s="4"/>
      <c r="L20" s="7" t="s">
        <v>13</v>
      </c>
      <c r="M20" s="4"/>
      <c r="N20" s="4">
        <f>N18*N19</f>
        <v>495</v>
      </c>
      <c r="O20" s="4">
        <f t="shared" ref="O20:AW20" si="6">O18*O19</f>
        <v>495</v>
      </c>
      <c r="P20" s="4">
        <f t="shared" si="6"/>
        <v>495</v>
      </c>
      <c r="Q20" s="4">
        <f t="shared" si="6"/>
        <v>495</v>
      </c>
      <c r="R20" s="4">
        <f t="shared" si="6"/>
        <v>495</v>
      </c>
      <c r="S20" s="4">
        <f t="shared" si="6"/>
        <v>495</v>
      </c>
      <c r="T20" s="4">
        <f t="shared" si="6"/>
        <v>495</v>
      </c>
      <c r="U20" s="4">
        <f t="shared" si="6"/>
        <v>495</v>
      </c>
      <c r="V20" s="4">
        <f t="shared" si="6"/>
        <v>495</v>
      </c>
      <c r="W20" s="4">
        <f t="shared" si="6"/>
        <v>495</v>
      </c>
      <c r="X20" s="4">
        <f t="shared" si="6"/>
        <v>495</v>
      </c>
      <c r="Y20" s="4">
        <f t="shared" si="6"/>
        <v>495</v>
      </c>
      <c r="Z20" s="4">
        <f t="shared" si="6"/>
        <v>495</v>
      </c>
      <c r="AA20" s="4">
        <f t="shared" si="6"/>
        <v>495</v>
      </c>
      <c r="AB20" s="4">
        <f t="shared" si="6"/>
        <v>495</v>
      </c>
      <c r="AC20" s="4">
        <f t="shared" si="6"/>
        <v>495</v>
      </c>
      <c r="AD20" s="4">
        <f t="shared" si="6"/>
        <v>495</v>
      </c>
      <c r="AE20" s="4">
        <f t="shared" si="6"/>
        <v>495</v>
      </c>
      <c r="AF20" s="4">
        <f t="shared" si="6"/>
        <v>495</v>
      </c>
      <c r="AG20" s="4">
        <f t="shared" si="6"/>
        <v>495</v>
      </c>
      <c r="AH20" s="4">
        <f t="shared" si="6"/>
        <v>495</v>
      </c>
      <c r="AI20" s="4">
        <f t="shared" si="6"/>
        <v>495</v>
      </c>
      <c r="AJ20" s="4">
        <f t="shared" si="6"/>
        <v>495</v>
      </c>
      <c r="AK20" s="4">
        <f t="shared" si="6"/>
        <v>495</v>
      </c>
      <c r="AL20" s="4">
        <f t="shared" si="6"/>
        <v>495</v>
      </c>
      <c r="AM20" s="4">
        <f t="shared" si="6"/>
        <v>495</v>
      </c>
      <c r="AN20" s="4">
        <f t="shared" si="6"/>
        <v>495</v>
      </c>
      <c r="AO20" s="4">
        <f t="shared" si="6"/>
        <v>495</v>
      </c>
      <c r="AP20" s="4">
        <f t="shared" si="6"/>
        <v>495</v>
      </c>
      <c r="AQ20" s="4">
        <f t="shared" si="6"/>
        <v>495</v>
      </c>
      <c r="AR20" s="4">
        <f t="shared" si="6"/>
        <v>495</v>
      </c>
      <c r="AS20" s="4">
        <f t="shared" si="6"/>
        <v>495</v>
      </c>
      <c r="AT20" s="4">
        <f t="shared" si="6"/>
        <v>495</v>
      </c>
      <c r="AU20" s="4">
        <f t="shared" si="6"/>
        <v>495</v>
      </c>
      <c r="AV20" s="4">
        <f t="shared" si="6"/>
        <v>495</v>
      </c>
      <c r="AW20" s="4">
        <f t="shared" si="6"/>
        <v>495</v>
      </c>
    </row>
    <row r="21" spans="1:49" ht="15.6" x14ac:dyDescent="0.3">
      <c r="A21" s="62" t="s">
        <v>57</v>
      </c>
      <c r="B21" s="165">
        <f>B20/2</f>
        <v>1.5625</v>
      </c>
      <c r="C21" s="69" t="s">
        <v>54</v>
      </c>
      <c r="D21" s="37"/>
      <c r="E21" s="96" t="s">
        <v>59</v>
      </c>
      <c r="F21" s="97">
        <f>$F$26/B12</f>
        <v>6.8685101933481218E-3</v>
      </c>
      <c r="G21" s="56" t="str">
        <f t="shared" ref="G21:G40" ca="1" si="7">_xlfn.FORMULATEXT(F21)</f>
        <v>=$F$26/B12</v>
      </c>
      <c r="I21" s="117"/>
      <c r="J21" s="124"/>
      <c r="K21" s="12"/>
      <c r="L21" s="7" t="s">
        <v>14</v>
      </c>
      <c r="M21" s="4"/>
      <c r="N21" s="17">
        <f>N20*60*60*24*N3</f>
        <v>1325808000</v>
      </c>
      <c r="O21" s="17">
        <f t="shared" ref="O21:AW21" si="8">O20*60*60*24*O3</f>
        <v>1325808000</v>
      </c>
      <c r="P21" s="17">
        <f t="shared" si="8"/>
        <v>1283040000</v>
      </c>
      <c r="Q21" s="17">
        <f t="shared" si="8"/>
        <v>1325808000</v>
      </c>
      <c r="R21" s="17">
        <f t="shared" si="8"/>
        <v>1325808000</v>
      </c>
      <c r="S21" s="17">
        <f t="shared" si="8"/>
        <v>1197504000</v>
      </c>
      <c r="T21" s="17">
        <f t="shared" si="8"/>
        <v>1325808000</v>
      </c>
      <c r="U21" s="17">
        <f t="shared" si="8"/>
        <v>1283040000</v>
      </c>
      <c r="V21" s="17">
        <f t="shared" si="8"/>
        <v>1325808000</v>
      </c>
      <c r="W21" s="17">
        <f t="shared" si="8"/>
        <v>1283040000</v>
      </c>
      <c r="X21" s="17">
        <f t="shared" si="8"/>
        <v>1325808000</v>
      </c>
      <c r="Y21" s="17">
        <f t="shared" si="8"/>
        <v>1325808000</v>
      </c>
      <c r="Z21" s="17">
        <f t="shared" si="8"/>
        <v>1283040000</v>
      </c>
      <c r="AA21" s="17">
        <f t="shared" si="8"/>
        <v>1325808000</v>
      </c>
      <c r="AB21" s="17">
        <f t="shared" si="8"/>
        <v>1283040000</v>
      </c>
      <c r="AC21" s="17">
        <f t="shared" si="8"/>
        <v>1325808000</v>
      </c>
      <c r="AD21" s="17">
        <f t="shared" si="8"/>
        <v>1325808000</v>
      </c>
      <c r="AE21" s="17">
        <f t="shared" si="8"/>
        <v>1197504000</v>
      </c>
      <c r="AF21" s="17">
        <f t="shared" si="8"/>
        <v>1325808000</v>
      </c>
      <c r="AG21" s="17">
        <f t="shared" si="8"/>
        <v>1283040000</v>
      </c>
      <c r="AH21" s="17">
        <f t="shared" si="8"/>
        <v>1325808000</v>
      </c>
      <c r="AI21" s="17">
        <f t="shared" si="8"/>
        <v>1283040000</v>
      </c>
      <c r="AJ21" s="17">
        <f t="shared" si="8"/>
        <v>1325808000</v>
      </c>
      <c r="AK21" s="17">
        <f t="shared" si="8"/>
        <v>1325808000</v>
      </c>
      <c r="AL21" s="17">
        <f t="shared" si="8"/>
        <v>1283040000</v>
      </c>
      <c r="AM21" s="17">
        <f t="shared" si="8"/>
        <v>1325808000</v>
      </c>
      <c r="AN21" s="17">
        <f t="shared" si="8"/>
        <v>1283040000</v>
      </c>
      <c r="AO21" s="17">
        <f t="shared" si="8"/>
        <v>1325808000</v>
      </c>
      <c r="AP21" s="17">
        <f t="shared" si="8"/>
        <v>1325808000</v>
      </c>
      <c r="AQ21" s="17">
        <f t="shared" si="8"/>
        <v>1240272000</v>
      </c>
      <c r="AR21" s="17">
        <f t="shared" si="8"/>
        <v>1325808000</v>
      </c>
      <c r="AS21" s="17">
        <f t="shared" si="8"/>
        <v>1283040000</v>
      </c>
      <c r="AT21" s="17">
        <f t="shared" si="8"/>
        <v>1325808000</v>
      </c>
      <c r="AU21" s="17">
        <f t="shared" si="8"/>
        <v>1283040000</v>
      </c>
      <c r="AV21" s="17">
        <f t="shared" si="8"/>
        <v>1325808000</v>
      </c>
      <c r="AW21" s="17">
        <f t="shared" si="8"/>
        <v>1325808000</v>
      </c>
    </row>
    <row r="22" spans="1:49" ht="15.6" x14ac:dyDescent="0.3">
      <c r="D22" s="38"/>
      <c r="E22" s="93" t="s">
        <v>43</v>
      </c>
      <c r="F22" s="97">
        <f>$F$27/B12</f>
        <v>0.24726636696053239</v>
      </c>
      <c r="G22" s="56" t="str">
        <f t="shared" ca="1" si="7"/>
        <v>=$F$27/B12</v>
      </c>
      <c r="I22" s="117"/>
      <c r="J22" s="125"/>
      <c r="K22" s="4"/>
      <c r="L22" s="7"/>
      <c r="M22" s="4"/>
      <c r="N22" s="4"/>
      <c r="O22" s="4"/>
      <c r="P22" s="4"/>
    </row>
    <row r="23" spans="1:49" ht="15.6" x14ac:dyDescent="0.3">
      <c r="A23" s="169" t="s">
        <v>47</v>
      </c>
      <c r="B23" s="167"/>
      <c r="D23" s="38"/>
      <c r="E23" s="94" t="s">
        <v>63</v>
      </c>
      <c r="F23" s="97">
        <f>$F$28/B12</f>
        <v>3.6173032661995569E-3</v>
      </c>
      <c r="G23" s="56" t="str">
        <f t="shared" ca="1" si="7"/>
        <v>=$F$28/B12</v>
      </c>
      <c r="I23" s="117"/>
      <c r="J23" s="124"/>
      <c r="K23" s="4"/>
      <c r="L23" s="7" t="s">
        <v>15</v>
      </c>
      <c r="M23" s="4"/>
      <c r="N23" s="112">
        <f>(N21*N5*1000000000000)/(N7*2^32)</f>
        <v>7.1961309759618394E-3</v>
      </c>
      <c r="O23" s="112">
        <f t="shared" ref="O23:AW23" si="9">(O21*O5*1000000000000)/(O7*2^32)</f>
        <v>6.9759268149973174E-3</v>
      </c>
      <c r="P23" s="112">
        <f t="shared" si="9"/>
        <v>6.5561721029690889E-3</v>
      </c>
      <c r="Q23" s="112">
        <f t="shared" si="9"/>
        <v>6.590523184605861E-3</v>
      </c>
      <c r="R23" s="112">
        <f t="shared" si="9"/>
        <v>6.4216425881511996E-3</v>
      </c>
      <c r="S23" s="112">
        <f t="shared" si="9"/>
        <v>5.6601147842152595E-3</v>
      </c>
      <c r="T23" s="112">
        <f t="shared" si="9"/>
        <v>6.1239265218856467E-3</v>
      </c>
      <c r="U23" s="112">
        <f t="shared" si="9"/>
        <v>5.799264199268855E-3</v>
      </c>
      <c r="V23" s="112">
        <f t="shared" si="9"/>
        <v>5.8714460996705277E-3</v>
      </c>
      <c r="W23" s="112">
        <f t="shared" si="9"/>
        <v>5.5738186064842651E-3</v>
      </c>
      <c r="X23" s="112">
        <f t="shared" si="9"/>
        <v>5.6562400592721071E-3</v>
      </c>
      <c r="Y23" s="112">
        <f t="shared" si="9"/>
        <v>5.560584488045057E-3</v>
      </c>
      <c r="Z23" s="112">
        <f t="shared" si="9"/>
        <v>5.2954636115189625E-3</v>
      </c>
      <c r="AA23" s="112">
        <f t="shared" si="9"/>
        <v>5.3898249704868954E-3</v>
      </c>
      <c r="AB23" s="112">
        <f t="shared" si="9"/>
        <v>5.1421773521578475E-3</v>
      </c>
      <c r="AC23" s="112">
        <f t="shared" si="9"/>
        <v>5.2427678970278424E-3</v>
      </c>
      <c r="AD23" s="112">
        <f t="shared" si="9"/>
        <v>5.1769396518253795E-3</v>
      </c>
      <c r="AE23" s="112">
        <f t="shared" si="9"/>
        <v>4.6206330445249843E-3</v>
      </c>
      <c r="AF23" s="112">
        <f t="shared" si="9"/>
        <v>5.0586908632064293E-3</v>
      </c>
      <c r="AG23" s="112">
        <f t="shared" si="9"/>
        <v>4.8441115086081061E-3</v>
      </c>
      <c r="AH23" s="112">
        <f t="shared" si="9"/>
        <v>4.956075658999773E-3</v>
      </c>
      <c r="AI23" s="112">
        <f t="shared" si="9"/>
        <v>4.7515163391581008E-3</v>
      </c>
      <c r="AJ23" s="112">
        <f t="shared" si="9"/>
        <v>4.8668072575975942E-3</v>
      </c>
      <c r="AK23" s="112">
        <f t="shared" si="9"/>
        <v>4.8265697147389939E-3</v>
      </c>
      <c r="AL23" s="112">
        <f t="shared" si="9"/>
        <v>4.6344964362402133E-3</v>
      </c>
      <c r="AM23" s="112">
        <f t="shared" si="9"/>
        <v>4.7538463826051766E-3</v>
      </c>
      <c r="AN23" s="112">
        <f t="shared" si="9"/>
        <v>4.5687046641422662E-3</v>
      </c>
      <c r="AO23" s="112">
        <f t="shared" si="9"/>
        <v>4.6902639859863907E-3</v>
      </c>
      <c r="AP23" s="112">
        <f t="shared" si="9"/>
        <v>4.661505704300576E-3</v>
      </c>
      <c r="AQ23" s="112">
        <f t="shared" si="9"/>
        <v>4.3355780386949956E-3</v>
      </c>
      <c r="AR23" s="112">
        <f t="shared" si="9"/>
        <v>4.6093711542658528E-3</v>
      </c>
      <c r="AS23" s="112">
        <f t="shared" si="9"/>
        <v>2.2189125272270203E-3</v>
      </c>
      <c r="AT23" s="112">
        <f t="shared" si="9"/>
        <v>2.2818100327435839E-3</v>
      </c>
      <c r="AU23" s="112">
        <f t="shared" si="9"/>
        <v>2.1981649109366597E-3</v>
      </c>
      <c r="AV23" s="112">
        <f t="shared" si="9"/>
        <v>2.2617113100110932E-3</v>
      </c>
      <c r="AW23" s="112">
        <f t="shared" si="9"/>
        <v>2.2525900093792409E-3</v>
      </c>
    </row>
    <row r="24" spans="1:49" ht="15.6" x14ac:dyDescent="0.3">
      <c r="A24" s="66" t="s">
        <v>48</v>
      </c>
      <c r="B24" s="162">
        <v>3.9E-2</v>
      </c>
      <c r="C24" s="102"/>
      <c r="D24" s="28"/>
      <c r="E24" s="95" t="s">
        <v>60</v>
      </c>
      <c r="F24" s="97">
        <f>$F$29/B12</f>
        <v>3.2512069271485645E-3</v>
      </c>
      <c r="G24" s="56" t="str">
        <f t="shared" ca="1" si="7"/>
        <v>=$F$29/B12</v>
      </c>
      <c r="I24" s="126"/>
      <c r="J24" s="124"/>
      <c r="K24" s="4"/>
      <c r="L24" s="7" t="s">
        <v>5</v>
      </c>
      <c r="M24" s="4"/>
      <c r="N24" s="112">
        <f>-N23*$B$16</f>
        <v>-7.1961309759618398E-5</v>
      </c>
      <c r="O24" s="112">
        <f t="shared" ref="O24:AW24" si="10">-O23*$B$16</f>
        <v>-6.9759268149973181E-5</v>
      </c>
      <c r="P24" s="112">
        <f t="shared" si="10"/>
        <v>-6.5561721029690887E-5</v>
      </c>
      <c r="Q24" s="112">
        <f t="shared" si="10"/>
        <v>-6.5905231846058614E-5</v>
      </c>
      <c r="R24" s="112">
        <f t="shared" si="10"/>
        <v>-6.4216425881511992E-5</v>
      </c>
      <c r="S24" s="112">
        <f t="shared" si="10"/>
        <v>-5.6601147842152599E-5</v>
      </c>
      <c r="T24" s="112">
        <f t="shared" si="10"/>
        <v>-6.1239265218856467E-5</v>
      </c>
      <c r="U24" s="112">
        <f t="shared" si="10"/>
        <v>-5.7992641992688553E-5</v>
      </c>
      <c r="V24" s="112">
        <f t="shared" si="10"/>
        <v>-5.8714460996705281E-5</v>
      </c>
      <c r="W24" s="112">
        <f t="shared" si="10"/>
        <v>-5.5738186064842652E-5</v>
      </c>
      <c r="X24" s="112">
        <f t="shared" si="10"/>
        <v>-5.6562400592721068E-5</v>
      </c>
      <c r="Y24" s="112">
        <f t="shared" si="10"/>
        <v>-5.5605844880450568E-5</v>
      </c>
      <c r="Z24" s="112">
        <f t="shared" si="10"/>
        <v>-5.2954636115189625E-5</v>
      </c>
      <c r="AA24" s="112">
        <f t="shared" si="10"/>
        <v>-5.3898249704868956E-5</v>
      </c>
      <c r="AB24" s="112">
        <f t="shared" si="10"/>
        <v>-5.1421773521578476E-5</v>
      </c>
      <c r="AC24" s="112">
        <f t="shared" si="10"/>
        <v>-5.2427678970278422E-5</v>
      </c>
      <c r="AD24" s="112">
        <f t="shared" si="10"/>
        <v>-5.1769396518253797E-5</v>
      </c>
      <c r="AE24" s="112">
        <f t="shared" si="10"/>
        <v>-4.6206330445249842E-5</v>
      </c>
      <c r="AF24" s="112">
        <f t="shared" si="10"/>
        <v>-5.0586908632064297E-5</v>
      </c>
      <c r="AG24" s="112">
        <f t="shared" si="10"/>
        <v>-4.8441115086081059E-5</v>
      </c>
      <c r="AH24" s="112">
        <f t="shared" si="10"/>
        <v>-4.9560756589997731E-5</v>
      </c>
      <c r="AI24" s="112">
        <f t="shared" si="10"/>
        <v>-4.7515163391581008E-5</v>
      </c>
      <c r="AJ24" s="112">
        <f t="shared" si="10"/>
        <v>-4.8668072575975946E-5</v>
      </c>
      <c r="AK24" s="112">
        <f t="shared" si="10"/>
        <v>-4.8265697147389939E-5</v>
      </c>
      <c r="AL24" s="112">
        <f t="shared" si="10"/>
        <v>-4.6344964362402138E-5</v>
      </c>
      <c r="AM24" s="112">
        <f t="shared" si="10"/>
        <v>-4.7538463826051769E-5</v>
      </c>
      <c r="AN24" s="112">
        <f t="shared" si="10"/>
        <v>-4.5687046641422663E-5</v>
      </c>
      <c r="AO24" s="112">
        <f t="shared" si="10"/>
        <v>-4.6902639859863911E-5</v>
      </c>
      <c r="AP24" s="112">
        <f t="shared" si="10"/>
        <v>-4.6615057043005763E-5</v>
      </c>
      <c r="AQ24" s="112">
        <f t="shared" si="10"/>
        <v>-4.3355780386949954E-5</v>
      </c>
      <c r="AR24" s="112">
        <f t="shared" si="10"/>
        <v>-4.6093711542658528E-5</v>
      </c>
      <c r="AS24" s="112">
        <f t="shared" si="10"/>
        <v>-2.2189125272270202E-5</v>
      </c>
      <c r="AT24" s="112">
        <f t="shared" si="10"/>
        <v>-2.281810032743584E-5</v>
      </c>
      <c r="AU24" s="112">
        <f t="shared" si="10"/>
        <v>-2.1981649109366597E-5</v>
      </c>
      <c r="AV24" s="112">
        <f t="shared" si="10"/>
        <v>-2.2617113100110932E-5</v>
      </c>
      <c r="AW24" s="112">
        <f t="shared" si="10"/>
        <v>-2.2525900093792409E-5</v>
      </c>
    </row>
    <row r="25" spans="1:49" ht="15.6" x14ac:dyDescent="0.3">
      <c r="A25" s="60" t="s">
        <v>85</v>
      </c>
      <c r="B25" s="159">
        <v>7.0000000000000007E-2</v>
      </c>
      <c r="C25" s="158"/>
      <c r="D25" s="28"/>
      <c r="E25" s="95" t="s">
        <v>61</v>
      </c>
      <c r="F25" s="97">
        <f>SUM(N33:AW33)</f>
        <v>8.4196226798031931E-2</v>
      </c>
      <c r="G25" s="56" t="str">
        <f t="shared" ca="1" si="7"/>
        <v>=SUM(N33:AW33)</v>
      </c>
      <c r="I25" s="126"/>
      <c r="J25" s="127"/>
      <c r="K25" s="4"/>
      <c r="L25" s="7"/>
      <c r="M25" s="4"/>
      <c r="N25" s="4"/>
      <c r="O25" s="4"/>
      <c r="P25" s="4"/>
    </row>
    <row r="26" spans="1:49" ht="15.6" x14ac:dyDescent="0.3">
      <c r="A26" s="60" t="s">
        <v>49</v>
      </c>
      <c r="B26" s="161">
        <v>3.4000000000000002E-2</v>
      </c>
      <c r="D26" s="28"/>
      <c r="E26" s="58" t="s">
        <v>62</v>
      </c>
      <c r="F26" s="59">
        <f>AVERAGE((N27:AW27))</f>
        <v>768.14945338735788</v>
      </c>
      <c r="G26" s="56" t="str">
        <f t="shared" ca="1" si="7"/>
        <v>=AVERAGE((N27:AW27))</v>
      </c>
      <c r="I26" s="117"/>
      <c r="J26" s="124"/>
      <c r="K26" s="4"/>
      <c r="L26" s="18" t="s">
        <v>16</v>
      </c>
      <c r="M26" s="19"/>
      <c r="N26" s="20">
        <f>SUM(N23:N24)</f>
        <v>7.1241696662022206E-3</v>
      </c>
      <c r="O26" s="21">
        <f t="shared" ref="O26:AW26" si="11">SUM(O23:O24)</f>
        <v>6.9061675468473438E-3</v>
      </c>
      <c r="P26" s="21">
        <f t="shared" si="11"/>
        <v>6.4906103819393976E-3</v>
      </c>
      <c r="Q26" s="21">
        <f t="shared" si="11"/>
        <v>6.5246179527598024E-3</v>
      </c>
      <c r="R26" s="21">
        <f t="shared" si="11"/>
        <v>6.3574261622696875E-3</v>
      </c>
      <c r="S26" s="21">
        <f t="shared" si="11"/>
        <v>5.6035136363731071E-3</v>
      </c>
      <c r="T26" s="21">
        <f t="shared" si="11"/>
        <v>6.06268725666679E-3</v>
      </c>
      <c r="U26" s="21">
        <f t="shared" si="11"/>
        <v>5.7412715572761662E-3</v>
      </c>
      <c r="V26" s="21">
        <f t="shared" si="11"/>
        <v>5.8127316386738228E-3</v>
      </c>
      <c r="W26" s="21">
        <f>SUM(W23:W24)</f>
        <v>5.5180804204194222E-3</v>
      </c>
      <c r="X26" s="21">
        <f t="shared" si="11"/>
        <v>5.5996776586793862E-3</v>
      </c>
      <c r="Y26" s="21">
        <f t="shared" si="11"/>
        <v>5.5049786431646064E-3</v>
      </c>
      <c r="Z26" s="21">
        <f t="shared" si="11"/>
        <v>5.2425089754037733E-3</v>
      </c>
      <c r="AA26" s="21">
        <f t="shared" si="11"/>
        <v>5.3359267207820265E-3</v>
      </c>
      <c r="AB26" s="21">
        <f t="shared" si="11"/>
        <v>5.0907555786362689E-3</v>
      </c>
      <c r="AC26" s="21">
        <f t="shared" si="11"/>
        <v>5.1903402180575641E-3</v>
      </c>
      <c r="AD26" s="21">
        <f t="shared" si="11"/>
        <v>5.1251702553071253E-3</v>
      </c>
      <c r="AE26" s="21">
        <f t="shared" si="11"/>
        <v>4.5744267140797341E-3</v>
      </c>
      <c r="AF26" s="21">
        <f t="shared" si="11"/>
        <v>5.0081039545743647E-3</v>
      </c>
      <c r="AG26" s="21">
        <f t="shared" si="11"/>
        <v>4.795670393522025E-3</v>
      </c>
      <c r="AH26" s="21">
        <f t="shared" si="11"/>
        <v>4.9065149024097752E-3</v>
      </c>
      <c r="AI26" s="21">
        <f t="shared" si="11"/>
        <v>4.7040011757665196E-3</v>
      </c>
      <c r="AJ26" s="21">
        <f t="shared" si="11"/>
        <v>4.8181391850216186E-3</v>
      </c>
      <c r="AK26" s="21">
        <f t="shared" si="11"/>
        <v>4.7783040175916041E-3</v>
      </c>
      <c r="AL26" s="21">
        <f t="shared" si="11"/>
        <v>4.5881514718778115E-3</v>
      </c>
      <c r="AM26" s="21">
        <f t="shared" si="11"/>
        <v>4.7063079187791247E-3</v>
      </c>
      <c r="AN26" s="21">
        <f t="shared" si="11"/>
        <v>4.5230176175008437E-3</v>
      </c>
      <c r="AO26" s="21">
        <f t="shared" si="11"/>
        <v>4.6433613461265271E-3</v>
      </c>
      <c r="AP26" s="21">
        <f t="shared" si="11"/>
        <v>4.6148906472575704E-3</v>
      </c>
      <c r="AQ26" s="21">
        <f t="shared" si="11"/>
        <v>4.292222258308046E-3</v>
      </c>
      <c r="AR26" s="21">
        <f t="shared" si="11"/>
        <v>4.5632774427231942E-3</v>
      </c>
      <c r="AS26" s="21">
        <f t="shared" si="11"/>
        <v>2.1967234019547501E-3</v>
      </c>
      <c r="AT26" s="21">
        <f t="shared" si="11"/>
        <v>2.2589919324161479E-3</v>
      </c>
      <c r="AU26" s="21">
        <f t="shared" si="11"/>
        <v>2.1761832618272933E-3</v>
      </c>
      <c r="AV26" s="21">
        <f t="shared" si="11"/>
        <v>2.2390941969109824E-3</v>
      </c>
      <c r="AW26" s="21">
        <f t="shared" si="11"/>
        <v>2.2300641092854487E-3</v>
      </c>
    </row>
    <row r="27" spans="1:49" ht="15.6" x14ac:dyDescent="0.3">
      <c r="A27" s="60" t="s">
        <v>84</v>
      </c>
      <c r="B27" s="67">
        <v>0.06</v>
      </c>
      <c r="D27" s="28"/>
      <c r="E27" s="58" t="s">
        <v>43</v>
      </c>
      <c r="F27" s="59">
        <f>(SUM(N27:AW27))</f>
        <v>27653.380321944882</v>
      </c>
      <c r="G27" s="56" t="str">
        <f t="shared" ca="1" si="7"/>
        <v>=(SUM(N27:AW27))</v>
      </c>
      <c r="I27" s="104"/>
      <c r="J27" s="104"/>
      <c r="K27" s="4"/>
      <c r="L27" s="109" t="s">
        <v>17</v>
      </c>
      <c r="M27" s="4"/>
      <c r="N27" s="12">
        <f>N26*N6</f>
        <v>827.32414473463291</v>
      </c>
      <c r="O27" s="12">
        <f t="shared" ref="O27:AW27" si="12">O26*O6</f>
        <v>830.67454442091002</v>
      </c>
      <c r="P27" s="12">
        <f t="shared" si="12"/>
        <v>806.67858035874758</v>
      </c>
      <c r="Q27" s="12">
        <f t="shared" si="12"/>
        <v>836.04532938379407</v>
      </c>
      <c r="R27" s="12">
        <f t="shared" si="12"/>
        <v>838.14541739947549</v>
      </c>
      <c r="S27" s="12">
        <f t="shared" si="12"/>
        <v>758.62291810623628</v>
      </c>
      <c r="T27" s="12">
        <f t="shared" si="12"/>
        <v>841.35414409123939</v>
      </c>
      <c r="U27" s="12">
        <f t="shared" si="12"/>
        <v>815.34848260190188</v>
      </c>
      <c r="V27" s="12">
        <f t="shared" si="12"/>
        <v>843.45019154176782</v>
      </c>
      <c r="W27" s="12">
        <f>W26*W6</f>
        <v>816.91989407537142</v>
      </c>
      <c r="X27" s="12">
        <f t="shared" si="12"/>
        <v>844.65187281178817</v>
      </c>
      <c r="Y27" s="12">
        <f t="shared" si="12"/>
        <v>844.97615026479855</v>
      </c>
      <c r="Z27" s="12">
        <f t="shared" si="12"/>
        <v>817.88083365396892</v>
      </c>
      <c r="AA27" s="12">
        <f t="shared" si="12"/>
        <v>845.17239463647059</v>
      </c>
      <c r="AB27" s="12">
        <f t="shared" si="12"/>
        <v>817.81887852760394</v>
      </c>
      <c r="AC27" s="12">
        <f t="shared" si="12"/>
        <v>844.88011107483123</v>
      </c>
      <c r="AD27" s="12">
        <f t="shared" si="12"/>
        <v>844.58804436952084</v>
      </c>
      <c r="AE27" s="12">
        <f t="shared" si="12"/>
        <v>762.51754189645817</v>
      </c>
      <c r="AF27" s="12">
        <f t="shared" si="12"/>
        <v>843.77487273061604</v>
      </c>
      <c r="AG27" s="12">
        <f t="shared" si="12"/>
        <v>816.07292409307058</v>
      </c>
      <c r="AH27" s="12">
        <f t="shared" si="12"/>
        <v>842.72652497530498</v>
      </c>
      <c r="AI27" s="12">
        <f t="shared" si="12"/>
        <v>814.9709817964748</v>
      </c>
      <c r="AJ27" s="12">
        <f t="shared" si="12"/>
        <v>841.51326933758639</v>
      </c>
      <c r="AK27" s="12">
        <f t="shared" si="12"/>
        <v>840.86295532929034</v>
      </c>
      <c r="AL27" s="12">
        <f t="shared" si="12"/>
        <v>813.08873475733003</v>
      </c>
      <c r="AM27" s="12">
        <f t="shared" si="12"/>
        <v>839.50478450454625</v>
      </c>
      <c r="AN27" s="12">
        <f t="shared" si="12"/>
        <v>811.74865384147256</v>
      </c>
      <c r="AO27" s="12">
        <f t="shared" si="12"/>
        <v>838.10233837850899</v>
      </c>
      <c r="AP27" s="12">
        <f t="shared" si="12"/>
        <v>837.39465555634661</v>
      </c>
      <c r="AQ27" s="12">
        <f t="shared" si="12"/>
        <v>782.7073174144349</v>
      </c>
      <c r="AR27" s="12">
        <f t="shared" si="12"/>
        <v>835.98260492241707</v>
      </c>
      <c r="AS27" s="12">
        <f t="shared" si="12"/>
        <v>404.16945714069698</v>
      </c>
      <c r="AT27" s="12">
        <f t="shared" si="12"/>
        <v>417.29604716364906</v>
      </c>
      <c r="AU27" s="12">
        <f t="shared" si="12"/>
        <v>403.50488658079911</v>
      </c>
      <c r="AV27" s="12">
        <f t="shared" si="12"/>
        <v>416.61956808347821</v>
      </c>
      <c r="AW27" s="12">
        <f t="shared" si="12"/>
        <v>416.29027138933702</v>
      </c>
    </row>
    <row r="28" spans="1:49" ht="15.6" x14ac:dyDescent="0.3">
      <c r="A28" s="60" t="s">
        <v>50</v>
      </c>
      <c r="B28" s="67">
        <v>0.22</v>
      </c>
      <c r="D28" s="28"/>
      <c r="E28" s="92" t="s">
        <v>67</v>
      </c>
      <c r="F28" s="63">
        <f>-AVERAGE(N29:AW29)</f>
        <v>404.54617500000012</v>
      </c>
      <c r="G28" s="56" t="str">
        <f t="shared" ca="1" si="7"/>
        <v>=-AVERAGE(N29:AW29)</v>
      </c>
      <c r="I28" s="175"/>
      <c r="J28" s="175"/>
      <c r="K28" s="4"/>
      <c r="L28" s="7"/>
      <c r="M28" s="4"/>
      <c r="N28" s="22"/>
      <c r="O28" s="4"/>
      <c r="P28" s="4"/>
    </row>
    <row r="29" spans="1:49" ht="15.6" x14ac:dyDescent="0.3">
      <c r="A29" s="62" t="s">
        <v>56</v>
      </c>
      <c r="B29" s="160">
        <v>0.25</v>
      </c>
      <c r="D29" s="28"/>
      <c r="E29" s="53" t="s">
        <v>60</v>
      </c>
      <c r="F29" s="49">
        <f>AVERAGE(N32:AW32)</f>
        <v>363.6032783873577</v>
      </c>
      <c r="G29" s="56" t="str">
        <f t="shared" ca="1" si="7"/>
        <v>=AVERAGE(N32:AW32)</v>
      </c>
      <c r="I29" s="117"/>
      <c r="J29" s="128"/>
      <c r="K29" s="4"/>
      <c r="L29" s="7" t="s">
        <v>18</v>
      </c>
      <c r="M29" s="4"/>
      <c r="N29" s="111">
        <f t="shared" ref="N29:AW29" si="13">-N3*24*$B$8*$B$7*N19*M37</f>
        <v>-411.55289999999997</v>
      </c>
      <c r="O29" s="111">
        <f t="shared" si="13"/>
        <v>-411.55289999999997</v>
      </c>
      <c r="P29" s="111">
        <f t="shared" si="13"/>
        <v>-398.27699999999999</v>
      </c>
      <c r="Q29" s="111">
        <f t="shared" si="13"/>
        <v>-411.55289999999997</v>
      </c>
      <c r="R29" s="111">
        <f t="shared" si="13"/>
        <v>-411.55289999999997</v>
      </c>
      <c r="S29" s="111">
        <f t="shared" si="13"/>
        <v>-371.72520000000003</v>
      </c>
      <c r="T29" s="111">
        <f t="shared" si="13"/>
        <v>-411.55289999999997</v>
      </c>
      <c r="U29" s="111">
        <f t="shared" si="13"/>
        <v>-398.27699999999999</v>
      </c>
      <c r="V29" s="111">
        <f t="shared" si="13"/>
        <v>-411.55289999999997</v>
      </c>
      <c r="W29" s="111">
        <f t="shared" si="13"/>
        <v>-398.27699999999999</v>
      </c>
      <c r="X29" s="111">
        <f t="shared" si="13"/>
        <v>-411.55289999999997</v>
      </c>
      <c r="Y29" s="111">
        <f t="shared" si="13"/>
        <v>-411.55289999999997</v>
      </c>
      <c r="Z29" s="111">
        <f t="shared" si="13"/>
        <v>-398.27699999999999</v>
      </c>
      <c r="AA29" s="111">
        <f t="shared" si="13"/>
        <v>-411.55289999999997</v>
      </c>
      <c r="AB29" s="111">
        <f t="shared" si="13"/>
        <v>-398.27699999999999</v>
      </c>
      <c r="AC29" s="111">
        <f t="shared" si="13"/>
        <v>-411.55289999999997</v>
      </c>
      <c r="AD29" s="111">
        <f t="shared" si="13"/>
        <v>-411.55289999999997</v>
      </c>
      <c r="AE29" s="111">
        <f t="shared" si="13"/>
        <v>-371.72520000000003</v>
      </c>
      <c r="AF29" s="111">
        <f t="shared" si="13"/>
        <v>-411.55289999999997</v>
      </c>
      <c r="AG29" s="111">
        <f t="shared" si="13"/>
        <v>-398.27699999999999</v>
      </c>
      <c r="AH29" s="111">
        <f t="shared" si="13"/>
        <v>-411.55289999999997</v>
      </c>
      <c r="AI29" s="111">
        <f t="shared" si="13"/>
        <v>-398.27699999999999</v>
      </c>
      <c r="AJ29" s="111">
        <f t="shared" si="13"/>
        <v>-411.55289999999997</v>
      </c>
      <c r="AK29" s="111">
        <f t="shared" si="13"/>
        <v>-411.55289999999997</v>
      </c>
      <c r="AL29" s="111">
        <f t="shared" si="13"/>
        <v>-398.27699999999999</v>
      </c>
      <c r="AM29" s="111">
        <f t="shared" si="13"/>
        <v>-411.55289999999997</v>
      </c>
      <c r="AN29" s="111">
        <f t="shared" si="13"/>
        <v>-398.27699999999999</v>
      </c>
      <c r="AO29" s="111">
        <f t="shared" si="13"/>
        <v>-411.55289999999997</v>
      </c>
      <c r="AP29" s="111">
        <f t="shared" si="13"/>
        <v>-411.55289999999997</v>
      </c>
      <c r="AQ29" s="111">
        <f t="shared" si="13"/>
        <v>-385.00110000000001</v>
      </c>
      <c r="AR29" s="111">
        <f t="shared" si="13"/>
        <v>-411.55289999999997</v>
      </c>
      <c r="AS29" s="111">
        <f t="shared" si="13"/>
        <v>-398.27699999999999</v>
      </c>
      <c r="AT29" s="111">
        <f t="shared" si="13"/>
        <v>-411.55289999999997</v>
      </c>
      <c r="AU29" s="111">
        <f t="shared" si="13"/>
        <v>-398.27699999999999</v>
      </c>
      <c r="AV29" s="111">
        <f t="shared" si="13"/>
        <v>-411.55289999999997</v>
      </c>
      <c r="AW29" s="111">
        <f t="shared" si="13"/>
        <v>-411.55289999999997</v>
      </c>
    </row>
    <row r="30" spans="1:49" ht="15.6" x14ac:dyDescent="0.3">
      <c r="A30" s="61"/>
      <c r="B30" s="91"/>
      <c r="D30" s="28"/>
      <c r="E30" s="53" t="s">
        <v>61</v>
      </c>
      <c r="F30" s="49">
        <f>SUM(N33:AW33)*F39</f>
        <v>15717.068382819512</v>
      </c>
      <c r="G30" s="56" t="str">
        <f t="shared" ca="1" si="7"/>
        <v>=SUM(N33:AW33)*F39</v>
      </c>
      <c r="I30" s="117"/>
      <c r="J30" s="129"/>
      <c r="K30" s="4"/>
      <c r="L30" s="7"/>
      <c r="M30" s="4"/>
      <c r="N30" s="23"/>
      <c r="O30" s="23"/>
      <c r="P30" s="23"/>
    </row>
    <row r="31" spans="1:49" ht="15.6" x14ac:dyDescent="0.3">
      <c r="A31" s="84"/>
      <c r="B31" s="85"/>
      <c r="D31" s="39"/>
      <c r="E31" s="52" t="s">
        <v>39</v>
      </c>
      <c r="F31" s="49">
        <f>B9*0.22</f>
        <v>1650</v>
      </c>
      <c r="G31" s="56" t="str">
        <f t="shared" ca="1" si="7"/>
        <v>=B9*0.22</v>
      </c>
      <c r="I31" s="117"/>
      <c r="J31" s="130"/>
      <c r="K31" s="4"/>
      <c r="L31" s="7"/>
      <c r="M31" s="4"/>
      <c r="N31" s="22"/>
      <c r="O31" s="22"/>
      <c r="P31" s="22"/>
    </row>
    <row r="32" spans="1:49" ht="15.75" customHeight="1" x14ac:dyDescent="0.3">
      <c r="A32" s="84"/>
      <c r="B32" s="43"/>
      <c r="D32" s="40"/>
      <c r="E32" s="52" t="s">
        <v>40</v>
      </c>
      <c r="F32" s="49">
        <f>B9*0.25</f>
        <v>1875</v>
      </c>
      <c r="G32" s="56" t="str">
        <f t="shared" ca="1" si="7"/>
        <v>=B9*0.25</v>
      </c>
      <c r="I32" s="174"/>
      <c r="J32" s="174"/>
      <c r="K32" s="4"/>
      <c r="L32" s="18" t="s">
        <v>20</v>
      </c>
      <c r="M32" s="19"/>
      <c r="N32" s="110">
        <f>N27+N29</f>
        <v>415.77124473463294</v>
      </c>
      <c r="O32" s="110">
        <f t="shared" ref="O32:AW32" si="14">O27+O29</f>
        <v>419.12164442091006</v>
      </c>
      <c r="P32" s="110">
        <f t="shared" si="14"/>
        <v>408.40158035874759</v>
      </c>
      <c r="Q32" s="110">
        <f t="shared" si="14"/>
        <v>424.4924293837941</v>
      </c>
      <c r="R32" s="110">
        <f t="shared" si="14"/>
        <v>426.59251739947553</v>
      </c>
      <c r="S32" s="110">
        <f t="shared" si="14"/>
        <v>386.89771810623625</v>
      </c>
      <c r="T32" s="110">
        <f t="shared" si="14"/>
        <v>429.80124409123943</v>
      </c>
      <c r="U32" s="110">
        <f t="shared" si="14"/>
        <v>417.07148260190189</v>
      </c>
      <c r="V32" s="110">
        <f t="shared" si="14"/>
        <v>431.89729154176786</v>
      </c>
      <c r="W32" s="110">
        <f t="shared" si="14"/>
        <v>418.64289407537143</v>
      </c>
      <c r="X32" s="110">
        <f t="shared" si="14"/>
        <v>433.0989728117882</v>
      </c>
      <c r="Y32" s="110">
        <f t="shared" si="14"/>
        <v>433.42325026479858</v>
      </c>
      <c r="Z32" s="110">
        <f t="shared" si="14"/>
        <v>419.60383365396893</v>
      </c>
      <c r="AA32" s="110">
        <f t="shared" si="14"/>
        <v>433.61949463647062</v>
      </c>
      <c r="AB32" s="110">
        <f t="shared" si="14"/>
        <v>419.54187852760396</v>
      </c>
      <c r="AC32" s="110">
        <f t="shared" si="14"/>
        <v>433.32721107483127</v>
      </c>
      <c r="AD32" s="110">
        <f t="shared" si="14"/>
        <v>433.03514436952088</v>
      </c>
      <c r="AE32" s="110">
        <f t="shared" si="14"/>
        <v>390.79234189645814</v>
      </c>
      <c r="AF32" s="110">
        <f t="shared" si="14"/>
        <v>432.22197273061607</v>
      </c>
      <c r="AG32" s="110">
        <f t="shared" si="14"/>
        <v>417.7959240930706</v>
      </c>
      <c r="AH32" s="110">
        <f t="shared" si="14"/>
        <v>431.17362497530502</v>
      </c>
      <c r="AI32" s="110">
        <f t="shared" si="14"/>
        <v>416.69398179647482</v>
      </c>
      <c r="AJ32" s="110">
        <f t="shared" si="14"/>
        <v>429.96036933758643</v>
      </c>
      <c r="AK32" s="110">
        <f t="shared" si="14"/>
        <v>429.31005532929038</v>
      </c>
      <c r="AL32" s="110">
        <f t="shared" si="14"/>
        <v>414.81173475733004</v>
      </c>
      <c r="AM32" s="110">
        <f t="shared" si="14"/>
        <v>427.95188450454629</v>
      </c>
      <c r="AN32" s="110">
        <f t="shared" si="14"/>
        <v>413.47165384147257</v>
      </c>
      <c r="AO32" s="110">
        <f t="shared" si="14"/>
        <v>426.54943837850902</v>
      </c>
      <c r="AP32" s="110">
        <f t="shared" si="14"/>
        <v>425.84175555634664</v>
      </c>
      <c r="AQ32" s="110">
        <f t="shared" si="14"/>
        <v>397.70621741443489</v>
      </c>
      <c r="AR32" s="110">
        <f t="shared" si="14"/>
        <v>424.4297049224171</v>
      </c>
      <c r="AS32" s="110">
        <f t="shared" si="14"/>
        <v>5.8924571406969903</v>
      </c>
      <c r="AT32" s="110">
        <f t="shared" si="14"/>
        <v>5.7431471636490983</v>
      </c>
      <c r="AU32" s="110">
        <f t="shared" si="14"/>
        <v>5.2278865807991224</v>
      </c>
      <c r="AV32" s="110">
        <f t="shared" si="14"/>
        <v>5.0666680834782483</v>
      </c>
      <c r="AW32" s="110">
        <f t="shared" si="14"/>
        <v>4.7373713893370564</v>
      </c>
    </row>
    <row r="33" spans="1:49" ht="15.75" customHeight="1" x14ac:dyDescent="0.3">
      <c r="A33" s="84"/>
      <c r="B33" s="43"/>
      <c r="D33" s="28"/>
      <c r="E33" s="113" t="s">
        <v>42</v>
      </c>
      <c r="F33" s="114">
        <f>SUM(F30:F32)+B10</f>
        <v>20073.488382819509</v>
      </c>
      <c r="G33" s="56" t="str">
        <f t="shared" ca="1" si="7"/>
        <v>=SUM(F30:F32)+B10</v>
      </c>
      <c r="I33" s="117"/>
      <c r="J33" s="131"/>
      <c r="K33" s="4"/>
      <c r="L33" s="7"/>
      <c r="M33" s="4"/>
      <c r="N33" s="112">
        <f t="shared" ref="N33:AW33" si="15">N32/N6</f>
        <v>3.5802471240189556E-3</v>
      </c>
      <c r="O33" s="112">
        <f t="shared" si="15"/>
        <v>3.4845467678305312E-3</v>
      </c>
      <c r="P33" s="112">
        <f t="shared" si="15"/>
        <v>3.2860368454286793E-3</v>
      </c>
      <c r="Q33" s="112">
        <f t="shared" si="15"/>
        <v>3.31279995022458E-3</v>
      </c>
      <c r="R33" s="112">
        <f t="shared" si="15"/>
        <v>3.2357516660516551E-3</v>
      </c>
      <c r="S33" s="112">
        <f t="shared" si="15"/>
        <v>2.8577921751980766E-3</v>
      </c>
      <c r="T33" s="112">
        <f t="shared" si="15"/>
        <v>3.0970912115325755E-3</v>
      </c>
      <c r="U33" s="112">
        <f t="shared" si="15"/>
        <v>2.9368063981330028E-3</v>
      </c>
      <c r="V33" s="112">
        <f t="shared" si="15"/>
        <v>2.9764686479154655E-3</v>
      </c>
      <c r="W33" s="112">
        <f t="shared" si="15"/>
        <v>2.8278233566091759E-3</v>
      </c>
      <c r="X33" s="112">
        <f t="shared" si="15"/>
        <v>2.8712594148140439E-3</v>
      </c>
      <c r="Y33" s="112">
        <f t="shared" si="15"/>
        <v>2.8237314572854924E-3</v>
      </c>
      <c r="Z33" s="112">
        <f t="shared" si="15"/>
        <v>2.6896055923171947E-3</v>
      </c>
      <c r="AA33" s="112">
        <f t="shared" si="15"/>
        <v>2.737621179733335E-3</v>
      </c>
      <c r="AB33" s="112">
        <f t="shared" si="15"/>
        <v>2.6115625533506808E-3</v>
      </c>
      <c r="AC33" s="112">
        <f t="shared" si="15"/>
        <v>2.6620530199949412E-3</v>
      </c>
      <c r="AD33" s="112">
        <f t="shared" si="15"/>
        <v>2.6277649277903835E-3</v>
      </c>
      <c r="AE33" s="112">
        <f t="shared" si="15"/>
        <v>2.344406299142798E-3</v>
      </c>
      <c r="AF33" s="112">
        <f t="shared" si="15"/>
        <v>2.5653911260488634E-3</v>
      </c>
      <c r="AG33" s="112">
        <f t="shared" si="15"/>
        <v>2.4551868890074933E-3</v>
      </c>
      <c r="AH33" s="112">
        <f t="shared" si="15"/>
        <v>2.5103752567054555E-3</v>
      </c>
      <c r="AI33" s="112">
        <f t="shared" si="15"/>
        <v>2.4051518693152182E-3</v>
      </c>
      <c r="AJ33" s="112">
        <f t="shared" si="15"/>
        <v>2.4617661764769322E-3</v>
      </c>
      <c r="AK33" s="112">
        <f t="shared" si="15"/>
        <v>2.4396055851563631E-3</v>
      </c>
      <c r="AL33" s="112">
        <f t="shared" si="15"/>
        <v>2.3407273893015579E-3</v>
      </c>
      <c r="AM33" s="112">
        <f t="shared" si="15"/>
        <v>2.3991207436522819E-3</v>
      </c>
      <c r="AN33" s="112">
        <f t="shared" si="15"/>
        <v>2.3038406849362177E-3</v>
      </c>
      <c r="AO33" s="112">
        <f t="shared" si="15"/>
        <v>2.3632235392764727E-3</v>
      </c>
      <c r="AP33" s="112">
        <f t="shared" si="15"/>
        <v>2.3468183393445283E-3</v>
      </c>
      <c r="AQ33" s="112">
        <f t="shared" si="15"/>
        <v>2.180947386939882E-3</v>
      </c>
      <c r="AR33" s="112">
        <f t="shared" si="15"/>
        <v>2.3167832525341483E-3</v>
      </c>
      <c r="AS33" s="112">
        <f t="shared" si="15"/>
        <v>3.2026414335110019E-5</v>
      </c>
      <c r="AT33" s="112">
        <f t="shared" si="15"/>
        <v>3.1089973647112336E-5</v>
      </c>
      <c r="AU33" s="112">
        <f t="shared" si="15"/>
        <v>2.8195047074326906E-5</v>
      </c>
      <c r="AV33" s="112">
        <f t="shared" si="15"/>
        <v>2.7230471087995282E-5</v>
      </c>
      <c r="AW33" s="112">
        <f t="shared" si="15"/>
        <v>2.5378065820413302E-5</v>
      </c>
    </row>
    <row r="34" spans="1:49" ht="15.75" customHeight="1" thickBot="1" x14ac:dyDescent="0.35">
      <c r="A34" s="84"/>
      <c r="B34" s="43"/>
      <c r="D34" s="41"/>
      <c r="E34" s="113" t="s">
        <v>23</v>
      </c>
      <c r="F34" s="115">
        <f>(F33/B11)-1</f>
        <v>1.4021636517575122</v>
      </c>
      <c r="G34" s="56" t="str">
        <f t="shared" ca="1" si="7"/>
        <v>=(F33/B11)-1</v>
      </c>
      <c r="I34" s="173"/>
      <c r="J34" s="173"/>
      <c r="K34" s="4"/>
      <c r="L34" s="103" t="s">
        <v>70</v>
      </c>
      <c r="M34" s="4"/>
      <c r="N34" s="25">
        <f>SUM($B$10*N38)</f>
        <v>0</v>
      </c>
      <c r="O34" s="25">
        <f t="shared" ref="O34:AW34" si="16">SUM($B$10*O38)</f>
        <v>0</v>
      </c>
      <c r="P34" s="25">
        <f t="shared" si="16"/>
        <v>0</v>
      </c>
      <c r="Q34" s="25">
        <f t="shared" si="16"/>
        <v>0</v>
      </c>
      <c r="R34" s="25">
        <f t="shared" si="16"/>
        <v>0</v>
      </c>
      <c r="S34" s="25">
        <f t="shared" si="16"/>
        <v>0</v>
      </c>
      <c r="T34" s="25">
        <f t="shared" si="16"/>
        <v>0</v>
      </c>
      <c r="U34" s="25">
        <f t="shared" si="16"/>
        <v>0</v>
      </c>
      <c r="V34" s="25">
        <f t="shared" si="16"/>
        <v>0</v>
      </c>
      <c r="W34" s="25">
        <f t="shared" si="16"/>
        <v>0</v>
      </c>
      <c r="X34" s="25">
        <f t="shared" si="16"/>
        <v>0</v>
      </c>
      <c r="Y34" s="25">
        <f t="shared" si="16"/>
        <v>0</v>
      </c>
      <c r="Z34" s="25">
        <f t="shared" si="16"/>
        <v>0</v>
      </c>
      <c r="AA34" s="25">
        <f t="shared" si="16"/>
        <v>0</v>
      </c>
      <c r="AB34" s="25">
        <f t="shared" si="16"/>
        <v>0</v>
      </c>
      <c r="AC34" s="25">
        <f t="shared" si="16"/>
        <v>0</v>
      </c>
      <c r="AD34" s="25">
        <f t="shared" si="16"/>
        <v>0</v>
      </c>
      <c r="AE34" s="25">
        <f t="shared" si="16"/>
        <v>0</v>
      </c>
      <c r="AF34" s="25">
        <f t="shared" si="16"/>
        <v>0</v>
      </c>
      <c r="AG34" s="25">
        <f t="shared" si="16"/>
        <v>0</v>
      </c>
      <c r="AH34" s="25">
        <f t="shared" si="16"/>
        <v>0</v>
      </c>
      <c r="AI34" s="25">
        <f t="shared" si="16"/>
        <v>0</v>
      </c>
      <c r="AJ34" s="25">
        <f t="shared" si="16"/>
        <v>0</v>
      </c>
      <c r="AK34" s="25">
        <f t="shared" si="16"/>
        <v>0</v>
      </c>
      <c r="AL34" s="25">
        <f t="shared" si="16"/>
        <v>0</v>
      </c>
      <c r="AM34" s="25">
        <f t="shared" si="16"/>
        <v>0</v>
      </c>
      <c r="AN34" s="25">
        <f t="shared" si="16"/>
        <v>0</v>
      </c>
      <c r="AO34" s="25">
        <f t="shared" si="16"/>
        <v>0</v>
      </c>
      <c r="AP34" s="25">
        <f t="shared" si="16"/>
        <v>0</v>
      </c>
      <c r="AQ34" s="25">
        <f t="shared" si="16"/>
        <v>0</v>
      </c>
      <c r="AR34" s="25">
        <f t="shared" si="16"/>
        <v>0</v>
      </c>
      <c r="AS34" s="25">
        <f t="shared" si="16"/>
        <v>0</v>
      </c>
      <c r="AT34" s="25">
        <f t="shared" si="16"/>
        <v>0</v>
      </c>
      <c r="AU34" s="25">
        <f t="shared" si="16"/>
        <v>0</v>
      </c>
      <c r="AV34" s="25">
        <f t="shared" si="16"/>
        <v>0</v>
      </c>
      <c r="AW34" s="25">
        <f t="shared" si="16"/>
        <v>831.42</v>
      </c>
    </row>
    <row r="35" spans="1:49" ht="15.75" customHeight="1" thickTop="1" thickBot="1" x14ac:dyDescent="0.35">
      <c r="A35" s="61"/>
      <c r="B35" s="86"/>
      <c r="D35" s="41"/>
      <c r="E35" s="113" t="s">
        <v>41</v>
      </c>
      <c r="F35" s="116">
        <f>((F33+B10)/(B11))^(1/3)-1</f>
        <v>0.3575088500497936</v>
      </c>
      <c r="G35" s="56" t="str">
        <f t="shared" ca="1" si="7"/>
        <v>=((F33+B10)/(B11))^(1/3)-1</v>
      </c>
      <c r="I35" s="117"/>
      <c r="J35" s="132"/>
      <c r="K35" s="24"/>
      <c r="L35" s="103" t="s">
        <v>22</v>
      </c>
      <c r="M35" s="4"/>
      <c r="N35" s="25">
        <f t="shared" ref="N35:AV35" si="17">SUM($B$28*N39)</f>
        <v>0</v>
      </c>
      <c r="O35" s="25">
        <f t="shared" si="17"/>
        <v>0</v>
      </c>
      <c r="P35" s="25">
        <f t="shared" si="17"/>
        <v>0</v>
      </c>
      <c r="Q35" s="25">
        <f t="shared" si="17"/>
        <v>0</v>
      </c>
      <c r="R35" s="25">
        <f t="shared" si="17"/>
        <v>0</v>
      </c>
      <c r="S35" s="25">
        <f t="shared" si="17"/>
        <v>0</v>
      </c>
      <c r="T35" s="25">
        <f t="shared" si="17"/>
        <v>0</v>
      </c>
      <c r="U35" s="25">
        <f t="shared" si="17"/>
        <v>0</v>
      </c>
      <c r="V35" s="25">
        <f t="shared" si="17"/>
        <v>0</v>
      </c>
      <c r="W35" s="25">
        <f t="shared" si="17"/>
        <v>0</v>
      </c>
      <c r="X35" s="25">
        <f t="shared" si="17"/>
        <v>0</v>
      </c>
      <c r="Y35" s="25">
        <f t="shared" si="17"/>
        <v>0</v>
      </c>
      <c r="Z35" s="25">
        <f t="shared" si="17"/>
        <v>0</v>
      </c>
      <c r="AA35" s="25">
        <f t="shared" si="17"/>
        <v>0</v>
      </c>
      <c r="AB35" s="25">
        <f t="shared" si="17"/>
        <v>0</v>
      </c>
      <c r="AC35" s="25">
        <f t="shared" si="17"/>
        <v>0</v>
      </c>
      <c r="AD35" s="25">
        <f t="shared" si="17"/>
        <v>0</v>
      </c>
      <c r="AE35" s="25">
        <f t="shared" si="17"/>
        <v>0</v>
      </c>
      <c r="AF35" s="25">
        <f t="shared" si="17"/>
        <v>0</v>
      </c>
      <c r="AG35" s="25">
        <f t="shared" si="17"/>
        <v>0</v>
      </c>
      <c r="AH35" s="25">
        <f t="shared" si="17"/>
        <v>0</v>
      </c>
      <c r="AI35" s="25">
        <f t="shared" si="17"/>
        <v>0</v>
      </c>
      <c r="AJ35" s="25">
        <f t="shared" si="17"/>
        <v>0</v>
      </c>
      <c r="AK35" s="25">
        <f t="shared" si="17"/>
        <v>0</v>
      </c>
      <c r="AL35" s="25">
        <f t="shared" si="17"/>
        <v>0</v>
      </c>
      <c r="AM35" s="25">
        <f t="shared" si="17"/>
        <v>0</v>
      </c>
      <c r="AN35" s="25">
        <f t="shared" si="17"/>
        <v>0</v>
      </c>
      <c r="AO35" s="25">
        <f t="shared" si="17"/>
        <v>0</v>
      </c>
      <c r="AP35" s="25">
        <f t="shared" si="17"/>
        <v>0</v>
      </c>
      <c r="AQ35" s="25">
        <f t="shared" si="17"/>
        <v>0</v>
      </c>
      <c r="AR35" s="25">
        <f t="shared" si="17"/>
        <v>0</v>
      </c>
      <c r="AS35" s="25">
        <f t="shared" si="17"/>
        <v>0</v>
      </c>
      <c r="AT35" s="25">
        <f t="shared" si="17"/>
        <v>0</v>
      </c>
      <c r="AU35" s="25">
        <f t="shared" si="17"/>
        <v>0</v>
      </c>
      <c r="AV35" s="25">
        <f t="shared" si="17"/>
        <v>0</v>
      </c>
      <c r="AW35" s="25">
        <f>SUM(F32*AW39)</f>
        <v>1875</v>
      </c>
    </row>
    <row r="36" spans="1:49" ht="15.75" customHeight="1" thickTop="1" thickBot="1" x14ac:dyDescent="0.35">
      <c r="A36" s="61"/>
      <c r="B36" s="87"/>
      <c r="D36" s="31"/>
      <c r="E36" s="54" t="s">
        <v>35</v>
      </c>
      <c r="F36" s="47">
        <f>F29/(B11)*12</f>
        <v>0.52214217818734487</v>
      </c>
      <c r="G36" s="56" t="str">
        <f t="shared" ca="1" si="7"/>
        <v>=F29/(B11)*12</v>
      </c>
      <c r="I36" s="117"/>
      <c r="J36" s="133"/>
      <c r="K36" s="4"/>
      <c r="L36" s="100" t="s">
        <v>39</v>
      </c>
      <c r="M36" s="25"/>
      <c r="N36" s="25">
        <f t="shared" ref="N36:T36" si="18">SUM($B$2*N40)</f>
        <v>0</v>
      </c>
      <c r="O36" s="25">
        <f t="shared" si="18"/>
        <v>0</v>
      </c>
      <c r="P36" s="25">
        <f t="shared" si="18"/>
        <v>0</v>
      </c>
      <c r="Q36" s="25">
        <f t="shared" si="18"/>
        <v>0</v>
      </c>
      <c r="R36" s="25">
        <f t="shared" si="18"/>
        <v>0</v>
      </c>
      <c r="S36" s="25">
        <f t="shared" si="18"/>
        <v>0</v>
      </c>
      <c r="T36" s="25">
        <f t="shared" si="18"/>
        <v>0</v>
      </c>
      <c r="U36" s="25">
        <f>SUM(F31*U40)</f>
        <v>1650</v>
      </c>
      <c r="V36" s="25">
        <f>SUM($B$2*V40)</f>
        <v>0</v>
      </c>
      <c r="W36" s="25">
        <f t="shared" ref="W36:AW36" si="19">SUM($B$2*W40)</f>
        <v>0</v>
      </c>
      <c r="X36" s="25">
        <f t="shared" si="19"/>
        <v>0</v>
      </c>
      <c r="Y36" s="25">
        <f t="shared" si="19"/>
        <v>0</v>
      </c>
      <c r="Z36" s="25">
        <f t="shared" si="19"/>
        <v>0</v>
      </c>
      <c r="AA36" s="25">
        <f t="shared" si="19"/>
        <v>0</v>
      </c>
      <c r="AB36" s="25">
        <f t="shared" si="19"/>
        <v>0</v>
      </c>
      <c r="AC36" s="25">
        <f t="shared" si="19"/>
        <v>0</v>
      </c>
      <c r="AD36" s="25">
        <f t="shared" si="19"/>
        <v>0</v>
      </c>
      <c r="AE36" s="25">
        <f t="shared" si="19"/>
        <v>0</v>
      </c>
      <c r="AF36" s="25">
        <f t="shared" si="19"/>
        <v>0</v>
      </c>
      <c r="AG36" s="25">
        <f t="shared" si="19"/>
        <v>0</v>
      </c>
      <c r="AH36" s="25">
        <f t="shared" si="19"/>
        <v>0</v>
      </c>
      <c r="AI36" s="25">
        <f t="shared" si="19"/>
        <v>0</v>
      </c>
      <c r="AJ36" s="25">
        <f t="shared" si="19"/>
        <v>0</v>
      </c>
      <c r="AK36" s="25">
        <f t="shared" si="19"/>
        <v>0</v>
      </c>
      <c r="AL36" s="25">
        <f t="shared" si="19"/>
        <v>0</v>
      </c>
      <c r="AM36" s="25">
        <f t="shared" si="19"/>
        <v>0</v>
      </c>
      <c r="AN36" s="25">
        <f t="shared" si="19"/>
        <v>0</v>
      </c>
      <c r="AO36" s="25">
        <f t="shared" si="19"/>
        <v>0</v>
      </c>
      <c r="AP36" s="25">
        <f t="shared" si="19"/>
        <v>0</v>
      </c>
      <c r="AQ36" s="25">
        <f t="shared" si="19"/>
        <v>0</v>
      </c>
      <c r="AR36" s="25">
        <f t="shared" si="19"/>
        <v>0</v>
      </c>
      <c r="AS36" s="25">
        <f t="shared" si="19"/>
        <v>0</v>
      </c>
      <c r="AT36" s="25">
        <f t="shared" si="19"/>
        <v>0</v>
      </c>
      <c r="AU36" s="25">
        <f t="shared" si="19"/>
        <v>0</v>
      </c>
      <c r="AV36" s="25">
        <f t="shared" si="19"/>
        <v>0</v>
      </c>
      <c r="AW36" s="25">
        <f t="shared" si="19"/>
        <v>0</v>
      </c>
    </row>
    <row r="37" spans="1:49" ht="15.75" customHeight="1" thickTop="1" x14ac:dyDescent="0.3">
      <c r="A37" s="61"/>
      <c r="B37" s="88"/>
      <c r="C37" s="104"/>
      <c r="D37" s="32"/>
      <c r="E37" s="54" t="s">
        <v>36</v>
      </c>
      <c r="F37" s="47">
        <f>F29/F28</f>
        <v>0.89879302007331452</v>
      </c>
      <c r="G37" s="56" t="str">
        <f t="shared" ca="1" si="7"/>
        <v>=F29/F28</v>
      </c>
      <c r="I37" s="117"/>
      <c r="J37" s="133"/>
      <c r="K37" s="4"/>
      <c r="L37" s="4" t="s">
        <v>24</v>
      </c>
      <c r="M37" s="13">
        <f>B2</f>
        <v>1</v>
      </c>
      <c r="N37" s="13">
        <f t="shared" ref="N37:AW37" si="20">SUM(M37-N39)</f>
        <v>1</v>
      </c>
      <c r="O37" s="13">
        <f t="shared" si="20"/>
        <v>1</v>
      </c>
      <c r="P37" s="13">
        <f t="shared" si="20"/>
        <v>1</v>
      </c>
      <c r="Q37" s="13">
        <f t="shared" si="20"/>
        <v>1</v>
      </c>
      <c r="R37" s="13">
        <f t="shared" si="20"/>
        <v>1</v>
      </c>
      <c r="S37" s="13">
        <f t="shared" si="20"/>
        <v>1</v>
      </c>
      <c r="T37" s="13">
        <f t="shared" si="20"/>
        <v>1</v>
      </c>
      <c r="U37" s="13">
        <f t="shared" si="20"/>
        <v>1</v>
      </c>
      <c r="V37" s="13">
        <f t="shared" si="20"/>
        <v>1</v>
      </c>
      <c r="W37" s="13">
        <f t="shared" si="20"/>
        <v>1</v>
      </c>
      <c r="X37" s="13">
        <f t="shared" si="20"/>
        <v>1</v>
      </c>
      <c r="Y37" s="13">
        <f t="shared" si="20"/>
        <v>1</v>
      </c>
      <c r="Z37" s="13">
        <f t="shared" si="20"/>
        <v>1</v>
      </c>
      <c r="AA37" s="13">
        <f t="shared" si="20"/>
        <v>1</v>
      </c>
      <c r="AB37" s="13">
        <f t="shared" si="20"/>
        <v>1</v>
      </c>
      <c r="AC37" s="13">
        <f t="shared" si="20"/>
        <v>1</v>
      </c>
      <c r="AD37" s="13">
        <f t="shared" si="20"/>
        <v>1</v>
      </c>
      <c r="AE37" s="13">
        <f t="shared" si="20"/>
        <v>1</v>
      </c>
      <c r="AF37" s="13">
        <f t="shared" si="20"/>
        <v>1</v>
      </c>
      <c r="AG37" s="13">
        <f t="shared" si="20"/>
        <v>1</v>
      </c>
      <c r="AH37" s="13">
        <f t="shared" si="20"/>
        <v>1</v>
      </c>
      <c r="AI37" s="13">
        <f t="shared" si="20"/>
        <v>1</v>
      </c>
      <c r="AJ37" s="13">
        <f t="shared" si="20"/>
        <v>1</v>
      </c>
      <c r="AK37" s="13">
        <f t="shared" si="20"/>
        <v>1</v>
      </c>
      <c r="AL37" s="13">
        <f t="shared" si="20"/>
        <v>1</v>
      </c>
      <c r="AM37" s="13">
        <f t="shared" si="20"/>
        <v>1</v>
      </c>
      <c r="AN37" s="13">
        <f t="shared" si="20"/>
        <v>1</v>
      </c>
      <c r="AO37" s="13">
        <f t="shared" si="20"/>
        <v>1</v>
      </c>
      <c r="AP37" s="13">
        <f t="shared" si="20"/>
        <v>1</v>
      </c>
      <c r="AQ37" s="13">
        <f t="shared" si="20"/>
        <v>1</v>
      </c>
      <c r="AR37" s="13">
        <f t="shared" si="20"/>
        <v>1</v>
      </c>
      <c r="AS37" s="13">
        <f t="shared" si="20"/>
        <v>1</v>
      </c>
      <c r="AT37" s="13">
        <f t="shared" si="20"/>
        <v>1</v>
      </c>
      <c r="AU37" s="13">
        <f t="shared" si="20"/>
        <v>1</v>
      </c>
      <c r="AV37" s="13">
        <f t="shared" si="20"/>
        <v>1</v>
      </c>
      <c r="AW37" s="13">
        <f t="shared" si="20"/>
        <v>0</v>
      </c>
    </row>
    <row r="38" spans="1:49" ht="15.75" customHeight="1" x14ac:dyDescent="0.3">
      <c r="A38" s="61"/>
      <c r="B38" s="89"/>
      <c r="C38" s="42"/>
      <c r="D38" s="32"/>
      <c r="E38" s="55" t="s">
        <v>37</v>
      </c>
      <c r="F38" s="48">
        <f>(B9-F31-F32)/F29</f>
        <v>10.932244664101491</v>
      </c>
      <c r="G38" s="56" t="str">
        <f t="shared" ca="1" si="7"/>
        <v>=(B9-F31-F32)/F29</v>
      </c>
      <c r="I38" s="134"/>
      <c r="J38" s="135"/>
      <c r="K38" s="4"/>
      <c r="L38" s="126" t="s">
        <v>71</v>
      </c>
      <c r="M38" s="13">
        <v>0</v>
      </c>
      <c r="N38" s="13">
        <v>0</v>
      </c>
      <c r="O38" s="13">
        <v>0</v>
      </c>
      <c r="P38" s="13">
        <v>0</v>
      </c>
      <c r="Q38" s="13">
        <v>0</v>
      </c>
      <c r="R38" s="13">
        <v>0</v>
      </c>
      <c r="S38" s="13">
        <v>0</v>
      </c>
      <c r="T38" s="13">
        <v>0</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0</v>
      </c>
      <c r="AW38" s="13">
        <v>1</v>
      </c>
    </row>
    <row r="39" spans="1:49" ht="15.75" customHeight="1" x14ac:dyDescent="0.3">
      <c r="A39" s="61"/>
      <c r="B39" s="89"/>
      <c r="C39" s="42"/>
      <c r="D39" s="32"/>
      <c r="E39" s="98" t="s">
        <v>25</v>
      </c>
      <c r="F39" s="99">
        <f>AW6</f>
        <v>186671.88519648596</v>
      </c>
      <c r="G39" s="56" t="str">
        <f t="shared" ca="1" si="7"/>
        <v>=AW6</v>
      </c>
      <c r="I39" s="134"/>
      <c r="J39" s="136"/>
      <c r="L39" s="4" t="s">
        <v>26</v>
      </c>
      <c r="M39" s="4"/>
      <c r="N39" s="13">
        <v>0</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0</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f>B2</f>
        <v>1</v>
      </c>
    </row>
    <row r="40" spans="1:49" ht="15.75" customHeight="1" x14ac:dyDescent="0.3">
      <c r="A40" s="61"/>
      <c r="B40" s="105"/>
      <c r="C40" s="42"/>
      <c r="D40" s="42"/>
      <c r="E40" s="98" t="s">
        <v>34</v>
      </c>
      <c r="F40" s="99">
        <f>F28/F21</f>
        <v>58898.678696260358</v>
      </c>
      <c r="G40" s="56" t="str">
        <f t="shared" ca="1" si="7"/>
        <v>=F28/F21</v>
      </c>
      <c r="I40" s="117"/>
      <c r="J40" s="132"/>
      <c r="L40" s="101" t="s">
        <v>64</v>
      </c>
      <c r="M40" s="4"/>
      <c r="N40" s="13">
        <v>0</v>
      </c>
      <c r="O40" s="13">
        <v>0</v>
      </c>
      <c r="P40" s="13">
        <v>0</v>
      </c>
      <c r="Q40" s="13">
        <v>0</v>
      </c>
      <c r="R40" s="13">
        <v>0</v>
      </c>
      <c r="S40" s="13">
        <v>0</v>
      </c>
      <c r="T40" s="13">
        <v>0</v>
      </c>
      <c r="U40" s="13">
        <f>B2</f>
        <v>1</v>
      </c>
      <c r="V40" s="13">
        <f>J12</f>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f>0</f>
        <v>0</v>
      </c>
    </row>
    <row r="41" spans="1:49" ht="15.75" customHeight="1" x14ac:dyDescent="0.3">
      <c r="A41" s="61"/>
      <c r="B41" s="105"/>
      <c r="C41" s="42"/>
      <c r="D41" s="34"/>
      <c r="E41" s="148" t="s">
        <v>83</v>
      </c>
      <c r="F41" s="147">
        <f>M15/B12</f>
        <v>7.4720037483323856E-2</v>
      </c>
      <c r="G41" s="56"/>
      <c r="I41" s="117"/>
      <c r="J41" s="137"/>
      <c r="L41" s="26" t="s">
        <v>21</v>
      </c>
      <c r="M41" s="4"/>
      <c r="N41" s="12">
        <f t="shared" ref="N41:AV41" si="21">SUM(N32+N36+N35)</f>
        <v>415.77124473463294</v>
      </c>
      <c r="O41" s="12">
        <f t="shared" si="21"/>
        <v>419.12164442091006</v>
      </c>
      <c r="P41" s="12">
        <f t="shared" si="21"/>
        <v>408.40158035874759</v>
      </c>
      <c r="Q41" s="12">
        <f t="shared" si="21"/>
        <v>424.4924293837941</v>
      </c>
      <c r="R41" s="12">
        <f t="shared" si="21"/>
        <v>426.59251739947553</v>
      </c>
      <c r="S41" s="12">
        <f t="shared" si="21"/>
        <v>386.89771810623625</v>
      </c>
      <c r="T41" s="12">
        <f t="shared" si="21"/>
        <v>429.80124409123943</v>
      </c>
      <c r="U41" s="12">
        <f t="shared" si="21"/>
        <v>2067.0714826019021</v>
      </c>
      <c r="V41" s="12">
        <f t="shared" si="21"/>
        <v>431.89729154176786</v>
      </c>
      <c r="W41" s="12">
        <f t="shared" si="21"/>
        <v>418.64289407537143</v>
      </c>
      <c r="X41" s="12">
        <f t="shared" si="21"/>
        <v>433.0989728117882</v>
      </c>
      <c r="Y41" s="12">
        <f t="shared" si="21"/>
        <v>433.42325026479858</v>
      </c>
      <c r="Z41" s="12">
        <f t="shared" si="21"/>
        <v>419.60383365396893</v>
      </c>
      <c r="AA41" s="12">
        <f t="shared" si="21"/>
        <v>433.61949463647062</v>
      </c>
      <c r="AB41" s="12">
        <f t="shared" si="21"/>
        <v>419.54187852760396</v>
      </c>
      <c r="AC41" s="12">
        <f t="shared" si="21"/>
        <v>433.32721107483127</v>
      </c>
      <c r="AD41" s="12">
        <f t="shared" si="21"/>
        <v>433.03514436952088</v>
      </c>
      <c r="AE41" s="12">
        <f t="shared" si="21"/>
        <v>390.79234189645814</v>
      </c>
      <c r="AF41" s="12">
        <f t="shared" si="21"/>
        <v>432.22197273061607</v>
      </c>
      <c r="AG41" s="12">
        <f t="shared" si="21"/>
        <v>417.7959240930706</v>
      </c>
      <c r="AH41" s="12">
        <f t="shared" si="21"/>
        <v>431.17362497530502</v>
      </c>
      <c r="AI41" s="12">
        <f t="shared" si="21"/>
        <v>416.69398179647482</v>
      </c>
      <c r="AJ41" s="12">
        <f t="shared" si="21"/>
        <v>429.96036933758643</v>
      </c>
      <c r="AK41" s="12">
        <f t="shared" si="21"/>
        <v>429.31005532929038</v>
      </c>
      <c r="AL41" s="12">
        <f t="shared" si="21"/>
        <v>414.81173475733004</v>
      </c>
      <c r="AM41" s="12">
        <f t="shared" si="21"/>
        <v>427.95188450454629</v>
      </c>
      <c r="AN41" s="12">
        <f t="shared" si="21"/>
        <v>413.47165384147257</v>
      </c>
      <c r="AO41" s="12">
        <f t="shared" si="21"/>
        <v>426.54943837850902</v>
      </c>
      <c r="AP41" s="12">
        <f t="shared" si="21"/>
        <v>425.84175555634664</v>
      </c>
      <c r="AQ41" s="12">
        <f t="shared" si="21"/>
        <v>397.70621741443489</v>
      </c>
      <c r="AR41" s="12">
        <f t="shared" si="21"/>
        <v>424.4297049224171</v>
      </c>
      <c r="AS41" s="12">
        <f t="shared" si="21"/>
        <v>5.8924571406969903</v>
      </c>
      <c r="AT41" s="12">
        <f t="shared" si="21"/>
        <v>5.7431471636490983</v>
      </c>
      <c r="AU41" s="12">
        <f t="shared" si="21"/>
        <v>5.2278865807991224</v>
      </c>
      <c r="AV41" s="12">
        <f t="shared" si="21"/>
        <v>5.0666680834782483</v>
      </c>
      <c r="AW41" s="12">
        <f>SUM(AW32+AW36+AW35+AW34)</f>
        <v>2711.1573713893372</v>
      </c>
    </row>
    <row r="42" spans="1:49" ht="15.75" customHeight="1" x14ac:dyDescent="0.3">
      <c r="A42" s="42"/>
      <c r="B42" s="42"/>
      <c r="C42" s="34"/>
      <c r="D42" s="43"/>
      <c r="E42" s="138" t="s">
        <v>68</v>
      </c>
      <c r="F42" s="139">
        <f>(M15/B12)*F39</f>
        <v>13948.130258964158</v>
      </c>
      <c r="G42" s="64" t="str">
        <f ca="1">_xlfn.FORMULATEXT(F42)</f>
        <v>=(M15/B12)*F39</v>
      </c>
      <c r="L42" s="146" t="s">
        <v>72</v>
      </c>
      <c r="M42" s="4"/>
      <c r="N42" s="112">
        <f>N33</f>
        <v>3.5802471240189556E-3</v>
      </c>
      <c r="O42" s="112">
        <f>O33+N42</f>
        <v>7.0647938918494864E-3</v>
      </c>
      <c r="P42" s="112">
        <f>P33+O42</f>
        <v>1.0350830737278166E-2</v>
      </c>
      <c r="Q42" s="112">
        <f>Q33+P42</f>
        <v>1.3663630687502745E-2</v>
      </c>
      <c r="R42" s="112">
        <f t="shared" ref="R42:AV42" si="22">R33+Q42</f>
        <v>1.6899382353554399E-2</v>
      </c>
      <c r="S42" s="112">
        <f t="shared" si="22"/>
        <v>1.9757174528752475E-2</v>
      </c>
      <c r="T42" s="112">
        <f t="shared" si="22"/>
        <v>2.2854265740285051E-2</v>
      </c>
      <c r="U42" s="112">
        <f t="shared" si="22"/>
        <v>2.5791072138418053E-2</v>
      </c>
      <c r="V42" s="112">
        <f t="shared" si="22"/>
        <v>2.876754078633352E-2</v>
      </c>
      <c r="W42" s="112">
        <f t="shared" si="22"/>
        <v>3.1595364142942693E-2</v>
      </c>
      <c r="X42" s="112">
        <f t="shared" si="22"/>
        <v>3.4466623557756738E-2</v>
      </c>
      <c r="Y42" s="112">
        <f t="shared" si="22"/>
        <v>3.7290355015042229E-2</v>
      </c>
      <c r="Z42" s="112">
        <f t="shared" si="22"/>
        <v>3.9979960607359422E-2</v>
      </c>
      <c r="AA42" s="112">
        <f t="shared" si="22"/>
        <v>4.2717581787092757E-2</v>
      </c>
      <c r="AB42" s="112">
        <f t="shared" si="22"/>
        <v>4.5329144340443439E-2</v>
      </c>
      <c r="AC42" s="112">
        <f t="shared" si="22"/>
        <v>4.799119736043838E-2</v>
      </c>
      <c r="AD42" s="112">
        <f t="shared" si="22"/>
        <v>5.0618962288228764E-2</v>
      </c>
      <c r="AE42" s="112">
        <f t="shared" si="22"/>
        <v>5.2963368587371565E-2</v>
      </c>
      <c r="AF42" s="112">
        <f t="shared" si="22"/>
        <v>5.5528759713420431E-2</v>
      </c>
      <c r="AG42" s="112">
        <f t="shared" si="22"/>
        <v>5.7983946602427922E-2</v>
      </c>
      <c r="AH42" s="112">
        <f t="shared" si="22"/>
        <v>6.0494321859133379E-2</v>
      </c>
      <c r="AI42" s="112">
        <f t="shared" si="22"/>
        <v>6.2899473728448591E-2</v>
      </c>
      <c r="AJ42" s="112">
        <f t="shared" si="22"/>
        <v>6.5361239904925525E-2</v>
      </c>
      <c r="AK42" s="112">
        <f t="shared" si="22"/>
        <v>6.780084549008189E-2</v>
      </c>
      <c r="AL42" s="112">
        <f t="shared" si="22"/>
        <v>7.0141572879383454E-2</v>
      </c>
      <c r="AM42" s="112">
        <f t="shared" si="22"/>
        <v>7.2540693623035737E-2</v>
      </c>
      <c r="AN42" s="112">
        <f t="shared" si="22"/>
        <v>7.4844534307971958E-2</v>
      </c>
      <c r="AO42" s="112">
        <f t="shared" si="22"/>
        <v>7.7207757847248426E-2</v>
      </c>
      <c r="AP42" s="112">
        <f t="shared" si="22"/>
        <v>7.9554576186592951E-2</v>
      </c>
      <c r="AQ42" s="112">
        <f t="shared" si="22"/>
        <v>8.1735523573532837E-2</v>
      </c>
      <c r="AR42" s="112">
        <f t="shared" si="22"/>
        <v>8.4052306826066986E-2</v>
      </c>
      <c r="AS42" s="112">
        <f t="shared" si="22"/>
        <v>8.4084333240402098E-2</v>
      </c>
      <c r="AT42" s="112">
        <f t="shared" si="22"/>
        <v>8.4115423214049204E-2</v>
      </c>
      <c r="AU42" s="112">
        <f t="shared" si="22"/>
        <v>8.4143618261123529E-2</v>
      </c>
      <c r="AV42" s="112">
        <f t="shared" si="22"/>
        <v>8.417084873221152E-2</v>
      </c>
      <c r="AW42" s="112">
        <f>AW33+AV42</f>
        <v>8.4196226798031931E-2</v>
      </c>
    </row>
    <row r="43" spans="1:49" ht="15.75" customHeight="1" x14ac:dyDescent="0.3">
      <c r="A43" s="168"/>
      <c r="B43" s="168"/>
      <c r="C43" s="43"/>
      <c r="D43" s="44"/>
      <c r="E43" s="140" t="s">
        <v>69</v>
      </c>
      <c r="F43" s="141">
        <f>F33-F42</f>
        <v>6125.3581238553506</v>
      </c>
      <c r="G43" s="64" t="str">
        <f ca="1">_xlfn.FORMULATEXT(F43)</f>
        <v>=F33-F42</v>
      </c>
      <c r="L43" s="145" t="s">
        <v>75</v>
      </c>
      <c r="M43" s="144">
        <f>-M15</f>
        <v>-8356.42</v>
      </c>
      <c r="N43" s="144">
        <f>$M$43+(N42*N6)</f>
        <v>-7940.6487552653671</v>
      </c>
      <c r="O43" s="144">
        <f t="shared" ref="O43:T43" si="23">$M$43+(O42*O6)</f>
        <v>-7506.6658624510665</v>
      </c>
      <c r="P43" s="144">
        <f t="shared" si="23"/>
        <v>-7069.9780548918552</v>
      </c>
      <c r="Q43" s="144">
        <f t="shared" si="23"/>
        <v>-6605.602603269539</v>
      </c>
      <c r="R43" s="144">
        <f t="shared" si="23"/>
        <v>-6128.4523421803788</v>
      </c>
      <c r="S43" s="144">
        <f t="shared" si="23"/>
        <v>-5681.6258677530768</v>
      </c>
      <c r="T43" s="144">
        <f t="shared" si="23"/>
        <v>-5184.8014789214558</v>
      </c>
      <c r="U43" s="144">
        <f>$M$43+(U42*U6)+$U$36</f>
        <v>-3043.6927935008171</v>
      </c>
      <c r="V43" s="144">
        <f t="shared" ref="V43:AV43" si="24">$M$43+(V42*V6)+$U$36</f>
        <v>-2532.1368411176709</v>
      </c>
      <c r="W43" s="144">
        <f t="shared" si="24"/>
        <v>-2028.9090609760851</v>
      </c>
      <c r="X43" s="144">
        <f t="shared" si="24"/>
        <v>-1507.4960775783838</v>
      </c>
      <c r="Y43" s="144">
        <f t="shared" si="24"/>
        <v>-982.60839870659402</v>
      </c>
      <c r="Z43" s="144">
        <f t="shared" si="24"/>
        <v>-469.16915991316455</v>
      </c>
      <c r="AA43" s="144">
        <f t="shared" si="24"/>
        <v>59.737554499764883</v>
      </c>
      <c r="AB43" s="144">
        <f t="shared" si="24"/>
        <v>575.60904588243193</v>
      </c>
      <c r="AC43" s="144">
        <f t="shared" si="24"/>
        <v>1105.5550253434421</v>
      </c>
      <c r="AD43" s="144">
        <f t="shared" si="24"/>
        <v>1635.1897880377128</v>
      </c>
      <c r="AE43" s="144">
        <f t="shared" si="24"/>
        <v>2122.1174649232416</v>
      </c>
      <c r="AF43" s="144">
        <f t="shared" si="24"/>
        <v>2649.1709751602502</v>
      </c>
      <c r="AG43" s="144">
        <f t="shared" si="24"/>
        <v>3160.6319388109605</v>
      </c>
      <c r="AH43" s="144">
        <f t="shared" si="24"/>
        <v>3683.8816000311781</v>
      </c>
      <c r="AI43" s="144">
        <f t="shared" si="24"/>
        <v>4190.9509707039506</v>
      </c>
      <c r="AJ43" s="144">
        <f t="shared" si="24"/>
        <v>4709.2632271140392</v>
      </c>
      <c r="AK43" s="144">
        <f t="shared" si="24"/>
        <v>5224.8466382726438</v>
      </c>
      <c r="AL43" s="144">
        <f t="shared" si="24"/>
        <v>5723.710760928323</v>
      </c>
      <c r="AM43" s="144">
        <f t="shared" si="24"/>
        <v>6233.2899422289192</v>
      </c>
      <c r="AN43" s="144">
        <f t="shared" si="24"/>
        <v>6725.972953060791</v>
      </c>
      <c r="AO43" s="144">
        <f t="shared" si="24"/>
        <v>7229.174835133761</v>
      </c>
      <c r="AP43" s="144">
        <f t="shared" si="24"/>
        <v>7729.1499876207617</v>
      </c>
      <c r="AQ43" s="144">
        <f t="shared" si="24"/>
        <v>8198.444786503982</v>
      </c>
      <c r="AR43" s="144">
        <f t="shared" si="24"/>
        <v>8691.7816855546353</v>
      </c>
      <c r="AS43" s="144">
        <f t="shared" si="24"/>
        <v>8764.0389979648298</v>
      </c>
      <c r="AT43" s="144">
        <f t="shared" si="24"/>
        <v>8831.9416510649498</v>
      </c>
      <c r="AU43" s="144">
        <f t="shared" si="24"/>
        <v>8895.3731662812497</v>
      </c>
      <c r="AV43" s="144">
        <f t="shared" si="24"/>
        <v>8954.9231861919452</v>
      </c>
      <c r="AW43" s="144">
        <f>$M$43+(AW42*AW6)+$U$36+AW34+AW35</f>
        <v>11717.068382819512</v>
      </c>
    </row>
    <row r="44" spans="1:49" ht="15.75" customHeight="1" x14ac:dyDescent="0.3">
      <c r="A44" s="84"/>
      <c r="B44" s="43"/>
      <c r="C44" s="44"/>
      <c r="D44" s="45"/>
      <c r="E44" s="28"/>
      <c r="F44" s="41"/>
      <c r="L44" s="142" t="s">
        <v>73</v>
      </c>
      <c r="M44" s="143">
        <f>0</f>
        <v>0</v>
      </c>
      <c r="N44" s="144">
        <f>($F$41*N6)-$M$15</f>
        <v>320.75839437485411</v>
      </c>
      <c r="O44" s="144">
        <f t="shared" ref="O44:AW44" si="25">($F$41*O6)-$M$15</f>
        <v>630.91381061792163</v>
      </c>
      <c r="P44" s="144">
        <f t="shared" si="25"/>
        <v>930.08006925695008</v>
      </c>
      <c r="Q44" s="144">
        <f t="shared" si="25"/>
        <v>1217.9855516524858</v>
      </c>
      <c r="R44" s="144">
        <f t="shared" si="25"/>
        <v>1494.4623234537576</v>
      </c>
      <c r="S44" s="144">
        <f t="shared" si="25"/>
        <v>1759.4352570768115</v>
      </c>
      <c r="T44" s="144">
        <f t="shared" si="25"/>
        <v>2012.9113743203743</v>
      </c>
      <c r="U44" s="144">
        <f t="shared" si="25"/>
        <v>2254.9695805494703</v>
      </c>
      <c r="V44" s="144">
        <f t="shared" si="25"/>
        <v>2485.7509180601719</v>
      </c>
      <c r="W44" s="144">
        <f t="shared" si="25"/>
        <v>2705.4494284171215</v>
      </c>
      <c r="X44" s="144">
        <f t="shared" si="25"/>
        <v>2914.303681573625</v>
      </c>
      <c r="Y44" s="144">
        <f t="shared" si="25"/>
        <v>3112.5890030949759</v>
      </c>
      <c r="Z44" s="144">
        <f t="shared" si="25"/>
        <v>3300.610409339437</v>
      </c>
      <c r="AA44" s="144">
        <f t="shared" si="25"/>
        <v>3478.6962434727538</v>
      </c>
      <c r="AB44" s="144">
        <f t="shared" si="25"/>
        <v>3647.1924921405371</v>
      </c>
      <c r="AC44" s="144">
        <f t="shared" si="25"/>
        <v>3806.4577529446469</v>
      </c>
      <c r="AD44" s="144">
        <f t="shared" si="25"/>
        <v>3956.8588160373165</v>
      </c>
      <c r="AE44" s="144">
        <f t="shared" si="25"/>
        <v>4098.7668186738247</v>
      </c>
      <c r="AF44" s="144">
        <f t="shared" si="25"/>
        <v>4232.5539290119741</v>
      </c>
      <c r="AG44" s="144">
        <f t="shared" si="25"/>
        <v>4358.5905144272328</v>
      </c>
      <c r="AH44" s="144">
        <f t="shared" si="25"/>
        <v>4477.2427497900408</v>
      </c>
      <c r="AI44" s="144">
        <f t="shared" si="25"/>
        <v>4588.8706222394867</v>
      </c>
      <c r="AJ44" s="144">
        <f t="shared" si="25"/>
        <v>4693.8262907444496</v>
      </c>
      <c r="AK44" s="144">
        <f t="shared" si="25"/>
        <v>4792.4527609698507</v>
      </c>
      <c r="AL44" s="144">
        <f t="shared" si="25"/>
        <v>4885.0828384995802</v>
      </c>
      <c r="AM44" s="144">
        <f t="shared" si="25"/>
        <v>4972.0383261780717</v>
      </c>
      <c r="AN44" s="144">
        <f t="shared" si="25"/>
        <v>5053.6294341179055</v>
      </c>
      <c r="AO44" s="144">
        <f t="shared" si="25"/>
        <v>5130.1543737009488</v>
      </c>
      <c r="AP44" s="144">
        <f t="shared" si="25"/>
        <v>5201.899109617043</v>
      </c>
      <c r="AQ44" s="144">
        <f t="shared" si="25"/>
        <v>5269.1372465933418</v>
      </c>
      <c r="AR44" s="144">
        <f t="shared" si="25"/>
        <v>5332.1300299392569</v>
      </c>
      <c r="AS44" s="144">
        <f t="shared" si="25"/>
        <v>5391.1264413473782</v>
      </c>
      <c r="AT44" s="144">
        <f t="shared" si="25"/>
        <v>5446.3633735382882</v>
      </c>
      <c r="AU44" s="144">
        <f t="shared" si="25"/>
        <v>5498.0658693129735</v>
      </c>
      <c r="AV44" s="144">
        <f t="shared" si="25"/>
        <v>5546.4474123803666</v>
      </c>
      <c r="AW44" s="144">
        <f t="shared" si="25"/>
        <v>5591.7102589641581</v>
      </c>
    </row>
    <row r="45" spans="1:49" ht="15.75" customHeight="1" x14ac:dyDescent="0.3">
      <c r="A45" s="84"/>
      <c r="B45" s="44"/>
      <c r="C45" s="45"/>
      <c r="D45" s="42"/>
      <c r="E45" s="28"/>
      <c r="F45" s="41"/>
      <c r="L45" s="157"/>
      <c r="M45" s="3">
        <v>45901</v>
      </c>
      <c r="N45" s="3">
        <v>45930</v>
      </c>
      <c r="O45" s="3">
        <v>45961</v>
      </c>
      <c r="P45" s="3">
        <v>45991</v>
      </c>
      <c r="Q45" s="3">
        <v>46022</v>
      </c>
      <c r="R45" s="3">
        <v>46053</v>
      </c>
      <c r="S45" s="3">
        <v>46081</v>
      </c>
      <c r="T45" s="3">
        <v>46112</v>
      </c>
      <c r="U45" s="3">
        <v>46142</v>
      </c>
      <c r="V45" s="3">
        <v>46173</v>
      </c>
      <c r="W45" s="3">
        <v>46203</v>
      </c>
      <c r="X45" s="3">
        <v>46234</v>
      </c>
      <c r="Y45" s="3">
        <v>46265</v>
      </c>
      <c r="Z45" s="3">
        <v>46295</v>
      </c>
      <c r="AA45" s="3">
        <v>46326</v>
      </c>
      <c r="AB45" s="3">
        <v>46356</v>
      </c>
      <c r="AC45" s="3">
        <v>46387</v>
      </c>
      <c r="AD45" s="3">
        <v>46418</v>
      </c>
      <c r="AE45" s="3">
        <v>46446</v>
      </c>
      <c r="AF45" s="3">
        <v>46477</v>
      </c>
      <c r="AG45" s="3">
        <v>46507</v>
      </c>
      <c r="AH45" s="3">
        <v>46538</v>
      </c>
      <c r="AI45" s="3">
        <v>46568</v>
      </c>
      <c r="AJ45" s="3">
        <v>46599</v>
      </c>
      <c r="AK45" s="3">
        <v>46630</v>
      </c>
      <c r="AL45" s="3">
        <v>46660</v>
      </c>
      <c r="AM45" s="3">
        <v>46691</v>
      </c>
      <c r="AN45" s="3">
        <v>46721</v>
      </c>
      <c r="AO45" s="3">
        <v>46752</v>
      </c>
      <c r="AP45" s="3">
        <v>46783</v>
      </c>
      <c r="AQ45" s="3">
        <v>46812</v>
      </c>
      <c r="AR45" s="3">
        <v>46843</v>
      </c>
      <c r="AS45" s="3">
        <v>46873</v>
      </c>
      <c r="AT45" s="3">
        <v>46904</v>
      </c>
      <c r="AU45" s="3">
        <v>46934</v>
      </c>
      <c r="AV45" s="3">
        <v>46965</v>
      </c>
      <c r="AW45" s="3">
        <v>46996</v>
      </c>
    </row>
    <row r="46" spans="1:49" ht="15.75" customHeight="1" x14ac:dyDescent="0.3">
      <c r="A46" s="42"/>
      <c r="B46" s="42"/>
      <c r="C46" s="42"/>
      <c r="D46" s="32"/>
      <c r="E46" s="28"/>
      <c r="F46" s="31"/>
    </row>
    <row r="47" spans="1:49" ht="15.75" customHeight="1" x14ac:dyDescent="0.3">
      <c r="A47" s="33" t="s">
        <v>38</v>
      </c>
      <c r="B47" s="32"/>
      <c r="C47" s="32"/>
      <c r="D47" s="32"/>
      <c r="E47" s="32"/>
      <c r="F47" s="32"/>
    </row>
    <row r="48" spans="1:49" ht="15.75" customHeight="1" x14ac:dyDescent="0.3">
      <c r="A48" s="32"/>
      <c r="B48" s="32"/>
      <c r="C48" s="32"/>
      <c r="D48" s="32"/>
      <c r="E48" s="32"/>
      <c r="F48" s="32"/>
    </row>
    <row r="49" spans="1:6" ht="15.75" customHeight="1" x14ac:dyDescent="0.3">
      <c r="A49" s="32"/>
      <c r="B49" s="32"/>
      <c r="C49" s="32"/>
      <c r="D49" s="32"/>
      <c r="E49" s="32"/>
      <c r="F49" s="32"/>
    </row>
    <row r="50" spans="1:6" ht="15.75" customHeight="1" x14ac:dyDescent="0.3">
      <c r="A50" s="32"/>
      <c r="B50" s="32"/>
      <c r="C50" s="32"/>
      <c r="D50" s="32"/>
      <c r="E50" s="42"/>
      <c r="F50" s="42"/>
    </row>
    <row r="51" spans="1:6" ht="15.75" customHeight="1" x14ac:dyDescent="0.3">
      <c r="A51" s="32"/>
      <c r="B51" s="32"/>
      <c r="C51" s="32"/>
      <c r="D51" s="32"/>
      <c r="E51" s="34"/>
      <c r="F51" s="34"/>
    </row>
    <row r="52" spans="1:6" ht="15.75" customHeight="1" x14ac:dyDescent="0.3">
      <c r="A52" s="32"/>
      <c r="B52" s="32"/>
      <c r="C52" s="32"/>
      <c r="D52" s="32"/>
      <c r="E52" s="43"/>
      <c r="F52" s="43"/>
    </row>
    <row r="53" spans="1:6" ht="15.75" customHeight="1" x14ac:dyDescent="0.3">
      <c r="A53" s="32"/>
      <c r="B53" s="32"/>
      <c r="C53" s="32"/>
      <c r="D53" s="32"/>
      <c r="E53" s="44"/>
      <c r="F53" s="44"/>
    </row>
    <row r="54" spans="1:6" ht="15.75" customHeight="1" x14ac:dyDescent="0.3">
      <c r="A54" s="32"/>
      <c r="B54" s="32"/>
      <c r="C54" s="32"/>
      <c r="D54" s="32"/>
      <c r="E54" s="45"/>
      <c r="F54" s="45"/>
    </row>
    <row r="55" spans="1:6" ht="15.75" customHeight="1" x14ac:dyDescent="0.3">
      <c r="A55" s="32"/>
      <c r="B55" s="32"/>
      <c r="C55" s="32"/>
      <c r="D55" s="32"/>
      <c r="E55" s="42"/>
      <c r="F55" s="42"/>
    </row>
    <row r="56" spans="1:6" ht="15.75" customHeight="1" x14ac:dyDescent="0.3">
      <c r="A56" s="32"/>
      <c r="B56" s="32"/>
      <c r="C56" s="32"/>
      <c r="D56" s="32"/>
      <c r="E56" s="32"/>
      <c r="F56" s="32"/>
    </row>
    <row r="57" spans="1:6" ht="15.75" customHeight="1" x14ac:dyDescent="0.3">
      <c r="A57" s="32"/>
      <c r="B57" s="32"/>
      <c r="C57" s="32"/>
      <c r="D57" s="32"/>
      <c r="E57" s="32"/>
      <c r="F57" s="32"/>
    </row>
    <row r="58" spans="1:6" ht="15.75" customHeight="1" x14ac:dyDescent="0.3">
      <c r="A58" s="32"/>
      <c r="B58" s="32"/>
      <c r="C58" s="32"/>
      <c r="D58" s="32"/>
      <c r="E58" s="32"/>
      <c r="F58" s="32"/>
    </row>
    <row r="59" spans="1:6" ht="15.75" customHeight="1" x14ac:dyDescent="0.3">
      <c r="A59" s="32"/>
      <c r="B59" s="32"/>
      <c r="C59" s="32"/>
      <c r="D59" s="32"/>
      <c r="E59" s="32"/>
      <c r="F59" s="32"/>
    </row>
    <row r="60" spans="1:6" ht="15.75" customHeight="1" x14ac:dyDescent="0.3">
      <c r="A60" s="32"/>
      <c r="B60" s="32"/>
      <c r="C60" s="32"/>
      <c r="D60" s="32"/>
      <c r="E60" s="32"/>
      <c r="F60" s="32"/>
    </row>
    <row r="61" spans="1:6" ht="15.75" customHeight="1" x14ac:dyDescent="0.3">
      <c r="A61" s="32"/>
      <c r="B61" s="32"/>
      <c r="C61" s="32"/>
      <c r="D61" s="32"/>
      <c r="E61" s="32"/>
      <c r="F61" s="32"/>
    </row>
    <row r="62" spans="1:6" ht="15.75" customHeight="1" x14ac:dyDescent="0.3">
      <c r="A62" s="32"/>
      <c r="B62" s="32"/>
      <c r="C62" s="32"/>
      <c r="D62" s="32"/>
      <c r="E62" s="32"/>
      <c r="F62" s="32"/>
    </row>
    <row r="63" spans="1:6" ht="15.75" customHeight="1" x14ac:dyDescent="0.3">
      <c r="A63" s="32"/>
      <c r="B63" s="32"/>
      <c r="C63" s="32"/>
      <c r="D63" s="32"/>
      <c r="E63" s="32"/>
      <c r="F63" s="32"/>
    </row>
    <row r="64" spans="1:6" ht="15.75" customHeight="1" x14ac:dyDescent="0.3">
      <c r="A64" s="32"/>
      <c r="B64" s="32"/>
      <c r="C64" s="32"/>
      <c r="D64" s="32"/>
      <c r="E64" s="32"/>
      <c r="F64" s="32"/>
    </row>
    <row r="65" spans="1:6" ht="15.75" customHeight="1" x14ac:dyDescent="0.3">
      <c r="A65" s="32"/>
      <c r="B65" s="32"/>
      <c r="C65" s="32"/>
      <c r="D65" s="32"/>
      <c r="E65" s="32"/>
      <c r="F65" s="32"/>
    </row>
    <row r="66" spans="1:6" ht="15.75" customHeight="1" x14ac:dyDescent="0.3">
      <c r="A66" s="32"/>
      <c r="B66" s="32"/>
      <c r="C66" s="32"/>
      <c r="D66" s="32"/>
      <c r="E66" s="32"/>
      <c r="F66" s="32"/>
    </row>
    <row r="67" spans="1:6" ht="15.75" customHeight="1" x14ac:dyDescent="0.3">
      <c r="A67" s="32"/>
      <c r="B67" s="32"/>
      <c r="C67" s="32"/>
      <c r="D67" s="32"/>
      <c r="E67" s="32"/>
      <c r="F67" s="32"/>
    </row>
    <row r="68" spans="1:6" ht="15.75" customHeight="1" x14ac:dyDescent="0.3">
      <c r="A68" s="32"/>
      <c r="B68" s="32"/>
      <c r="C68" s="32"/>
      <c r="D68" s="32"/>
      <c r="E68" s="32"/>
      <c r="F68" s="32"/>
    </row>
    <row r="69" spans="1:6" ht="15.75" customHeight="1" x14ac:dyDescent="0.3">
      <c r="A69" s="32"/>
      <c r="B69" s="32"/>
      <c r="C69" s="32"/>
      <c r="D69" s="32"/>
      <c r="E69" s="32"/>
      <c r="F69" s="32"/>
    </row>
    <row r="70" spans="1:6" ht="15.75" customHeight="1" x14ac:dyDescent="0.3">
      <c r="A70" s="32"/>
      <c r="B70" s="32"/>
      <c r="C70" s="32"/>
      <c r="D70" s="32"/>
      <c r="E70" s="32"/>
      <c r="F70" s="32"/>
    </row>
    <row r="71" spans="1:6" ht="15.75" customHeight="1" x14ac:dyDescent="0.3">
      <c r="A71" s="32"/>
      <c r="B71" s="32"/>
      <c r="C71" s="32"/>
      <c r="D71" s="32"/>
      <c r="E71" s="32"/>
      <c r="F71" s="32"/>
    </row>
    <row r="72" spans="1:6" ht="15.75" customHeight="1" x14ac:dyDescent="0.3">
      <c r="A72" s="32"/>
      <c r="B72" s="32"/>
      <c r="C72" s="32"/>
      <c r="D72" s="32"/>
      <c r="E72" s="32"/>
      <c r="F72" s="32"/>
    </row>
    <row r="73" spans="1:6" ht="15.75" customHeight="1" x14ac:dyDescent="0.3">
      <c r="A73" s="32"/>
      <c r="B73" s="32"/>
      <c r="C73" s="32"/>
      <c r="D73" s="32"/>
      <c r="E73" s="32"/>
      <c r="F73" s="32"/>
    </row>
    <row r="74" spans="1:6" ht="15.75" customHeight="1" x14ac:dyDescent="0.3">
      <c r="A74" s="32"/>
      <c r="B74" s="32"/>
      <c r="C74" s="32"/>
      <c r="D74" s="32"/>
      <c r="E74" s="32"/>
      <c r="F74" s="32"/>
    </row>
    <row r="75" spans="1:6" ht="15.75" customHeight="1" x14ac:dyDescent="0.3">
      <c r="A75" s="32"/>
      <c r="B75" s="32"/>
      <c r="C75" s="32"/>
      <c r="D75" s="32"/>
      <c r="E75" s="32"/>
      <c r="F75" s="32"/>
    </row>
    <row r="76" spans="1:6" ht="15.75" customHeight="1" x14ac:dyDescent="0.3">
      <c r="A76" s="32"/>
      <c r="B76" s="32"/>
      <c r="C76" s="32"/>
      <c r="D76" s="32"/>
      <c r="E76" s="32"/>
      <c r="F76" s="32"/>
    </row>
    <row r="77" spans="1:6" ht="15.75" customHeight="1" x14ac:dyDescent="0.3">
      <c r="A77" s="32"/>
      <c r="B77" s="32"/>
      <c r="C77" s="32"/>
      <c r="D77" s="32"/>
      <c r="E77" s="32"/>
      <c r="F77" s="32"/>
    </row>
    <row r="78" spans="1:6" ht="15.75" customHeight="1" x14ac:dyDescent="0.3">
      <c r="A78" s="32"/>
      <c r="B78" s="32"/>
      <c r="C78" s="32"/>
      <c r="D78" s="32"/>
      <c r="E78" s="32"/>
      <c r="F78" s="32"/>
    </row>
    <row r="79" spans="1:6" ht="15.75" customHeight="1" x14ac:dyDescent="0.3">
      <c r="A79" s="32"/>
      <c r="B79" s="32"/>
      <c r="C79" s="32"/>
      <c r="D79" s="32"/>
      <c r="E79" s="32"/>
      <c r="F79" s="32"/>
    </row>
    <row r="80" spans="1:6" ht="15.75" customHeight="1" x14ac:dyDescent="0.3">
      <c r="A80" s="32"/>
      <c r="B80" s="32"/>
      <c r="C80" s="32"/>
      <c r="D80" s="32"/>
      <c r="E80" s="32"/>
      <c r="F80" s="32"/>
    </row>
    <row r="81" spans="1:49" ht="15.75" customHeight="1" x14ac:dyDescent="0.3">
      <c r="A81" s="32"/>
      <c r="B81" s="32"/>
      <c r="C81" s="32"/>
      <c r="D81" s="32"/>
      <c r="E81" s="32"/>
      <c r="F81" s="32"/>
    </row>
    <row r="82" spans="1:49" ht="15.75" customHeight="1" x14ac:dyDescent="0.3">
      <c r="A82" s="32"/>
      <c r="B82" s="32"/>
      <c r="C82" s="32"/>
      <c r="D82" s="32"/>
      <c r="E82" s="32"/>
      <c r="F82" s="32"/>
    </row>
    <row r="83" spans="1:49" ht="15.75" customHeight="1" x14ac:dyDescent="0.3">
      <c r="A83" s="32"/>
      <c r="B83" s="32"/>
      <c r="C83" s="32"/>
      <c r="D83" s="32"/>
      <c r="E83" s="32"/>
      <c r="F83" s="32"/>
    </row>
    <row r="84" spans="1:49" ht="15.75" customHeight="1" x14ac:dyDescent="0.3">
      <c r="A84" s="32"/>
      <c r="B84" s="32"/>
      <c r="C84" s="32"/>
      <c r="D84" s="32"/>
      <c r="E84" s="32"/>
      <c r="F84" s="32"/>
    </row>
    <row r="85" spans="1:49" ht="15.75" customHeight="1" x14ac:dyDescent="0.3">
      <c r="A85" s="32"/>
      <c r="B85" s="32"/>
      <c r="C85" s="32"/>
      <c r="D85" s="32"/>
      <c r="E85" s="32"/>
      <c r="F85" s="32"/>
    </row>
    <row r="86" spans="1:49" ht="15.75" customHeight="1" x14ac:dyDescent="0.3">
      <c r="A86" s="32"/>
      <c r="B86" s="32"/>
      <c r="C86" s="32"/>
      <c r="D86" s="32"/>
      <c r="E86" s="32"/>
      <c r="F86" s="32"/>
    </row>
    <row r="87" spans="1:49" ht="15.75" customHeight="1" x14ac:dyDescent="0.3">
      <c r="A87" s="32"/>
      <c r="B87" s="32"/>
      <c r="C87" s="32"/>
      <c r="D87" s="32"/>
      <c r="E87" s="32"/>
      <c r="F87" s="32"/>
    </row>
    <row r="88" spans="1:49" ht="15.75" customHeight="1" x14ac:dyDescent="0.3">
      <c r="A88" s="32"/>
      <c r="B88" s="32"/>
      <c r="C88" s="32"/>
      <c r="D88" s="32"/>
      <c r="E88" s="32"/>
      <c r="F88" s="32"/>
    </row>
    <row r="89" spans="1:49" ht="15.75" customHeight="1" x14ac:dyDescent="0.3">
      <c r="A89" s="32"/>
      <c r="B89" s="32"/>
      <c r="C89" s="32"/>
      <c r="D89" s="32"/>
      <c r="E89" s="32"/>
      <c r="F89" s="32"/>
    </row>
    <row r="90" spans="1:49" ht="15.75" customHeight="1" x14ac:dyDescent="0.3">
      <c r="A90" s="32"/>
      <c r="B90" s="32"/>
      <c r="C90" s="32"/>
      <c r="D90" s="32"/>
      <c r="E90" s="32"/>
      <c r="F90" s="32"/>
      <c r="N90">
        <f ca="1">_xlfn.NORM.S.INV(RAND())</f>
        <v>-0.82460465500399704</v>
      </c>
      <c r="O90">
        <f t="shared" ref="O90:AW90" ca="1" si="26">_xlfn.NORM.S.INV(RAND())</f>
        <v>-0.99097483762373184</v>
      </c>
      <c r="P90">
        <f t="shared" ca="1" si="26"/>
        <v>1.0110401016309503</v>
      </c>
      <c r="Q90">
        <f t="shared" ca="1" si="26"/>
        <v>1.0667813434255586</v>
      </c>
      <c r="R90">
        <f t="shared" ca="1" si="26"/>
        <v>0.89315910685010291</v>
      </c>
      <c r="S90">
        <f t="shared" ca="1" si="26"/>
        <v>0.35135098876913262</v>
      </c>
      <c r="T90">
        <f t="shared" ca="1" si="26"/>
        <v>-0.38439050493174132</v>
      </c>
      <c r="U90">
        <f t="shared" ca="1" si="26"/>
        <v>0.2646652143890687</v>
      </c>
      <c r="V90">
        <f t="shared" ca="1" si="26"/>
        <v>-0.16520449120773564</v>
      </c>
      <c r="W90">
        <f t="shared" ca="1" si="26"/>
        <v>-0.87603135326923032</v>
      </c>
      <c r="X90">
        <f t="shared" ca="1" si="26"/>
        <v>-3.0763947378994954</v>
      </c>
      <c r="Y90">
        <f t="shared" ca="1" si="26"/>
        <v>-0.78860219655803132</v>
      </c>
      <c r="Z90">
        <f t="shared" ca="1" si="26"/>
        <v>1.2778847627866479</v>
      </c>
      <c r="AA90">
        <f t="shared" ca="1" si="26"/>
        <v>0.28606350099430566</v>
      </c>
      <c r="AB90">
        <f t="shared" ca="1" si="26"/>
        <v>0.91113327766147212</v>
      </c>
      <c r="AC90">
        <f t="shared" ca="1" si="26"/>
        <v>-0.43101830871971791</v>
      </c>
      <c r="AD90">
        <f t="shared" ca="1" si="26"/>
        <v>4.2191247041021764E-2</v>
      </c>
      <c r="AE90">
        <f t="shared" ca="1" si="26"/>
        <v>-1.2333076540655947</v>
      </c>
      <c r="AF90">
        <f t="shared" ca="1" si="26"/>
        <v>-0.24001527229269778</v>
      </c>
      <c r="AG90">
        <f t="shared" ca="1" si="26"/>
        <v>2.147651490806961</v>
      </c>
      <c r="AH90">
        <f t="shared" ca="1" si="26"/>
        <v>1.1056327373865451</v>
      </c>
      <c r="AI90">
        <f t="shared" ca="1" si="26"/>
        <v>0.31095743587055119</v>
      </c>
      <c r="AJ90">
        <f t="shared" ca="1" si="26"/>
        <v>0.98279608307222321</v>
      </c>
      <c r="AK90">
        <f t="shared" ca="1" si="26"/>
        <v>2.1726066451670336</v>
      </c>
      <c r="AL90">
        <f t="shared" ca="1" si="26"/>
        <v>-0.5196778111177135</v>
      </c>
      <c r="AM90">
        <f t="shared" ca="1" si="26"/>
        <v>-2.2422986199038233</v>
      </c>
      <c r="AN90">
        <f t="shared" ca="1" si="26"/>
        <v>-0.72842783009827416</v>
      </c>
      <c r="AO90">
        <f t="shared" ca="1" si="26"/>
        <v>-1.1801004125826164</v>
      </c>
      <c r="AP90">
        <f t="shared" ca="1" si="26"/>
        <v>-0.10933376872208356</v>
      </c>
      <c r="AQ90">
        <f t="shared" ca="1" si="26"/>
        <v>1.2902582406027989</v>
      </c>
      <c r="AR90">
        <f t="shared" ca="1" si="26"/>
        <v>-1.3775444485158999</v>
      </c>
      <c r="AS90">
        <f t="shared" ca="1" si="26"/>
        <v>-0.13224131135791278</v>
      </c>
      <c r="AT90">
        <f t="shared" ca="1" si="26"/>
        <v>2.2177523760515747</v>
      </c>
      <c r="AU90">
        <f t="shared" ca="1" si="26"/>
        <v>2.092890864909327</v>
      </c>
      <c r="AV90">
        <f t="shared" ca="1" si="26"/>
        <v>0.42094305044269753</v>
      </c>
      <c r="AW90">
        <f t="shared" ca="1" si="26"/>
        <v>0.14539749961501847</v>
      </c>
    </row>
    <row r="91" spans="1:49" ht="15.75" customHeight="1" x14ac:dyDescent="0.3">
      <c r="A91" s="32"/>
      <c r="B91" s="32"/>
      <c r="C91" s="32"/>
      <c r="D91" s="32"/>
      <c r="E91" s="32"/>
      <c r="F91" s="32"/>
      <c r="N91">
        <f ca="1">SUM($N$90:N90) - ( COLUMNS($N$90:N90) / COLUMNS($N$90:$AW$90) ) * SUM($N$90:$AW$90)</f>
        <v>-0.92713209260407181</v>
      </c>
      <c r="O91">
        <f ca="1">SUM($N$90:O90) - ( COLUMNS($N$90:O90) / COLUMNS($N$90:$AW$90) ) * SUM($N$90:$AW$90)</f>
        <v>-2.0206343678278786</v>
      </c>
      <c r="P91">
        <f ca="1">SUM($N$90:P90) - ( COLUMNS($N$90:P90) / COLUMNS($N$90:$AW$90) ) * SUM($N$90:$AW$90)</f>
        <v>-1.112121703797003</v>
      </c>
      <c r="Q91">
        <f ca="1">SUM($N$90:Q90) - ( COLUMNS($N$90:Q90) / COLUMNS($N$90:$AW$90) ) * SUM($N$90:$AW$90)</f>
        <v>-0.14786779797151928</v>
      </c>
      <c r="R91">
        <f ca="1">SUM($N$90:R90) - ( COLUMNS($N$90:R90) / COLUMNS($N$90:$AW$90) ) * SUM($N$90:$AW$90)</f>
        <v>0.64276387127850887</v>
      </c>
      <c r="S91">
        <f ca="1">SUM($N$90:S90) - ( COLUMNS($N$90:S90) / COLUMNS($N$90:$AW$90) ) * SUM($N$90:$AW$90)</f>
        <v>0.89158742244756672</v>
      </c>
      <c r="T91">
        <f ca="1">SUM($N$90:T90) - ( COLUMNS($N$90:T90) / COLUMNS($N$90:$AW$90) ) * SUM($N$90:$AW$90)</f>
        <v>0.40466947991575053</v>
      </c>
      <c r="U91">
        <f ca="1">SUM($N$90:U90) - ( COLUMNS($N$90:U90) / COLUMNS($N$90:$AW$90) ) * SUM($N$90:$AW$90)</f>
        <v>0.56680725670474441</v>
      </c>
      <c r="V91">
        <f ca="1">SUM($N$90:V90) - ( COLUMNS($N$90:V90) / COLUMNS($N$90:$AW$90) ) * SUM($N$90:$AW$90)</f>
        <v>0.29907532789693381</v>
      </c>
      <c r="W91">
        <f ca="1">SUM($N$90:W90) - ( COLUMNS($N$90:W90) / COLUMNS($N$90:$AW$90) ) * SUM($N$90:$AW$90)</f>
        <v>-0.67948346297237139</v>
      </c>
      <c r="X91">
        <f ca="1">SUM($N$90:X90) - ( COLUMNS($N$90:X90) / COLUMNS($N$90:$AW$90) ) * SUM($N$90:$AW$90)</f>
        <v>-3.8584056384719414</v>
      </c>
      <c r="Y91">
        <f ca="1">SUM($N$90:Y90) - ( COLUMNS($N$90:Y90) / COLUMNS($N$90:$AW$90) ) * SUM($N$90:$AW$90)</f>
        <v>-4.7495352726300473</v>
      </c>
      <c r="Z91">
        <f ca="1">SUM($N$90:Z90) - ( COLUMNS($N$90:Z90) / COLUMNS($N$90:$AW$90) ) * SUM($N$90:$AW$90)</f>
        <v>-3.5741779474434745</v>
      </c>
      <c r="AA91">
        <f ca="1">SUM($N$90:AA90) - ( COLUMNS($N$90:AA90) / COLUMNS($N$90:$AW$90) ) * SUM($N$90:$AW$90)</f>
        <v>-3.390641884049244</v>
      </c>
      <c r="AB91">
        <f ca="1">SUM($N$90:AB90) - ( COLUMNS($N$90:AB90) / COLUMNS($N$90:$AW$90) ) * SUM($N$90:$AW$90)</f>
        <v>-2.5820360439878467</v>
      </c>
      <c r="AC91">
        <f ca="1">SUM($N$90:AC90) - ( COLUMNS($N$90:AC90) / COLUMNS($N$90:$AW$90) ) * SUM($N$90:$AW$90)</f>
        <v>-3.1155817903076395</v>
      </c>
      <c r="AD91">
        <f ca="1">SUM($N$90:AD90) - ( COLUMNS($N$90:AD90) / COLUMNS($N$90:$AW$90) ) * SUM($N$90:$AW$90)</f>
        <v>-3.1759179808666924</v>
      </c>
      <c r="AE91">
        <f ca="1">SUM($N$90:AE90) - ( COLUMNS($N$90:AE90) / COLUMNS($N$90:$AW$90) ) * SUM($N$90:$AW$90)</f>
        <v>-4.511753072532362</v>
      </c>
      <c r="AF91">
        <f ca="1">SUM($N$90:AF90) - ( COLUMNS($N$90:AF90) / COLUMNS($N$90:$AW$90) ) * SUM($N$90:$AW$90)</f>
        <v>-4.8542957824251349</v>
      </c>
      <c r="AG91">
        <f ca="1">SUM($N$90:AG90) - ( COLUMNS($N$90:AG90) / COLUMNS($N$90:$AW$90) ) * SUM($N$90:$AW$90)</f>
        <v>-2.8091717292182485</v>
      </c>
      <c r="AH91">
        <f ca="1">SUM($N$90:AH90) - ( COLUMNS($N$90:AH90) / COLUMNS($N$90:$AW$90) ) * SUM($N$90:$AW$90)</f>
        <v>-1.8060664294317781</v>
      </c>
      <c r="AI91">
        <f ca="1">SUM($N$90:AI90) - ( COLUMNS($N$90:AI90) / COLUMNS($N$90:$AW$90) ) * SUM($N$90:$AW$90)</f>
        <v>-1.5976364311613021</v>
      </c>
      <c r="AJ91">
        <f ca="1">SUM($N$90:AJ90) - ( COLUMNS($N$90:AJ90) / COLUMNS($N$90:$AW$90) ) * SUM($N$90:$AW$90)</f>
        <v>-0.7173677856891536</v>
      </c>
      <c r="AK91">
        <f ca="1">SUM($N$90:AK90) - ( COLUMNS($N$90:AK90) / COLUMNS($N$90:$AW$90) ) * SUM($N$90:$AW$90)</f>
        <v>1.3527114218778054</v>
      </c>
      <c r="AL91">
        <f ca="1">SUM($N$90:AL90) - ( COLUMNS($N$90:AL90) / COLUMNS($N$90:$AW$90) ) * SUM($N$90:$AW$90)</f>
        <v>0.73050617316001665</v>
      </c>
      <c r="AM91">
        <f ca="1">SUM($N$90:AM90) - ( COLUMNS($N$90:AM90) / COLUMNS($N$90:$AW$90) ) * SUM($N$90:$AW$90)</f>
        <v>-1.6143198843438813</v>
      </c>
      <c r="AN91">
        <f ca="1">SUM($N$90:AN90) - ( COLUMNS($N$90:AN90) / COLUMNS($N$90:$AW$90) ) * SUM($N$90:$AW$90)</f>
        <v>-2.44527515204223</v>
      </c>
      <c r="AO91">
        <f ca="1">SUM($N$90:AO90) - ( COLUMNS($N$90:AO90) / COLUMNS($N$90:$AW$90) ) * SUM($N$90:$AW$90)</f>
        <v>-3.7279030022249215</v>
      </c>
      <c r="AP91">
        <f ca="1">SUM($N$90:AP90) - ( COLUMNS($N$90:AP90) / COLUMNS($N$90:$AW$90) ) * SUM($N$90:$AW$90)</f>
        <v>-3.9397642085470799</v>
      </c>
      <c r="AQ91">
        <f ca="1">SUM($N$90:AQ90) - ( COLUMNS($N$90:AQ90) / COLUMNS($N$90:$AW$90) ) * SUM($N$90:$AW$90)</f>
        <v>-2.7520334055443563</v>
      </c>
      <c r="AR91">
        <f ca="1">SUM($N$90:AR90) - ( COLUMNS($N$90:AR90) / COLUMNS($N$90:$AW$90) ) * SUM($N$90:$AW$90)</f>
        <v>-4.2321052916603303</v>
      </c>
      <c r="AS91">
        <f ca="1">SUM($N$90:AS90) - ( COLUMNS($N$90:AS90) / COLUMNS($N$90:$AW$90) ) * SUM($N$90:$AW$90)</f>
        <v>-4.4668740406183183</v>
      </c>
      <c r="AT91">
        <f ca="1">SUM($N$90:AT90) - ( COLUMNS($N$90:AT90) / COLUMNS($N$90:$AW$90) ) * SUM($N$90:$AW$90)</f>
        <v>-2.3516491021668182</v>
      </c>
      <c r="AU91">
        <f ca="1">SUM($N$90:AU90) - ( COLUMNS($N$90:AU90) / COLUMNS($N$90:$AW$90) ) * SUM($N$90:$AW$90)</f>
        <v>-0.36128567485756635</v>
      </c>
      <c r="AV91">
        <f ca="1">SUM($N$90:AV90) - ( COLUMNS($N$90:AV90) / COLUMNS($N$90:$AW$90) ) * SUM($N$90:$AW$90)</f>
        <v>-4.2870062014944033E-2</v>
      </c>
      <c r="AW91">
        <f ca="1">SUM($N$90:AW90) - ( COLUMNS($N$90:AW90) / COLUMNS($N$90:$AW$90) ) * SUM($N$90:$AW$90)</f>
        <v>0</v>
      </c>
    </row>
    <row r="92" spans="1:49" ht="15.75" customHeight="1" x14ac:dyDescent="0.3">
      <c r="A92" s="32"/>
      <c r="B92" s="32"/>
      <c r="C92" s="32"/>
      <c r="D92" s="32"/>
      <c r="E92" s="32"/>
      <c r="F92" s="32"/>
      <c r="N92">
        <f ca="1" xml:space="preserve"> N91 / _xlfn.STDEV.P($N$91:$AW$91)</f>
        <v>-0.50211102421980081</v>
      </c>
      <c r="O92">
        <f t="shared" ref="O92:AW92" ca="1" si="27" xml:space="preserve"> O91 / _xlfn.STDEV.P($N$91:$AW$91)</f>
        <v>-1.0943238834005713</v>
      </c>
      <c r="P92">
        <f t="shared" ca="1" si="27"/>
        <v>-0.60229666538902715</v>
      </c>
      <c r="Q92">
        <f t="shared" ca="1" si="27"/>
        <v>-8.008141674836039E-2</v>
      </c>
      <c r="R92">
        <f t="shared" ca="1" si="27"/>
        <v>0.34810447002502876</v>
      </c>
      <c r="S92">
        <f t="shared" ca="1" si="27"/>
        <v>0.48286094013770509</v>
      </c>
      <c r="T92">
        <f t="shared" ca="1" si="27"/>
        <v>0.21915863839885727</v>
      </c>
      <c r="U92">
        <f t="shared" ca="1" si="27"/>
        <v>0.30696831063184021</v>
      </c>
      <c r="V92">
        <f t="shared" ca="1" si="27"/>
        <v>0.16197154688866033</v>
      </c>
      <c r="W92">
        <f t="shared" ca="1" si="27"/>
        <v>-0.3679908615558759</v>
      </c>
      <c r="X92">
        <f t="shared" ca="1" si="27"/>
        <v>-2.0896137912205117</v>
      </c>
      <c r="Y92">
        <f t="shared" ca="1" si="27"/>
        <v>-2.5722268049314101</v>
      </c>
      <c r="Z92">
        <f t="shared" ca="1" si="27"/>
        <v>-1.9356833446397157</v>
      </c>
      <c r="AA92">
        <f t="shared" ca="1" si="27"/>
        <v>-1.8362849077747954</v>
      </c>
      <c r="AB92">
        <f t="shared" ca="1" si="27"/>
        <v>-1.398364669890499</v>
      </c>
      <c r="AC92">
        <f t="shared" ca="1" si="27"/>
        <v>-1.6873193973665916</v>
      </c>
      <c r="AD92">
        <f t="shared" ca="1" si="27"/>
        <v>-1.7199959347023182</v>
      </c>
      <c r="AE92">
        <f t="shared" ca="1" si="27"/>
        <v>-2.4434500481081809</v>
      </c>
      <c r="AF92">
        <f t="shared" ca="1" si="27"/>
        <v>-2.6289624171387889</v>
      </c>
      <c r="AG92">
        <f t="shared" ca="1" si="27"/>
        <v>-1.5213755466120396</v>
      </c>
      <c r="AH92">
        <f t="shared" ca="1" si="27"/>
        <v>-0.97811937686667239</v>
      </c>
      <c r="AI92">
        <f t="shared" ca="1" si="27"/>
        <v>-0.86523902168904987</v>
      </c>
      <c r="AJ92">
        <f t="shared" ca="1" si="27"/>
        <v>-0.38850804161354036</v>
      </c>
      <c r="AK92">
        <f t="shared" ca="1" si="27"/>
        <v>0.73259390213228492</v>
      </c>
      <c r="AL92">
        <f t="shared" ca="1" si="27"/>
        <v>0.39562345617228206</v>
      </c>
      <c r="AM92">
        <f t="shared" ca="1" si="27"/>
        <v>-0.87427435315028679</v>
      </c>
      <c r="AN92">
        <f t="shared" ca="1" si="27"/>
        <v>-1.3242984693179858</v>
      </c>
      <c r="AO92">
        <f t="shared" ca="1" si="27"/>
        <v>-2.0189369018407821</v>
      </c>
      <c r="AP92">
        <f t="shared" ca="1" si="27"/>
        <v>-2.1336755115248387</v>
      </c>
      <c r="AQ92">
        <f t="shared" ca="1" si="27"/>
        <v>-1.490430892176102</v>
      </c>
      <c r="AR92">
        <f t="shared" ca="1" si="27"/>
        <v>-2.2919999637085962</v>
      </c>
      <c r="AS92">
        <f t="shared" ca="1" si="27"/>
        <v>-2.4191447124822067</v>
      </c>
      <c r="AT92">
        <f t="shared" ca="1" si="27"/>
        <v>-1.2735929957704608</v>
      </c>
      <c r="AU92">
        <f t="shared" ca="1" si="27"/>
        <v>-0.19566307938834679</v>
      </c>
      <c r="AV92">
        <f t="shared" ca="1" si="27"/>
        <v>-2.3217328920445774E-2</v>
      </c>
      <c r="AW92">
        <f t="shared" ca="1" si="27"/>
        <v>0</v>
      </c>
    </row>
    <row r="93" spans="1:49" ht="15.75" customHeight="1" x14ac:dyDescent="0.3">
      <c r="A93" s="32"/>
      <c r="B93" s="32"/>
      <c r="C93" s="32"/>
      <c r="D93" s="32"/>
      <c r="E93" s="32"/>
      <c r="F93" s="32"/>
    </row>
    <row r="94" spans="1:49" ht="15.75" customHeight="1" x14ac:dyDescent="0.3">
      <c r="A94" s="32"/>
      <c r="B94" s="32"/>
      <c r="C94" s="32"/>
      <c r="D94" s="32"/>
      <c r="E94" s="32"/>
      <c r="F94" s="32"/>
    </row>
    <row r="95" spans="1:49" ht="15.75" customHeight="1" x14ac:dyDescent="0.3">
      <c r="A95" s="32"/>
      <c r="B95" s="32"/>
      <c r="C95" s="32"/>
      <c r="D95" s="32"/>
      <c r="E95" s="32"/>
      <c r="F95" s="32"/>
    </row>
    <row r="96" spans="1:49" ht="15.75" customHeight="1" x14ac:dyDescent="0.3">
      <c r="A96" s="32"/>
      <c r="B96" s="32"/>
      <c r="C96" s="32"/>
      <c r="D96" s="32"/>
      <c r="E96" s="32"/>
      <c r="F96" s="32"/>
    </row>
    <row r="97" spans="1:6" ht="15.75" customHeight="1" x14ac:dyDescent="0.3">
      <c r="A97" s="32"/>
      <c r="B97" s="32"/>
      <c r="C97" s="32"/>
      <c r="D97" s="32"/>
      <c r="E97" s="32"/>
      <c r="F97" s="32"/>
    </row>
    <row r="98" spans="1:6" ht="15.75" customHeight="1" x14ac:dyDescent="0.3">
      <c r="A98" s="32"/>
      <c r="B98" s="32"/>
      <c r="C98" s="32"/>
      <c r="D98" s="32"/>
      <c r="E98" s="32"/>
      <c r="F98" s="32"/>
    </row>
    <row r="99" spans="1:6" ht="15.75" customHeight="1" x14ac:dyDescent="0.3">
      <c r="A99" s="32"/>
      <c r="B99" s="32"/>
      <c r="C99" s="32"/>
      <c r="D99" s="32"/>
      <c r="E99" s="32"/>
      <c r="F99" s="32"/>
    </row>
    <row r="100" spans="1:6" ht="15.75" customHeight="1" x14ac:dyDescent="0.3">
      <c r="A100" s="32"/>
      <c r="B100" s="32"/>
      <c r="C100" s="32"/>
      <c r="D100" s="32"/>
      <c r="E100" s="32"/>
      <c r="F100" s="32"/>
    </row>
    <row r="101" spans="1:6" ht="15.75" customHeight="1" x14ac:dyDescent="0.3">
      <c r="A101" s="32"/>
      <c r="B101" s="32"/>
      <c r="C101" s="32"/>
      <c r="D101" s="32"/>
      <c r="E101" s="32"/>
      <c r="F101" s="32"/>
    </row>
    <row r="102" spans="1:6" ht="15.75" customHeight="1" x14ac:dyDescent="0.3">
      <c r="A102" s="32"/>
      <c r="B102" s="32"/>
      <c r="C102" s="32"/>
      <c r="D102" s="32"/>
      <c r="E102" s="32"/>
      <c r="F102" s="32"/>
    </row>
    <row r="103" spans="1:6" ht="15.75" customHeight="1" x14ac:dyDescent="0.3">
      <c r="A103" s="32"/>
      <c r="B103" s="32"/>
      <c r="C103" s="32"/>
      <c r="D103" s="32"/>
      <c r="E103" s="32"/>
      <c r="F103" s="32"/>
    </row>
    <row r="104" spans="1:6" ht="15.75" customHeight="1" x14ac:dyDescent="0.3">
      <c r="A104" s="32"/>
      <c r="B104" s="32"/>
      <c r="C104" s="32"/>
      <c r="D104" s="32"/>
      <c r="E104" s="32"/>
      <c r="F104" s="32"/>
    </row>
    <row r="105" spans="1:6" ht="15.75" customHeight="1" x14ac:dyDescent="0.3">
      <c r="A105" s="32"/>
      <c r="B105" s="32"/>
      <c r="C105" s="32"/>
      <c r="D105" s="32"/>
      <c r="E105" s="32"/>
      <c r="F105" s="32"/>
    </row>
    <row r="106" spans="1:6" ht="15.75" customHeight="1" x14ac:dyDescent="0.3">
      <c r="A106" s="32"/>
      <c r="B106" s="32"/>
      <c r="C106" s="32"/>
      <c r="D106" s="32"/>
      <c r="E106" s="32"/>
      <c r="F106" s="32"/>
    </row>
    <row r="107" spans="1:6" ht="15.75" customHeight="1" x14ac:dyDescent="0.3">
      <c r="A107" s="32"/>
      <c r="B107" s="32"/>
      <c r="C107" s="32"/>
      <c r="D107" s="32"/>
      <c r="E107" s="32"/>
      <c r="F107" s="32"/>
    </row>
    <row r="108" spans="1:6" ht="15.75" customHeight="1" x14ac:dyDescent="0.3">
      <c r="A108" s="32"/>
      <c r="B108" s="32"/>
      <c r="C108" s="32"/>
      <c r="D108" s="32"/>
      <c r="E108" s="32"/>
      <c r="F108" s="32"/>
    </row>
    <row r="109" spans="1:6" ht="15.75" customHeight="1" x14ac:dyDescent="0.3">
      <c r="A109" s="32"/>
      <c r="B109" s="32"/>
      <c r="C109" s="32"/>
      <c r="D109" s="32"/>
      <c r="E109" s="32"/>
      <c r="F109" s="32"/>
    </row>
    <row r="110" spans="1:6" ht="15.75" customHeight="1" x14ac:dyDescent="0.3">
      <c r="A110" s="32"/>
      <c r="B110" s="32"/>
      <c r="C110" s="32"/>
      <c r="D110" s="32"/>
      <c r="E110" s="32"/>
      <c r="F110" s="32"/>
    </row>
    <row r="111" spans="1:6" ht="15.75" customHeight="1" x14ac:dyDescent="0.3">
      <c r="A111" s="32"/>
      <c r="B111" s="32"/>
      <c r="C111" s="32"/>
      <c r="D111" s="32"/>
      <c r="E111" s="32"/>
      <c r="F111" s="32"/>
    </row>
    <row r="112" spans="1:6" ht="15.75" customHeight="1" x14ac:dyDescent="0.3">
      <c r="A112" s="32"/>
      <c r="B112" s="32"/>
      <c r="C112" s="32"/>
      <c r="D112" s="32"/>
      <c r="E112" s="32"/>
      <c r="F112" s="32"/>
    </row>
    <row r="113" spans="1:6" ht="15.75" customHeight="1" x14ac:dyDescent="0.3">
      <c r="A113" s="32"/>
      <c r="B113" s="32"/>
      <c r="C113" s="32"/>
      <c r="D113" s="32"/>
      <c r="E113" s="32"/>
      <c r="F113" s="32"/>
    </row>
    <row r="114" spans="1:6" ht="15.75" customHeight="1" x14ac:dyDescent="0.3">
      <c r="A114" s="32"/>
      <c r="B114" s="32"/>
      <c r="C114" s="32"/>
      <c r="D114" s="32"/>
      <c r="E114" s="32"/>
      <c r="F114" s="32"/>
    </row>
    <row r="115" spans="1:6" ht="15.75" customHeight="1" x14ac:dyDescent="0.3">
      <c r="A115" s="32"/>
      <c r="B115" s="32"/>
      <c r="C115" s="32"/>
      <c r="D115" s="32"/>
      <c r="E115" s="32"/>
      <c r="F115" s="32"/>
    </row>
    <row r="116" spans="1:6" ht="15.75" customHeight="1" x14ac:dyDescent="0.3">
      <c r="A116" s="32"/>
      <c r="B116" s="32"/>
      <c r="C116" s="32"/>
      <c r="D116" s="32"/>
      <c r="E116" s="32"/>
      <c r="F116" s="32"/>
    </row>
    <row r="117" spans="1:6" ht="15.75" customHeight="1" x14ac:dyDescent="0.3">
      <c r="A117" s="32"/>
      <c r="B117" s="32"/>
      <c r="C117" s="32"/>
      <c r="D117" s="32"/>
      <c r="E117" s="32"/>
      <c r="F117" s="32"/>
    </row>
    <row r="118" spans="1:6" ht="15.75" customHeight="1" x14ac:dyDescent="0.3">
      <c r="A118" s="32"/>
      <c r="B118" s="32"/>
      <c r="C118" s="32"/>
      <c r="D118" s="32"/>
      <c r="E118" s="32"/>
      <c r="F118" s="32"/>
    </row>
    <row r="119" spans="1:6" ht="15.75" customHeight="1" x14ac:dyDescent="0.3">
      <c r="A119" s="32"/>
      <c r="B119" s="32"/>
      <c r="C119" s="32"/>
      <c r="D119" s="32"/>
      <c r="E119" s="32"/>
      <c r="F119" s="32"/>
    </row>
    <row r="120" spans="1:6" ht="15.75" customHeight="1" x14ac:dyDescent="0.3">
      <c r="A120" s="32"/>
      <c r="B120" s="32"/>
      <c r="C120" s="32"/>
      <c r="D120" s="32"/>
      <c r="E120" s="32"/>
      <c r="F120" s="32"/>
    </row>
    <row r="121" spans="1:6" ht="15.75" customHeight="1" x14ac:dyDescent="0.3">
      <c r="A121" s="32"/>
      <c r="B121" s="32"/>
      <c r="C121" s="32"/>
      <c r="D121" s="32"/>
      <c r="E121" s="32"/>
      <c r="F121" s="32"/>
    </row>
    <row r="122" spans="1:6" ht="15.75" customHeight="1" x14ac:dyDescent="0.3">
      <c r="A122" s="32"/>
      <c r="B122" s="32"/>
      <c r="C122" s="32"/>
      <c r="D122" s="32"/>
      <c r="E122" s="32"/>
      <c r="F122" s="32"/>
    </row>
    <row r="123" spans="1:6" ht="15.75" customHeight="1" x14ac:dyDescent="0.3">
      <c r="A123" s="32"/>
      <c r="B123" s="32"/>
      <c r="C123" s="32"/>
      <c r="D123" s="32"/>
      <c r="E123" s="32"/>
      <c r="F123" s="32"/>
    </row>
    <row r="124" spans="1:6" ht="15.75" customHeight="1" x14ac:dyDescent="0.3">
      <c r="A124" s="32"/>
      <c r="B124" s="32"/>
      <c r="C124" s="32"/>
      <c r="D124" s="32"/>
      <c r="E124" s="32"/>
      <c r="F124" s="32"/>
    </row>
    <row r="125" spans="1:6" ht="15.75" customHeight="1" x14ac:dyDescent="0.3">
      <c r="A125" s="32"/>
      <c r="B125" s="32"/>
      <c r="C125" s="32"/>
      <c r="D125" s="32"/>
      <c r="E125" s="32"/>
      <c r="F125" s="32"/>
    </row>
    <row r="126" spans="1:6" ht="15.75" customHeight="1" x14ac:dyDescent="0.3">
      <c r="A126" s="32"/>
      <c r="B126" s="32"/>
      <c r="C126" s="32"/>
      <c r="D126" s="32"/>
      <c r="E126" s="32"/>
      <c r="F126" s="32"/>
    </row>
    <row r="127" spans="1:6" ht="15.75" customHeight="1" x14ac:dyDescent="0.3">
      <c r="A127" s="32"/>
      <c r="B127" s="32"/>
      <c r="C127" s="32"/>
      <c r="D127" s="32"/>
      <c r="E127" s="32"/>
      <c r="F127" s="32"/>
    </row>
    <row r="128" spans="1:6" ht="15.75" customHeight="1" x14ac:dyDescent="0.3">
      <c r="A128" s="32"/>
      <c r="B128" s="32"/>
      <c r="C128" s="32"/>
      <c r="D128" s="32"/>
      <c r="E128" s="32"/>
      <c r="F128" s="32"/>
    </row>
    <row r="129" spans="1:6" ht="15.75" customHeight="1" x14ac:dyDescent="0.3">
      <c r="A129" s="32"/>
      <c r="B129" s="32"/>
      <c r="C129" s="32"/>
      <c r="D129" s="32"/>
      <c r="E129" s="32"/>
      <c r="F129" s="32"/>
    </row>
    <row r="130" spans="1:6" ht="15.75" customHeight="1" x14ac:dyDescent="0.3">
      <c r="A130" s="32"/>
      <c r="B130" s="32"/>
      <c r="C130" s="32"/>
      <c r="D130" s="32"/>
      <c r="E130" s="32"/>
      <c r="F130" s="32"/>
    </row>
    <row r="131" spans="1:6" ht="15.75" customHeight="1" x14ac:dyDescent="0.3">
      <c r="A131" s="32"/>
      <c r="B131" s="32"/>
      <c r="C131" s="32"/>
      <c r="D131" s="32"/>
      <c r="E131" s="32"/>
      <c r="F131" s="32"/>
    </row>
    <row r="132" spans="1:6" ht="15.75" customHeight="1" x14ac:dyDescent="0.3">
      <c r="A132" s="32"/>
      <c r="B132" s="32"/>
      <c r="C132" s="32"/>
      <c r="D132" s="32"/>
      <c r="E132" s="32"/>
      <c r="F132" s="32"/>
    </row>
    <row r="133" spans="1:6" ht="15.75" customHeight="1" x14ac:dyDescent="0.3">
      <c r="A133" s="32"/>
      <c r="B133" s="32"/>
      <c r="C133" s="32"/>
      <c r="D133" s="32"/>
      <c r="E133" s="32"/>
      <c r="F133" s="32"/>
    </row>
    <row r="134" spans="1:6" ht="15.75" customHeight="1" x14ac:dyDescent="0.3">
      <c r="A134" s="32"/>
      <c r="B134" s="32"/>
      <c r="C134" s="32"/>
      <c r="D134" s="32"/>
      <c r="E134" s="32"/>
      <c r="F134" s="32"/>
    </row>
    <row r="135" spans="1:6" ht="15.75" customHeight="1" x14ac:dyDescent="0.3">
      <c r="A135" s="32"/>
      <c r="B135" s="32"/>
      <c r="C135" s="32"/>
      <c r="D135" s="32"/>
      <c r="E135" s="32"/>
      <c r="F135" s="32"/>
    </row>
    <row r="136" spans="1:6" ht="15.75" customHeight="1" x14ac:dyDescent="0.3">
      <c r="A136" s="32"/>
      <c r="B136" s="32"/>
      <c r="C136" s="32"/>
      <c r="D136" s="32"/>
      <c r="E136" s="32"/>
      <c r="F136" s="32"/>
    </row>
    <row r="137" spans="1:6" ht="15.75" customHeight="1" x14ac:dyDescent="0.3">
      <c r="A137" s="32"/>
      <c r="B137" s="32"/>
      <c r="C137" s="32"/>
      <c r="D137" s="32"/>
      <c r="E137" s="32"/>
      <c r="F137" s="32"/>
    </row>
    <row r="138" spans="1:6" ht="15.75" customHeight="1" x14ac:dyDescent="0.3">
      <c r="A138" s="32"/>
      <c r="B138" s="32"/>
      <c r="C138" s="32"/>
      <c r="D138" s="32"/>
      <c r="E138" s="32"/>
      <c r="F138" s="32"/>
    </row>
    <row r="139" spans="1:6" ht="15.75" customHeight="1" x14ac:dyDescent="0.3">
      <c r="A139" s="32"/>
      <c r="B139" s="32"/>
      <c r="C139" s="32"/>
      <c r="D139" s="32"/>
      <c r="E139" s="32"/>
      <c r="F139" s="32"/>
    </row>
    <row r="140" spans="1:6" ht="15.75" customHeight="1" x14ac:dyDescent="0.3">
      <c r="A140" s="32"/>
      <c r="B140" s="32"/>
      <c r="C140" s="32"/>
      <c r="D140" s="32"/>
      <c r="E140" s="32"/>
      <c r="F140" s="32"/>
    </row>
    <row r="141" spans="1:6" ht="15.75" customHeight="1" x14ac:dyDescent="0.3">
      <c r="A141" s="32"/>
      <c r="B141" s="32"/>
      <c r="C141" s="32"/>
      <c r="D141" s="32"/>
      <c r="E141" s="32"/>
      <c r="F141" s="32"/>
    </row>
    <row r="142" spans="1:6" ht="15.75" customHeight="1" x14ac:dyDescent="0.3">
      <c r="A142" s="32"/>
      <c r="B142" s="32"/>
      <c r="C142" s="32"/>
      <c r="D142" s="32"/>
      <c r="E142" s="32"/>
      <c r="F142" s="32"/>
    </row>
    <row r="143" spans="1:6" ht="15.75" customHeight="1" x14ac:dyDescent="0.3">
      <c r="A143" s="32"/>
      <c r="B143" s="32"/>
      <c r="C143" s="32"/>
      <c r="D143" s="32"/>
      <c r="E143" s="32"/>
      <c r="F143" s="32"/>
    </row>
    <row r="144" spans="1:6" ht="15.75" customHeight="1" x14ac:dyDescent="0.3">
      <c r="A144" s="32"/>
      <c r="B144" s="32"/>
      <c r="C144" s="32"/>
      <c r="D144" s="32"/>
      <c r="E144" s="32"/>
      <c r="F144" s="32"/>
    </row>
    <row r="145" spans="1:6" ht="15.75" customHeight="1" x14ac:dyDescent="0.3">
      <c r="A145" s="32"/>
      <c r="B145" s="32"/>
      <c r="C145" s="32"/>
      <c r="D145" s="32"/>
      <c r="E145" s="32"/>
      <c r="F145" s="32"/>
    </row>
    <row r="146" spans="1:6" ht="15.75" customHeight="1" x14ac:dyDescent="0.3">
      <c r="A146" s="32"/>
      <c r="B146" s="32"/>
      <c r="C146" s="32"/>
      <c r="D146" s="32"/>
      <c r="E146" s="32"/>
      <c r="F146" s="32"/>
    </row>
    <row r="147" spans="1:6" ht="15.75" customHeight="1" x14ac:dyDescent="0.3">
      <c r="A147" s="32"/>
      <c r="B147" s="32"/>
      <c r="C147" s="32"/>
      <c r="D147" s="32"/>
      <c r="E147" s="32"/>
      <c r="F147" s="32"/>
    </row>
    <row r="148" spans="1:6" ht="15.75" customHeight="1" x14ac:dyDescent="0.3">
      <c r="A148" s="32"/>
      <c r="B148" s="32"/>
      <c r="C148" s="32"/>
      <c r="D148" s="32"/>
      <c r="E148" s="32"/>
      <c r="F148" s="32"/>
    </row>
    <row r="149" spans="1:6" ht="15.75" customHeight="1" x14ac:dyDescent="0.3">
      <c r="A149" s="32"/>
      <c r="B149" s="32"/>
      <c r="C149" s="32"/>
      <c r="D149" s="32"/>
      <c r="E149" s="32"/>
      <c r="F149" s="32"/>
    </row>
    <row r="150" spans="1:6" ht="15.75" customHeight="1" x14ac:dyDescent="0.3">
      <c r="A150" s="32"/>
      <c r="B150" s="32"/>
      <c r="C150" s="32"/>
      <c r="D150" s="32"/>
      <c r="E150" s="32"/>
      <c r="F150" s="32"/>
    </row>
    <row r="151" spans="1:6" ht="15.75" customHeight="1" x14ac:dyDescent="0.3">
      <c r="A151" s="32"/>
      <c r="B151" s="32"/>
      <c r="C151" s="32"/>
      <c r="D151" s="32"/>
      <c r="E151" s="32"/>
      <c r="F151" s="32"/>
    </row>
    <row r="152" spans="1:6" ht="15.75" customHeight="1" x14ac:dyDescent="0.3">
      <c r="A152" s="32"/>
      <c r="B152" s="32"/>
      <c r="C152" s="32"/>
      <c r="D152" s="32"/>
      <c r="E152" s="32"/>
      <c r="F152" s="32"/>
    </row>
    <row r="153" spans="1:6" ht="15.75" customHeight="1" x14ac:dyDescent="0.3">
      <c r="A153" s="32"/>
      <c r="B153" s="32"/>
      <c r="C153" s="32"/>
      <c r="D153" s="32"/>
      <c r="E153" s="32"/>
      <c r="F153" s="32"/>
    </row>
    <row r="154" spans="1:6" ht="15.75" customHeight="1" x14ac:dyDescent="0.3">
      <c r="A154" s="32"/>
      <c r="B154" s="32"/>
      <c r="C154" s="32"/>
      <c r="D154" s="32"/>
      <c r="E154" s="32"/>
      <c r="F154" s="32"/>
    </row>
    <row r="155" spans="1:6" ht="15.75" customHeight="1" x14ac:dyDescent="0.3">
      <c r="A155" s="32"/>
      <c r="B155" s="32"/>
      <c r="C155" s="32"/>
      <c r="D155" s="32"/>
      <c r="E155" s="32"/>
      <c r="F155" s="32"/>
    </row>
    <row r="156" spans="1:6" ht="15.75" customHeight="1" x14ac:dyDescent="0.3">
      <c r="A156" s="32"/>
      <c r="B156" s="32"/>
      <c r="C156" s="32"/>
      <c r="D156" s="32"/>
      <c r="E156" s="32"/>
      <c r="F156" s="32"/>
    </row>
    <row r="157" spans="1:6" ht="15.75" customHeight="1" x14ac:dyDescent="0.3">
      <c r="A157" s="32"/>
      <c r="B157" s="32"/>
      <c r="C157" s="32"/>
      <c r="D157" s="32"/>
      <c r="E157" s="32"/>
      <c r="F157" s="32"/>
    </row>
    <row r="158" spans="1:6" ht="15.75" customHeight="1" x14ac:dyDescent="0.3">
      <c r="A158" s="32"/>
      <c r="B158" s="32"/>
      <c r="C158" s="32"/>
      <c r="D158" s="32"/>
      <c r="E158" s="32"/>
      <c r="F158" s="32"/>
    </row>
    <row r="159" spans="1:6" ht="15.75" customHeight="1" x14ac:dyDescent="0.3">
      <c r="A159" s="32"/>
      <c r="B159" s="32"/>
      <c r="C159" s="32"/>
      <c r="D159" s="32"/>
      <c r="E159" s="32"/>
      <c r="F159" s="32"/>
    </row>
    <row r="160" spans="1:6" ht="15.75" customHeight="1" x14ac:dyDescent="0.3">
      <c r="A160" s="32"/>
      <c r="B160" s="32"/>
      <c r="C160" s="32"/>
      <c r="D160" s="32"/>
      <c r="E160" s="32"/>
      <c r="F160" s="32"/>
    </row>
    <row r="161" spans="1:6" ht="15.75" customHeight="1" x14ac:dyDescent="0.3">
      <c r="A161" s="32"/>
      <c r="B161" s="32"/>
      <c r="C161" s="32"/>
      <c r="D161" s="32"/>
      <c r="E161" s="32"/>
      <c r="F161" s="32"/>
    </row>
    <row r="162" spans="1:6" ht="15.75" customHeight="1" x14ac:dyDescent="0.3">
      <c r="A162" s="32"/>
      <c r="B162" s="32"/>
      <c r="C162" s="32"/>
      <c r="D162" s="32"/>
      <c r="E162" s="32"/>
      <c r="F162" s="32"/>
    </row>
    <row r="163" spans="1:6" ht="15.75" customHeight="1" x14ac:dyDescent="0.3">
      <c r="A163" s="32"/>
      <c r="B163" s="32"/>
      <c r="C163" s="32"/>
      <c r="D163" s="32"/>
      <c r="E163" s="32"/>
      <c r="F163" s="32"/>
    </row>
    <row r="164" spans="1:6" ht="15.75" customHeight="1" x14ac:dyDescent="0.3">
      <c r="A164" s="32"/>
      <c r="B164" s="32"/>
      <c r="C164" s="32"/>
      <c r="D164" s="32"/>
      <c r="E164" s="32"/>
      <c r="F164" s="32"/>
    </row>
    <row r="165" spans="1:6" ht="15.75" customHeight="1" x14ac:dyDescent="0.3">
      <c r="A165" s="32"/>
      <c r="B165" s="32"/>
      <c r="C165" s="32"/>
      <c r="D165" s="32"/>
      <c r="E165" s="32"/>
      <c r="F165" s="32"/>
    </row>
    <row r="166" spans="1:6" ht="15.75" customHeight="1" x14ac:dyDescent="0.3">
      <c r="A166" s="32"/>
      <c r="B166" s="32"/>
      <c r="C166" s="32"/>
      <c r="D166" s="32"/>
      <c r="E166" s="32"/>
      <c r="F166" s="32"/>
    </row>
    <row r="167" spans="1:6" ht="15.75" customHeight="1" x14ac:dyDescent="0.3">
      <c r="A167" s="32"/>
      <c r="B167" s="32"/>
      <c r="C167" s="32"/>
      <c r="D167" s="32"/>
      <c r="E167" s="32"/>
      <c r="F167" s="32"/>
    </row>
    <row r="168" spans="1:6" ht="15.75" customHeight="1" x14ac:dyDescent="0.3">
      <c r="A168" s="32"/>
      <c r="B168" s="32"/>
      <c r="C168" s="32"/>
      <c r="D168" s="32"/>
      <c r="E168" s="32"/>
      <c r="F168" s="32"/>
    </row>
    <row r="169" spans="1:6" ht="15.75" customHeight="1" x14ac:dyDescent="0.3">
      <c r="A169" s="32"/>
      <c r="B169" s="32"/>
      <c r="C169" s="32"/>
      <c r="D169" s="32"/>
      <c r="E169" s="32"/>
      <c r="F169" s="32"/>
    </row>
    <row r="170" spans="1:6" ht="15.75" customHeight="1" x14ac:dyDescent="0.3">
      <c r="A170" s="32"/>
      <c r="B170" s="32"/>
      <c r="C170" s="32"/>
      <c r="D170" s="32"/>
      <c r="E170" s="32"/>
      <c r="F170" s="32"/>
    </row>
    <row r="171" spans="1:6" ht="15.75" customHeight="1" x14ac:dyDescent="0.3">
      <c r="A171" s="32"/>
      <c r="B171" s="32"/>
      <c r="C171" s="32"/>
      <c r="D171" s="32"/>
      <c r="E171" s="32"/>
      <c r="F171" s="32"/>
    </row>
    <row r="172" spans="1:6" ht="15.75" customHeight="1" x14ac:dyDescent="0.3">
      <c r="A172" s="32"/>
      <c r="B172" s="32"/>
      <c r="C172" s="32"/>
      <c r="D172" s="32"/>
      <c r="E172" s="32"/>
      <c r="F172" s="32"/>
    </row>
    <row r="173" spans="1:6" ht="15.75" customHeight="1" x14ac:dyDescent="0.3">
      <c r="A173" s="32"/>
      <c r="B173" s="32"/>
      <c r="C173" s="32"/>
      <c r="D173" s="32"/>
      <c r="E173" s="32"/>
      <c r="F173" s="32"/>
    </row>
    <row r="174" spans="1:6" ht="15.75" customHeight="1" x14ac:dyDescent="0.3">
      <c r="A174" s="32"/>
      <c r="B174" s="32"/>
      <c r="C174" s="32"/>
      <c r="D174" s="32"/>
      <c r="E174" s="32"/>
      <c r="F174" s="32"/>
    </row>
    <row r="175" spans="1:6" ht="15.75" customHeight="1" x14ac:dyDescent="0.3">
      <c r="A175" s="32"/>
      <c r="B175" s="32"/>
      <c r="C175" s="32"/>
      <c r="D175" s="32"/>
      <c r="E175" s="32"/>
      <c r="F175" s="32"/>
    </row>
    <row r="176" spans="1:6" ht="15.75" customHeight="1" x14ac:dyDescent="0.3">
      <c r="A176" s="32"/>
      <c r="B176" s="32"/>
      <c r="C176" s="32"/>
      <c r="D176" s="32"/>
      <c r="E176" s="32"/>
      <c r="F176" s="32"/>
    </row>
    <row r="177" spans="1:6" ht="15.75" customHeight="1" x14ac:dyDescent="0.3">
      <c r="A177" s="32"/>
      <c r="B177" s="32"/>
      <c r="C177" s="32"/>
      <c r="D177" s="32"/>
      <c r="E177" s="32"/>
      <c r="F177" s="32"/>
    </row>
    <row r="178" spans="1:6" ht="15.75" customHeight="1" x14ac:dyDescent="0.3">
      <c r="A178" s="32"/>
      <c r="B178" s="32"/>
      <c r="C178" s="32"/>
      <c r="D178" s="32"/>
      <c r="E178" s="32"/>
      <c r="F178" s="32"/>
    </row>
    <row r="179" spans="1:6" ht="15.75" customHeight="1" x14ac:dyDescent="0.3">
      <c r="A179" s="32"/>
      <c r="B179" s="32"/>
      <c r="C179" s="32"/>
      <c r="D179" s="32"/>
      <c r="E179" s="32"/>
      <c r="F179" s="32"/>
    </row>
    <row r="180" spans="1:6" ht="15.75" customHeight="1" x14ac:dyDescent="0.3">
      <c r="A180" s="32"/>
      <c r="B180" s="32"/>
      <c r="C180" s="32"/>
      <c r="D180" s="32"/>
      <c r="E180" s="32"/>
      <c r="F180" s="32"/>
    </row>
    <row r="181" spans="1:6" ht="15.75" customHeight="1" x14ac:dyDescent="0.3">
      <c r="A181" s="32"/>
      <c r="B181" s="32"/>
      <c r="C181" s="32"/>
      <c r="D181" s="32"/>
      <c r="E181" s="32"/>
      <c r="F181" s="32"/>
    </row>
    <row r="182" spans="1:6" ht="15.75" customHeight="1" x14ac:dyDescent="0.3">
      <c r="A182" s="32"/>
      <c r="B182" s="32"/>
      <c r="C182" s="32"/>
      <c r="D182" s="32"/>
      <c r="E182" s="32"/>
      <c r="F182" s="32"/>
    </row>
    <row r="183" spans="1:6" ht="15.75" customHeight="1" x14ac:dyDescent="0.3">
      <c r="A183" s="32"/>
      <c r="B183" s="32"/>
      <c r="C183" s="32"/>
      <c r="D183" s="32"/>
      <c r="E183" s="32"/>
      <c r="F183" s="32"/>
    </row>
    <row r="184" spans="1:6" ht="15.75" customHeight="1" x14ac:dyDescent="0.3">
      <c r="A184" s="32"/>
      <c r="B184" s="32"/>
      <c r="C184" s="32"/>
      <c r="D184" s="32"/>
      <c r="E184" s="32"/>
      <c r="F184" s="32"/>
    </row>
    <row r="185" spans="1:6" ht="15.75" customHeight="1" x14ac:dyDescent="0.3">
      <c r="A185" s="32"/>
      <c r="B185" s="32"/>
      <c r="C185" s="32"/>
      <c r="D185" s="32"/>
      <c r="E185" s="32"/>
      <c r="F185" s="32"/>
    </row>
    <row r="186" spans="1:6" ht="15.75" customHeight="1" x14ac:dyDescent="0.3">
      <c r="A186" s="32"/>
      <c r="B186" s="32"/>
      <c r="C186" s="32"/>
      <c r="D186" s="32"/>
      <c r="E186" s="32"/>
      <c r="F186" s="32"/>
    </row>
    <row r="187" spans="1:6" ht="15.75" customHeight="1" x14ac:dyDescent="0.3">
      <c r="A187" s="32"/>
      <c r="B187" s="32"/>
      <c r="C187" s="32"/>
      <c r="D187" s="32"/>
      <c r="E187" s="32"/>
      <c r="F187" s="32"/>
    </row>
    <row r="188" spans="1:6" ht="15.75" customHeight="1" x14ac:dyDescent="0.3">
      <c r="A188" s="32"/>
      <c r="B188" s="32"/>
      <c r="C188" s="32"/>
      <c r="D188" s="32"/>
      <c r="E188" s="32"/>
      <c r="F188" s="32"/>
    </row>
    <row r="189" spans="1:6" ht="15.75" customHeight="1" x14ac:dyDescent="0.3">
      <c r="A189" s="32"/>
      <c r="B189" s="32"/>
      <c r="C189" s="32"/>
      <c r="D189" s="32"/>
      <c r="E189" s="32"/>
      <c r="F189" s="32"/>
    </row>
    <row r="190" spans="1:6" ht="15.75" customHeight="1" x14ac:dyDescent="0.3">
      <c r="A190" s="32"/>
      <c r="B190" s="32"/>
      <c r="C190" s="32"/>
      <c r="D190" s="32"/>
      <c r="E190" s="32"/>
      <c r="F190" s="32"/>
    </row>
    <row r="191" spans="1:6" ht="15.75" customHeight="1" x14ac:dyDescent="0.3">
      <c r="A191" s="32"/>
      <c r="B191" s="32"/>
      <c r="C191" s="32"/>
      <c r="D191" s="32"/>
      <c r="E191" s="32"/>
      <c r="F191" s="32"/>
    </row>
    <row r="192" spans="1:6" ht="15.75" customHeight="1" x14ac:dyDescent="0.3">
      <c r="A192" s="32"/>
      <c r="B192" s="32"/>
      <c r="C192" s="32"/>
      <c r="D192" s="32"/>
      <c r="E192" s="32"/>
      <c r="F192" s="32"/>
    </row>
    <row r="193" spans="1:6" ht="15.75" customHeight="1" x14ac:dyDescent="0.3">
      <c r="A193" s="32"/>
      <c r="B193" s="32"/>
      <c r="C193" s="32"/>
      <c r="D193" s="32"/>
      <c r="E193" s="32"/>
      <c r="F193" s="32"/>
    </row>
    <row r="194" spans="1:6" ht="15.75" customHeight="1" x14ac:dyDescent="0.3">
      <c r="A194" s="32"/>
      <c r="B194" s="32"/>
      <c r="C194" s="32"/>
      <c r="D194" s="32"/>
      <c r="E194" s="32"/>
      <c r="F194" s="32"/>
    </row>
    <row r="195" spans="1:6" ht="15.75" customHeight="1" x14ac:dyDescent="0.3">
      <c r="A195" s="32"/>
      <c r="B195" s="32"/>
      <c r="C195" s="32"/>
      <c r="D195" s="32"/>
      <c r="E195" s="32"/>
      <c r="F195" s="32"/>
    </row>
    <row r="196" spans="1:6" ht="15.75" customHeight="1" x14ac:dyDescent="0.3">
      <c r="A196" s="32"/>
      <c r="B196" s="32"/>
      <c r="C196" s="32"/>
      <c r="D196" s="32"/>
      <c r="E196" s="32"/>
      <c r="F196" s="32"/>
    </row>
    <row r="197" spans="1:6" ht="15.75" customHeight="1" x14ac:dyDescent="0.3">
      <c r="A197" s="32"/>
      <c r="B197" s="32"/>
      <c r="C197" s="32"/>
      <c r="D197" s="32"/>
      <c r="E197" s="32"/>
      <c r="F197" s="32"/>
    </row>
    <row r="198" spans="1:6" ht="15.75" customHeight="1" x14ac:dyDescent="0.3">
      <c r="A198" s="32"/>
      <c r="B198" s="32"/>
      <c r="C198" s="32"/>
      <c r="D198" s="32"/>
      <c r="E198" s="32"/>
      <c r="F198" s="32"/>
    </row>
    <row r="199" spans="1:6" ht="15.75" customHeight="1" x14ac:dyDescent="0.3">
      <c r="A199" s="32"/>
      <c r="B199" s="32"/>
      <c r="C199" s="32"/>
      <c r="D199" s="32"/>
      <c r="E199" s="32"/>
      <c r="F199" s="32"/>
    </row>
    <row r="200" spans="1:6" ht="15.75" customHeight="1" x14ac:dyDescent="0.3">
      <c r="A200" s="32"/>
      <c r="B200" s="32"/>
      <c r="C200" s="32"/>
      <c r="D200" s="32"/>
      <c r="E200" s="32"/>
      <c r="F200" s="32"/>
    </row>
    <row r="201" spans="1:6" ht="15.75" customHeight="1" x14ac:dyDescent="0.3">
      <c r="A201" s="32"/>
      <c r="B201" s="32"/>
      <c r="C201" s="32"/>
      <c r="D201" s="32"/>
      <c r="E201" s="32"/>
      <c r="F201" s="32"/>
    </row>
    <row r="202" spans="1:6" ht="15.75" customHeight="1" x14ac:dyDescent="0.3">
      <c r="A202" s="32"/>
      <c r="B202" s="32"/>
      <c r="C202" s="32"/>
      <c r="D202" s="32"/>
      <c r="E202" s="32"/>
      <c r="F202" s="32"/>
    </row>
    <row r="203" spans="1:6" ht="15.75" customHeight="1" x14ac:dyDescent="0.3">
      <c r="A203" s="32"/>
      <c r="B203" s="32"/>
      <c r="C203" s="32"/>
      <c r="D203" s="32"/>
      <c r="E203" s="32"/>
      <c r="F203" s="32"/>
    </row>
    <row r="204" spans="1:6" ht="15.75" customHeight="1" x14ac:dyDescent="0.3">
      <c r="A204" s="32"/>
      <c r="B204" s="32"/>
      <c r="C204" s="32"/>
      <c r="D204" s="32"/>
      <c r="E204" s="32"/>
      <c r="F204" s="32"/>
    </row>
    <row r="205" spans="1:6" ht="15.75" customHeight="1" x14ac:dyDescent="0.3">
      <c r="A205" s="32"/>
      <c r="B205" s="32"/>
      <c r="C205" s="32"/>
      <c r="D205" s="32"/>
      <c r="E205" s="32"/>
      <c r="F205" s="32"/>
    </row>
    <row r="206" spans="1:6" ht="15.75" customHeight="1" x14ac:dyDescent="0.3">
      <c r="A206" s="32"/>
      <c r="B206" s="32"/>
      <c r="C206" s="32"/>
      <c r="D206" s="32"/>
      <c r="E206" s="32"/>
      <c r="F206" s="32"/>
    </row>
    <row r="207" spans="1:6" ht="15.75" customHeight="1" x14ac:dyDescent="0.3">
      <c r="A207" s="32"/>
      <c r="B207" s="32"/>
      <c r="C207" s="32"/>
      <c r="D207" s="32"/>
      <c r="E207" s="32"/>
      <c r="F207" s="32"/>
    </row>
    <row r="208" spans="1:6" ht="15.75" customHeight="1" x14ac:dyDescent="0.3">
      <c r="A208" s="32"/>
      <c r="B208" s="32"/>
      <c r="C208" s="32"/>
      <c r="D208" s="32"/>
      <c r="E208" s="32"/>
      <c r="F208" s="32"/>
    </row>
    <row r="209" spans="1:6" ht="15.75" customHeight="1" x14ac:dyDescent="0.3">
      <c r="A209" s="32"/>
      <c r="B209" s="32"/>
      <c r="C209" s="32"/>
      <c r="D209" s="32"/>
      <c r="E209" s="32"/>
      <c r="F209" s="32"/>
    </row>
    <row r="210" spans="1:6" ht="15.75" customHeight="1" x14ac:dyDescent="0.3">
      <c r="A210" s="32"/>
      <c r="B210" s="32"/>
      <c r="C210" s="32"/>
      <c r="D210" s="32"/>
      <c r="E210" s="32"/>
      <c r="F210" s="32"/>
    </row>
    <row r="211" spans="1:6" ht="15.75" customHeight="1" x14ac:dyDescent="0.3">
      <c r="A211" s="32"/>
      <c r="B211" s="32"/>
      <c r="C211" s="32"/>
      <c r="D211" s="32"/>
      <c r="E211" s="32"/>
      <c r="F211" s="32"/>
    </row>
    <row r="212" spans="1:6" ht="15.75" customHeight="1" x14ac:dyDescent="0.3">
      <c r="A212" s="32"/>
      <c r="B212" s="32"/>
      <c r="C212" s="32"/>
      <c r="D212" s="32"/>
      <c r="E212" s="32"/>
      <c r="F212" s="32"/>
    </row>
    <row r="213" spans="1:6" ht="15.75" customHeight="1" x14ac:dyDescent="0.3">
      <c r="A213" s="32"/>
      <c r="B213" s="32"/>
      <c r="C213" s="32"/>
      <c r="D213" s="32"/>
      <c r="E213" s="32"/>
      <c r="F213" s="32"/>
    </row>
    <row r="214" spans="1:6" ht="15.75" customHeight="1" x14ac:dyDescent="0.3">
      <c r="A214" s="32"/>
      <c r="B214" s="32"/>
      <c r="C214" s="32"/>
      <c r="D214" s="32"/>
      <c r="E214" s="32"/>
      <c r="F214" s="32"/>
    </row>
    <row r="215" spans="1:6" ht="15.75" customHeight="1" x14ac:dyDescent="0.3">
      <c r="A215" s="32"/>
      <c r="B215" s="32"/>
      <c r="C215" s="32"/>
      <c r="D215" s="32"/>
      <c r="E215" s="32"/>
      <c r="F215" s="32"/>
    </row>
    <row r="216" spans="1:6" ht="15.75" customHeight="1" x14ac:dyDescent="0.3">
      <c r="A216" s="32"/>
      <c r="B216" s="32"/>
      <c r="C216" s="32"/>
      <c r="D216" s="32"/>
      <c r="E216" s="32"/>
      <c r="F216" s="32"/>
    </row>
    <row r="217" spans="1:6" ht="15.75" customHeight="1" x14ac:dyDescent="0.3">
      <c r="A217" s="32"/>
      <c r="B217" s="32"/>
      <c r="C217" s="32"/>
      <c r="D217" s="32"/>
      <c r="E217" s="32"/>
      <c r="F217" s="32"/>
    </row>
    <row r="218" spans="1:6" ht="15.75" customHeight="1" x14ac:dyDescent="0.3">
      <c r="A218" s="32"/>
      <c r="B218" s="32"/>
      <c r="C218" s="32"/>
      <c r="D218" s="32"/>
      <c r="E218" s="32"/>
      <c r="F218" s="32"/>
    </row>
    <row r="219" spans="1:6" ht="15.75" customHeight="1" x14ac:dyDescent="0.3">
      <c r="A219" s="32"/>
      <c r="B219" s="32"/>
      <c r="C219" s="32"/>
      <c r="D219" s="32"/>
      <c r="E219" s="32"/>
      <c r="F219" s="32"/>
    </row>
    <row r="220" spans="1:6" ht="15.75" customHeight="1" x14ac:dyDescent="0.3">
      <c r="A220" s="32"/>
      <c r="B220" s="32"/>
      <c r="C220" s="32"/>
      <c r="D220" s="32"/>
      <c r="E220" s="32"/>
      <c r="F220" s="32"/>
    </row>
    <row r="221" spans="1:6" ht="15.75" customHeight="1" x14ac:dyDescent="0.3">
      <c r="A221" s="32"/>
      <c r="B221" s="32"/>
      <c r="C221" s="32"/>
      <c r="D221" s="32"/>
      <c r="E221" s="32"/>
      <c r="F221" s="32"/>
    </row>
    <row r="222" spans="1:6" ht="15.75" customHeight="1" x14ac:dyDescent="0.3">
      <c r="A222" s="32"/>
      <c r="B222" s="32"/>
      <c r="C222" s="32"/>
      <c r="D222" s="32"/>
      <c r="E222" s="32"/>
      <c r="F222" s="32"/>
    </row>
    <row r="223" spans="1:6" ht="15.75" customHeight="1" x14ac:dyDescent="0.3">
      <c r="A223" s="32"/>
      <c r="B223" s="32"/>
      <c r="C223" s="32"/>
      <c r="D223" s="32"/>
      <c r="E223" s="32"/>
      <c r="F223" s="32"/>
    </row>
    <row r="224" spans="1:6" ht="15.75" customHeight="1" x14ac:dyDescent="0.3">
      <c r="A224" s="32"/>
      <c r="B224" s="32"/>
      <c r="C224" s="32"/>
      <c r="D224" s="32"/>
      <c r="E224" s="32"/>
      <c r="F224" s="32"/>
    </row>
    <row r="225" spans="1:6" ht="15.75" customHeight="1" x14ac:dyDescent="0.3">
      <c r="A225" s="32"/>
      <c r="B225" s="32"/>
      <c r="C225" s="32"/>
      <c r="D225" s="32"/>
      <c r="E225" s="32"/>
      <c r="F225" s="32"/>
    </row>
    <row r="226" spans="1:6" ht="15.75" customHeight="1" x14ac:dyDescent="0.3">
      <c r="A226" s="32"/>
      <c r="B226" s="32"/>
      <c r="C226" s="32"/>
      <c r="D226" s="32"/>
      <c r="E226" s="32"/>
      <c r="F226" s="32"/>
    </row>
    <row r="227" spans="1:6" ht="15.75" customHeight="1" x14ac:dyDescent="0.3">
      <c r="A227" s="32"/>
      <c r="B227" s="32"/>
      <c r="C227" s="32"/>
      <c r="D227" s="32"/>
      <c r="E227" s="32"/>
      <c r="F227" s="32"/>
    </row>
    <row r="228" spans="1:6" ht="15.75" customHeight="1" x14ac:dyDescent="0.3">
      <c r="A228" s="32"/>
      <c r="B228" s="32"/>
      <c r="C228" s="32"/>
      <c r="D228" s="32"/>
      <c r="E228" s="32"/>
      <c r="F228" s="32"/>
    </row>
    <row r="229" spans="1:6" ht="15.75" customHeight="1" x14ac:dyDescent="0.3">
      <c r="A229" s="32"/>
      <c r="B229" s="32"/>
      <c r="C229" s="32"/>
      <c r="D229" s="32"/>
      <c r="E229" s="32"/>
      <c r="F229" s="32"/>
    </row>
    <row r="230" spans="1:6" ht="15.75" customHeight="1" x14ac:dyDescent="0.3">
      <c r="A230" s="32"/>
      <c r="B230" s="32"/>
      <c r="C230" s="32"/>
      <c r="D230" s="32"/>
      <c r="E230" s="32"/>
      <c r="F230" s="32"/>
    </row>
    <row r="231" spans="1:6" ht="15.75" customHeight="1" x14ac:dyDescent="0.3">
      <c r="A231" s="32"/>
      <c r="B231" s="32"/>
      <c r="C231" s="32"/>
      <c r="D231" s="32"/>
      <c r="E231" s="32"/>
      <c r="F231" s="32"/>
    </row>
    <row r="232" spans="1:6" ht="15.75" customHeight="1" x14ac:dyDescent="0.3">
      <c r="A232" s="32"/>
      <c r="B232" s="32"/>
      <c r="C232" s="32"/>
      <c r="D232" s="32"/>
      <c r="E232" s="32"/>
      <c r="F232" s="32"/>
    </row>
    <row r="233" spans="1:6" ht="15.75" customHeight="1" x14ac:dyDescent="0.3">
      <c r="A233" s="32"/>
      <c r="B233" s="32"/>
      <c r="C233" s="32"/>
      <c r="D233" s="32"/>
      <c r="E233" s="32"/>
      <c r="F233" s="32"/>
    </row>
    <row r="234" spans="1:6" ht="15.75" customHeight="1" x14ac:dyDescent="0.3">
      <c r="A234" s="32"/>
      <c r="B234" s="32"/>
      <c r="C234" s="32"/>
      <c r="D234" s="32"/>
      <c r="E234" s="32"/>
      <c r="F234" s="32"/>
    </row>
    <row r="235" spans="1:6" ht="15.75" customHeight="1" x14ac:dyDescent="0.3">
      <c r="A235" s="32"/>
      <c r="B235" s="32"/>
      <c r="C235" s="32"/>
      <c r="D235" s="32"/>
      <c r="E235" s="32"/>
      <c r="F235" s="32"/>
    </row>
    <row r="236" spans="1:6" ht="15.75" customHeight="1" x14ac:dyDescent="0.3">
      <c r="A236" s="32"/>
      <c r="B236" s="32"/>
      <c r="C236" s="32"/>
      <c r="D236" s="32"/>
      <c r="E236" s="32"/>
      <c r="F236" s="32"/>
    </row>
    <row r="237" spans="1:6" ht="15.75" customHeight="1" x14ac:dyDescent="0.3">
      <c r="A237" s="32"/>
      <c r="B237" s="32"/>
      <c r="C237" s="32"/>
      <c r="D237" s="32"/>
      <c r="E237" s="32"/>
      <c r="F237" s="32"/>
    </row>
    <row r="238" spans="1:6" ht="15.75" customHeight="1" x14ac:dyDescent="0.3">
      <c r="A238" s="32"/>
      <c r="B238" s="32"/>
      <c r="C238" s="32"/>
      <c r="D238" s="32"/>
      <c r="E238" s="32"/>
      <c r="F238" s="32"/>
    </row>
    <row r="239" spans="1:6" ht="15.75" customHeight="1" x14ac:dyDescent="0.3">
      <c r="A239" s="32"/>
      <c r="B239" s="32"/>
      <c r="C239" s="32"/>
      <c r="D239" s="32"/>
      <c r="E239" s="32"/>
      <c r="F239" s="32"/>
    </row>
    <row r="240" spans="1:6" ht="15.75" customHeight="1" x14ac:dyDescent="0.3">
      <c r="A240" s="32"/>
      <c r="B240" s="32"/>
      <c r="C240" s="32"/>
      <c r="D240" s="32"/>
      <c r="E240" s="32"/>
      <c r="F240" s="32"/>
    </row>
    <row r="241" spans="1:6" ht="15.75" customHeight="1" x14ac:dyDescent="0.3">
      <c r="A241" s="32"/>
      <c r="B241" s="32"/>
      <c r="C241" s="32"/>
      <c r="D241" s="32"/>
      <c r="E241" s="32"/>
      <c r="F241" s="32"/>
    </row>
    <row r="242" spans="1:6" ht="15.75" customHeight="1" x14ac:dyDescent="0.3">
      <c r="A242" s="32"/>
      <c r="B242" s="32"/>
      <c r="C242" s="32"/>
      <c r="D242" s="32"/>
      <c r="E242" s="32"/>
      <c r="F242" s="32"/>
    </row>
    <row r="243" spans="1:6" ht="15.75" customHeight="1" x14ac:dyDescent="0.3">
      <c r="A243" s="32"/>
      <c r="B243" s="32"/>
      <c r="C243" s="32"/>
      <c r="D243" s="32"/>
      <c r="E243" s="32"/>
      <c r="F243" s="32"/>
    </row>
    <row r="244" spans="1:6" ht="15.75" customHeight="1" x14ac:dyDescent="0.3">
      <c r="A244" s="32"/>
      <c r="B244" s="32"/>
      <c r="C244" s="32"/>
      <c r="D244" s="32"/>
      <c r="E244" s="32"/>
      <c r="F244" s="32"/>
    </row>
    <row r="245" spans="1:6" ht="15.75" customHeight="1" x14ac:dyDescent="0.3">
      <c r="A245" s="32"/>
      <c r="B245" s="32"/>
      <c r="C245" s="32"/>
      <c r="D245" s="32"/>
      <c r="E245" s="32"/>
      <c r="F245" s="32"/>
    </row>
    <row r="246" spans="1:6" ht="15.75" customHeight="1" x14ac:dyDescent="0.3">
      <c r="A246" s="32"/>
      <c r="B246" s="32"/>
      <c r="C246" s="32"/>
      <c r="D246" s="32"/>
      <c r="E246" s="32"/>
      <c r="F246" s="32"/>
    </row>
    <row r="247" spans="1:6" ht="15.75" customHeight="1" x14ac:dyDescent="0.3">
      <c r="A247" s="32"/>
      <c r="B247" s="32"/>
      <c r="C247" s="32"/>
      <c r="D247" s="32"/>
      <c r="E247" s="32"/>
      <c r="F247" s="32"/>
    </row>
    <row r="248" spans="1:6" ht="15.75" customHeight="1" x14ac:dyDescent="0.3">
      <c r="A248" s="32"/>
      <c r="B248" s="32"/>
      <c r="C248" s="32"/>
      <c r="D248" s="32"/>
      <c r="E248" s="32"/>
      <c r="F248" s="32"/>
    </row>
    <row r="249" spans="1:6" ht="15.75" customHeight="1" x14ac:dyDescent="0.3">
      <c r="A249" s="32"/>
      <c r="B249" s="32"/>
      <c r="C249" s="32"/>
      <c r="D249" s="32"/>
      <c r="E249" s="32"/>
      <c r="F249" s="32"/>
    </row>
    <row r="250" spans="1:6" ht="15.75" customHeight="1" x14ac:dyDescent="0.3">
      <c r="A250" s="32"/>
      <c r="B250" s="32"/>
      <c r="C250" s="32"/>
      <c r="D250" s="32"/>
      <c r="E250" s="32"/>
      <c r="F250" s="32"/>
    </row>
    <row r="251" spans="1:6" ht="15.75" customHeight="1" x14ac:dyDescent="0.3">
      <c r="A251" s="32"/>
      <c r="B251" s="32"/>
      <c r="C251" s="32"/>
      <c r="D251" s="32"/>
      <c r="E251" s="32"/>
      <c r="F251" s="32"/>
    </row>
    <row r="252" spans="1:6" ht="15.75" customHeight="1" x14ac:dyDescent="0.3">
      <c r="A252" s="32"/>
      <c r="B252" s="32"/>
      <c r="C252" s="32"/>
      <c r="D252" s="32"/>
      <c r="E252" s="32"/>
      <c r="F252" s="32"/>
    </row>
    <row r="253" spans="1:6" ht="15.75" customHeight="1" x14ac:dyDescent="0.3">
      <c r="A253" s="32"/>
      <c r="B253" s="32"/>
      <c r="C253" s="32"/>
      <c r="D253" s="32"/>
      <c r="E253" s="32"/>
      <c r="F253" s="32"/>
    </row>
    <row r="254" spans="1:6" ht="15.75" customHeight="1" x14ac:dyDescent="0.3">
      <c r="A254" s="32"/>
      <c r="B254" s="32"/>
      <c r="C254" s="32"/>
      <c r="D254" s="32"/>
      <c r="E254" s="32"/>
      <c r="F254" s="32"/>
    </row>
    <row r="255" spans="1:6" ht="15.75" customHeight="1" x14ac:dyDescent="0.3">
      <c r="A255" s="32"/>
      <c r="B255" s="32"/>
      <c r="C255" s="32"/>
      <c r="D255" s="32"/>
      <c r="E255" s="32"/>
      <c r="F255" s="32"/>
    </row>
    <row r="256" spans="1:6" ht="15.75" customHeight="1" x14ac:dyDescent="0.3">
      <c r="A256" s="32"/>
      <c r="B256" s="32"/>
      <c r="C256" s="32"/>
      <c r="D256" s="32"/>
      <c r="E256" s="32"/>
      <c r="F256" s="32"/>
    </row>
    <row r="257" spans="1:6" ht="15.75" customHeight="1" x14ac:dyDescent="0.3">
      <c r="A257" s="32"/>
      <c r="B257" s="32"/>
      <c r="C257" s="32"/>
      <c r="D257" s="32"/>
      <c r="E257" s="32"/>
      <c r="F257" s="32"/>
    </row>
    <row r="258" spans="1:6" ht="15.75" customHeight="1" x14ac:dyDescent="0.3">
      <c r="A258" s="32"/>
      <c r="B258" s="32"/>
      <c r="C258" s="32"/>
      <c r="D258" s="32"/>
      <c r="E258" s="32"/>
      <c r="F258" s="32"/>
    </row>
    <row r="259" spans="1:6" ht="15.75" customHeight="1" x14ac:dyDescent="0.3">
      <c r="A259" s="32"/>
      <c r="B259" s="32"/>
      <c r="C259" s="32"/>
      <c r="D259" s="32"/>
      <c r="E259" s="32"/>
      <c r="F259" s="32"/>
    </row>
    <row r="260" spans="1:6" ht="15.75" customHeight="1" x14ac:dyDescent="0.3">
      <c r="A260" s="32"/>
      <c r="B260" s="32"/>
      <c r="C260" s="32"/>
      <c r="D260" s="32"/>
      <c r="E260" s="32"/>
      <c r="F260" s="32"/>
    </row>
    <row r="261" spans="1:6" ht="15.75" customHeight="1" x14ac:dyDescent="0.3">
      <c r="A261" s="32"/>
      <c r="B261" s="32"/>
      <c r="C261" s="32"/>
      <c r="D261" s="32"/>
      <c r="E261" s="32"/>
      <c r="F261" s="32"/>
    </row>
    <row r="262" spans="1:6" ht="15.75" customHeight="1" x14ac:dyDescent="0.3">
      <c r="A262" s="32"/>
      <c r="B262" s="32"/>
      <c r="C262" s="32"/>
      <c r="D262" s="32"/>
      <c r="E262" s="32"/>
      <c r="F262" s="32"/>
    </row>
    <row r="263" spans="1:6" ht="15.75" customHeight="1" x14ac:dyDescent="0.3">
      <c r="A263" s="32"/>
      <c r="B263" s="32"/>
      <c r="C263" s="32"/>
      <c r="D263" s="32"/>
      <c r="E263" s="32"/>
      <c r="F263" s="32"/>
    </row>
    <row r="264" spans="1:6" ht="15.75" customHeight="1" x14ac:dyDescent="0.3">
      <c r="A264" s="32"/>
      <c r="B264" s="32"/>
      <c r="C264" s="32"/>
      <c r="D264" s="32"/>
      <c r="E264" s="32"/>
      <c r="F264" s="32"/>
    </row>
    <row r="265" spans="1:6" ht="15.75" customHeight="1" x14ac:dyDescent="0.3">
      <c r="A265" s="32"/>
      <c r="B265" s="32"/>
      <c r="C265" s="32"/>
      <c r="D265" s="32"/>
      <c r="E265" s="32"/>
      <c r="F265" s="32"/>
    </row>
    <row r="266" spans="1:6" ht="15.75" customHeight="1" x14ac:dyDescent="0.3">
      <c r="A266" s="32"/>
      <c r="B266" s="32"/>
      <c r="C266" s="32"/>
      <c r="D266" s="32"/>
      <c r="E266" s="32"/>
      <c r="F266" s="32"/>
    </row>
    <row r="267" spans="1:6" ht="15.75" customHeight="1" x14ac:dyDescent="0.3">
      <c r="A267" s="32"/>
      <c r="B267" s="32"/>
      <c r="C267" s="32"/>
      <c r="D267" s="32"/>
      <c r="E267" s="32"/>
      <c r="F267" s="32"/>
    </row>
    <row r="268" spans="1:6" ht="15.75" customHeight="1" x14ac:dyDescent="0.3">
      <c r="A268" s="32"/>
      <c r="B268" s="32"/>
      <c r="C268" s="32"/>
      <c r="D268" s="32"/>
      <c r="E268" s="32"/>
      <c r="F268" s="32"/>
    </row>
    <row r="269" spans="1:6" ht="15.75" customHeight="1" x14ac:dyDescent="0.3">
      <c r="A269" s="32"/>
      <c r="B269" s="32"/>
      <c r="C269" s="32"/>
      <c r="D269" s="32"/>
      <c r="E269" s="32"/>
      <c r="F269" s="32"/>
    </row>
    <row r="270" spans="1:6" ht="15.75" customHeight="1" x14ac:dyDescent="0.3">
      <c r="A270" s="32"/>
      <c r="B270" s="32"/>
      <c r="C270" s="32"/>
      <c r="D270" s="32"/>
      <c r="E270" s="32"/>
      <c r="F270" s="32"/>
    </row>
    <row r="271" spans="1:6" ht="15.75" customHeight="1" x14ac:dyDescent="0.3">
      <c r="A271" s="32"/>
      <c r="B271" s="32"/>
      <c r="C271" s="32"/>
      <c r="D271" s="32"/>
      <c r="E271" s="32"/>
      <c r="F271" s="32"/>
    </row>
    <row r="272" spans="1:6" ht="15.75" customHeight="1" x14ac:dyDescent="0.3">
      <c r="A272" s="32"/>
      <c r="B272" s="32"/>
      <c r="C272" s="32"/>
      <c r="D272" s="32"/>
      <c r="E272" s="32"/>
      <c r="F272" s="32"/>
    </row>
    <row r="273" spans="1:6" ht="15.75" customHeight="1" x14ac:dyDescent="0.3">
      <c r="A273" s="32"/>
      <c r="B273" s="32"/>
      <c r="C273" s="32"/>
      <c r="D273" s="32"/>
      <c r="E273" s="32"/>
      <c r="F273" s="32"/>
    </row>
    <row r="274" spans="1:6" ht="15.75" customHeight="1" x14ac:dyDescent="0.3">
      <c r="A274" s="32"/>
      <c r="B274" s="32"/>
      <c r="C274" s="32"/>
      <c r="D274" s="32"/>
      <c r="E274" s="32"/>
      <c r="F274" s="32"/>
    </row>
    <row r="275" spans="1:6" ht="15.75" customHeight="1" x14ac:dyDescent="0.3">
      <c r="A275" s="32"/>
      <c r="B275" s="32"/>
      <c r="C275" s="32"/>
      <c r="D275" s="32"/>
      <c r="E275" s="32"/>
      <c r="F275" s="32"/>
    </row>
    <row r="276" spans="1:6" ht="15.75" customHeight="1" x14ac:dyDescent="0.3">
      <c r="A276" s="32"/>
      <c r="B276" s="32"/>
      <c r="C276" s="32"/>
      <c r="D276" s="32"/>
      <c r="E276" s="32"/>
      <c r="F276" s="32"/>
    </row>
    <row r="277" spans="1:6" ht="15.75" customHeight="1" x14ac:dyDescent="0.3">
      <c r="A277" s="32"/>
      <c r="B277" s="32"/>
      <c r="C277" s="32"/>
      <c r="D277" s="32"/>
      <c r="E277" s="32"/>
      <c r="F277" s="32"/>
    </row>
    <row r="278" spans="1:6" ht="15.75" customHeight="1" x14ac:dyDescent="0.3">
      <c r="A278" s="32"/>
      <c r="B278" s="32"/>
      <c r="C278" s="32"/>
      <c r="D278" s="32"/>
      <c r="E278" s="32"/>
      <c r="F278" s="32"/>
    </row>
    <row r="279" spans="1:6" ht="15.75" customHeight="1" x14ac:dyDescent="0.3">
      <c r="A279" s="32"/>
      <c r="B279" s="32"/>
      <c r="C279" s="32"/>
      <c r="D279" s="32"/>
      <c r="E279" s="32"/>
      <c r="F279" s="32"/>
    </row>
    <row r="280" spans="1:6" ht="15.75" customHeight="1" x14ac:dyDescent="0.3">
      <c r="A280" s="32"/>
      <c r="B280" s="32"/>
      <c r="C280" s="32"/>
      <c r="D280" s="32"/>
      <c r="E280" s="32"/>
      <c r="F280" s="32"/>
    </row>
    <row r="281" spans="1:6" ht="15.75" customHeight="1" x14ac:dyDescent="0.3">
      <c r="A281" s="32"/>
      <c r="B281" s="32"/>
      <c r="C281" s="32"/>
      <c r="D281" s="32"/>
      <c r="E281" s="32"/>
      <c r="F281" s="32"/>
    </row>
    <row r="282" spans="1:6" ht="15.75" customHeight="1" x14ac:dyDescent="0.3">
      <c r="A282" s="32"/>
      <c r="B282" s="32"/>
      <c r="C282" s="32"/>
      <c r="D282" s="32"/>
      <c r="E282" s="32"/>
      <c r="F282" s="32"/>
    </row>
    <row r="283" spans="1:6" ht="15.75" customHeight="1" x14ac:dyDescent="0.3">
      <c r="A283" s="32"/>
      <c r="B283" s="32"/>
      <c r="C283" s="32"/>
      <c r="D283" s="32"/>
      <c r="E283" s="32"/>
      <c r="F283" s="32"/>
    </row>
    <row r="284" spans="1:6" ht="15.75" customHeight="1" x14ac:dyDescent="0.3">
      <c r="A284" s="32"/>
      <c r="B284" s="32"/>
      <c r="C284" s="32"/>
      <c r="D284" s="32"/>
      <c r="E284" s="32"/>
      <c r="F284" s="32"/>
    </row>
    <row r="285" spans="1:6" ht="15.75" customHeight="1" x14ac:dyDescent="0.3">
      <c r="A285" s="32"/>
      <c r="B285" s="32"/>
      <c r="C285" s="32"/>
      <c r="D285" s="32"/>
      <c r="E285" s="32"/>
      <c r="F285" s="32"/>
    </row>
    <row r="286" spans="1:6" ht="15.75" customHeight="1" x14ac:dyDescent="0.3">
      <c r="A286" s="32"/>
      <c r="B286" s="32"/>
      <c r="C286" s="32"/>
      <c r="D286" s="32"/>
      <c r="E286" s="32"/>
      <c r="F286" s="32"/>
    </row>
    <row r="287" spans="1:6" ht="15.75" customHeight="1" x14ac:dyDescent="0.3">
      <c r="A287" s="32"/>
      <c r="B287" s="32"/>
      <c r="C287" s="32"/>
      <c r="D287" s="32"/>
      <c r="E287" s="32"/>
      <c r="F287" s="32"/>
    </row>
    <row r="288" spans="1:6" ht="15.75" customHeight="1" x14ac:dyDescent="0.3">
      <c r="A288" s="32"/>
      <c r="B288" s="32"/>
      <c r="C288" s="32"/>
      <c r="D288" s="32"/>
      <c r="E288" s="32"/>
      <c r="F288" s="32"/>
    </row>
    <row r="289" spans="1:6" ht="15.75" customHeight="1" x14ac:dyDescent="0.3">
      <c r="A289" s="32"/>
      <c r="B289" s="32"/>
      <c r="C289" s="32"/>
      <c r="D289" s="32"/>
      <c r="E289" s="32"/>
      <c r="F289" s="32"/>
    </row>
    <row r="290" spans="1:6" ht="15.75" customHeight="1" x14ac:dyDescent="0.3">
      <c r="A290" s="32"/>
      <c r="B290" s="32"/>
      <c r="C290" s="32"/>
      <c r="D290" s="32"/>
      <c r="E290" s="32"/>
      <c r="F290" s="32"/>
    </row>
    <row r="291" spans="1:6" ht="15.75" customHeight="1" x14ac:dyDescent="0.3">
      <c r="A291" s="32"/>
      <c r="B291" s="32"/>
      <c r="C291" s="32"/>
      <c r="D291" s="32"/>
      <c r="E291" s="32"/>
      <c r="F291" s="32"/>
    </row>
    <row r="292" spans="1:6" ht="15.75" customHeight="1" x14ac:dyDescent="0.3">
      <c r="A292" s="32"/>
      <c r="B292" s="32"/>
      <c r="C292" s="32"/>
      <c r="D292" s="32"/>
      <c r="E292" s="32"/>
      <c r="F292" s="32"/>
    </row>
    <row r="293" spans="1:6" ht="15.75" customHeight="1" x14ac:dyDescent="0.3">
      <c r="A293" s="32"/>
      <c r="B293" s="32"/>
      <c r="C293" s="32"/>
      <c r="D293" s="32"/>
      <c r="E293" s="32"/>
      <c r="F293" s="32"/>
    </row>
    <row r="294" spans="1:6" ht="15.75" customHeight="1" x14ac:dyDescent="0.3">
      <c r="A294" s="32"/>
      <c r="B294" s="32"/>
      <c r="C294" s="32"/>
      <c r="D294" s="32"/>
      <c r="E294" s="32"/>
      <c r="F294" s="32"/>
    </row>
    <row r="295" spans="1:6" ht="15.75" customHeight="1" x14ac:dyDescent="0.3">
      <c r="A295" s="32"/>
      <c r="B295" s="32"/>
      <c r="C295" s="32"/>
      <c r="D295" s="32"/>
      <c r="E295" s="32"/>
      <c r="F295" s="32"/>
    </row>
    <row r="296" spans="1:6" ht="15.75" customHeight="1" x14ac:dyDescent="0.3">
      <c r="A296" s="32"/>
      <c r="B296" s="32"/>
      <c r="C296" s="32"/>
      <c r="D296" s="32"/>
      <c r="E296" s="32"/>
      <c r="F296" s="32"/>
    </row>
    <row r="297" spans="1:6" ht="15.75" customHeight="1" x14ac:dyDescent="0.3">
      <c r="A297" s="32"/>
      <c r="B297" s="32"/>
      <c r="C297" s="32"/>
      <c r="D297" s="32"/>
      <c r="E297" s="32"/>
      <c r="F297" s="32"/>
    </row>
    <row r="298" spans="1:6" ht="15.75" customHeight="1" x14ac:dyDescent="0.3">
      <c r="A298" s="32"/>
      <c r="B298" s="32"/>
      <c r="C298" s="32"/>
      <c r="D298" s="32"/>
      <c r="E298" s="32"/>
      <c r="F298" s="32"/>
    </row>
    <row r="299" spans="1:6" ht="15.75" customHeight="1" x14ac:dyDescent="0.3">
      <c r="A299" s="32"/>
      <c r="B299" s="32"/>
      <c r="C299" s="32"/>
      <c r="D299" s="32"/>
      <c r="E299" s="32"/>
      <c r="F299" s="32"/>
    </row>
    <row r="300" spans="1:6" ht="15.75" customHeight="1" x14ac:dyDescent="0.3">
      <c r="A300" s="32"/>
      <c r="B300" s="32"/>
      <c r="C300" s="32"/>
      <c r="D300" s="32"/>
      <c r="E300" s="32"/>
      <c r="F300" s="32"/>
    </row>
    <row r="301" spans="1:6" ht="15.75" customHeight="1" x14ac:dyDescent="0.3">
      <c r="A301" s="32"/>
      <c r="B301" s="32"/>
      <c r="C301" s="32"/>
      <c r="D301" s="32"/>
      <c r="E301" s="32"/>
      <c r="F301" s="32"/>
    </row>
    <row r="302" spans="1:6" ht="15.75" customHeight="1" x14ac:dyDescent="0.3">
      <c r="A302" s="32"/>
      <c r="B302" s="32"/>
      <c r="C302" s="32"/>
      <c r="D302" s="32"/>
      <c r="E302" s="32"/>
      <c r="F302" s="32"/>
    </row>
    <row r="303" spans="1:6" ht="15.75" customHeight="1" x14ac:dyDescent="0.3">
      <c r="A303" s="32"/>
      <c r="B303" s="32"/>
      <c r="C303" s="32"/>
      <c r="D303" s="32"/>
      <c r="E303" s="32"/>
      <c r="F303" s="32"/>
    </row>
    <row r="304" spans="1:6" ht="15.75" customHeight="1" x14ac:dyDescent="0.3">
      <c r="A304" s="32"/>
      <c r="B304" s="32"/>
      <c r="C304" s="32"/>
      <c r="D304" s="32"/>
      <c r="E304" s="32"/>
      <c r="F304" s="32"/>
    </row>
    <row r="305" spans="1:6" ht="15.75" customHeight="1" x14ac:dyDescent="0.3">
      <c r="A305" s="32"/>
      <c r="B305" s="32"/>
      <c r="C305" s="32"/>
      <c r="D305" s="32"/>
      <c r="E305" s="32"/>
      <c r="F305" s="32"/>
    </row>
    <row r="306" spans="1:6" ht="15.75" customHeight="1" x14ac:dyDescent="0.3">
      <c r="A306" s="32"/>
      <c r="B306" s="32"/>
      <c r="C306" s="32"/>
      <c r="D306" s="32"/>
      <c r="E306" s="32"/>
      <c r="F306" s="32"/>
    </row>
    <row r="307" spans="1:6" ht="15.75" customHeight="1" x14ac:dyDescent="0.3">
      <c r="A307" s="32"/>
      <c r="B307" s="32"/>
      <c r="C307" s="32"/>
      <c r="D307" s="32"/>
      <c r="E307" s="32"/>
      <c r="F307" s="32"/>
    </row>
    <row r="308" spans="1:6" ht="15.75" customHeight="1" x14ac:dyDescent="0.3">
      <c r="A308" s="32"/>
      <c r="B308" s="32"/>
      <c r="C308" s="32"/>
      <c r="D308" s="32"/>
      <c r="E308" s="32"/>
      <c r="F308" s="32"/>
    </row>
    <row r="309" spans="1:6" ht="15.75" customHeight="1" x14ac:dyDescent="0.3">
      <c r="A309" s="32"/>
      <c r="B309" s="32"/>
      <c r="C309" s="32"/>
      <c r="D309" s="32"/>
      <c r="E309" s="32"/>
      <c r="F309" s="32"/>
    </row>
    <row r="310" spans="1:6" ht="15.75" customHeight="1" x14ac:dyDescent="0.3">
      <c r="A310" s="32"/>
      <c r="B310" s="32"/>
      <c r="C310" s="32"/>
      <c r="D310" s="32"/>
      <c r="E310" s="32"/>
      <c r="F310" s="32"/>
    </row>
    <row r="311" spans="1:6" ht="15.75" customHeight="1" x14ac:dyDescent="0.3">
      <c r="A311" s="32"/>
      <c r="B311" s="32"/>
      <c r="C311" s="32"/>
      <c r="D311" s="32"/>
      <c r="E311" s="32"/>
      <c r="F311" s="32"/>
    </row>
    <row r="312" spans="1:6" ht="15.75" customHeight="1" x14ac:dyDescent="0.3">
      <c r="A312" s="32"/>
      <c r="B312" s="32"/>
      <c r="C312" s="32"/>
      <c r="D312" s="32"/>
      <c r="E312" s="32"/>
      <c r="F312" s="32"/>
    </row>
    <row r="313" spans="1:6" ht="15.75" customHeight="1" x14ac:dyDescent="0.3">
      <c r="A313" s="32"/>
      <c r="B313" s="32"/>
      <c r="C313" s="32"/>
      <c r="D313" s="32"/>
      <c r="E313" s="32"/>
      <c r="F313" s="32"/>
    </row>
    <row r="314" spans="1:6" ht="15.75" customHeight="1" x14ac:dyDescent="0.3">
      <c r="A314" s="32"/>
      <c r="B314" s="32"/>
      <c r="C314" s="32"/>
      <c r="D314" s="32"/>
      <c r="E314" s="32"/>
      <c r="F314" s="32"/>
    </row>
    <row r="315" spans="1:6" ht="15.75" customHeight="1" x14ac:dyDescent="0.3">
      <c r="A315" s="32"/>
      <c r="B315" s="32"/>
      <c r="C315" s="32"/>
      <c r="D315" s="32"/>
      <c r="E315" s="32"/>
      <c r="F315" s="32"/>
    </row>
    <row r="316" spans="1:6" ht="15.75" customHeight="1" x14ac:dyDescent="0.3">
      <c r="A316" s="32"/>
      <c r="B316" s="32"/>
      <c r="C316" s="32"/>
      <c r="D316" s="32"/>
      <c r="E316" s="32"/>
      <c r="F316" s="32"/>
    </row>
    <row r="317" spans="1:6" ht="15.75" customHeight="1" x14ac:dyDescent="0.3">
      <c r="A317" s="32"/>
      <c r="B317" s="32"/>
      <c r="C317" s="32"/>
      <c r="D317" s="32"/>
      <c r="E317" s="32"/>
      <c r="F317" s="32"/>
    </row>
    <row r="318" spans="1:6" ht="15.75" customHeight="1" x14ac:dyDescent="0.3">
      <c r="A318" s="32"/>
      <c r="B318" s="32"/>
      <c r="C318" s="32"/>
      <c r="D318" s="32"/>
      <c r="E318" s="32"/>
      <c r="F318" s="32"/>
    </row>
    <row r="319" spans="1:6" ht="15.75" customHeight="1" x14ac:dyDescent="0.3">
      <c r="A319" s="32"/>
      <c r="B319" s="32"/>
      <c r="C319" s="32"/>
      <c r="D319" s="32"/>
      <c r="E319" s="32"/>
      <c r="F319" s="32"/>
    </row>
    <row r="320" spans="1:6" ht="15.75" customHeight="1" x14ac:dyDescent="0.3">
      <c r="A320" s="32"/>
      <c r="B320" s="32"/>
      <c r="C320" s="32"/>
      <c r="D320" s="32"/>
      <c r="E320" s="32"/>
      <c r="F320" s="32"/>
    </row>
    <row r="321" spans="1:6" ht="15.75" customHeight="1" x14ac:dyDescent="0.3">
      <c r="A321" s="32"/>
      <c r="B321" s="32"/>
      <c r="C321" s="32"/>
      <c r="D321" s="32"/>
      <c r="E321" s="32"/>
      <c r="F321" s="32"/>
    </row>
    <row r="322" spans="1:6" ht="15.75" customHeight="1" x14ac:dyDescent="0.3">
      <c r="A322" s="32"/>
      <c r="B322" s="32"/>
      <c r="C322" s="32"/>
      <c r="D322" s="32"/>
      <c r="E322" s="32"/>
      <c r="F322" s="32"/>
    </row>
    <row r="323" spans="1:6" ht="15.75" customHeight="1" x14ac:dyDescent="0.3">
      <c r="A323" s="32"/>
      <c r="B323" s="32"/>
      <c r="C323" s="32"/>
      <c r="D323" s="32"/>
      <c r="E323" s="32"/>
      <c r="F323" s="32"/>
    </row>
    <row r="324" spans="1:6" ht="15.75" customHeight="1" x14ac:dyDescent="0.3">
      <c r="A324" s="32"/>
      <c r="B324" s="32"/>
      <c r="C324" s="32"/>
      <c r="D324" s="32"/>
      <c r="E324" s="32"/>
      <c r="F324" s="32"/>
    </row>
    <row r="325" spans="1:6" ht="15.75" customHeight="1" x14ac:dyDescent="0.3">
      <c r="A325" s="32"/>
      <c r="B325" s="32"/>
      <c r="C325" s="32"/>
      <c r="D325" s="32"/>
      <c r="E325" s="32"/>
      <c r="F325" s="32"/>
    </row>
    <row r="326" spans="1:6" ht="15.75" customHeight="1" x14ac:dyDescent="0.3">
      <c r="A326" s="32"/>
      <c r="B326" s="32"/>
      <c r="C326" s="32"/>
      <c r="D326" s="32"/>
      <c r="E326" s="32"/>
      <c r="F326" s="32"/>
    </row>
    <row r="327" spans="1:6" ht="15.75" customHeight="1" x14ac:dyDescent="0.3">
      <c r="A327" s="32"/>
      <c r="B327" s="32"/>
      <c r="C327" s="32"/>
      <c r="D327" s="32"/>
      <c r="E327" s="32"/>
      <c r="F327" s="32"/>
    </row>
    <row r="328" spans="1:6" ht="15.75" customHeight="1" x14ac:dyDescent="0.3">
      <c r="A328" s="32"/>
      <c r="B328" s="32"/>
      <c r="C328" s="32"/>
      <c r="D328" s="32"/>
      <c r="E328" s="32"/>
      <c r="F328" s="32"/>
    </row>
    <row r="329" spans="1:6" ht="15.75" customHeight="1" x14ac:dyDescent="0.3">
      <c r="A329" s="32"/>
      <c r="B329" s="32"/>
      <c r="C329" s="32"/>
      <c r="D329" s="32"/>
      <c r="E329" s="32"/>
      <c r="F329" s="32"/>
    </row>
    <row r="330" spans="1:6" ht="15.75" customHeight="1" x14ac:dyDescent="0.3">
      <c r="A330" s="32"/>
      <c r="B330" s="32"/>
      <c r="C330" s="32"/>
      <c r="D330" s="32"/>
      <c r="E330" s="32"/>
      <c r="F330" s="32"/>
    </row>
    <row r="331" spans="1:6" ht="15.75" customHeight="1" x14ac:dyDescent="0.3">
      <c r="A331" s="32"/>
      <c r="B331" s="32"/>
      <c r="C331" s="32"/>
      <c r="D331" s="32"/>
      <c r="E331" s="32"/>
      <c r="F331" s="32"/>
    </row>
    <row r="332" spans="1:6" ht="15.75" customHeight="1" x14ac:dyDescent="0.3">
      <c r="A332" s="32"/>
      <c r="B332" s="32"/>
      <c r="C332" s="32"/>
      <c r="D332" s="32"/>
      <c r="E332" s="32"/>
      <c r="F332" s="32"/>
    </row>
    <row r="333" spans="1:6" ht="15.75" customHeight="1" x14ac:dyDescent="0.3">
      <c r="A333" s="32"/>
      <c r="B333" s="32"/>
      <c r="C333" s="32"/>
      <c r="D333" s="32"/>
      <c r="E333" s="32"/>
      <c r="F333" s="32"/>
    </row>
    <row r="334" spans="1:6" ht="15.75" customHeight="1" x14ac:dyDescent="0.3">
      <c r="A334" s="32"/>
      <c r="B334" s="32"/>
      <c r="C334" s="32"/>
      <c r="D334" s="32"/>
      <c r="E334" s="32"/>
      <c r="F334" s="32"/>
    </row>
    <row r="335" spans="1:6" ht="15.75" customHeight="1" x14ac:dyDescent="0.3">
      <c r="A335" s="32"/>
      <c r="B335" s="32"/>
      <c r="C335" s="32"/>
      <c r="D335" s="32"/>
      <c r="E335" s="32"/>
      <c r="F335" s="32"/>
    </row>
    <row r="336" spans="1:6" ht="15.75" customHeight="1" x14ac:dyDescent="0.3">
      <c r="A336" s="32"/>
      <c r="B336" s="32"/>
      <c r="C336" s="32"/>
      <c r="D336" s="32"/>
      <c r="E336" s="32"/>
      <c r="F336" s="32"/>
    </row>
    <row r="337" spans="1:6" ht="15.75" customHeight="1" x14ac:dyDescent="0.3">
      <c r="A337" s="32"/>
      <c r="B337" s="32"/>
      <c r="C337" s="32"/>
      <c r="D337" s="32"/>
      <c r="E337" s="32"/>
      <c r="F337" s="32"/>
    </row>
    <row r="338" spans="1:6" ht="15.75" customHeight="1" x14ac:dyDescent="0.3">
      <c r="A338" s="32"/>
      <c r="B338" s="32"/>
      <c r="C338" s="32"/>
      <c r="D338" s="32"/>
      <c r="E338" s="32"/>
      <c r="F338" s="32"/>
    </row>
    <row r="339" spans="1:6" ht="15.75" customHeight="1" x14ac:dyDescent="0.3">
      <c r="A339" s="32"/>
      <c r="B339" s="32"/>
      <c r="C339" s="32"/>
      <c r="D339" s="32"/>
      <c r="E339" s="32"/>
      <c r="F339" s="32"/>
    </row>
    <row r="340" spans="1:6" ht="15.75" customHeight="1" x14ac:dyDescent="0.3">
      <c r="A340" s="32"/>
      <c r="B340" s="32"/>
      <c r="C340" s="32"/>
      <c r="D340" s="32"/>
      <c r="E340" s="32"/>
      <c r="F340" s="32"/>
    </row>
    <row r="341" spans="1:6" ht="15.75" customHeight="1" x14ac:dyDescent="0.3">
      <c r="A341" s="32"/>
      <c r="B341" s="32"/>
      <c r="C341" s="32"/>
      <c r="D341" s="32"/>
      <c r="E341" s="32"/>
      <c r="F341" s="32"/>
    </row>
    <row r="342" spans="1:6" ht="15.75" customHeight="1" x14ac:dyDescent="0.3">
      <c r="A342" s="32"/>
      <c r="B342" s="32"/>
      <c r="C342" s="32"/>
      <c r="D342" s="32"/>
      <c r="E342" s="32"/>
      <c r="F342" s="32"/>
    </row>
    <row r="343" spans="1:6" ht="15.75" customHeight="1" x14ac:dyDescent="0.3">
      <c r="A343" s="32"/>
      <c r="B343" s="32"/>
      <c r="C343" s="32"/>
      <c r="D343" s="32"/>
      <c r="E343" s="32"/>
      <c r="F343" s="32"/>
    </row>
    <row r="344" spans="1:6" ht="15.75" customHeight="1" x14ac:dyDescent="0.3">
      <c r="A344" s="32"/>
      <c r="B344" s="32"/>
      <c r="C344" s="32"/>
      <c r="D344" s="32"/>
      <c r="E344" s="32"/>
      <c r="F344" s="32"/>
    </row>
    <row r="345" spans="1:6" ht="15.75" customHeight="1" x14ac:dyDescent="0.3">
      <c r="A345" s="32"/>
      <c r="B345" s="32"/>
      <c r="C345" s="32"/>
      <c r="D345" s="32"/>
      <c r="E345" s="32"/>
      <c r="F345" s="32"/>
    </row>
    <row r="346" spans="1:6" ht="15.75" customHeight="1" x14ac:dyDescent="0.3">
      <c r="A346" s="32"/>
      <c r="B346" s="32"/>
      <c r="C346" s="32"/>
      <c r="D346" s="32"/>
      <c r="E346" s="32"/>
      <c r="F346" s="32"/>
    </row>
    <row r="347" spans="1:6" ht="15.75" customHeight="1" x14ac:dyDescent="0.3">
      <c r="A347" s="32"/>
      <c r="B347" s="32"/>
      <c r="C347" s="32"/>
      <c r="D347" s="32"/>
      <c r="E347" s="32"/>
      <c r="F347" s="32"/>
    </row>
    <row r="348" spans="1:6" ht="15.75" customHeight="1" x14ac:dyDescent="0.3">
      <c r="A348" s="32"/>
      <c r="B348" s="32"/>
      <c r="C348" s="32"/>
      <c r="D348" s="32"/>
      <c r="E348" s="32"/>
      <c r="F348" s="32"/>
    </row>
    <row r="349" spans="1:6" ht="15.75" customHeight="1" x14ac:dyDescent="0.3">
      <c r="A349" s="32"/>
      <c r="B349" s="32"/>
      <c r="C349" s="32"/>
      <c r="D349" s="32"/>
      <c r="E349" s="32"/>
      <c r="F349" s="32"/>
    </row>
    <row r="350" spans="1:6" ht="15.75" customHeight="1" x14ac:dyDescent="0.3">
      <c r="A350" s="32"/>
      <c r="B350" s="32"/>
      <c r="C350" s="32"/>
      <c r="D350" s="32"/>
      <c r="E350" s="32"/>
      <c r="F350" s="32"/>
    </row>
    <row r="351" spans="1:6" ht="15.75" customHeight="1" x14ac:dyDescent="0.3">
      <c r="A351" s="32"/>
      <c r="B351" s="32"/>
      <c r="C351" s="32"/>
      <c r="D351" s="32"/>
      <c r="E351" s="32"/>
      <c r="F351" s="32"/>
    </row>
    <row r="352" spans="1:6" ht="15.75" customHeight="1" x14ac:dyDescent="0.3">
      <c r="A352" s="32"/>
      <c r="B352" s="32"/>
      <c r="C352" s="32"/>
      <c r="D352" s="32"/>
      <c r="E352" s="32"/>
      <c r="F352" s="32"/>
    </row>
    <row r="353" spans="1:6" ht="15.75" customHeight="1" x14ac:dyDescent="0.3">
      <c r="A353" s="32"/>
      <c r="B353" s="32"/>
      <c r="C353" s="32"/>
      <c r="D353" s="32"/>
      <c r="E353" s="32"/>
      <c r="F353" s="32"/>
    </row>
    <row r="354" spans="1:6" ht="15.75" customHeight="1" x14ac:dyDescent="0.3">
      <c r="A354" s="32"/>
      <c r="B354" s="32"/>
      <c r="C354" s="32"/>
      <c r="D354" s="32"/>
      <c r="E354" s="32"/>
      <c r="F354" s="32"/>
    </row>
    <row r="355" spans="1:6" ht="15.75" customHeight="1" x14ac:dyDescent="0.3">
      <c r="A355" s="32"/>
      <c r="B355" s="32"/>
      <c r="C355" s="32"/>
      <c r="D355" s="32"/>
      <c r="E355" s="32"/>
      <c r="F355" s="32"/>
    </row>
    <row r="356" spans="1:6" ht="15.75" customHeight="1" x14ac:dyDescent="0.3">
      <c r="A356" s="32"/>
      <c r="B356" s="32"/>
      <c r="C356" s="32"/>
      <c r="D356" s="32"/>
      <c r="E356" s="32"/>
      <c r="F356" s="32"/>
    </row>
    <row r="357" spans="1:6" ht="15.75" customHeight="1" x14ac:dyDescent="0.3">
      <c r="A357" s="32"/>
      <c r="B357" s="32"/>
      <c r="C357" s="32"/>
      <c r="D357" s="32"/>
      <c r="E357" s="32"/>
      <c r="F357" s="32"/>
    </row>
    <row r="358" spans="1:6" ht="15.75" customHeight="1" x14ac:dyDescent="0.3">
      <c r="A358" s="32"/>
      <c r="B358" s="32"/>
      <c r="C358" s="32"/>
      <c r="D358" s="32"/>
      <c r="E358" s="32"/>
      <c r="F358" s="32"/>
    </row>
    <row r="359" spans="1:6" ht="15.75" customHeight="1" x14ac:dyDescent="0.3">
      <c r="A359" s="32"/>
      <c r="B359" s="32"/>
      <c r="C359" s="32"/>
      <c r="D359" s="32"/>
      <c r="E359" s="32"/>
      <c r="F359" s="32"/>
    </row>
    <row r="360" spans="1:6" ht="15.75" customHeight="1" x14ac:dyDescent="0.3">
      <c r="A360" s="32"/>
      <c r="B360" s="32"/>
      <c r="C360" s="32"/>
      <c r="D360" s="32"/>
      <c r="E360" s="32"/>
      <c r="F360" s="32"/>
    </row>
    <row r="361" spans="1:6" ht="15.75" customHeight="1" x14ac:dyDescent="0.3">
      <c r="A361" s="32"/>
      <c r="B361" s="32"/>
      <c r="C361" s="32"/>
      <c r="D361" s="32"/>
      <c r="E361" s="32"/>
      <c r="F361" s="32"/>
    </row>
    <row r="362" spans="1:6" ht="15.75" customHeight="1" x14ac:dyDescent="0.3">
      <c r="A362" s="32"/>
      <c r="B362" s="32"/>
      <c r="C362" s="32"/>
      <c r="D362" s="32"/>
      <c r="E362" s="32"/>
      <c r="F362" s="32"/>
    </row>
    <row r="363" spans="1:6" ht="15.75" customHeight="1" x14ac:dyDescent="0.3">
      <c r="A363" s="32"/>
      <c r="B363" s="32"/>
      <c r="C363" s="32"/>
      <c r="D363" s="32"/>
      <c r="E363" s="32"/>
      <c r="F363" s="32"/>
    </row>
    <row r="364" spans="1:6" ht="15.75" customHeight="1" x14ac:dyDescent="0.3">
      <c r="A364" s="32"/>
      <c r="B364" s="32"/>
      <c r="C364" s="32"/>
      <c r="D364" s="32"/>
      <c r="E364" s="32"/>
      <c r="F364" s="32"/>
    </row>
    <row r="365" spans="1:6" ht="15.75" customHeight="1" x14ac:dyDescent="0.3">
      <c r="A365" s="32"/>
      <c r="B365" s="32"/>
      <c r="C365" s="32"/>
      <c r="D365" s="32"/>
      <c r="E365" s="32"/>
      <c r="F365" s="32"/>
    </row>
    <row r="366" spans="1:6" ht="15.75" customHeight="1" x14ac:dyDescent="0.3">
      <c r="A366" s="32"/>
      <c r="B366" s="32"/>
      <c r="C366" s="32"/>
      <c r="D366" s="32"/>
      <c r="E366" s="32"/>
      <c r="F366" s="32"/>
    </row>
    <row r="367" spans="1:6" ht="15.75" customHeight="1" x14ac:dyDescent="0.3">
      <c r="A367" s="32"/>
      <c r="B367" s="32"/>
      <c r="C367" s="32"/>
      <c r="D367" s="32"/>
      <c r="E367" s="32"/>
      <c r="F367" s="32"/>
    </row>
    <row r="368" spans="1:6" ht="15.75" customHeight="1" x14ac:dyDescent="0.3">
      <c r="A368" s="32"/>
      <c r="B368" s="32"/>
      <c r="C368" s="32"/>
      <c r="D368" s="32"/>
      <c r="E368" s="32"/>
      <c r="F368" s="32"/>
    </row>
    <row r="369" spans="1:6" ht="15.75" customHeight="1" x14ac:dyDescent="0.3">
      <c r="A369" s="32"/>
      <c r="B369" s="32"/>
      <c r="C369" s="32"/>
      <c r="D369" s="32"/>
      <c r="E369" s="32"/>
      <c r="F369" s="32"/>
    </row>
    <row r="370" spans="1:6" ht="15.75" customHeight="1" x14ac:dyDescent="0.3">
      <c r="A370" s="32"/>
      <c r="B370" s="32"/>
      <c r="C370" s="32"/>
      <c r="D370" s="32"/>
      <c r="E370" s="32"/>
      <c r="F370" s="32"/>
    </row>
    <row r="371" spans="1:6" ht="15.75" customHeight="1" x14ac:dyDescent="0.3">
      <c r="A371" s="32"/>
      <c r="B371" s="32"/>
      <c r="C371" s="32"/>
      <c r="D371" s="32"/>
      <c r="E371" s="32"/>
      <c r="F371" s="32"/>
    </row>
    <row r="372" spans="1:6" ht="15.75" customHeight="1" x14ac:dyDescent="0.3">
      <c r="A372" s="32"/>
      <c r="B372" s="32"/>
      <c r="C372" s="32"/>
      <c r="D372" s="32"/>
      <c r="E372" s="32"/>
      <c r="F372" s="32"/>
    </row>
    <row r="373" spans="1:6" ht="15.75" customHeight="1" x14ac:dyDescent="0.3">
      <c r="A373" s="32"/>
      <c r="B373" s="32"/>
      <c r="C373" s="32"/>
      <c r="D373" s="32"/>
      <c r="E373" s="32"/>
      <c r="F373" s="32"/>
    </row>
    <row r="374" spans="1:6" ht="15.75" customHeight="1" x14ac:dyDescent="0.3">
      <c r="A374" s="32"/>
      <c r="B374" s="32"/>
      <c r="C374" s="32"/>
      <c r="D374" s="32"/>
      <c r="E374" s="32"/>
      <c r="F374" s="32"/>
    </row>
    <row r="375" spans="1:6" ht="15.75" customHeight="1" x14ac:dyDescent="0.3">
      <c r="A375" s="32"/>
      <c r="B375" s="32"/>
      <c r="C375" s="32"/>
      <c r="D375" s="32"/>
      <c r="E375" s="32"/>
      <c r="F375" s="32"/>
    </row>
    <row r="376" spans="1:6" ht="15.75" customHeight="1" x14ac:dyDescent="0.3">
      <c r="A376" s="32"/>
      <c r="B376" s="32"/>
      <c r="C376" s="32"/>
      <c r="D376" s="32"/>
      <c r="E376" s="32"/>
      <c r="F376" s="32"/>
    </row>
    <row r="377" spans="1:6" ht="15.75" customHeight="1" x14ac:dyDescent="0.3">
      <c r="A377" s="32"/>
      <c r="B377" s="32"/>
      <c r="C377" s="32"/>
      <c r="D377" s="32"/>
      <c r="E377" s="32"/>
      <c r="F377" s="32"/>
    </row>
    <row r="378" spans="1:6" ht="15.75" customHeight="1" x14ac:dyDescent="0.3">
      <c r="A378" s="32"/>
      <c r="B378" s="32"/>
      <c r="C378" s="32"/>
      <c r="D378" s="32"/>
      <c r="E378" s="32"/>
      <c r="F378" s="32"/>
    </row>
    <row r="379" spans="1:6" ht="15.75" customHeight="1" x14ac:dyDescent="0.3">
      <c r="A379" s="32"/>
      <c r="B379" s="32"/>
      <c r="C379" s="32"/>
      <c r="D379" s="32"/>
      <c r="E379" s="32"/>
      <c r="F379" s="32"/>
    </row>
    <row r="380" spans="1:6" ht="15.75" customHeight="1" x14ac:dyDescent="0.3">
      <c r="A380" s="32"/>
      <c r="B380" s="32"/>
      <c r="C380" s="32"/>
      <c r="D380" s="32"/>
      <c r="E380" s="32"/>
      <c r="F380" s="32"/>
    </row>
    <row r="381" spans="1:6" ht="15.75" customHeight="1" x14ac:dyDescent="0.3">
      <c r="A381" s="32"/>
      <c r="B381" s="32"/>
      <c r="C381" s="32"/>
      <c r="D381" s="32"/>
      <c r="E381" s="32"/>
      <c r="F381" s="32"/>
    </row>
    <row r="382" spans="1:6" ht="15.75" customHeight="1" x14ac:dyDescent="0.3">
      <c r="A382" s="32"/>
      <c r="B382" s="32"/>
      <c r="C382" s="32"/>
      <c r="D382" s="32"/>
      <c r="E382" s="32"/>
      <c r="F382" s="32"/>
    </row>
    <row r="383" spans="1:6" ht="15.75" customHeight="1" x14ac:dyDescent="0.3">
      <c r="A383" s="32"/>
      <c r="B383" s="32"/>
      <c r="C383" s="32"/>
      <c r="D383" s="32"/>
      <c r="E383" s="32"/>
      <c r="F383" s="32"/>
    </row>
    <row r="384" spans="1:6" ht="15.75" customHeight="1" x14ac:dyDescent="0.3">
      <c r="A384" s="32"/>
      <c r="B384" s="32"/>
      <c r="C384" s="32"/>
      <c r="D384" s="32"/>
      <c r="E384" s="32"/>
      <c r="F384" s="32"/>
    </row>
    <row r="385" spans="1:6" ht="15.75" customHeight="1" x14ac:dyDescent="0.3">
      <c r="A385" s="32"/>
      <c r="B385" s="32"/>
      <c r="C385" s="32"/>
      <c r="D385" s="32"/>
      <c r="E385" s="32"/>
      <c r="F385" s="32"/>
    </row>
    <row r="386" spans="1:6" ht="15.75" customHeight="1" x14ac:dyDescent="0.3">
      <c r="A386" s="32"/>
      <c r="B386" s="32"/>
      <c r="C386" s="32"/>
      <c r="D386" s="32"/>
      <c r="E386" s="32"/>
      <c r="F386" s="32"/>
    </row>
    <row r="387" spans="1:6" ht="15.75" customHeight="1" x14ac:dyDescent="0.3">
      <c r="A387" s="32"/>
      <c r="B387" s="32"/>
      <c r="C387" s="32"/>
      <c r="D387" s="32"/>
      <c r="E387" s="32"/>
      <c r="F387" s="32"/>
    </row>
    <row r="388" spans="1:6" ht="15.75" customHeight="1" x14ac:dyDescent="0.3">
      <c r="A388" s="32"/>
      <c r="B388" s="32"/>
      <c r="C388" s="32"/>
      <c r="D388" s="32"/>
      <c r="E388" s="32"/>
      <c r="F388" s="32"/>
    </row>
    <row r="389" spans="1:6" ht="15.75" customHeight="1" x14ac:dyDescent="0.3">
      <c r="A389" s="32"/>
      <c r="B389" s="32"/>
      <c r="C389" s="32"/>
      <c r="D389" s="32"/>
      <c r="E389" s="32"/>
      <c r="F389" s="32"/>
    </row>
    <row r="390" spans="1:6" ht="15.75" customHeight="1" x14ac:dyDescent="0.3">
      <c r="A390" s="32"/>
      <c r="B390" s="32"/>
      <c r="C390" s="32"/>
      <c r="D390" s="32"/>
      <c r="E390" s="32"/>
      <c r="F390" s="32"/>
    </row>
    <row r="391" spans="1:6" ht="15.75" customHeight="1" x14ac:dyDescent="0.3">
      <c r="A391" s="32"/>
      <c r="B391" s="32"/>
      <c r="C391" s="32"/>
      <c r="D391" s="32"/>
      <c r="E391" s="32"/>
      <c r="F391" s="32"/>
    </row>
    <row r="392" spans="1:6" ht="15.75" customHeight="1" x14ac:dyDescent="0.3">
      <c r="A392" s="32"/>
      <c r="B392" s="32"/>
      <c r="C392" s="32"/>
      <c r="D392" s="32"/>
      <c r="E392" s="32"/>
      <c r="F392" s="32"/>
    </row>
    <row r="393" spans="1:6" ht="15.75" customHeight="1" x14ac:dyDescent="0.3">
      <c r="A393" s="32"/>
      <c r="B393" s="32"/>
      <c r="C393" s="32"/>
      <c r="D393" s="32"/>
      <c r="E393" s="32"/>
      <c r="F393" s="32"/>
    </row>
    <row r="394" spans="1:6" ht="15.75" customHeight="1" x14ac:dyDescent="0.3">
      <c r="A394" s="32"/>
      <c r="B394" s="32"/>
      <c r="C394" s="32"/>
      <c r="D394" s="32"/>
      <c r="E394" s="32"/>
      <c r="F394" s="32"/>
    </row>
    <row r="395" spans="1:6" ht="15.75" customHeight="1" x14ac:dyDescent="0.3">
      <c r="A395" s="32"/>
      <c r="B395" s="32"/>
      <c r="C395" s="32"/>
      <c r="D395" s="32"/>
      <c r="E395" s="32"/>
      <c r="F395" s="32"/>
    </row>
    <row r="396" spans="1:6" ht="15.75" customHeight="1" x14ac:dyDescent="0.3">
      <c r="A396" s="32"/>
      <c r="B396" s="32"/>
      <c r="C396" s="32"/>
      <c r="D396" s="32"/>
      <c r="E396" s="32"/>
      <c r="F396" s="32"/>
    </row>
    <row r="397" spans="1:6" ht="15.75" customHeight="1" x14ac:dyDescent="0.3">
      <c r="A397" s="32"/>
      <c r="B397" s="32"/>
      <c r="C397" s="32"/>
      <c r="D397" s="32"/>
      <c r="E397" s="32"/>
      <c r="F397" s="32"/>
    </row>
    <row r="398" spans="1:6" ht="15.75" customHeight="1" x14ac:dyDescent="0.3">
      <c r="A398" s="32"/>
      <c r="B398" s="32"/>
      <c r="C398" s="32"/>
      <c r="D398" s="32"/>
      <c r="E398" s="32"/>
      <c r="F398" s="32"/>
    </row>
    <row r="399" spans="1:6" ht="15.75" customHeight="1" x14ac:dyDescent="0.3">
      <c r="A399" s="32"/>
      <c r="B399" s="32"/>
      <c r="C399" s="32"/>
      <c r="D399" s="32"/>
      <c r="E399" s="32"/>
      <c r="F399" s="32"/>
    </row>
    <row r="400" spans="1:6" ht="15.75" customHeight="1" x14ac:dyDescent="0.3">
      <c r="A400" s="32"/>
      <c r="B400" s="32"/>
      <c r="C400" s="32"/>
      <c r="D400" s="32"/>
      <c r="E400" s="32"/>
      <c r="F400" s="32"/>
    </row>
    <row r="401" spans="1:6" ht="15.75" customHeight="1" x14ac:dyDescent="0.3">
      <c r="A401" s="32"/>
      <c r="B401" s="32"/>
      <c r="C401" s="32"/>
      <c r="D401" s="32"/>
      <c r="E401" s="32"/>
      <c r="F401" s="32"/>
    </row>
    <row r="402" spans="1:6" ht="15.75" customHeight="1" x14ac:dyDescent="0.3">
      <c r="A402" s="32"/>
      <c r="B402" s="32"/>
      <c r="C402" s="32"/>
      <c r="D402" s="32"/>
      <c r="E402" s="32"/>
      <c r="F402" s="32"/>
    </row>
    <row r="403" spans="1:6" ht="15.75" customHeight="1" x14ac:dyDescent="0.3">
      <c r="A403" s="32"/>
      <c r="B403" s="32"/>
      <c r="C403" s="32"/>
      <c r="D403" s="32"/>
      <c r="E403" s="32"/>
      <c r="F403" s="32"/>
    </row>
    <row r="404" spans="1:6" ht="15.75" customHeight="1" x14ac:dyDescent="0.3">
      <c r="A404" s="32"/>
      <c r="B404" s="32"/>
      <c r="C404" s="32"/>
      <c r="D404" s="32"/>
      <c r="E404" s="32"/>
      <c r="F404" s="32"/>
    </row>
    <row r="405" spans="1:6" ht="15.75" customHeight="1" x14ac:dyDescent="0.3">
      <c r="A405" s="32"/>
      <c r="B405" s="32"/>
      <c r="C405" s="32"/>
      <c r="D405" s="32"/>
      <c r="E405" s="32"/>
      <c r="F405" s="32"/>
    </row>
    <row r="406" spans="1:6" ht="15.75" customHeight="1" x14ac:dyDescent="0.3">
      <c r="A406" s="32"/>
      <c r="B406" s="32"/>
      <c r="C406" s="32"/>
      <c r="D406" s="32"/>
      <c r="E406" s="32"/>
      <c r="F406" s="32"/>
    </row>
    <row r="407" spans="1:6" ht="15.75" customHeight="1" x14ac:dyDescent="0.3">
      <c r="A407" s="32"/>
      <c r="B407" s="32"/>
      <c r="C407" s="32"/>
      <c r="D407" s="32"/>
      <c r="E407" s="32"/>
      <c r="F407" s="32"/>
    </row>
    <row r="408" spans="1:6" ht="15.75" customHeight="1" x14ac:dyDescent="0.3">
      <c r="A408" s="32"/>
      <c r="B408" s="32"/>
      <c r="C408" s="32"/>
      <c r="D408" s="32"/>
      <c r="E408" s="32"/>
      <c r="F408" s="32"/>
    </row>
    <row r="409" spans="1:6" ht="15.75" customHeight="1" x14ac:dyDescent="0.3">
      <c r="A409" s="32"/>
      <c r="B409" s="32"/>
      <c r="C409" s="32"/>
      <c r="D409" s="32"/>
      <c r="E409" s="32"/>
      <c r="F409" s="32"/>
    </row>
    <row r="410" spans="1:6" ht="15.75" customHeight="1" x14ac:dyDescent="0.3">
      <c r="A410" s="32"/>
      <c r="B410" s="32"/>
      <c r="C410" s="32"/>
      <c r="D410" s="32"/>
      <c r="E410" s="32"/>
      <c r="F410" s="32"/>
    </row>
    <row r="411" spans="1:6" ht="15.75" customHeight="1" x14ac:dyDescent="0.3">
      <c r="A411" s="32"/>
      <c r="B411" s="32"/>
      <c r="C411" s="32"/>
      <c r="D411" s="32"/>
      <c r="E411" s="32"/>
      <c r="F411" s="32"/>
    </row>
    <row r="412" spans="1:6" ht="15.75" customHeight="1" x14ac:dyDescent="0.3">
      <c r="A412" s="32"/>
      <c r="B412" s="32"/>
      <c r="C412" s="32"/>
      <c r="D412" s="32"/>
      <c r="E412" s="32"/>
      <c r="F412" s="32"/>
    </row>
    <row r="413" spans="1:6" ht="15.75" customHeight="1" x14ac:dyDescent="0.3">
      <c r="A413" s="32"/>
      <c r="B413" s="32"/>
      <c r="C413" s="32"/>
      <c r="D413" s="32"/>
      <c r="E413" s="32"/>
      <c r="F413" s="32"/>
    </row>
    <row r="414" spans="1:6" ht="15.75" customHeight="1" x14ac:dyDescent="0.3">
      <c r="A414" s="32"/>
      <c r="B414" s="32"/>
      <c r="C414" s="32"/>
      <c r="D414" s="32"/>
      <c r="E414" s="32"/>
      <c r="F414" s="32"/>
    </row>
    <row r="415" spans="1:6" ht="15.75" customHeight="1" x14ac:dyDescent="0.3">
      <c r="A415" s="32"/>
      <c r="B415" s="32"/>
      <c r="C415" s="32"/>
      <c r="D415" s="32"/>
      <c r="E415" s="32"/>
      <c r="F415" s="32"/>
    </row>
    <row r="416" spans="1:6" ht="15.75" customHeight="1" x14ac:dyDescent="0.3">
      <c r="A416" s="32"/>
      <c r="B416" s="32"/>
      <c r="C416" s="32"/>
      <c r="D416" s="32"/>
      <c r="E416" s="32"/>
      <c r="F416" s="32"/>
    </row>
    <row r="417" spans="1:6" ht="15.75" customHeight="1" x14ac:dyDescent="0.3">
      <c r="A417" s="32"/>
      <c r="B417" s="32"/>
      <c r="C417" s="32"/>
      <c r="D417" s="32"/>
      <c r="E417" s="32"/>
      <c r="F417" s="32"/>
    </row>
    <row r="418" spans="1:6" ht="15.75" customHeight="1" x14ac:dyDescent="0.3">
      <c r="A418" s="32"/>
      <c r="B418" s="32"/>
      <c r="C418" s="32"/>
      <c r="D418" s="32"/>
      <c r="E418" s="32"/>
      <c r="F418" s="32"/>
    </row>
    <row r="419" spans="1:6" ht="15.75" customHeight="1" x14ac:dyDescent="0.3">
      <c r="A419" s="32"/>
      <c r="B419" s="32"/>
      <c r="C419" s="32"/>
      <c r="D419" s="32"/>
      <c r="E419" s="32"/>
      <c r="F419" s="32"/>
    </row>
    <row r="420" spans="1:6" ht="15.75" customHeight="1" x14ac:dyDescent="0.3">
      <c r="A420" s="32"/>
      <c r="B420" s="32"/>
      <c r="C420" s="32"/>
      <c r="D420" s="32"/>
      <c r="E420" s="32"/>
      <c r="F420" s="32"/>
    </row>
    <row r="421" spans="1:6" ht="15.75" customHeight="1" x14ac:dyDescent="0.3">
      <c r="A421" s="32"/>
      <c r="B421" s="32"/>
      <c r="C421" s="32"/>
      <c r="D421" s="32"/>
      <c r="E421" s="32"/>
      <c r="F421" s="32"/>
    </row>
    <row r="422" spans="1:6" ht="15.75" customHeight="1" x14ac:dyDescent="0.3">
      <c r="A422" s="32"/>
      <c r="B422" s="32"/>
      <c r="C422" s="32"/>
      <c r="D422" s="32"/>
      <c r="E422" s="32"/>
      <c r="F422" s="32"/>
    </row>
    <row r="423" spans="1:6" ht="15.75" customHeight="1" x14ac:dyDescent="0.3">
      <c r="A423" s="32"/>
      <c r="B423" s="32"/>
      <c r="C423" s="32"/>
      <c r="D423" s="32"/>
      <c r="E423" s="32"/>
      <c r="F423" s="32"/>
    </row>
    <row r="424" spans="1:6" ht="15.75" customHeight="1" x14ac:dyDescent="0.3">
      <c r="A424" s="32"/>
      <c r="B424" s="32"/>
      <c r="C424" s="32"/>
      <c r="D424" s="32"/>
      <c r="E424" s="32"/>
      <c r="F424" s="32"/>
    </row>
    <row r="425" spans="1:6" ht="15.75" customHeight="1" x14ac:dyDescent="0.3">
      <c r="A425" s="32"/>
      <c r="B425" s="32"/>
      <c r="C425" s="32"/>
      <c r="D425" s="32"/>
      <c r="E425" s="32"/>
      <c r="F425" s="32"/>
    </row>
    <row r="426" spans="1:6" ht="15.75" customHeight="1" x14ac:dyDescent="0.3">
      <c r="A426" s="32"/>
      <c r="B426" s="32"/>
      <c r="C426" s="32"/>
      <c r="D426" s="32"/>
      <c r="E426" s="32"/>
      <c r="F426" s="32"/>
    </row>
    <row r="427" spans="1:6" ht="15.75" customHeight="1" x14ac:dyDescent="0.3">
      <c r="A427" s="32"/>
      <c r="B427" s="32"/>
      <c r="C427" s="32"/>
      <c r="D427" s="32"/>
      <c r="E427" s="32"/>
      <c r="F427" s="32"/>
    </row>
    <row r="428" spans="1:6" ht="15.75" customHeight="1" x14ac:dyDescent="0.3">
      <c r="A428" s="32"/>
      <c r="B428" s="32"/>
      <c r="C428" s="32"/>
      <c r="D428" s="32"/>
      <c r="E428" s="32"/>
      <c r="F428" s="32"/>
    </row>
    <row r="429" spans="1:6" ht="15.75" customHeight="1" x14ac:dyDescent="0.3">
      <c r="A429" s="32"/>
      <c r="B429" s="32"/>
      <c r="C429" s="32"/>
      <c r="D429" s="32"/>
      <c r="E429" s="32"/>
      <c r="F429" s="32"/>
    </row>
    <row r="430" spans="1:6" ht="15.75" customHeight="1" x14ac:dyDescent="0.3">
      <c r="A430" s="32"/>
      <c r="B430" s="32"/>
      <c r="C430" s="32"/>
      <c r="D430" s="32"/>
      <c r="E430" s="32"/>
      <c r="F430" s="32"/>
    </row>
    <row r="431" spans="1:6" ht="15.75" customHeight="1" x14ac:dyDescent="0.3">
      <c r="A431" s="32"/>
      <c r="B431" s="32"/>
      <c r="C431" s="32"/>
      <c r="D431" s="32"/>
      <c r="E431" s="32"/>
      <c r="F431" s="32"/>
    </row>
    <row r="432" spans="1:6" ht="15.75" customHeight="1" x14ac:dyDescent="0.3">
      <c r="A432" s="32"/>
      <c r="B432" s="32"/>
      <c r="C432" s="32"/>
      <c r="D432" s="32"/>
      <c r="E432" s="32"/>
      <c r="F432" s="32"/>
    </row>
    <row r="433" spans="1:6" ht="15.75" customHeight="1" x14ac:dyDescent="0.3">
      <c r="A433" s="32"/>
      <c r="B433" s="32"/>
      <c r="C433" s="32"/>
      <c r="D433" s="32"/>
      <c r="E433" s="32"/>
      <c r="F433" s="32"/>
    </row>
    <row r="434" spans="1:6" ht="15.75" customHeight="1" x14ac:dyDescent="0.3">
      <c r="A434" s="32"/>
      <c r="B434" s="32"/>
      <c r="C434" s="32"/>
      <c r="D434" s="32"/>
      <c r="E434" s="32"/>
      <c r="F434" s="32"/>
    </row>
    <row r="435" spans="1:6" ht="15.75" customHeight="1" x14ac:dyDescent="0.3">
      <c r="A435" s="32"/>
      <c r="B435" s="32"/>
      <c r="C435" s="32"/>
      <c r="D435" s="32"/>
      <c r="E435" s="32"/>
      <c r="F435" s="32"/>
    </row>
    <row r="436" spans="1:6" ht="15.75" customHeight="1" x14ac:dyDescent="0.3">
      <c r="A436" s="32"/>
      <c r="B436" s="32"/>
      <c r="C436" s="32"/>
      <c r="D436" s="32"/>
      <c r="E436" s="32"/>
      <c r="F436" s="32"/>
    </row>
    <row r="437" spans="1:6" ht="15.75" customHeight="1" x14ac:dyDescent="0.3">
      <c r="A437" s="32"/>
      <c r="B437" s="32"/>
      <c r="C437" s="32"/>
      <c r="D437" s="32"/>
      <c r="E437" s="32"/>
      <c r="F437" s="32"/>
    </row>
    <row r="438" spans="1:6" ht="15.75" customHeight="1" x14ac:dyDescent="0.3">
      <c r="A438" s="32"/>
      <c r="B438" s="32"/>
      <c r="C438" s="32"/>
      <c r="D438" s="32"/>
      <c r="E438" s="32"/>
      <c r="F438" s="32"/>
    </row>
    <row r="439" spans="1:6" ht="15.75" customHeight="1" x14ac:dyDescent="0.3">
      <c r="A439" s="32"/>
      <c r="B439" s="32"/>
      <c r="C439" s="32"/>
      <c r="D439" s="32"/>
      <c r="E439" s="32"/>
      <c r="F439" s="32"/>
    </row>
    <row r="440" spans="1:6" ht="15.75" customHeight="1" x14ac:dyDescent="0.3">
      <c r="A440" s="32"/>
      <c r="B440" s="32"/>
      <c r="C440" s="32"/>
      <c r="D440" s="32"/>
      <c r="E440" s="32"/>
      <c r="F440" s="32"/>
    </row>
    <row r="441" spans="1:6" ht="15.75" customHeight="1" x14ac:dyDescent="0.3">
      <c r="A441" s="32"/>
      <c r="B441" s="32"/>
      <c r="C441" s="32"/>
      <c r="D441" s="32"/>
      <c r="E441" s="32"/>
      <c r="F441" s="32"/>
    </row>
    <row r="442" spans="1:6" ht="15.75" customHeight="1" x14ac:dyDescent="0.3">
      <c r="A442" s="32"/>
      <c r="B442" s="32"/>
      <c r="C442" s="32"/>
      <c r="D442" s="32"/>
      <c r="E442" s="32"/>
      <c r="F442" s="32"/>
    </row>
    <row r="443" spans="1:6" ht="15.75" customHeight="1" x14ac:dyDescent="0.3">
      <c r="A443" s="32"/>
      <c r="B443" s="32"/>
      <c r="C443" s="32"/>
      <c r="D443" s="32"/>
      <c r="E443" s="32"/>
      <c r="F443" s="32"/>
    </row>
    <row r="444" spans="1:6" ht="15.75" customHeight="1" x14ac:dyDescent="0.3">
      <c r="A444" s="32"/>
      <c r="B444" s="32"/>
      <c r="C444" s="32"/>
      <c r="D444" s="32"/>
      <c r="E444" s="32"/>
      <c r="F444" s="32"/>
    </row>
    <row r="445" spans="1:6" ht="15.75" customHeight="1" x14ac:dyDescent="0.3">
      <c r="A445" s="32"/>
      <c r="B445" s="32"/>
      <c r="C445" s="32"/>
      <c r="D445" s="32"/>
      <c r="E445" s="32"/>
      <c r="F445" s="32"/>
    </row>
    <row r="446" spans="1:6" ht="15.75" customHeight="1" x14ac:dyDescent="0.3">
      <c r="A446" s="32"/>
      <c r="B446" s="32"/>
      <c r="C446" s="32"/>
      <c r="D446" s="32"/>
      <c r="E446" s="32"/>
      <c r="F446" s="32"/>
    </row>
    <row r="447" spans="1:6" ht="15.75" customHeight="1" x14ac:dyDescent="0.3">
      <c r="A447" s="32"/>
      <c r="B447" s="32"/>
      <c r="C447" s="32"/>
      <c r="D447" s="32"/>
      <c r="E447" s="32"/>
      <c r="F447" s="32"/>
    </row>
    <row r="448" spans="1:6" ht="15.75" customHeight="1" x14ac:dyDescent="0.3">
      <c r="A448" s="32"/>
      <c r="B448" s="32"/>
      <c r="C448" s="32"/>
      <c r="D448" s="32"/>
      <c r="E448" s="32"/>
      <c r="F448" s="32"/>
    </row>
    <row r="449" spans="1:6" ht="15.75" customHeight="1" x14ac:dyDescent="0.3">
      <c r="A449" s="32"/>
      <c r="B449" s="32"/>
      <c r="C449" s="32"/>
      <c r="D449" s="32"/>
      <c r="E449" s="32"/>
      <c r="F449" s="32"/>
    </row>
    <row r="450" spans="1:6" ht="15.75" customHeight="1" x14ac:dyDescent="0.3">
      <c r="A450" s="32"/>
      <c r="B450" s="32"/>
      <c r="C450" s="32"/>
      <c r="D450" s="32"/>
      <c r="E450" s="32"/>
      <c r="F450" s="32"/>
    </row>
    <row r="451" spans="1:6" ht="15.75" customHeight="1" x14ac:dyDescent="0.3">
      <c r="A451" s="32"/>
      <c r="B451" s="32"/>
      <c r="C451" s="32"/>
      <c r="D451" s="32"/>
      <c r="E451" s="32"/>
      <c r="F451" s="32"/>
    </row>
    <row r="452" spans="1:6" ht="15.75" customHeight="1" x14ac:dyDescent="0.3">
      <c r="A452" s="32"/>
      <c r="B452" s="32"/>
      <c r="C452" s="32"/>
      <c r="D452" s="32"/>
      <c r="E452" s="32"/>
      <c r="F452" s="32"/>
    </row>
    <row r="453" spans="1:6" ht="15.75" customHeight="1" x14ac:dyDescent="0.3">
      <c r="A453" s="32"/>
      <c r="B453" s="32"/>
      <c r="C453" s="32"/>
      <c r="D453" s="32"/>
      <c r="E453" s="32"/>
      <c r="F453" s="32"/>
    </row>
    <row r="454" spans="1:6" ht="15.75" customHeight="1" x14ac:dyDescent="0.3">
      <c r="A454" s="32"/>
      <c r="B454" s="32"/>
      <c r="C454" s="32"/>
      <c r="D454" s="32"/>
      <c r="E454" s="32"/>
      <c r="F454" s="32"/>
    </row>
    <row r="455" spans="1:6" ht="15.75" customHeight="1" x14ac:dyDescent="0.3">
      <c r="A455" s="32"/>
      <c r="B455" s="32"/>
      <c r="C455" s="32"/>
      <c r="D455" s="32"/>
      <c r="E455" s="32"/>
      <c r="F455" s="32"/>
    </row>
    <row r="456" spans="1:6" ht="15.75" customHeight="1" x14ac:dyDescent="0.3">
      <c r="A456" s="32"/>
      <c r="B456" s="32"/>
      <c r="C456" s="32"/>
      <c r="D456" s="32"/>
      <c r="E456" s="32"/>
      <c r="F456" s="32"/>
    </row>
    <row r="457" spans="1:6" ht="15.75" customHeight="1" x14ac:dyDescent="0.3">
      <c r="A457" s="32"/>
      <c r="B457" s="32"/>
      <c r="C457" s="32"/>
      <c r="D457" s="32"/>
      <c r="E457" s="32"/>
      <c r="F457" s="32"/>
    </row>
    <row r="458" spans="1:6" ht="15.75" customHeight="1" x14ac:dyDescent="0.3">
      <c r="A458" s="32"/>
      <c r="B458" s="32"/>
      <c r="C458" s="32"/>
      <c r="D458" s="32"/>
      <c r="E458" s="32"/>
      <c r="F458" s="32"/>
    </row>
    <row r="459" spans="1:6" ht="15.75" customHeight="1" x14ac:dyDescent="0.3">
      <c r="A459" s="32"/>
      <c r="B459" s="32"/>
      <c r="C459" s="32"/>
      <c r="D459" s="32"/>
      <c r="E459" s="32"/>
      <c r="F459" s="32"/>
    </row>
    <row r="460" spans="1:6" ht="15.75" customHeight="1" x14ac:dyDescent="0.3">
      <c r="A460" s="32"/>
      <c r="B460" s="32"/>
      <c r="C460" s="32"/>
      <c r="D460" s="32"/>
      <c r="E460" s="32"/>
      <c r="F460" s="32"/>
    </row>
    <row r="461" spans="1:6" ht="15.75" customHeight="1" x14ac:dyDescent="0.3">
      <c r="A461" s="32"/>
      <c r="B461" s="32"/>
      <c r="C461" s="32"/>
      <c r="D461" s="32"/>
      <c r="E461" s="32"/>
      <c r="F461" s="32"/>
    </row>
    <row r="462" spans="1:6" ht="15.75" customHeight="1" x14ac:dyDescent="0.3">
      <c r="A462" s="32"/>
      <c r="B462" s="32"/>
      <c r="C462" s="32"/>
      <c r="D462" s="32"/>
      <c r="E462" s="32"/>
      <c r="F462" s="32"/>
    </row>
    <row r="463" spans="1:6" ht="15.75" customHeight="1" x14ac:dyDescent="0.3">
      <c r="A463" s="32"/>
      <c r="B463" s="32"/>
      <c r="C463" s="32"/>
      <c r="D463" s="32"/>
      <c r="E463" s="32"/>
      <c r="F463" s="32"/>
    </row>
    <row r="464" spans="1:6" ht="15.75" customHeight="1" x14ac:dyDescent="0.3">
      <c r="A464" s="32"/>
      <c r="B464" s="32"/>
      <c r="C464" s="32"/>
      <c r="D464" s="32"/>
      <c r="E464" s="32"/>
      <c r="F464" s="32"/>
    </row>
    <row r="465" spans="1:6" ht="15.75" customHeight="1" x14ac:dyDescent="0.3">
      <c r="A465" s="32"/>
      <c r="B465" s="32"/>
      <c r="C465" s="32"/>
      <c r="D465" s="32"/>
      <c r="E465" s="32"/>
      <c r="F465" s="32"/>
    </row>
    <row r="466" spans="1:6" ht="15.75" customHeight="1" x14ac:dyDescent="0.3">
      <c r="A466" s="32"/>
      <c r="B466" s="32"/>
      <c r="C466" s="32"/>
      <c r="D466" s="32"/>
      <c r="E466" s="32"/>
      <c r="F466" s="32"/>
    </row>
    <row r="467" spans="1:6" ht="15.75" customHeight="1" x14ac:dyDescent="0.3">
      <c r="A467" s="32"/>
      <c r="B467" s="32"/>
      <c r="C467" s="32"/>
      <c r="D467" s="32"/>
      <c r="E467" s="32"/>
      <c r="F467" s="32"/>
    </row>
    <row r="468" spans="1:6" ht="15.75" customHeight="1" x14ac:dyDescent="0.3">
      <c r="A468" s="32"/>
      <c r="B468" s="32"/>
      <c r="C468" s="32"/>
      <c r="D468" s="32"/>
      <c r="E468" s="32"/>
      <c r="F468" s="32"/>
    </row>
    <row r="469" spans="1:6" ht="15.75" customHeight="1" x14ac:dyDescent="0.3">
      <c r="A469" s="32"/>
      <c r="B469" s="32"/>
      <c r="C469" s="32"/>
      <c r="D469" s="32"/>
      <c r="E469" s="32"/>
      <c r="F469" s="32"/>
    </row>
    <row r="470" spans="1:6" ht="15.75" customHeight="1" x14ac:dyDescent="0.3">
      <c r="A470" s="32"/>
      <c r="B470" s="32"/>
      <c r="C470" s="32"/>
      <c r="D470" s="32"/>
      <c r="E470" s="32"/>
      <c r="F470" s="32"/>
    </row>
    <row r="471" spans="1:6" ht="15.75" customHeight="1" x14ac:dyDescent="0.3">
      <c r="A471" s="32"/>
      <c r="B471" s="32"/>
      <c r="C471" s="32"/>
      <c r="D471" s="32"/>
      <c r="E471" s="32"/>
      <c r="F471" s="32"/>
    </row>
    <row r="472" spans="1:6" ht="15.75" customHeight="1" x14ac:dyDescent="0.3">
      <c r="A472" s="32"/>
      <c r="B472" s="32"/>
      <c r="C472" s="32"/>
      <c r="D472" s="32"/>
      <c r="E472" s="32"/>
      <c r="F472" s="32"/>
    </row>
    <row r="473" spans="1:6" ht="15.75" customHeight="1" x14ac:dyDescent="0.3">
      <c r="A473" s="32"/>
      <c r="B473" s="32"/>
      <c r="C473" s="32"/>
      <c r="D473" s="32"/>
      <c r="E473" s="32"/>
      <c r="F473" s="32"/>
    </row>
    <row r="474" spans="1:6" ht="15.75" customHeight="1" x14ac:dyDescent="0.3">
      <c r="A474" s="32"/>
      <c r="B474" s="32"/>
      <c r="C474" s="32"/>
      <c r="D474" s="32"/>
      <c r="E474" s="32"/>
      <c r="F474" s="32"/>
    </row>
    <row r="475" spans="1:6" ht="15.75" customHeight="1" x14ac:dyDescent="0.3">
      <c r="A475" s="32"/>
      <c r="B475" s="32"/>
      <c r="C475" s="32"/>
      <c r="D475" s="32"/>
      <c r="E475" s="32"/>
      <c r="F475" s="32"/>
    </row>
    <row r="476" spans="1:6" ht="15.75" customHeight="1" x14ac:dyDescent="0.3">
      <c r="A476" s="32"/>
      <c r="B476" s="32"/>
      <c r="C476" s="32"/>
      <c r="D476" s="32"/>
      <c r="E476" s="32"/>
      <c r="F476" s="32"/>
    </row>
    <row r="477" spans="1:6" ht="15.75" customHeight="1" x14ac:dyDescent="0.3">
      <c r="A477" s="32"/>
      <c r="B477" s="32"/>
      <c r="C477" s="32"/>
      <c r="D477" s="32"/>
      <c r="E477" s="32"/>
      <c r="F477" s="32"/>
    </row>
    <row r="478" spans="1:6" ht="15.75" customHeight="1" x14ac:dyDescent="0.3">
      <c r="A478" s="32"/>
      <c r="B478" s="32"/>
      <c r="C478" s="32"/>
      <c r="D478" s="32"/>
      <c r="E478" s="32"/>
      <c r="F478" s="32"/>
    </row>
    <row r="479" spans="1:6" ht="15.75" customHeight="1" x14ac:dyDescent="0.3">
      <c r="A479" s="32"/>
      <c r="B479" s="32"/>
      <c r="C479" s="32"/>
      <c r="D479" s="32"/>
      <c r="E479" s="32"/>
      <c r="F479" s="32"/>
    </row>
    <row r="480" spans="1:6" ht="15.75" customHeight="1" x14ac:dyDescent="0.3">
      <c r="A480" s="32"/>
      <c r="B480" s="32"/>
      <c r="C480" s="32"/>
      <c r="D480" s="32"/>
      <c r="E480" s="32"/>
      <c r="F480" s="32"/>
    </row>
    <row r="481" spans="1:6" ht="15.75" customHeight="1" x14ac:dyDescent="0.3">
      <c r="A481" s="32"/>
      <c r="B481" s="32"/>
      <c r="C481" s="32"/>
      <c r="D481" s="32"/>
      <c r="E481" s="32"/>
      <c r="F481" s="32"/>
    </row>
    <row r="482" spans="1:6" ht="15.75" customHeight="1" x14ac:dyDescent="0.3">
      <c r="A482" s="32"/>
      <c r="B482" s="32"/>
      <c r="C482" s="32"/>
      <c r="D482" s="32"/>
      <c r="E482" s="32"/>
      <c r="F482" s="32"/>
    </row>
    <row r="483" spans="1:6" ht="15.75" customHeight="1" x14ac:dyDescent="0.3">
      <c r="A483" s="32"/>
      <c r="B483" s="32"/>
      <c r="C483" s="32"/>
      <c r="D483" s="32"/>
      <c r="E483" s="32"/>
      <c r="F483" s="32"/>
    </row>
    <row r="484" spans="1:6" ht="15.75" customHeight="1" x14ac:dyDescent="0.3">
      <c r="A484" s="32"/>
      <c r="B484" s="32"/>
      <c r="C484" s="32"/>
      <c r="D484" s="32"/>
      <c r="E484" s="32"/>
      <c r="F484" s="32"/>
    </row>
    <row r="485" spans="1:6" ht="15.75" customHeight="1" x14ac:dyDescent="0.3">
      <c r="A485" s="32"/>
      <c r="B485" s="32"/>
      <c r="C485" s="32"/>
      <c r="D485" s="32"/>
      <c r="E485" s="32"/>
      <c r="F485" s="32"/>
    </row>
    <row r="486" spans="1:6" ht="15.75" customHeight="1" x14ac:dyDescent="0.3">
      <c r="A486" s="32"/>
      <c r="B486" s="32"/>
      <c r="C486" s="32"/>
      <c r="D486" s="32"/>
      <c r="E486" s="32"/>
      <c r="F486" s="32"/>
    </row>
    <row r="487" spans="1:6" ht="15.75" customHeight="1" x14ac:dyDescent="0.3">
      <c r="A487" s="32"/>
      <c r="B487" s="32"/>
      <c r="C487" s="32"/>
      <c r="D487" s="32"/>
      <c r="E487" s="32"/>
      <c r="F487" s="32"/>
    </row>
    <row r="488" spans="1:6" ht="15.75" customHeight="1" x14ac:dyDescent="0.3">
      <c r="A488" s="32"/>
      <c r="B488" s="32"/>
      <c r="C488" s="32"/>
      <c r="D488" s="32"/>
      <c r="E488" s="32"/>
      <c r="F488" s="32"/>
    </row>
    <row r="489" spans="1:6" ht="15.75" customHeight="1" x14ac:dyDescent="0.3">
      <c r="A489" s="32"/>
      <c r="B489" s="32"/>
      <c r="C489" s="32"/>
      <c r="D489" s="32"/>
      <c r="E489" s="32"/>
      <c r="F489" s="32"/>
    </row>
    <row r="490" spans="1:6" ht="15.75" customHeight="1" x14ac:dyDescent="0.3">
      <c r="A490" s="32"/>
      <c r="B490" s="32"/>
      <c r="C490" s="32"/>
      <c r="D490" s="32"/>
      <c r="E490" s="32"/>
      <c r="F490" s="32"/>
    </row>
    <row r="491" spans="1:6" ht="15.75" customHeight="1" x14ac:dyDescent="0.3">
      <c r="A491" s="32"/>
      <c r="B491" s="32"/>
      <c r="C491" s="32"/>
      <c r="D491" s="32"/>
      <c r="E491" s="32"/>
      <c r="F491" s="32"/>
    </row>
    <row r="492" spans="1:6" ht="15.75" customHeight="1" x14ac:dyDescent="0.3">
      <c r="A492" s="32"/>
      <c r="B492" s="32"/>
      <c r="C492" s="32"/>
      <c r="D492" s="32"/>
      <c r="E492" s="32"/>
      <c r="F492" s="32"/>
    </row>
    <row r="493" spans="1:6" ht="15.75" customHeight="1" x14ac:dyDescent="0.3">
      <c r="A493" s="32"/>
      <c r="B493" s="32"/>
      <c r="C493" s="32"/>
      <c r="D493" s="32"/>
      <c r="E493" s="32"/>
      <c r="F493" s="32"/>
    </row>
    <row r="494" spans="1:6" ht="15.75" customHeight="1" x14ac:dyDescent="0.3">
      <c r="A494" s="32"/>
      <c r="B494" s="32"/>
      <c r="C494" s="32"/>
      <c r="D494" s="32"/>
      <c r="E494" s="32"/>
      <c r="F494" s="32"/>
    </row>
    <row r="495" spans="1:6" ht="15.75" customHeight="1" x14ac:dyDescent="0.3">
      <c r="A495" s="32"/>
      <c r="B495" s="32"/>
      <c r="C495" s="32"/>
      <c r="D495" s="32"/>
      <c r="E495" s="32"/>
      <c r="F495" s="32"/>
    </row>
    <row r="496" spans="1:6" ht="15.75" customHeight="1" x14ac:dyDescent="0.3">
      <c r="A496" s="32"/>
      <c r="B496" s="32"/>
      <c r="C496" s="32"/>
      <c r="D496" s="32"/>
      <c r="E496" s="32"/>
      <c r="F496" s="32"/>
    </row>
    <row r="497" spans="1:6" ht="15.75" customHeight="1" x14ac:dyDescent="0.3">
      <c r="A497" s="32"/>
      <c r="B497" s="32"/>
      <c r="C497" s="32"/>
      <c r="D497" s="32"/>
      <c r="E497" s="32"/>
      <c r="F497" s="32"/>
    </row>
    <row r="498" spans="1:6" ht="15.75" customHeight="1" x14ac:dyDescent="0.3">
      <c r="A498" s="32"/>
      <c r="B498" s="32"/>
      <c r="C498" s="32"/>
      <c r="D498" s="32"/>
      <c r="E498" s="32"/>
      <c r="F498" s="32"/>
    </row>
    <row r="499" spans="1:6" ht="15.75" customHeight="1" x14ac:dyDescent="0.3">
      <c r="A499" s="32"/>
      <c r="B499" s="32"/>
      <c r="C499" s="32"/>
      <c r="D499" s="32"/>
      <c r="E499" s="32"/>
      <c r="F499" s="32"/>
    </row>
    <row r="500" spans="1:6" ht="15.75" customHeight="1" x14ac:dyDescent="0.3">
      <c r="A500" s="32"/>
      <c r="B500" s="32"/>
      <c r="C500" s="32"/>
      <c r="D500" s="32"/>
      <c r="E500" s="32"/>
      <c r="F500" s="32"/>
    </row>
    <row r="501" spans="1:6" ht="15.75" customHeight="1" x14ac:dyDescent="0.3">
      <c r="A501" s="32"/>
      <c r="B501" s="32"/>
      <c r="C501" s="32"/>
      <c r="D501" s="32"/>
      <c r="E501" s="32"/>
      <c r="F501" s="32"/>
    </row>
    <row r="502" spans="1:6" ht="15.75" customHeight="1" x14ac:dyDescent="0.3">
      <c r="A502" s="32"/>
      <c r="B502" s="32"/>
      <c r="C502" s="32"/>
      <c r="D502" s="32"/>
      <c r="E502" s="32"/>
      <c r="F502" s="32"/>
    </row>
    <row r="503" spans="1:6" ht="15.75" customHeight="1" x14ac:dyDescent="0.3">
      <c r="A503" s="32"/>
      <c r="B503" s="32"/>
      <c r="C503" s="32"/>
      <c r="D503" s="32"/>
      <c r="E503" s="32"/>
      <c r="F503" s="32"/>
    </row>
    <row r="504" spans="1:6" ht="15.75" customHeight="1" x14ac:dyDescent="0.3">
      <c r="A504" s="32"/>
      <c r="B504" s="32"/>
      <c r="C504" s="32"/>
      <c r="D504" s="32"/>
      <c r="E504" s="32"/>
      <c r="F504" s="32"/>
    </row>
    <row r="505" spans="1:6" ht="15.75" customHeight="1" x14ac:dyDescent="0.3">
      <c r="A505" s="32"/>
      <c r="B505" s="32"/>
      <c r="C505" s="32"/>
      <c r="D505" s="32"/>
      <c r="E505" s="32"/>
      <c r="F505" s="32"/>
    </row>
    <row r="506" spans="1:6" ht="15.75" customHeight="1" x14ac:dyDescent="0.3">
      <c r="A506" s="32"/>
      <c r="B506" s="32"/>
      <c r="C506" s="32"/>
      <c r="D506" s="32"/>
      <c r="E506" s="32"/>
      <c r="F506" s="32"/>
    </row>
    <row r="507" spans="1:6" ht="15.75" customHeight="1" x14ac:dyDescent="0.3">
      <c r="A507" s="32"/>
      <c r="B507" s="32"/>
      <c r="C507" s="32"/>
      <c r="D507" s="32"/>
      <c r="E507" s="32"/>
      <c r="F507" s="32"/>
    </row>
    <row r="508" spans="1:6" ht="15.75" customHeight="1" x14ac:dyDescent="0.3">
      <c r="A508" s="32"/>
      <c r="B508" s="32"/>
      <c r="C508" s="32"/>
      <c r="D508" s="32"/>
      <c r="E508" s="32"/>
      <c r="F508" s="32"/>
    </row>
    <row r="509" spans="1:6" ht="15.75" customHeight="1" x14ac:dyDescent="0.3">
      <c r="A509" s="32"/>
      <c r="B509" s="32"/>
      <c r="C509" s="32"/>
      <c r="D509" s="32"/>
      <c r="E509" s="32"/>
      <c r="F509" s="32"/>
    </row>
    <row r="510" spans="1:6" ht="15.75" customHeight="1" x14ac:dyDescent="0.3">
      <c r="A510" s="32"/>
      <c r="B510" s="32"/>
      <c r="C510" s="32"/>
      <c r="D510" s="32"/>
      <c r="E510" s="32"/>
      <c r="F510" s="32"/>
    </row>
    <row r="511" spans="1:6" ht="15.75" customHeight="1" x14ac:dyDescent="0.3">
      <c r="A511" s="32"/>
      <c r="B511" s="32"/>
      <c r="C511" s="32"/>
      <c r="D511" s="32"/>
      <c r="E511" s="32"/>
      <c r="F511" s="32"/>
    </row>
    <row r="512" spans="1:6" ht="15.75" customHeight="1" x14ac:dyDescent="0.3">
      <c r="A512" s="32"/>
      <c r="B512" s="32"/>
      <c r="C512" s="32"/>
      <c r="D512" s="32"/>
      <c r="E512" s="32"/>
      <c r="F512" s="32"/>
    </row>
    <row r="513" spans="1:6" ht="15.75" customHeight="1" x14ac:dyDescent="0.3">
      <c r="A513" s="32"/>
      <c r="B513" s="32"/>
      <c r="C513" s="32"/>
      <c r="D513" s="32"/>
      <c r="E513" s="32"/>
      <c r="F513" s="32"/>
    </row>
    <row r="514" spans="1:6" ht="15.75" customHeight="1" x14ac:dyDescent="0.3">
      <c r="A514" s="32"/>
      <c r="B514" s="32"/>
      <c r="C514" s="32"/>
      <c r="D514" s="32"/>
      <c r="E514" s="32"/>
      <c r="F514" s="32"/>
    </row>
    <row r="515" spans="1:6" ht="15.75" customHeight="1" x14ac:dyDescent="0.3">
      <c r="A515" s="32"/>
      <c r="B515" s="32"/>
      <c r="C515" s="32"/>
      <c r="D515" s="32"/>
      <c r="E515" s="32"/>
      <c r="F515" s="32"/>
    </row>
    <row r="516" spans="1:6" ht="15.75" customHeight="1" x14ac:dyDescent="0.3">
      <c r="A516" s="32"/>
      <c r="B516" s="32"/>
      <c r="C516" s="32"/>
      <c r="D516" s="32"/>
      <c r="E516" s="32"/>
      <c r="F516" s="32"/>
    </row>
    <row r="517" spans="1:6" ht="15.75" customHeight="1" x14ac:dyDescent="0.3">
      <c r="A517" s="32"/>
      <c r="B517" s="32"/>
      <c r="C517" s="32"/>
      <c r="D517" s="32"/>
      <c r="E517" s="32"/>
      <c r="F517" s="32"/>
    </row>
    <row r="518" spans="1:6" ht="15.75" customHeight="1" x14ac:dyDescent="0.3">
      <c r="A518" s="32"/>
      <c r="B518" s="32"/>
      <c r="C518" s="32"/>
      <c r="D518" s="32"/>
      <c r="E518" s="32"/>
      <c r="F518" s="32"/>
    </row>
    <row r="519" spans="1:6" ht="15.75" customHeight="1" x14ac:dyDescent="0.3">
      <c r="A519" s="32"/>
      <c r="B519" s="32"/>
      <c r="C519" s="32"/>
      <c r="D519" s="32"/>
      <c r="E519" s="32"/>
      <c r="F519" s="32"/>
    </row>
    <row r="520" spans="1:6" ht="15.75" customHeight="1" x14ac:dyDescent="0.3">
      <c r="A520" s="32"/>
      <c r="B520" s="32"/>
      <c r="C520" s="32"/>
      <c r="D520" s="32"/>
      <c r="E520" s="32"/>
      <c r="F520" s="32"/>
    </row>
    <row r="521" spans="1:6" ht="15.75" customHeight="1" x14ac:dyDescent="0.3">
      <c r="A521" s="32"/>
      <c r="B521" s="32"/>
      <c r="C521" s="32"/>
      <c r="D521" s="32"/>
      <c r="E521" s="32"/>
      <c r="F521" s="32"/>
    </row>
    <row r="522" spans="1:6" ht="15.75" customHeight="1" x14ac:dyDescent="0.3">
      <c r="A522" s="32"/>
      <c r="B522" s="32"/>
      <c r="C522" s="32"/>
      <c r="D522" s="32"/>
      <c r="E522" s="32"/>
      <c r="F522" s="32"/>
    </row>
    <row r="523" spans="1:6" ht="15.75" customHeight="1" x14ac:dyDescent="0.3">
      <c r="A523" s="32"/>
      <c r="B523" s="32"/>
      <c r="C523" s="32"/>
      <c r="D523" s="32"/>
      <c r="E523" s="32"/>
      <c r="F523" s="32"/>
    </row>
    <row r="524" spans="1:6" ht="15.75" customHeight="1" x14ac:dyDescent="0.3">
      <c r="A524" s="32"/>
      <c r="B524" s="32"/>
      <c r="C524" s="32"/>
      <c r="D524" s="32"/>
      <c r="E524" s="32"/>
      <c r="F524" s="32"/>
    </row>
    <row r="525" spans="1:6" ht="15.75" customHeight="1" x14ac:dyDescent="0.3">
      <c r="A525" s="32"/>
      <c r="B525" s="32"/>
      <c r="C525" s="32"/>
      <c r="D525" s="32"/>
      <c r="E525" s="32"/>
      <c r="F525" s="32"/>
    </row>
    <row r="526" spans="1:6" ht="15.75" customHeight="1" x14ac:dyDescent="0.3">
      <c r="A526" s="32"/>
      <c r="B526" s="32"/>
      <c r="C526" s="32"/>
      <c r="D526" s="32"/>
      <c r="E526" s="32"/>
      <c r="F526" s="32"/>
    </row>
    <row r="527" spans="1:6" ht="15.75" customHeight="1" x14ac:dyDescent="0.3">
      <c r="A527" s="32"/>
      <c r="B527" s="32"/>
      <c r="C527" s="32"/>
      <c r="D527" s="32"/>
      <c r="E527" s="32"/>
      <c r="F527" s="32"/>
    </row>
    <row r="528" spans="1:6" ht="15.75" customHeight="1" x14ac:dyDescent="0.3">
      <c r="A528" s="32"/>
      <c r="B528" s="32"/>
      <c r="C528" s="32"/>
      <c r="D528" s="32"/>
      <c r="E528" s="32"/>
      <c r="F528" s="32"/>
    </row>
    <row r="529" spans="1:6" ht="15.75" customHeight="1" x14ac:dyDescent="0.3">
      <c r="A529" s="32"/>
      <c r="B529" s="32"/>
      <c r="C529" s="32"/>
      <c r="D529" s="32"/>
      <c r="E529" s="32"/>
      <c r="F529" s="32"/>
    </row>
    <row r="530" spans="1:6" ht="15.75" customHeight="1" x14ac:dyDescent="0.3">
      <c r="A530" s="32"/>
      <c r="B530" s="32"/>
      <c r="C530" s="32"/>
      <c r="D530" s="32"/>
      <c r="E530" s="32"/>
      <c r="F530" s="32"/>
    </row>
    <row r="531" spans="1:6" ht="15.75" customHeight="1" x14ac:dyDescent="0.3">
      <c r="A531" s="32"/>
      <c r="B531" s="32"/>
      <c r="C531" s="32"/>
      <c r="D531" s="32"/>
      <c r="E531" s="32"/>
      <c r="F531" s="32"/>
    </row>
    <row r="532" spans="1:6" ht="15.75" customHeight="1" x14ac:dyDescent="0.3">
      <c r="A532" s="32"/>
      <c r="B532" s="32"/>
      <c r="C532" s="32"/>
      <c r="D532" s="32"/>
      <c r="E532" s="32"/>
      <c r="F532" s="32"/>
    </row>
    <row r="533" spans="1:6" ht="15.75" customHeight="1" x14ac:dyDescent="0.3">
      <c r="A533" s="32"/>
      <c r="B533" s="32"/>
      <c r="C533" s="32"/>
      <c r="D533" s="32"/>
      <c r="E533" s="32"/>
      <c r="F533" s="32"/>
    </row>
    <row r="534" spans="1:6" ht="15.75" customHeight="1" x14ac:dyDescent="0.3">
      <c r="A534" s="32"/>
      <c r="B534" s="32"/>
      <c r="C534" s="32"/>
      <c r="D534" s="32"/>
      <c r="E534" s="32"/>
      <c r="F534" s="32"/>
    </row>
    <row r="535" spans="1:6" ht="15.75" customHeight="1" x14ac:dyDescent="0.3">
      <c r="A535" s="32"/>
      <c r="B535" s="32"/>
      <c r="C535" s="32"/>
      <c r="D535" s="32"/>
      <c r="E535" s="32"/>
      <c r="F535" s="32"/>
    </row>
    <row r="536" spans="1:6" ht="15.75" customHeight="1" x14ac:dyDescent="0.3">
      <c r="A536" s="32"/>
      <c r="B536" s="32"/>
      <c r="C536" s="32"/>
      <c r="D536" s="32"/>
      <c r="E536" s="32"/>
      <c r="F536" s="32"/>
    </row>
    <row r="537" spans="1:6" ht="15.75" customHeight="1" x14ac:dyDescent="0.3">
      <c r="A537" s="32"/>
      <c r="B537" s="32"/>
      <c r="C537" s="32"/>
      <c r="D537" s="32"/>
      <c r="E537" s="32"/>
      <c r="F537" s="32"/>
    </row>
    <row r="538" spans="1:6" ht="15.75" customHeight="1" x14ac:dyDescent="0.3">
      <c r="A538" s="32"/>
      <c r="B538" s="32"/>
      <c r="C538" s="32"/>
      <c r="D538" s="32"/>
      <c r="E538" s="32"/>
      <c r="F538" s="32"/>
    </row>
    <row r="539" spans="1:6" ht="15.75" customHeight="1" x14ac:dyDescent="0.3">
      <c r="A539" s="32"/>
      <c r="B539" s="32"/>
      <c r="C539" s="32"/>
      <c r="D539" s="32"/>
      <c r="E539" s="32"/>
      <c r="F539" s="32"/>
    </row>
    <row r="540" spans="1:6" ht="15.75" customHeight="1" x14ac:dyDescent="0.3">
      <c r="A540" s="32"/>
      <c r="B540" s="32"/>
      <c r="C540" s="32"/>
      <c r="D540" s="32"/>
      <c r="E540" s="32"/>
      <c r="F540" s="32"/>
    </row>
    <row r="541" spans="1:6" ht="15.75" customHeight="1" x14ac:dyDescent="0.3">
      <c r="A541" s="32"/>
      <c r="B541" s="32"/>
      <c r="C541" s="32"/>
      <c r="D541" s="32"/>
      <c r="E541" s="32"/>
      <c r="F541" s="32"/>
    </row>
    <row r="542" spans="1:6" ht="15.75" customHeight="1" x14ac:dyDescent="0.3">
      <c r="A542" s="32"/>
      <c r="B542" s="32"/>
      <c r="C542" s="32"/>
      <c r="D542" s="32"/>
      <c r="E542" s="32"/>
      <c r="F542" s="32"/>
    </row>
    <row r="543" spans="1:6" ht="15.75" customHeight="1" x14ac:dyDescent="0.3">
      <c r="A543" s="32"/>
      <c r="B543" s="32"/>
      <c r="C543" s="32"/>
      <c r="D543" s="32"/>
      <c r="E543" s="32"/>
      <c r="F543" s="32"/>
    </row>
    <row r="544" spans="1:6" ht="15.75" customHeight="1" x14ac:dyDescent="0.3">
      <c r="A544" s="32"/>
      <c r="B544" s="32"/>
      <c r="C544" s="32"/>
      <c r="D544" s="32"/>
      <c r="E544" s="32"/>
      <c r="F544" s="32"/>
    </row>
    <row r="545" spans="1:6" ht="15.75" customHeight="1" x14ac:dyDescent="0.3">
      <c r="A545" s="32"/>
      <c r="B545" s="32"/>
      <c r="C545" s="32"/>
      <c r="D545" s="32"/>
      <c r="E545" s="32"/>
      <c r="F545" s="32"/>
    </row>
    <row r="546" spans="1:6" ht="15.75" customHeight="1" x14ac:dyDescent="0.3">
      <c r="A546" s="32"/>
      <c r="B546" s="32"/>
      <c r="C546" s="32"/>
      <c r="D546" s="32"/>
      <c r="E546" s="32"/>
      <c r="F546" s="32"/>
    </row>
    <row r="547" spans="1:6" ht="15.75" customHeight="1" x14ac:dyDescent="0.3">
      <c r="A547" s="32"/>
      <c r="B547" s="32"/>
      <c r="C547" s="32"/>
      <c r="D547" s="32"/>
      <c r="E547" s="32"/>
      <c r="F547" s="32"/>
    </row>
    <row r="548" spans="1:6" ht="15.75" customHeight="1" x14ac:dyDescent="0.3">
      <c r="A548" s="32"/>
      <c r="B548" s="32"/>
      <c r="C548" s="32"/>
      <c r="D548" s="32"/>
      <c r="E548" s="32"/>
      <c r="F548" s="32"/>
    </row>
    <row r="549" spans="1:6" ht="15.75" customHeight="1" x14ac:dyDescent="0.3">
      <c r="A549" s="32"/>
      <c r="B549" s="32"/>
      <c r="C549" s="32"/>
      <c r="D549" s="32"/>
      <c r="E549" s="32"/>
      <c r="F549" s="32"/>
    </row>
    <row r="550" spans="1:6" ht="15.75" customHeight="1" x14ac:dyDescent="0.3">
      <c r="A550" s="32"/>
      <c r="B550" s="32"/>
      <c r="C550" s="32"/>
      <c r="D550" s="32"/>
      <c r="E550" s="32"/>
      <c r="F550" s="32"/>
    </row>
    <row r="551" spans="1:6" ht="15.75" customHeight="1" x14ac:dyDescent="0.3">
      <c r="A551" s="32"/>
      <c r="B551" s="32"/>
      <c r="C551" s="32"/>
      <c r="D551" s="32"/>
      <c r="E551" s="32"/>
      <c r="F551" s="32"/>
    </row>
    <row r="552" spans="1:6" ht="15.75" customHeight="1" x14ac:dyDescent="0.3">
      <c r="A552" s="32"/>
      <c r="B552" s="32"/>
      <c r="C552" s="32"/>
      <c r="D552" s="32"/>
      <c r="E552" s="32"/>
      <c r="F552" s="32"/>
    </row>
    <row r="553" spans="1:6" ht="15.75" customHeight="1" x14ac:dyDescent="0.3">
      <c r="A553" s="32"/>
      <c r="B553" s="32"/>
      <c r="C553" s="32"/>
      <c r="D553" s="32"/>
      <c r="E553" s="32"/>
      <c r="F553" s="32"/>
    </row>
    <row r="554" spans="1:6" ht="15.75" customHeight="1" x14ac:dyDescent="0.3">
      <c r="A554" s="32"/>
      <c r="B554" s="32"/>
      <c r="C554" s="32"/>
      <c r="D554" s="32"/>
      <c r="E554" s="32"/>
      <c r="F554" s="32"/>
    </row>
    <row r="555" spans="1:6" ht="15.75" customHeight="1" x14ac:dyDescent="0.3">
      <c r="A555" s="32"/>
      <c r="B555" s="32"/>
      <c r="C555" s="32"/>
      <c r="D555" s="32"/>
      <c r="E555" s="32"/>
      <c r="F555" s="32"/>
    </row>
    <row r="556" spans="1:6" ht="15.75" customHeight="1" x14ac:dyDescent="0.3">
      <c r="A556" s="32"/>
      <c r="B556" s="32"/>
      <c r="C556" s="32"/>
      <c r="D556" s="32"/>
      <c r="E556" s="32"/>
      <c r="F556" s="32"/>
    </row>
    <row r="557" spans="1:6" ht="15.75" customHeight="1" x14ac:dyDescent="0.3">
      <c r="A557" s="32"/>
      <c r="B557" s="32"/>
      <c r="C557" s="32"/>
      <c r="D557" s="32"/>
      <c r="E557" s="32"/>
      <c r="F557" s="32"/>
    </row>
    <row r="558" spans="1:6" ht="15.75" customHeight="1" x14ac:dyDescent="0.3">
      <c r="A558" s="32"/>
      <c r="B558" s="32"/>
      <c r="C558" s="32"/>
      <c r="D558" s="32"/>
      <c r="E558" s="32"/>
      <c r="F558" s="32"/>
    </row>
    <row r="559" spans="1:6" ht="15.75" customHeight="1" x14ac:dyDescent="0.3">
      <c r="A559" s="32"/>
      <c r="B559" s="32"/>
      <c r="C559" s="32"/>
      <c r="D559" s="32"/>
      <c r="E559" s="32"/>
      <c r="F559" s="32"/>
    </row>
    <row r="560" spans="1:6" ht="15.75" customHeight="1" x14ac:dyDescent="0.3">
      <c r="A560" s="32"/>
      <c r="B560" s="32"/>
      <c r="C560" s="32"/>
      <c r="D560" s="32"/>
      <c r="E560" s="32"/>
      <c r="F560" s="32"/>
    </row>
    <row r="561" spans="1:6" ht="15.75" customHeight="1" x14ac:dyDescent="0.3">
      <c r="A561" s="32"/>
      <c r="B561" s="32"/>
      <c r="C561" s="32"/>
      <c r="D561" s="32"/>
      <c r="E561" s="32"/>
      <c r="F561" s="32"/>
    </row>
    <row r="562" spans="1:6" ht="15.75" customHeight="1" x14ac:dyDescent="0.3">
      <c r="A562" s="32"/>
      <c r="B562" s="32"/>
      <c r="C562" s="32"/>
      <c r="D562" s="32"/>
      <c r="E562" s="32"/>
      <c r="F562" s="32"/>
    </row>
    <row r="563" spans="1:6" ht="15.75" customHeight="1" x14ac:dyDescent="0.3">
      <c r="A563" s="32"/>
      <c r="B563" s="32"/>
      <c r="C563" s="32"/>
      <c r="D563" s="32"/>
      <c r="E563" s="32"/>
      <c r="F563" s="32"/>
    </row>
    <row r="564" spans="1:6" ht="15.75" customHeight="1" x14ac:dyDescent="0.3">
      <c r="A564" s="32"/>
      <c r="B564" s="32"/>
      <c r="C564" s="32"/>
      <c r="D564" s="32"/>
      <c r="E564" s="32"/>
      <c r="F564" s="32"/>
    </row>
    <row r="565" spans="1:6" ht="15.75" customHeight="1" x14ac:dyDescent="0.3">
      <c r="A565" s="32"/>
      <c r="B565" s="32"/>
      <c r="C565" s="32"/>
      <c r="D565" s="32"/>
      <c r="E565" s="32"/>
      <c r="F565" s="32"/>
    </row>
    <row r="566" spans="1:6" ht="15.75" customHeight="1" x14ac:dyDescent="0.3">
      <c r="A566" s="32"/>
      <c r="B566" s="32"/>
      <c r="C566" s="32"/>
      <c r="D566" s="32"/>
      <c r="E566" s="32"/>
      <c r="F566" s="32"/>
    </row>
    <row r="567" spans="1:6" ht="15.75" customHeight="1" x14ac:dyDescent="0.3">
      <c r="A567" s="32"/>
      <c r="B567" s="32"/>
      <c r="C567" s="32"/>
      <c r="D567" s="32"/>
      <c r="E567" s="32"/>
      <c r="F567" s="32"/>
    </row>
    <row r="568" spans="1:6" ht="15.75" customHeight="1" x14ac:dyDescent="0.3">
      <c r="A568" s="32"/>
      <c r="B568" s="32"/>
      <c r="C568" s="32"/>
      <c r="D568" s="32"/>
      <c r="E568" s="32"/>
      <c r="F568" s="32"/>
    </row>
    <row r="569" spans="1:6" ht="15.75" customHeight="1" x14ac:dyDescent="0.3">
      <c r="A569" s="32"/>
      <c r="B569" s="32"/>
      <c r="C569" s="32"/>
      <c r="D569" s="32"/>
      <c r="E569" s="32"/>
      <c r="F569" s="32"/>
    </row>
    <row r="570" spans="1:6" ht="15.75" customHeight="1" x14ac:dyDescent="0.3">
      <c r="A570" s="32"/>
      <c r="B570" s="32"/>
      <c r="C570" s="32"/>
      <c r="D570" s="32"/>
      <c r="E570" s="32"/>
      <c r="F570" s="32"/>
    </row>
    <row r="571" spans="1:6" ht="15.75" customHeight="1" x14ac:dyDescent="0.3">
      <c r="A571" s="32"/>
      <c r="B571" s="32"/>
      <c r="C571" s="32"/>
      <c r="D571" s="32"/>
      <c r="E571" s="32"/>
      <c r="F571" s="32"/>
    </row>
    <row r="572" spans="1:6" ht="15.75" customHeight="1" x14ac:dyDescent="0.3">
      <c r="A572" s="32"/>
      <c r="B572" s="32"/>
      <c r="C572" s="32"/>
      <c r="D572" s="32"/>
      <c r="E572" s="32"/>
      <c r="F572" s="32"/>
    </row>
    <row r="573" spans="1:6" ht="15.75" customHeight="1" x14ac:dyDescent="0.3">
      <c r="A573" s="32"/>
      <c r="B573" s="32"/>
      <c r="C573" s="32"/>
      <c r="D573" s="32"/>
      <c r="E573" s="32"/>
      <c r="F573" s="32"/>
    </row>
    <row r="574" spans="1:6" ht="15.75" customHeight="1" x14ac:dyDescent="0.3">
      <c r="A574" s="32"/>
      <c r="B574" s="32"/>
      <c r="C574" s="32"/>
      <c r="D574" s="32"/>
      <c r="E574" s="32"/>
      <c r="F574" s="32"/>
    </row>
    <row r="575" spans="1:6" ht="15.75" customHeight="1" x14ac:dyDescent="0.3">
      <c r="A575" s="32"/>
      <c r="B575" s="32"/>
      <c r="C575" s="32"/>
      <c r="D575" s="32"/>
      <c r="E575" s="32"/>
      <c r="F575" s="32"/>
    </row>
    <row r="576" spans="1:6" ht="15.75" customHeight="1" x14ac:dyDescent="0.3">
      <c r="A576" s="32"/>
      <c r="B576" s="32"/>
      <c r="C576" s="32"/>
      <c r="D576" s="32"/>
      <c r="E576" s="32"/>
      <c r="F576" s="32"/>
    </row>
    <row r="577" spans="1:6" ht="15.75" customHeight="1" x14ac:dyDescent="0.3">
      <c r="A577" s="32"/>
      <c r="B577" s="32"/>
      <c r="C577" s="32"/>
      <c r="D577" s="32"/>
      <c r="E577" s="32"/>
      <c r="F577" s="32"/>
    </row>
    <row r="578" spans="1:6" ht="15.75" customHeight="1" x14ac:dyDescent="0.3">
      <c r="A578" s="32"/>
      <c r="B578" s="32"/>
      <c r="C578" s="32"/>
      <c r="D578" s="32"/>
      <c r="E578" s="32"/>
      <c r="F578" s="32"/>
    </row>
    <row r="579" spans="1:6" ht="15.75" customHeight="1" x14ac:dyDescent="0.3">
      <c r="A579" s="32"/>
      <c r="B579" s="32"/>
      <c r="C579" s="32"/>
      <c r="D579" s="32"/>
      <c r="E579" s="32"/>
      <c r="F579" s="32"/>
    </row>
    <row r="580" spans="1:6" ht="15.75" customHeight="1" x14ac:dyDescent="0.3">
      <c r="A580" s="32"/>
      <c r="B580" s="32"/>
      <c r="C580" s="32"/>
      <c r="D580" s="32"/>
      <c r="E580" s="32"/>
      <c r="F580" s="32"/>
    </row>
    <row r="581" spans="1:6" ht="15.75" customHeight="1" x14ac:dyDescent="0.3">
      <c r="A581" s="32"/>
      <c r="B581" s="32"/>
      <c r="C581" s="32"/>
      <c r="D581" s="32"/>
      <c r="E581" s="32"/>
      <c r="F581" s="32"/>
    </row>
    <row r="582" spans="1:6" ht="15.75" customHeight="1" x14ac:dyDescent="0.3">
      <c r="A582" s="32"/>
      <c r="B582" s="32"/>
      <c r="C582" s="32"/>
      <c r="D582" s="32"/>
      <c r="E582" s="32"/>
      <c r="F582" s="32"/>
    </row>
    <row r="583" spans="1:6" ht="15.75" customHeight="1" x14ac:dyDescent="0.3">
      <c r="A583" s="32"/>
      <c r="B583" s="32"/>
      <c r="C583" s="32"/>
      <c r="D583" s="32"/>
      <c r="E583" s="32"/>
      <c r="F583" s="32"/>
    </row>
    <row r="584" spans="1:6" ht="15.75" customHeight="1" x14ac:dyDescent="0.3">
      <c r="A584" s="32"/>
      <c r="B584" s="32"/>
      <c r="C584" s="32"/>
      <c r="D584" s="32"/>
      <c r="E584" s="32"/>
      <c r="F584" s="32"/>
    </row>
    <row r="585" spans="1:6" ht="15.75" customHeight="1" x14ac:dyDescent="0.3">
      <c r="A585" s="32"/>
      <c r="B585" s="32"/>
      <c r="C585" s="32"/>
      <c r="D585" s="32"/>
      <c r="E585" s="32"/>
      <c r="F585" s="32"/>
    </row>
    <row r="586" spans="1:6" ht="15.75" customHeight="1" x14ac:dyDescent="0.3">
      <c r="A586" s="32"/>
      <c r="B586" s="32"/>
      <c r="C586" s="32"/>
      <c r="D586" s="32"/>
      <c r="E586" s="32"/>
      <c r="F586" s="32"/>
    </row>
    <row r="587" spans="1:6" ht="15.75" customHeight="1" x14ac:dyDescent="0.3">
      <c r="A587" s="32"/>
      <c r="B587" s="32"/>
      <c r="C587" s="32"/>
      <c r="D587" s="32"/>
      <c r="E587" s="32"/>
      <c r="F587" s="32"/>
    </row>
    <row r="588" spans="1:6" ht="15.75" customHeight="1" x14ac:dyDescent="0.3">
      <c r="A588" s="32"/>
      <c r="B588" s="32"/>
      <c r="C588" s="32"/>
      <c r="D588" s="32"/>
      <c r="E588" s="32"/>
      <c r="F588" s="32"/>
    </row>
    <row r="589" spans="1:6" ht="15.75" customHeight="1" x14ac:dyDescent="0.3">
      <c r="A589" s="32"/>
      <c r="B589" s="32"/>
      <c r="C589" s="32"/>
      <c r="D589" s="32"/>
      <c r="E589" s="32"/>
      <c r="F589" s="32"/>
    </row>
    <row r="590" spans="1:6" ht="15.75" customHeight="1" x14ac:dyDescent="0.3">
      <c r="A590" s="32"/>
      <c r="B590" s="32"/>
      <c r="C590" s="32"/>
      <c r="D590" s="32"/>
      <c r="E590" s="32"/>
      <c r="F590" s="32"/>
    </row>
    <row r="591" spans="1:6" ht="15.75" customHeight="1" x14ac:dyDescent="0.3">
      <c r="A591" s="32"/>
      <c r="B591" s="32"/>
      <c r="C591" s="32"/>
      <c r="D591" s="32"/>
      <c r="E591" s="32"/>
      <c r="F591" s="32"/>
    </row>
    <row r="592" spans="1:6" ht="15.75" customHeight="1" x14ac:dyDescent="0.3">
      <c r="A592" s="32"/>
      <c r="B592" s="32"/>
      <c r="C592" s="32"/>
      <c r="D592" s="32"/>
      <c r="E592" s="32"/>
      <c r="F592" s="32"/>
    </row>
    <row r="593" spans="1:6" ht="15.75" customHeight="1" x14ac:dyDescent="0.3">
      <c r="A593" s="32"/>
      <c r="B593" s="32"/>
      <c r="C593" s="32"/>
      <c r="D593" s="32"/>
      <c r="E593" s="32"/>
      <c r="F593" s="32"/>
    </row>
    <row r="594" spans="1:6" ht="15.75" customHeight="1" x14ac:dyDescent="0.3">
      <c r="A594" s="32"/>
      <c r="B594" s="32"/>
      <c r="C594" s="32"/>
      <c r="D594" s="32"/>
      <c r="E594" s="32"/>
      <c r="F594" s="32"/>
    </row>
    <row r="595" spans="1:6" ht="15.75" customHeight="1" x14ac:dyDescent="0.3">
      <c r="A595" s="32"/>
      <c r="B595" s="32"/>
      <c r="C595" s="32"/>
      <c r="D595" s="32"/>
      <c r="E595" s="32"/>
      <c r="F595" s="32"/>
    </row>
    <row r="596" spans="1:6" ht="15.75" customHeight="1" x14ac:dyDescent="0.3">
      <c r="A596" s="32"/>
      <c r="B596" s="32"/>
      <c r="C596" s="32"/>
      <c r="D596" s="32"/>
      <c r="E596" s="32"/>
      <c r="F596" s="32"/>
    </row>
    <row r="597" spans="1:6" ht="15.75" customHeight="1" x14ac:dyDescent="0.3">
      <c r="A597" s="32"/>
      <c r="B597" s="32"/>
      <c r="C597" s="32"/>
      <c r="D597" s="32"/>
      <c r="E597" s="32"/>
      <c r="F597" s="32"/>
    </row>
    <row r="598" spans="1:6" ht="15.75" customHeight="1" x14ac:dyDescent="0.3">
      <c r="A598" s="32"/>
      <c r="B598" s="32"/>
      <c r="C598" s="32"/>
      <c r="D598" s="32"/>
      <c r="E598" s="32"/>
      <c r="F598" s="32"/>
    </row>
    <row r="599" spans="1:6" ht="15.75" customHeight="1" x14ac:dyDescent="0.3">
      <c r="A599" s="32"/>
      <c r="B599" s="32"/>
      <c r="C599" s="32"/>
      <c r="D599" s="32"/>
      <c r="E599" s="32"/>
      <c r="F599" s="32"/>
    </row>
    <row r="600" spans="1:6" ht="15.75" customHeight="1" x14ac:dyDescent="0.3">
      <c r="A600" s="32"/>
      <c r="B600" s="32"/>
      <c r="C600" s="32"/>
      <c r="D600" s="32"/>
      <c r="E600" s="32"/>
      <c r="F600" s="32"/>
    </row>
    <row r="601" spans="1:6" ht="15.75" customHeight="1" x14ac:dyDescent="0.3">
      <c r="A601" s="32"/>
      <c r="B601" s="32"/>
      <c r="C601" s="32"/>
      <c r="D601" s="32"/>
      <c r="E601" s="32"/>
      <c r="F601" s="32"/>
    </row>
    <row r="602" spans="1:6" ht="15.75" customHeight="1" x14ac:dyDescent="0.3">
      <c r="A602" s="32"/>
      <c r="B602" s="32"/>
      <c r="C602" s="32"/>
      <c r="D602" s="32"/>
      <c r="E602" s="32"/>
      <c r="F602" s="32"/>
    </row>
    <row r="603" spans="1:6" ht="15.75" customHeight="1" x14ac:dyDescent="0.3">
      <c r="A603" s="32"/>
      <c r="B603" s="32"/>
      <c r="C603" s="32"/>
      <c r="D603" s="32"/>
      <c r="E603" s="32"/>
      <c r="F603" s="32"/>
    </row>
    <row r="604" spans="1:6" ht="15.75" customHeight="1" x14ac:dyDescent="0.3">
      <c r="A604" s="32"/>
      <c r="B604" s="32"/>
      <c r="C604" s="32"/>
      <c r="D604" s="32"/>
      <c r="E604" s="32"/>
      <c r="F604" s="32"/>
    </row>
    <row r="605" spans="1:6" ht="15.75" customHeight="1" x14ac:dyDescent="0.3">
      <c r="A605" s="32"/>
      <c r="B605" s="32"/>
      <c r="C605" s="32"/>
      <c r="D605" s="32"/>
      <c r="E605" s="32"/>
      <c r="F605" s="32"/>
    </row>
    <row r="606" spans="1:6" ht="15.75" customHeight="1" x14ac:dyDescent="0.3">
      <c r="A606" s="32"/>
      <c r="B606" s="32"/>
      <c r="C606" s="32"/>
      <c r="D606" s="32"/>
      <c r="E606" s="32"/>
      <c r="F606" s="32"/>
    </row>
    <row r="607" spans="1:6" ht="15.75" customHeight="1" x14ac:dyDescent="0.3">
      <c r="A607" s="32"/>
      <c r="B607" s="32"/>
      <c r="C607" s="32"/>
      <c r="D607" s="32"/>
      <c r="E607" s="32"/>
      <c r="F607" s="32"/>
    </row>
    <row r="608" spans="1:6" ht="15.75" customHeight="1" x14ac:dyDescent="0.3">
      <c r="A608" s="32"/>
      <c r="B608" s="32"/>
      <c r="C608" s="32"/>
      <c r="D608" s="32"/>
      <c r="E608" s="32"/>
      <c r="F608" s="32"/>
    </row>
    <row r="609" spans="1:6" ht="15.75" customHeight="1" x14ac:dyDescent="0.3">
      <c r="A609" s="32"/>
      <c r="B609" s="32"/>
      <c r="C609" s="32"/>
      <c r="D609" s="32"/>
      <c r="E609" s="32"/>
      <c r="F609" s="32"/>
    </row>
    <row r="610" spans="1:6" ht="15.75" customHeight="1" x14ac:dyDescent="0.3">
      <c r="A610" s="32"/>
      <c r="B610" s="32"/>
      <c r="C610" s="32"/>
      <c r="D610" s="32"/>
      <c r="E610" s="32"/>
      <c r="F610" s="32"/>
    </row>
    <row r="611" spans="1:6" ht="15.75" customHeight="1" x14ac:dyDescent="0.3">
      <c r="A611" s="32"/>
      <c r="B611" s="32"/>
      <c r="C611" s="32"/>
      <c r="D611" s="32"/>
      <c r="E611" s="32"/>
      <c r="F611" s="32"/>
    </row>
    <row r="612" spans="1:6" ht="15.75" customHeight="1" x14ac:dyDescent="0.3">
      <c r="A612" s="32"/>
      <c r="B612" s="32"/>
      <c r="C612" s="32"/>
      <c r="D612" s="32"/>
      <c r="E612" s="32"/>
      <c r="F612" s="32"/>
    </row>
    <row r="613" spans="1:6" ht="15.75" customHeight="1" x14ac:dyDescent="0.3">
      <c r="A613" s="32"/>
      <c r="B613" s="32"/>
      <c r="C613" s="32"/>
      <c r="D613" s="32"/>
      <c r="E613" s="32"/>
      <c r="F613" s="32"/>
    </row>
    <row r="614" spans="1:6" ht="15.75" customHeight="1" x14ac:dyDescent="0.3">
      <c r="A614" s="32"/>
      <c r="B614" s="32"/>
      <c r="C614" s="32"/>
      <c r="D614" s="32"/>
      <c r="E614" s="32"/>
      <c r="F614" s="32"/>
    </row>
    <row r="615" spans="1:6" ht="15.75" customHeight="1" x14ac:dyDescent="0.3">
      <c r="A615" s="32"/>
      <c r="B615" s="32"/>
      <c r="C615" s="32"/>
      <c r="D615" s="32"/>
      <c r="E615" s="32"/>
      <c r="F615" s="32"/>
    </row>
    <row r="616" spans="1:6" ht="15.75" customHeight="1" x14ac:dyDescent="0.3">
      <c r="A616" s="32"/>
      <c r="B616" s="32"/>
      <c r="C616" s="32"/>
      <c r="D616" s="32"/>
      <c r="E616" s="32"/>
      <c r="F616" s="32"/>
    </row>
    <row r="617" spans="1:6" ht="15.75" customHeight="1" x14ac:dyDescent="0.3">
      <c r="A617" s="32"/>
      <c r="B617" s="32"/>
      <c r="C617" s="32"/>
      <c r="D617" s="32"/>
      <c r="E617" s="32"/>
      <c r="F617" s="32"/>
    </row>
    <row r="618" spans="1:6" ht="15.75" customHeight="1" x14ac:dyDescent="0.3">
      <c r="A618" s="32"/>
      <c r="B618" s="32"/>
      <c r="C618" s="32"/>
      <c r="D618" s="32"/>
      <c r="E618" s="32"/>
      <c r="F618" s="32"/>
    </row>
    <row r="619" spans="1:6" ht="15.75" customHeight="1" x14ac:dyDescent="0.3">
      <c r="A619" s="32"/>
      <c r="B619" s="32"/>
      <c r="C619" s="32"/>
      <c r="D619" s="32"/>
      <c r="E619" s="32"/>
      <c r="F619" s="32"/>
    </row>
    <row r="620" spans="1:6" ht="15.75" customHeight="1" x14ac:dyDescent="0.3">
      <c r="A620" s="32"/>
      <c r="B620" s="32"/>
      <c r="C620" s="32"/>
      <c r="D620" s="32"/>
      <c r="E620" s="32"/>
      <c r="F620" s="32"/>
    </row>
    <row r="621" spans="1:6" ht="15.75" customHeight="1" x14ac:dyDescent="0.3">
      <c r="A621" s="32"/>
      <c r="B621" s="32"/>
      <c r="C621" s="32"/>
      <c r="D621" s="32"/>
      <c r="E621" s="32"/>
      <c r="F621" s="32"/>
    </row>
    <row r="622" spans="1:6" ht="15.75" customHeight="1" x14ac:dyDescent="0.3">
      <c r="A622" s="32"/>
      <c r="B622" s="32"/>
      <c r="C622" s="32"/>
      <c r="D622" s="32"/>
      <c r="E622" s="32"/>
      <c r="F622" s="32"/>
    </row>
    <row r="623" spans="1:6" ht="15.75" customHeight="1" x14ac:dyDescent="0.3">
      <c r="A623" s="32"/>
      <c r="B623" s="32"/>
      <c r="C623" s="32"/>
      <c r="D623" s="32"/>
      <c r="E623" s="32"/>
      <c r="F623" s="32"/>
    </row>
    <row r="624" spans="1:6" ht="15.75" customHeight="1" x14ac:dyDescent="0.3">
      <c r="A624" s="32"/>
      <c r="B624" s="32"/>
      <c r="C624" s="32"/>
      <c r="D624" s="32"/>
      <c r="E624" s="32"/>
      <c r="F624" s="32"/>
    </row>
    <row r="625" spans="1:6" ht="15.75" customHeight="1" x14ac:dyDescent="0.3">
      <c r="A625" s="32"/>
      <c r="B625" s="32"/>
      <c r="C625" s="32"/>
      <c r="D625" s="32"/>
      <c r="E625" s="32"/>
      <c r="F625" s="32"/>
    </row>
    <row r="626" spans="1:6" ht="15.75" customHeight="1" x14ac:dyDescent="0.3">
      <c r="A626" s="32"/>
      <c r="B626" s="32"/>
      <c r="C626" s="32"/>
      <c r="D626" s="32"/>
      <c r="E626" s="32"/>
      <c r="F626" s="32"/>
    </row>
    <row r="627" spans="1:6" ht="15.75" customHeight="1" x14ac:dyDescent="0.3">
      <c r="A627" s="32"/>
      <c r="B627" s="32"/>
      <c r="C627" s="32"/>
      <c r="D627" s="32"/>
      <c r="E627" s="32"/>
      <c r="F627" s="32"/>
    </row>
    <row r="628" spans="1:6" ht="15.75" customHeight="1" x14ac:dyDescent="0.3">
      <c r="A628" s="32"/>
      <c r="B628" s="32"/>
      <c r="C628" s="32"/>
      <c r="D628" s="32"/>
      <c r="E628" s="32"/>
      <c r="F628" s="32"/>
    </row>
    <row r="629" spans="1:6" ht="15.75" customHeight="1" x14ac:dyDescent="0.3">
      <c r="A629" s="32"/>
      <c r="B629" s="32"/>
      <c r="C629" s="32"/>
      <c r="D629" s="32"/>
      <c r="E629" s="32"/>
      <c r="F629" s="32"/>
    </row>
    <row r="630" spans="1:6" ht="15.75" customHeight="1" x14ac:dyDescent="0.3">
      <c r="A630" s="32"/>
      <c r="B630" s="32"/>
      <c r="C630" s="32"/>
      <c r="D630" s="32"/>
      <c r="E630" s="32"/>
      <c r="F630" s="32"/>
    </row>
    <row r="631" spans="1:6" ht="15.75" customHeight="1" x14ac:dyDescent="0.3">
      <c r="A631" s="32"/>
      <c r="B631" s="32"/>
      <c r="C631" s="32"/>
      <c r="D631" s="32"/>
      <c r="E631" s="32"/>
      <c r="F631" s="32"/>
    </row>
    <row r="632" spans="1:6" ht="15.75" customHeight="1" x14ac:dyDescent="0.3">
      <c r="A632" s="32"/>
      <c r="B632" s="32"/>
      <c r="C632" s="32"/>
      <c r="D632" s="32"/>
      <c r="E632" s="32"/>
      <c r="F632" s="32"/>
    </row>
    <row r="633" spans="1:6" ht="15.75" customHeight="1" x14ac:dyDescent="0.3">
      <c r="A633" s="32"/>
      <c r="B633" s="32"/>
      <c r="C633" s="32"/>
      <c r="D633" s="32"/>
      <c r="E633" s="32"/>
      <c r="F633" s="32"/>
    </row>
    <row r="634" spans="1:6" ht="15.75" customHeight="1" x14ac:dyDescent="0.3">
      <c r="A634" s="32"/>
      <c r="B634" s="32"/>
      <c r="C634" s="32"/>
      <c r="D634" s="32"/>
      <c r="E634" s="32"/>
      <c r="F634" s="32"/>
    </row>
    <row r="635" spans="1:6" ht="15.75" customHeight="1" x14ac:dyDescent="0.3">
      <c r="A635" s="32"/>
      <c r="B635" s="32"/>
      <c r="C635" s="32"/>
      <c r="D635" s="32"/>
      <c r="E635" s="32"/>
      <c r="F635" s="32"/>
    </row>
    <row r="636" spans="1:6" ht="15.75" customHeight="1" x14ac:dyDescent="0.3">
      <c r="A636" s="32"/>
      <c r="B636" s="32"/>
      <c r="C636" s="32"/>
      <c r="D636" s="32"/>
      <c r="E636" s="32"/>
      <c r="F636" s="32"/>
    </row>
    <row r="637" spans="1:6" ht="15.75" customHeight="1" x14ac:dyDescent="0.3">
      <c r="A637" s="32"/>
      <c r="B637" s="32"/>
      <c r="C637" s="32"/>
      <c r="D637" s="32"/>
      <c r="E637" s="32"/>
      <c r="F637" s="32"/>
    </row>
    <row r="638" spans="1:6" ht="15.75" customHeight="1" x14ac:dyDescent="0.3">
      <c r="A638" s="32"/>
      <c r="B638" s="32"/>
      <c r="C638" s="32"/>
      <c r="D638" s="32"/>
      <c r="E638" s="32"/>
      <c r="F638" s="32"/>
    </row>
    <row r="639" spans="1:6" ht="15.75" customHeight="1" x14ac:dyDescent="0.3">
      <c r="A639" s="32"/>
      <c r="B639" s="32"/>
      <c r="C639" s="32"/>
      <c r="D639" s="32"/>
      <c r="E639" s="32"/>
      <c r="F639" s="32"/>
    </row>
    <row r="640" spans="1:6" ht="15.75" customHeight="1" x14ac:dyDescent="0.3">
      <c r="A640" s="32"/>
      <c r="B640" s="32"/>
      <c r="C640" s="32"/>
      <c r="D640" s="32"/>
      <c r="E640" s="32"/>
      <c r="F640" s="32"/>
    </row>
    <row r="641" spans="1:6" ht="15.75" customHeight="1" x14ac:dyDescent="0.3">
      <c r="A641" s="32"/>
      <c r="B641" s="32"/>
      <c r="C641" s="32"/>
      <c r="D641" s="32"/>
      <c r="E641" s="32"/>
      <c r="F641" s="32"/>
    </row>
    <row r="642" spans="1:6" ht="15.75" customHeight="1" x14ac:dyDescent="0.3">
      <c r="A642" s="32"/>
      <c r="B642" s="32"/>
      <c r="C642" s="32"/>
      <c r="D642" s="32"/>
      <c r="E642" s="32"/>
      <c r="F642" s="32"/>
    </row>
    <row r="643" spans="1:6" ht="15.75" customHeight="1" x14ac:dyDescent="0.3">
      <c r="A643" s="32"/>
      <c r="B643" s="32"/>
      <c r="C643" s="32"/>
      <c r="D643" s="32"/>
      <c r="E643" s="32"/>
      <c r="F643" s="32"/>
    </row>
    <row r="644" spans="1:6" ht="15.75" customHeight="1" x14ac:dyDescent="0.3">
      <c r="A644" s="32"/>
      <c r="B644" s="32"/>
      <c r="C644" s="32"/>
      <c r="D644" s="32"/>
      <c r="E644" s="32"/>
      <c r="F644" s="32"/>
    </row>
    <row r="645" spans="1:6" ht="15.75" customHeight="1" x14ac:dyDescent="0.3">
      <c r="A645" s="32"/>
      <c r="B645" s="32"/>
      <c r="C645" s="32"/>
      <c r="D645" s="32"/>
      <c r="E645" s="32"/>
      <c r="F645" s="32"/>
    </row>
    <row r="646" spans="1:6" ht="15.75" customHeight="1" x14ac:dyDescent="0.3">
      <c r="A646" s="32"/>
      <c r="B646" s="32"/>
      <c r="C646" s="32"/>
      <c r="D646" s="32"/>
      <c r="E646" s="32"/>
      <c r="F646" s="32"/>
    </row>
    <row r="647" spans="1:6" ht="15.75" customHeight="1" x14ac:dyDescent="0.3">
      <c r="A647" s="32"/>
      <c r="B647" s="32"/>
      <c r="C647" s="32"/>
      <c r="D647" s="32"/>
      <c r="E647" s="32"/>
      <c r="F647" s="32"/>
    </row>
    <row r="648" spans="1:6" ht="15.75" customHeight="1" x14ac:dyDescent="0.3">
      <c r="A648" s="32"/>
      <c r="B648" s="32"/>
      <c r="C648" s="32"/>
      <c r="D648" s="32"/>
      <c r="E648" s="32"/>
      <c r="F648" s="32"/>
    </row>
    <row r="649" spans="1:6" ht="15.75" customHeight="1" x14ac:dyDescent="0.3">
      <c r="A649" s="32"/>
      <c r="B649" s="32"/>
      <c r="C649" s="32"/>
      <c r="D649" s="32"/>
      <c r="E649" s="32"/>
      <c r="F649" s="32"/>
    </row>
    <row r="650" spans="1:6" ht="15.75" customHeight="1" x14ac:dyDescent="0.3">
      <c r="A650" s="32"/>
      <c r="B650" s="32"/>
      <c r="C650" s="32"/>
      <c r="D650" s="32"/>
      <c r="E650" s="32"/>
      <c r="F650" s="32"/>
    </row>
    <row r="651" spans="1:6" ht="15.75" customHeight="1" x14ac:dyDescent="0.3">
      <c r="A651" s="32"/>
      <c r="B651" s="32"/>
      <c r="C651" s="32"/>
      <c r="D651" s="32"/>
      <c r="E651" s="32"/>
      <c r="F651" s="32"/>
    </row>
    <row r="652" spans="1:6" ht="15.75" customHeight="1" x14ac:dyDescent="0.3">
      <c r="A652" s="32"/>
      <c r="B652" s="32"/>
      <c r="C652" s="32"/>
      <c r="D652" s="32"/>
      <c r="E652" s="32"/>
      <c r="F652" s="32"/>
    </row>
    <row r="653" spans="1:6" ht="15.75" customHeight="1" x14ac:dyDescent="0.3">
      <c r="A653" s="32"/>
      <c r="B653" s="32"/>
      <c r="C653" s="32"/>
      <c r="D653" s="32"/>
      <c r="E653" s="32"/>
      <c r="F653" s="32"/>
    </row>
    <row r="654" spans="1:6" ht="15.75" customHeight="1" x14ac:dyDescent="0.3">
      <c r="A654" s="32"/>
      <c r="B654" s="32"/>
      <c r="C654" s="32"/>
      <c r="D654" s="32"/>
      <c r="E654" s="32"/>
      <c r="F654" s="32"/>
    </row>
    <row r="655" spans="1:6" ht="15.75" customHeight="1" x14ac:dyDescent="0.3">
      <c r="A655" s="32"/>
      <c r="B655" s="32"/>
      <c r="C655" s="32"/>
      <c r="D655" s="32"/>
      <c r="E655" s="32"/>
      <c r="F655" s="32"/>
    </row>
    <row r="656" spans="1:6" ht="15.75" customHeight="1" x14ac:dyDescent="0.3">
      <c r="A656" s="32"/>
      <c r="B656" s="32"/>
      <c r="C656" s="32"/>
      <c r="D656" s="32"/>
      <c r="E656" s="32"/>
      <c r="F656" s="32"/>
    </row>
    <row r="657" spans="1:6" ht="15.75" customHeight="1" x14ac:dyDescent="0.3">
      <c r="A657" s="32"/>
      <c r="B657" s="32"/>
      <c r="C657" s="32"/>
      <c r="D657" s="32"/>
      <c r="E657" s="32"/>
      <c r="F657" s="32"/>
    </row>
    <row r="658" spans="1:6" ht="15.75" customHeight="1" x14ac:dyDescent="0.3">
      <c r="A658" s="32"/>
      <c r="B658" s="32"/>
      <c r="C658" s="32"/>
      <c r="D658" s="32"/>
      <c r="E658" s="32"/>
      <c r="F658" s="32"/>
    </row>
    <row r="659" spans="1:6" ht="15.75" customHeight="1" x14ac:dyDescent="0.3">
      <c r="A659" s="32"/>
      <c r="B659" s="32"/>
      <c r="C659" s="32"/>
      <c r="D659" s="32"/>
      <c r="E659" s="32"/>
      <c r="F659" s="32"/>
    </row>
    <row r="660" spans="1:6" ht="15.75" customHeight="1" x14ac:dyDescent="0.3">
      <c r="A660" s="32"/>
      <c r="B660" s="32"/>
      <c r="C660" s="32"/>
      <c r="D660" s="32"/>
      <c r="E660" s="32"/>
      <c r="F660" s="32"/>
    </row>
    <row r="661" spans="1:6" ht="15.75" customHeight="1" x14ac:dyDescent="0.3">
      <c r="A661" s="32"/>
      <c r="B661" s="32"/>
      <c r="C661" s="32"/>
      <c r="D661" s="32"/>
      <c r="E661" s="32"/>
      <c r="F661" s="32"/>
    </row>
    <row r="662" spans="1:6" ht="15.75" customHeight="1" x14ac:dyDescent="0.3">
      <c r="A662" s="32"/>
      <c r="B662" s="32"/>
      <c r="C662" s="32"/>
      <c r="D662" s="32"/>
      <c r="E662" s="32"/>
      <c r="F662" s="32"/>
    </row>
    <row r="663" spans="1:6" ht="15.75" customHeight="1" x14ac:dyDescent="0.3">
      <c r="A663" s="32"/>
      <c r="B663" s="32"/>
      <c r="C663" s="32"/>
      <c r="D663" s="32"/>
      <c r="E663" s="32"/>
      <c r="F663" s="32"/>
    </row>
    <row r="664" spans="1:6" ht="15.75" customHeight="1" x14ac:dyDescent="0.3">
      <c r="A664" s="32"/>
      <c r="B664" s="32"/>
      <c r="C664" s="32"/>
      <c r="D664" s="32"/>
      <c r="E664" s="32"/>
      <c r="F664" s="32"/>
    </row>
    <row r="665" spans="1:6" ht="15.75" customHeight="1" x14ac:dyDescent="0.3">
      <c r="A665" s="32"/>
      <c r="B665" s="32"/>
      <c r="C665" s="32"/>
      <c r="D665" s="32"/>
      <c r="E665" s="32"/>
      <c r="F665" s="32"/>
    </row>
    <row r="666" spans="1:6" ht="15.75" customHeight="1" x14ac:dyDescent="0.3">
      <c r="A666" s="32"/>
      <c r="B666" s="32"/>
      <c r="C666" s="32"/>
      <c r="D666" s="32"/>
      <c r="E666" s="32"/>
      <c r="F666" s="32"/>
    </row>
    <row r="667" spans="1:6" ht="15.75" customHeight="1" x14ac:dyDescent="0.3">
      <c r="A667" s="32"/>
      <c r="B667" s="32"/>
      <c r="C667" s="32"/>
      <c r="D667" s="32"/>
      <c r="E667" s="32"/>
      <c r="F667" s="32"/>
    </row>
    <row r="668" spans="1:6" ht="15.75" customHeight="1" x14ac:dyDescent="0.3">
      <c r="A668" s="32"/>
      <c r="B668" s="32"/>
      <c r="C668" s="32"/>
      <c r="D668" s="32"/>
      <c r="E668" s="32"/>
      <c r="F668" s="32"/>
    </row>
    <row r="669" spans="1:6" ht="15.75" customHeight="1" x14ac:dyDescent="0.3">
      <c r="A669" s="32"/>
      <c r="B669" s="32"/>
      <c r="C669" s="32"/>
      <c r="D669" s="32"/>
      <c r="E669" s="32"/>
      <c r="F669" s="32"/>
    </row>
    <row r="670" spans="1:6" ht="15.75" customHeight="1" x14ac:dyDescent="0.3">
      <c r="A670" s="32"/>
      <c r="B670" s="32"/>
      <c r="C670" s="32"/>
      <c r="D670" s="32"/>
      <c r="E670" s="32"/>
      <c r="F670" s="32"/>
    </row>
    <row r="671" spans="1:6" ht="15.75" customHeight="1" x14ac:dyDescent="0.3">
      <c r="A671" s="32"/>
      <c r="B671" s="32"/>
      <c r="C671" s="32"/>
      <c r="D671" s="32"/>
      <c r="E671" s="32"/>
      <c r="F671" s="32"/>
    </row>
    <row r="672" spans="1:6" ht="15.75" customHeight="1" x14ac:dyDescent="0.3">
      <c r="A672" s="32"/>
      <c r="B672" s="32"/>
      <c r="C672" s="32"/>
      <c r="D672" s="32"/>
      <c r="E672" s="32"/>
      <c r="F672" s="32"/>
    </row>
    <row r="673" spans="1:6" ht="15.75" customHeight="1" x14ac:dyDescent="0.3">
      <c r="A673" s="32"/>
      <c r="B673" s="32"/>
      <c r="C673" s="32"/>
      <c r="D673" s="32"/>
      <c r="E673" s="32"/>
      <c r="F673" s="32"/>
    </row>
    <row r="674" spans="1:6" ht="15.75" customHeight="1" x14ac:dyDescent="0.3">
      <c r="A674" s="32"/>
      <c r="B674" s="32"/>
      <c r="C674" s="32"/>
      <c r="D674" s="32"/>
      <c r="E674" s="32"/>
      <c r="F674" s="32"/>
    </row>
    <row r="675" spans="1:6" ht="15.75" customHeight="1" x14ac:dyDescent="0.3">
      <c r="A675" s="32"/>
      <c r="B675" s="32"/>
      <c r="C675" s="32"/>
      <c r="D675" s="32"/>
      <c r="E675" s="32"/>
      <c r="F675" s="32"/>
    </row>
    <row r="676" spans="1:6" ht="15.75" customHeight="1" x14ac:dyDescent="0.3">
      <c r="A676" s="32"/>
      <c r="B676" s="32"/>
      <c r="C676" s="32"/>
      <c r="D676" s="32"/>
      <c r="E676" s="32"/>
      <c r="F676" s="32"/>
    </row>
    <row r="677" spans="1:6" ht="15.75" customHeight="1" x14ac:dyDescent="0.3">
      <c r="A677" s="32"/>
      <c r="B677" s="32"/>
      <c r="C677" s="32"/>
      <c r="D677" s="32"/>
      <c r="E677" s="32"/>
      <c r="F677" s="32"/>
    </row>
    <row r="678" spans="1:6" ht="15.75" customHeight="1" x14ac:dyDescent="0.3">
      <c r="A678" s="32"/>
      <c r="B678" s="32"/>
      <c r="C678" s="32"/>
      <c r="D678" s="32"/>
      <c r="E678" s="32"/>
      <c r="F678" s="32"/>
    </row>
    <row r="679" spans="1:6" ht="15.75" customHeight="1" x14ac:dyDescent="0.3">
      <c r="A679" s="32"/>
      <c r="B679" s="32"/>
      <c r="C679" s="32"/>
      <c r="D679" s="32"/>
      <c r="E679" s="32"/>
      <c r="F679" s="32"/>
    </row>
    <row r="680" spans="1:6" ht="15.75" customHeight="1" x14ac:dyDescent="0.3">
      <c r="A680" s="32"/>
      <c r="B680" s="32"/>
      <c r="C680" s="32"/>
      <c r="D680" s="32"/>
      <c r="E680" s="32"/>
      <c r="F680" s="32"/>
    </row>
    <row r="681" spans="1:6" ht="15.75" customHeight="1" x14ac:dyDescent="0.3">
      <c r="A681" s="32"/>
      <c r="B681" s="32"/>
      <c r="C681" s="32"/>
      <c r="D681" s="32"/>
      <c r="E681" s="32"/>
      <c r="F681" s="32"/>
    </row>
    <row r="682" spans="1:6" ht="15.75" customHeight="1" x14ac:dyDescent="0.3">
      <c r="A682" s="32"/>
      <c r="B682" s="32"/>
      <c r="C682" s="32"/>
      <c r="D682" s="32"/>
      <c r="E682" s="32"/>
      <c r="F682" s="32"/>
    </row>
    <row r="683" spans="1:6" ht="15.75" customHeight="1" x14ac:dyDescent="0.3">
      <c r="A683" s="32"/>
      <c r="B683" s="32"/>
      <c r="C683" s="32"/>
      <c r="D683" s="32"/>
      <c r="E683" s="32"/>
      <c r="F683" s="32"/>
    </row>
    <row r="684" spans="1:6" ht="15.75" customHeight="1" x14ac:dyDescent="0.3">
      <c r="A684" s="32"/>
      <c r="B684" s="32"/>
      <c r="C684" s="32"/>
      <c r="D684" s="32"/>
      <c r="E684" s="32"/>
      <c r="F684" s="32"/>
    </row>
    <row r="685" spans="1:6" ht="15.75" customHeight="1" x14ac:dyDescent="0.3">
      <c r="A685" s="32"/>
      <c r="B685" s="32"/>
      <c r="C685" s="32"/>
      <c r="D685" s="32"/>
      <c r="E685" s="32"/>
      <c r="F685" s="32"/>
    </row>
    <row r="686" spans="1:6" ht="15.75" customHeight="1" x14ac:dyDescent="0.3">
      <c r="A686" s="32"/>
      <c r="B686" s="32"/>
      <c r="C686" s="32"/>
      <c r="D686" s="32"/>
      <c r="E686" s="32"/>
      <c r="F686" s="32"/>
    </row>
    <row r="687" spans="1:6" ht="15.75" customHeight="1" x14ac:dyDescent="0.3">
      <c r="A687" s="32"/>
      <c r="B687" s="32"/>
      <c r="C687" s="32"/>
      <c r="D687" s="32"/>
      <c r="E687" s="32"/>
      <c r="F687" s="32"/>
    </row>
    <row r="688" spans="1:6" ht="15.75" customHeight="1" x14ac:dyDescent="0.3">
      <c r="A688" s="32"/>
      <c r="B688" s="32"/>
      <c r="C688" s="32"/>
      <c r="D688" s="32"/>
      <c r="E688" s="32"/>
      <c r="F688" s="32"/>
    </row>
    <row r="689" spans="1:6" ht="15.75" customHeight="1" x14ac:dyDescent="0.3">
      <c r="A689" s="32"/>
      <c r="B689" s="32"/>
      <c r="C689" s="32"/>
      <c r="D689" s="32"/>
      <c r="E689" s="32"/>
      <c r="F689" s="32"/>
    </row>
    <row r="690" spans="1:6" ht="15.75" customHeight="1" x14ac:dyDescent="0.3">
      <c r="A690" s="32"/>
      <c r="B690" s="32"/>
      <c r="C690" s="32"/>
      <c r="D690" s="32"/>
      <c r="E690" s="32"/>
      <c r="F690" s="32"/>
    </row>
    <row r="691" spans="1:6" ht="15.75" customHeight="1" x14ac:dyDescent="0.3">
      <c r="A691" s="32"/>
      <c r="B691" s="32"/>
      <c r="C691" s="32"/>
      <c r="D691" s="32"/>
      <c r="E691" s="32"/>
      <c r="F691" s="32"/>
    </row>
    <row r="692" spans="1:6" ht="15.75" customHeight="1" x14ac:dyDescent="0.3">
      <c r="A692" s="32"/>
      <c r="B692" s="32"/>
      <c r="C692" s="32"/>
      <c r="D692" s="32"/>
      <c r="E692" s="32"/>
      <c r="F692" s="32"/>
    </row>
    <row r="693" spans="1:6" ht="15.75" customHeight="1" x14ac:dyDescent="0.3">
      <c r="A693" s="32"/>
      <c r="B693" s="32"/>
      <c r="C693" s="32"/>
      <c r="D693" s="32"/>
      <c r="E693" s="32"/>
      <c r="F693" s="32"/>
    </row>
    <row r="694" spans="1:6" ht="15.75" customHeight="1" x14ac:dyDescent="0.3">
      <c r="A694" s="32"/>
      <c r="B694" s="32"/>
      <c r="C694" s="32"/>
      <c r="D694" s="32"/>
      <c r="E694" s="32"/>
      <c r="F694" s="32"/>
    </row>
    <row r="695" spans="1:6" ht="15.75" customHeight="1" x14ac:dyDescent="0.3">
      <c r="A695" s="32"/>
      <c r="B695" s="32"/>
      <c r="C695" s="32"/>
      <c r="D695" s="32"/>
      <c r="E695" s="32"/>
      <c r="F695" s="32"/>
    </row>
    <row r="696" spans="1:6" ht="15.75" customHeight="1" x14ac:dyDescent="0.3">
      <c r="A696" s="32"/>
      <c r="B696" s="32"/>
      <c r="C696" s="32"/>
      <c r="D696" s="32"/>
      <c r="E696" s="32"/>
      <c r="F696" s="32"/>
    </row>
    <row r="697" spans="1:6" ht="15.75" customHeight="1" x14ac:dyDescent="0.3">
      <c r="A697" s="32"/>
      <c r="B697" s="32"/>
      <c r="C697" s="32"/>
      <c r="D697" s="32"/>
      <c r="E697" s="32"/>
      <c r="F697" s="32"/>
    </row>
    <row r="698" spans="1:6" ht="15.75" customHeight="1" x14ac:dyDescent="0.3">
      <c r="A698" s="32"/>
      <c r="B698" s="32"/>
      <c r="C698" s="32"/>
      <c r="D698" s="32"/>
      <c r="E698" s="32"/>
      <c r="F698" s="32"/>
    </row>
    <row r="699" spans="1:6" ht="15.75" customHeight="1" x14ac:dyDescent="0.3">
      <c r="A699" s="32"/>
      <c r="B699" s="32"/>
      <c r="C699" s="32"/>
      <c r="D699" s="32"/>
      <c r="E699" s="32"/>
      <c r="F699" s="32"/>
    </row>
    <row r="700" spans="1:6" ht="15.75" customHeight="1" x14ac:dyDescent="0.3">
      <c r="A700" s="32"/>
      <c r="B700" s="32"/>
      <c r="C700" s="32"/>
      <c r="D700" s="32"/>
      <c r="E700" s="32"/>
      <c r="F700" s="32"/>
    </row>
    <row r="701" spans="1:6" ht="15.75" customHeight="1" x14ac:dyDescent="0.3">
      <c r="A701" s="32"/>
      <c r="B701" s="32"/>
      <c r="C701" s="32"/>
      <c r="D701" s="32"/>
      <c r="E701" s="32"/>
      <c r="F701" s="32"/>
    </row>
    <row r="702" spans="1:6" ht="15.75" customHeight="1" x14ac:dyDescent="0.3">
      <c r="A702" s="32"/>
      <c r="B702" s="32"/>
      <c r="C702" s="32"/>
      <c r="D702" s="32"/>
      <c r="E702" s="32"/>
      <c r="F702" s="32"/>
    </row>
    <row r="703" spans="1:6" ht="15.75" customHeight="1" x14ac:dyDescent="0.3">
      <c r="A703" s="32"/>
      <c r="B703" s="32"/>
      <c r="C703" s="32"/>
      <c r="D703" s="32"/>
      <c r="E703" s="32"/>
      <c r="F703" s="32"/>
    </row>
    <row r="704" spans="1:6" ht="15.75" customHeight="1" x14ac:dyDescent="0.3">
      <c r="A704" s="32"/>
      <c r="B704" s="32"/>
      <c r="C704" s="32"/>
      <c r="D704" s="32"/>
      <c r="E704" s="32"/>
      <c r="F704" s="32"/>
    </row>
    <row r="705" spans="1:6" ht="15.75" customHeight="1" x14ac:dyDescent="0.3">
      <c r="A705" s="32"/>
      <c r="B705" s="32"/>
      <c r="C705" s="32"/>
      <c r="D705" s="32"/>
      <c r="E705" s="32"/>
      <c r="F705" s="32"/>
    </row>
    <row r="706" spans="1:6" ht="15.75" customHeight="1" x14ac:dyDescent="0.3">
      <c r="A706" s="32"/>
      <c r="B706" s="32"/>
      <c r="C706" s="32"/>
      <c r="D706" s="32"/>
      <c r="E706" s="32"/>
      <c r="F706" s="32"/>
    </row>
    <row r="707" spans="1:6" ht="15.75" customHeight="1" x14ac:dyDescent="0.3">
      <c r="A707" s="32"/>
      <c r="B707" s="32"/>
      <c r="C707" s="32"/>
      <c r="D707" s="32"/>
      <c r="E707" s="32"/>
      <c r="F707" s="32"/>
    </row>
    <row r="708" spans="1:6" ht="15.75" customHeight="1" x14ac:dyDescent="0.3">
      <c r="A708" s="32"/>
      <c r="B708" s="32"/>
      <c r="C708" s="32"/>
      <c r="D708" s="32"/>
      <c r="E708" s="32"/>
      <c r="F708" s="32"/>
    </row>
    <row r="709" spans="1:6" ht="15.75" customHeight="1" x14ac:dyDescent="0.3">
      <c r="A709" s="32"/>
      <c r="B709" s="32"/>
      <c r="C709" s="32"/>
      <c r="D709" s="32"/>
      <c r="E709" s="32"/>
      <c r="F709" s="32"/>
    </row>
    <row r="710" spans="1:6" ht="15.75" customHeight="1" x14ac:dyDescent="0.3">
      <c r="A710" s="32"/>
      <c r="B710" s="32"/>
      <c r="C710" s="32"/>
      <c r="D710" s="32"/>
      <c r="E710" s="32"/>
      <c r="F710" s="32"/>
    </row>
    <row r="711" spans="1:6" ht="15.75" customHeight="1" x14ac:dyDescent="0.3">
      <c r="A711" s="32"/>
      <c r="B711" s="32"/>
      <c r="C711" s="32"/>
      <c r="D711" s="32"/>
      <c r="E711" s="32"/>
      <c r="F711" s="32"/>
    </row>
    <row r="712" spans="1:6" ht="15.75" customHeight="1" x14ac:dyDescent="0.3">
      <c r="A712" s="32"/>
      <c r="B712" s="32"/>
      <c r="C712" s="32"/>
      <c r="D712" s="32"/>
      <c r="E712" s="32"/>
      <c r="F712" s="32"/>
    </row>
    <row r="713" spans="1:6" ht="15.75" customHeight="1" x14ac:dyDescent="0.3">
      <c r="A713" s="32"/>
      <c r="B713" s="32"/>
      <c r="C713" s="32"/>
      <c r="D713" s="32"/>
      <c r="E713" s="32"/>
      <c r="F713" s="32"/>
    </row>
    <row r="714" spans="1:6" ht="15.75" customHeight="1" x14ac:dyDescent="0.3">
      <c r="A714" s="32"/>
      <c r="B714" s="32"/>
      <c r="C714" s="32"/>
      <c r="D714" s="32"/>
      <c r="E714" s="32"/>
      <c r="F714" s="32"/>
    </row>
    <row r="715" spans="1:6" ht="15.75" customHeight="1" x14ac:dyDescent="0.3">
      <c r="A715" s="32"/>
      <c r="B715" s="32"/>
      <c r="C715" s="32"/>
      <c r="D715" s="32"/>
      <c r="E715" s="32"/>
      <c r="F715" s="32"/>
    </row>
    <row r="716" spans="1:6" ht="15.75" customHeight="1" x14ac:dyDescent="0.3">
      <c r="A716" s="32"/>
      <c r="B716" s="32"/>
      <c r="C716" s="32"/>
      <c r="D716" s="32"/>
      <c r="E716" s="32"/>
      <c r="F716" s="32"/>
    </row>
    <row r="717" spans="1:6" ht="15.75" customHeight="1" x14ac:dyDescent="0.3">
      <c r="A717" s="32"/>
      <c r="B717" s="32"/>
      <c r="C717" s="32"/>
      <c r="D717" s="32"/>
      <c r="E717" s="32"/>
      <c r="F717" s="32"/>
    </row>
    <row r="718" spans="1:6" ht="15.75" customHeight="1" x14ac:dyDescent="0.3">
      <c r="A718" s="32"/>
      <c r="B718" s="32"/>
      <c r="C718" s="32"/>
      <c r="D718" s="32"/>
      <c r="E718" s="32"/>
      <c r="F718" s="32"/>
    </row>
    <row r="719" spans="1:6" ht="15.75" customHeight="1" x14ac:dyDescent="0.3">
      <c r="A719" s="32"/>
      <c r="B719" s="32"/>
      <c r="C719" s="32"/>
      <c r="D719" s="32"/>
      <c r="E719" s="32"/>
      <c r="F719" s="32"/>
    </row>
    <row r="720" spans="1:6" ht="15.75" customHeight="1" x14ac:dyDescent="0.3">
      <c r="A720" s="32"/>
      <c r="B720" s="32"/>
      <c r="C720" s="32"/>
      <c r="D720" s="32"/>
      <c r="E720" s="32"/>
      <c r="F720" s="32"/>
    </row>
    <row r="721" spans="1:6" ht="15.75" customHeight="1" x14ac:dyDescent="0.3">
      <c r="A721" s="32"/>
      <c r="B721" s="32"/>
      <c r="C721" s="32"/>
      <c r="D721" s="32"/>
      <c r="E721" s="32"/>
      <c r="F721" s="32"/>
    </row>
    <row r="722" spans="1:6" ht="15.75" customHeight="1" x14ac:dyDescent="0.3">
      <c r="A722" s="32"/>
      <c r="B722" s="32"/>
      <c r="C722" s="32"/>
      <c r="D722" s="32"/>
      <c r="E722" s="32"/>
      <c r="F722" s="32"/>
    </row>
    <row r="723" spans="1:6" ht="15.75" customHeight="1" x14ac:dyDescent="0.3">
      <c r="A723" s="32"/>
      <c r="B723" s="32"/>
      <c r="C723" s="32"/>
      <c r="D723" s="32"/>
      <c r="E723" s="32"/>
      <c r="F723" s="32"/>
    </row>
    <row r="724" spans="1:6" ht="15.75" customHeight="1" x14ac:dyDescent="0.3">
      <c r="A724" s="32"/>
      <c r="B724" s="32"/>
      <c r="C724" s="32"/>
      <c r="D724" s="32"/>
      <c r="E724" s="32"/>
      <c r="F724" s="32"/>
    </row>
    <row r="725" spans="1:6" ht="15.75" customHeight="1" x14ac:dyDescent="0.3">
      <c r="A725" s="32"/>
      <c r="B725" s="32"/>
      <c r="C725" s="32"/>
      <c r="D725" s="32"/>
      <c r="E725" s="32"/>
      <c r="F725" s="32"/>
    </row>
    <row r="726" spans="1:6" ht="15.75" customHeight="1" x14ac:dyDescent="0.3">
      <c r="A726" s="32"/>
      <c r="B726" s="32"/>
      <c r="C726" s="32"/>
      <c r="D726" s="32"/>
      <c r="E726" s="32"/>
      <c r="F726" s="32"/>
    </row>
    <row r="727" spans="1:6" ht="15.75" customHeight="1" x14ac:dyDescent="0.3">
      <c r="A727" s="32"/>
      <c r="B727" s="32"/>
      <c r="C727" s="32"/>
      <c r="D727" s="32"/>
      <c r="E727" s="32"/>
      <c r="F727" s="32"/>
    </row>
    <row r="728" spans="1:6" ht="15.75" customHeight="1" x14ac:dyDescent="0.3">
      <c r="A728" s="32"/>
      <c r="B728" s="32"/>
      <c r="C728" s="32"/>
      <c r="D728" s="32"/>
      <c r="E728" s="32"/>
      <c r="F728" s="32"/>
    </row>
    <row r="729" spans="1:6" ht="15.75" customHeight="1" x14ac:dyDescent="0.3">
      <c r="A729" s="32"/>
      <c r="B729" s="32"/>
      <c r="C729" s="32"/>
      <c r="D729" s="32"/>
      <c r="E729" s="32"/>
      <c r="F729" s="32"/>
    </row>
    <row r="730" spans="1:6" ht="15.75" customHeight="1" x14ac:dyDescent="0.3">
      <c r="A730" s="32"/>
      <c r="B730" s="32"/>
      <c r="C730" s="32"/>
      <c r="D730" s="32"/>
      <c r="E730" s="32"/>
      <c r="F730" s="32"/>
    </row>
    <row r="731" spans="1:6" ht="15.75" customHeight="1" x14ac:dyDescent="0.3">
      <c r="A731" s="32"/>
      <c r="B731" s="32"/>
      <c r="C731" s="32"/>
      <c r="D731" s="32"/>
      <c r="E731" s="32"/>
      <c r="F731" s="32"/>
    </row>
    <row r="732" spans="1:6" ht="15.75" customHeight="1" x14ac:dyDescent="0.3">
      <c r="A732" s="32"/>
      <c r="B732" s="32"/>
      <c r="C732" s="32"/>
      <c r="D732" s="32"/>
      <c r="E732" s="32"/>
      <c r="F732" s="32"/>
    </row>
    <row r="733" spans="1:6" ht="15.75" customHeight="1" x14ac:dyDescent="0.3">
      <c r="A733" s="32"/>
      <c r="B733" s="32"/>
      <c r="C733" s="32"/>
      <c r="D733" s="32"/>
      <c r="E733" s="32"/>
      <c r="F733" s="32"/>
    </row>
    <row r="734" spans="1:6" ht="15.75" customHeight="1" x14ac:dyDescent="0.3">
      <c r="A734" s="32"/>
      <c r="B734" s="32"/>
      <c r="C734" s="32"/>
      <c r="D734" s="32"/>
      <c r="E734" s="32"/>
      <c r="F734" s="32"/>
    </row>
    <row r="735" spans="1:6" ht="15.75" customHeight="1" x14ac:dyDescent="0.3">
      <c r="A735" s="32"/>
      <c r="B735" s="32"/>
      <c r="C735" s="32"/>
      <c r="D735" s="32"/>
      <c r="E735" s="32"/>
      <c r="F735" s="32"/>
    </row>
    <row r="736" spans="1:6" ht="15.75" customHeight="1" x14ac:dyDescent="0.3">
      <c r="A736" s="32"/>
      <c r="B736" s="32"/>
      <c r="C736" s="32"/>
      <c r="D736" s="32"/>
      <c r="E736" s="32"/>
      <c r="F736" s="32"/>
    </row>
    <row r="737" spans="1:6" ht="15.75" customHeight="1" x14ac:dyDescent="0.3">
      <c r="A737" s="32"/>
      <c r="B737" s="32"/>
      <c r="C737" s="32"/>
      <c r="D737" s="32"/>
      <c r="E737" s="32"/>
      <c r="F737" s="32"/>
    </row>
    <row r="738" spans="1:6" ht="15.75" customHeight="1" x14ac:dyDescent="0.3">
      <c r="A738" s="32"/>
      <c r="B738" s="32"/>
      <c r="C738" s="32"/>
      <c r="D738" s="32"/>
      <c r="E738" s="32"/>
      <c r="F738" s="32"/>
    </row>
    <row r="739" spans="1:6" ht="15.75" customHeight="1" x14ac:dyDescent="0.3">
      <c r="A739" s="32"/>
      <c r="B739" s="32"/>
      <c r="C739" s="32"/>
      <c r="D739" s="32"/>
      <c r="E739" s="32"/>
      <c r="F739" s="32"/>
    </row>
    <row r="740" spans="1:6" ht="15.75" customHeight="1" x14ac:dyDescent="0.3">
      <c r="A740" s="32"/>
      <c r="B740" s="32"/>
      <c r="C740" s="32"/>
      <c r="D740" s="32"/>
      <c r="E740" s="32"/>
      <c r="F740" s="32"/>
    </row>
    <row r="741" spans="1:6" ht="15.75" customHeight="1" x14ac:dyDescent="0.3">
      <c r="A741" s="32"/>
      <c r="B741" s="32"/>
      <c r="C741" s="32"/>
      <c r="D741" s="32"/>
      <c r="E741" s="32"/>
      <c r="F741" s="32"/>
    </row>
    <row r="742" spans="1:6" ht="15.75" customHeight="1" x14ac:dyDescent="0.3">
      <c r="A742" s="32"/>
      <c r="B742" s="32"/>
      <c r="C742" s="32"/>
      <c r="D742" s="32"/>
      <c r="E742" s="32"/>
      <c r="F742" s="32"/>
    </row>
    <row r="743" spans="1:6" ht="15.75" customHeight="1" x14ac:dyDescent="0.3">
      <c r="A743" s="32"/>
      <c r="B743" s="32"/>
      <c r="C743" s="32"/>
      <c r="D743" s="32"/>
      <c r="E743" s="32"/>
      <c r="F743" s="32"/>
    </row>
    <row r="744" spans="1:6" ht="15.75" customHeight="1" x14ac:dyDescent="0.3">
      <c r="A744" s="32"/>
      <c r="B744" s="32"/>
      <c r="C744" s="32"/>
      <c r="D744" s="32"/>
      <c r="E744" s="32"/>
      <c r="F744" s="32"/>
    </row>
    <row r="745" spans="1:6" ht="15.75" customHeight="1" x14ac:dyDescent="0.3">
      <c r="A745" s="32"/>
      <c r="B745" s="32"/>
      <c r="C745" s="32"/>
      <c r="D745" s="32"/>
      <c r="E745" s="32"/>
      <c r="F745" s="32"/>
    </row>
    <row r="746" spans="1:6" ht="15.75" customHeight="1" x14ac:dyDescent="0.3">
      <c r="A746" s="32"/>
      <c r="B746" s="32"/>
      <c r="C746" s="32"/>
      <c r="D746" s="32"/>
      <c r="E746" s="32"/>
      <c r="F746" s="32"/>
    </row>
    <row r="747" spans="1:6" ht="15.75" customHeight="1" x14ac:dyDescent="0.3">
      <c r="A747" s="32"/>
      <c r="B747" s="32"/>
      <c r="C747" s="32"/>
      <c r="D747" s="32"/>
      <c r="E747" s="32"/>
      <c r="F747" s="32"/>
    </row>
    <row r="748" spans="1:6" ht="15.75" customHeight="1" x14ac:dyDescent="0.3">
      <c r="A748" s="32"/>
      <c r="B748" s="32"/>
      <c r="C748" s="32"/>
      <c r="D748" s="32"/>
      <c r="E748" s="32"/>
      <c r="F748" s="32"/>
    </row>
    <row r="749" spans="1:6" ht="15.75" customHeight="1" x14ac:dyDescent="0.3">
      <c r="A749" s="32"/>
      <c r="B749" s="32"/>
      <c r="C749" s="32"/>
      <c r="D749" s="32"/>
      <c r="E749" s="32"/>
      <c r="F749" s="32"/>
    </row>
    <row r="750" spans="1:6" ht="15.75" customHeight="1" x14ac:dyDescent="0.3">
      <c r="A750" s="32"/>
      <c r="B750" s="32"/>
      <c r="C750" s="32"/>
      <c r="D750" s="32"/>
      <c r="E750" s="32"/>
      <c r="F750" s="32"/>
    </row>
    <row r="751" spans="1:6" ht="15.75" customHeight="1" x14ac:dyDescent="0.3">
      <c r="A751" s="32"/>
      <c r="B751" s="32"/>
      <c r="C751" s="32"/>
      <c r="D751" s="32"/>
      <c r="E751" s="32"/>
      <c r="F751" s="32"/>
    </row>
    <row r="752" spans="1:6" ht="15.75" customHeight="1" x14ac:dyDescent="0.3">
      <c r="A752" s="32"/>
      <c r="B752" s="32"/>
      <c r="C752" s="32"/>
      <c r="D752" s="32"/>
      <c r="E752" s="32"/>
      <c r="F752" s="32"/>
    </row>
    <row r="753" spans="1:6" ht="15.75" customHeight="1" x14ac:dyDescent="0.3">
      <c r="A753" s="32"/>
      <c r="B753" s="32"/>
      <c r="C753" s="32"/>
      <c r="D753" s="32"/>
      <c r="E753" s="32"/>
      <c r="F753" s="32"/>
    </row>
    <row r="754" spans="1:6" ht="15.75" customHeight="1" x14ac:dyDescent="0.3">
      <c r="A754" s="32"/>
      <c r="B754" s="32"/>
      <c r="C754" s="32"/>
      <c r="D754" s="32"/>
      <c r="E754" s="32"/>
      <c r="F754" s="32"/>
    </row>
    <row r="755" spans="1:6" ht="15.75" customHeight="1" x14ac:dyDescent="0.3">
      <c r="A755" s="32"/>
      <c r="B755" s="32"/>
      <c r="C755" s="32"/>
      <c r="D755" s="32"/>
      <c r="E755" s="32"/>
      <c r="F755" s="32"/>
    </row>
    <row r="756" spans="1:6" ht="15.75" customHeight="1" x14ac:dyDescent="0.3">
      <c r="A756" s="32"/>
      <c r="B756" s="32"/>
      <c r="C756" s="32"/>
      <c r="D756" s="32"/>
      <c r="E756" s="32"/>
      <c r="F756" s="32"/>
    </row>
    <row r="757" spans="1:6" ht="15.75" customHeight="1" x14ac:dyDescent="0.3">
      <c r="A757" s="32"/>
      <c r="B757" s="32"/>
      <c r="C757" s="32"/>
      <c r="D757" s="32"/>
      <c r="E757" s="32"/>
      <c r="F757" s="32"/>
    </row>
    <row r="758" spans="1:6" ht="15.75" customHeight="1" x14ac:dyDescent="0.3">
      <c r="A758" s="32"/>
      <c r="B758" s="32"/>
      <c r="C758" s="32"/>
      <c r="D758" s="32"/>
      <c r="E758" s="32"/>
      <c r="F758" s="32"/>
    </row>
    <row r="759" spans="1:6" ht="15.75" customHeight="1" x14ac:dyDescent="0.3">
      <c r="A759" s="32"/>
      <c r="B759" s="32"/>
      <c r="C759" s="32"/>
      <c r="D759" s="32"/>
      <c r="E759" s="32"/>
      <c r="F759" s="32"/>
    </row>
    <row r="760" spans="1:6" ht="15.75" customHeight="1" x14ac:dyDescent="0.3">
      <c r="A760" s="32"/>
      <c r="B760" s="32"/>
      <c r="C760" s="32"/>
      <c r="D760" s="32"/>
      <c r="E760" s="32"/>
      <c r="F760" s="32"/>
    </row>
    <row r="761" spans="1:6" ht="15.75" customHeight="1" x14ac:dyDescent="0.3">
      <c r="A761" s="32"/>
      <c r="B761" s="32"/>
      <c r="C761" s="32"/>
      <c r="D761" s="32"/>
      <c r="E761" s="32"/>
      <c r="F761" s="32"/>
    </row>
    <row r="762" spans="1:6" ht="15.75" customHeight="1" x14ac:dyDescent="0.3">
      <c r="A762" s="32"/>
      <c r="B762" s="32"/>
      <c r="C762" s="32"/>
      <c r="D762" s="32"/>
      <c r="E762" s="32"/>
      <c r="F762" s="32"/>
    </row>
    <row r="763" spans="1:6" ht="15.75" customHeight="1" x14ac:dyDescent="0.3">
      <c r="A763" s="32"/>
      <c r="B763" s="32"/>
      <c r="C763" s="32"/>
      <c r="D763" s="32"/>
      <c r="E763" s="32"/>
      <c r="F763" s="32"/>
    </row>
    <row r="764" spans="1:6" ht="15.75" customHeight="1" x14ac:dyDescent="0.3">
      <c r="A764" s="32"/>
      <c r="B764" s="32"/>
      <c r="C764" s="32"/>
      <c r="D764" s="32"/>
      <c r="E764" s="32"/>
      <c r="F764" s="32"/>
    </row>
    <row r="765" spans="1:6" ht="15.75" customHeight="1" x14ac:dyDescent="0.3">
      <c r="A765" s="32"/>
      <c r="B765" s="32"/>
      <c r="C765" s="32"/>
      <c r="D765" s="32"/>
      <c r="E765" s="32"/>
      <c r="F765" s="32"/>
    </row>
    <row r="766" spans="1:6" ht="15.75" customHeight="1" x14ac:dyDescent="0.3">
      <c r="A766" s="32"/>
      <c r="B766" s="32"/>
      <c r="C766" s="32"/>
      <c r="D766" s="32"/>
      <c r="E766" s="32"/>
      <c r="F766" s="32"/>
    </row>
    <row r="767" spans="1:6" ht="15.75" customHeight="1" x14ac:dyDescent="0.3">
      <c r="A767" s="32"/>
      <c r="B767" s="32"/>
      <c r="C767" s="32"/>
      <c r="D767" s="32"/>
      <c r="E767" s="32"/>
      <c r="F767" s="32"/>
    </row>
    <row r="768" spans="1:6" ht="15.75" customHeight="1" x14ac:dyDescent="0.3">
      <c r="A768" s="32"/>
      <c r="B768" s="32"/>
      <c r="C768" s="32"/>
      <c r="D768" s="32"/>
      <c r="E768" s="32"/>
      <c r="F768" s="32"/>
    </row>
    <row r="769" spans="1:6" ht="15.75" customHeight="1" x14ac:dyDescent="0.3">
      <c r="A769" s="32"/>
      <c r="B769" s="32"/>
      <c r="C769" s="32"/>
      <c r="D769" s="32"/>
      <c r="E769" s="32"/>
      <c r="F769" s="32"/>
    </row>
    <row r="770" spans="1:6" ht="15.75" customHeight="1" x14ac:dyDescent="0.3">
      <c r="A770" s="32"/>
      <c r="B770" s="32"/>
      <c r="C770" s="32"/>
      <c r="D770" s="32"/>
      <c r="E770" s="32"/>
      <c r="F770" s="32"/>
    </row>
    <row r="771" spans="1:6" ht="15.75" customHeight="1" x14ac:dyDescent="0.3">
      <c r="A771" s="32"/>
      <c r="B771" s="32"/>
      <c r="C771" s="32"/>
      <c r="D771" s="32"/>
      <c r="E771" s="32"/>
      <c r="F771" s="32"/>
    </row>
    <row r="772" spans="1:6" ht="15.75" customHeight="1" x14ac:dyDescent="0.3">
      <c r="A772" s="32"/>
      <c r="B772" s="32"/>
      <c r="C772" s="32"/>
      <c r="D772" s="32"/>
      <c r="E772" s="32"/>
      <c r="F772" s="32"/>
    </row>
    <row r="773" spans="1:6" ht="15.75" customHeight="1" x14ac:dyDescent="0.3">
      <c r="A773" s="32"/>
      <c r="B773" s="32"/>
      <c r="C773" s="32"/>
      <c r="D773" s="32"/>
      <c r="E773" s="32"/>
      <c r="F773" s="32"/>
    </row>
    <row r="774" spans="1:6" ht="15.75" customHeight="1" x14ac:dyDescent="0.3">
      <c r="A774" s="32"/>
      <c r="B774" s="32"/>
      <c r="C774" s="32"/>
      <c r="D774" s="32"/>
      <c r="E774" s="32"/>
      <c r="F774" s="32"/>
    </row>
    <row r="775" spans="1:6" ht="15.75" customHeight="1" x14ac:dyDescent="0.3">
      <c r="A775" s="32"/>
      <c r="B775" s="32"/>
      <c r="C775" s="32"/>
      <c r="D775" s="32"/>
      <c r="E775" s="32"/>
      <c r="F775" s="32"/>
    </row>
    <row r="776" spans="1:6" ht="15.75" customHeight="1" x14ac:dyDescent="0.3">
      <c r="A776" s="32"/>
      <c r="B776" s="32"/>
      <c r="C776" s="32"/>
      <c r="D776" s="32"/>
      <c r="E776" s="32"/>
      <c r="F776" s="32"/>
    </row>
    <row r="777" spans="1:6" ht="15.75" customHeight="1" x14ac:dyDescent="0.3">
      <c r="A777" s="32"/>
      <c r="B777" s="32"/>
      <c r="C777" s="32"/>
      <c r="D777" s="32"/>
      <c r="E777" s="32"/>
      <c r="F777" s="32"/>
    </row>
    <row r="778" spans="1:6" ht="15.75" customHeight="1" x14ac:dyDescent="0.3">
      <c r="A778" s="32"/>
      <c r="B778" s="32"/>
      <c r="C778" s="32"/>
      <c r="D778" s="32"/>
      <c r="E778" s="32"/>
      <c r="F778" s="32"/>
    </row>
    <row r="779" spans="1:6" ht="15.75" customHeight="1" x14ac:dyDescent="0.3">
      <c r="A779" s="32"/>
      <c r="B779" s="32"/>
      <c r="C779" s="32"/>
      <c r="D779" s="32"/>
      <c r="E779" s="32"/>
      <c r="F779" s="32"/>
    </row>
    <row r="780" spans="1:6" ht="15.75" customHeight="1" x14ac:dyDescent="0.3">
      <c r="A780" s="32"/>
      <c r="B780" s="32"/>
      <c r="C780" s="32"/>
      <c r="D780" s="32"/>
      <c r="E780" s="32"/>
      <c r="F780" s="32"/>
    </row>
    <row r="781" spans="1:6" ht="15.75" customHeight="1" x14ac:dyDescent="0.3">
      <c r="A781" s="32"/>
      <c r="B781" s="32"/>
      <c r="C781" s="32"/>
      <c r="D781" s="32"/>
      <c r="E781" s="32"/>
      <c r="F781" s="32"/>
    </row>
    <row r="782" spans="1:6" ht="15.75" customHeight="1" x14ac:dyDescent="0.3">
      <c r="A782" s="32"/>
      <c r="B782" s="32"/>
      <c r="C782" s="32"/>
      <c r="D782" s="32"/>
      <c r="E782" s="32"/>
      <c r="F782" s="32"/>
    </row>
    <row r="783" spans="1:6" ht="15.75" customHeight="1" x14ac:dyDescent="0.3">
      <c r="A783" s="32"/>
      <c r="B783" s="32"/>
      <c r="C783" s="32"/>
      <c r="D783" s="32"/>
      <c r="E783" s="32"/>
      <c r="F783" s="32"/>
    </row>
    <row r="784" spans="1:6" ht="15.75" customHeight="1" x14ac:dyDescent="0.3">
      <c r="A784" s="32"/>
      <c r="B784" s="32"/>
      <c r="C784" s="32"/>
      <c r="D784" s="32"/>
      <c r="E784" s="32"/>
      <c r="F784" s="32"/>
    </row>
    <row r="785" spans="1:6" ht="15.75" customHeight="1" x14ac:dyDescent="0.3">
      <c r="A785" s="32"/>
      <c r="B785" s="32"/>
      <c r="C785" s="32"/>
      <c r="D785" s="32"/>
      <c r="E785" s="32"/>
      <c r="F785" s="32"/>
    </row>
    <row r="786" spans="1:6" ht="15.75" customHeight="1" x14ac:dyDescent="0.3">
      <c r="A786" s="32"/>
      <c r="B786" s="32"/>
      <c r="C786" s="32"/>
      <c r="D786" s="32"/>
      <c r="E786" s="32"/>
      <c r="F786" s="32"/>
    </row>
    <row r="787" spans="1:6" ht="15.75" customHeight="1" x14ac:dyDescent="0.3">
      <c r="A787" s="32"/>
      <c r="B787" s="32"/>
      <c r="C787" s="32"/>
      <c r="D787" s="32"/>
      <c r="E787" s="32"/>
      <c r="F787" s="32"/>
    </row>
    <row r="788" spans="1:6" ht="15.75" customHeight="1" x14ac:dyDescent="0.3">
      <c r="A788" s="32"/>
      <c r="B788" s="32"/>
      <c r="C788" s="32"/>
      <c r="D788" s="32"/>
      <c r="E788" s="32"/>
      <c r="F788" s="32"/>
    </row>
    <row r="789" spans="1:6" ht="15.75" customHeight="1" x14ac:dyDescent="0.3">
      <c r="A789" s="32"/>
      <c r="B789" s="32"/>
      <c r="C789" s="32"/>
      <c r="D789" s="32"/>
      <c r="E789" s="32"/>
      <c r="F789" s="32"/>
    </row>
    <row r="790" spans="1:6" ht="15.75" customHeight="1" x14ac:dyDescent="0.3">
      <c r="A790" s="32"/>
      <c r="B790" s="32"/>
      <c r="C790" s="32"/>
      <c r="D790" s="32"/>
      <c r="E790" s="32"/>
      <c r="F790" s="32"/>
    </row>
    <row r="791" spans="1:6" ht="15.75" customHeight="1" x14ac:dyDescent="0.3">
      <c r="A791" s="32"/>
      <c r="B791" s="32"/>
      <c r="C791" s="32"/>
      <c r="D791" s="32"/>
      <c r="E791" s="32"/>
      <c r="F791" s="32"/>
    </row>
    <row r="792" spans="1:6" ht="15.75" customHeight="1" x14ac:dyDescent="0.3">
      <c r="A792" s="32"/>
      <c r="B792" s="32"/>
      <c r="C792" s="32"/>
      <c r="D792" s="32"/>
      <c r="E792" s="32"/>
      <c r="F792" s="32"/>
    </row>
    <row r="793" spans="1:6" ht="15.75" customHeight="1" x14ac:dyDescent="0.3">
      <c r="A793" s="32"/>
      <c r="B793" s="32"/>
      <c r="C793" s="32"/>
      <c r="D793" s="32"/>
      <c r="E793" s="32"/>
      <c r="F793" s="32"/>
    </row>
    <row r="794" spans="1:6" ht="15.75" customHeight="1" x14ac:dyDescent="0.3">
      <c r="A794" s="32"/>
      <c r="B794" s="32"/>
      <c r="C794" s="32"/>
      <c r="D794" s="32"/>
      <c r="E794" s="32"/>
      <c r="F794" s="32"/>
    </row>
    <row r="795" spans="1:6" ht="15.75" customHeight="1" x14ac:dyDescent="0.3">
      <c r="A795" s="32"/>
      <c r="B795" s="32"/>
      <c r="C795" s="32"/>
      <c r="D795" s="32"/>
      <c r="E795" s="32"/>
      <c r="F795" s="32"/>
    </row>
    <row r="796" spans="1:6" ht="15.75" customHeight="1" x14ac:dyDescent="0.3">
      <c r="A796" s="32"/>
      <c r="B796" s="32"/>
      <c r="C796" s="32"/>
      <c r="D796" s="32"/>
      <c r="E796" s="32"/>
      <c r="F796" s="32"/>
    </row>
    <row r="797" spans="1:6" ht="15.75" customHeight="1" x14ac:dyDescent="0.3">
      <c r="A797" s="32"/>
      <c r="B797" s="32"/>
      <c r="C797" s="32"/>
      <c r="D797" s="32"/>
      <c r="E797" s="32"/>
      <c r="F797" s="32"/>
    </row>
    <row r="798" spans="1:6" ht="15.75" customHeight="1" x14ac:dyDescent="0.3">
      <c r="A798" s="32"/>
      <c r="B798" s="32"/>
      <c r="C798" s="32"/>
      <c r="D798" s="32"/>
      <c r="E798" s="32"/>
      <c r="F798" s="32"/>
    </row>
    <row r="799" spans="1:6" ht="15.75" customHeight="1" x14ac:dyDescent="0.3">
      <c r="A799" s="32"/>
      <c r="B799" s="32"/>
      <c r="C799" s="32"/>
      <c r="D799" s="32"/>
      <c r="E799" s="32"/>
      <c r="F799" s="32"/>
    </row>
    <row r="800" spans="1:6" ht="15.75" customHeight="1" x14ac:dyDescent="0.3">
      <c r="A800" s="32"/>
      <c r="B800" s="32"/>
      <c r="C800" s="32"/>
      <c r="D800" s="32"/>
      <c r="E800" s="32"/>
      <c r="F800" s="32"/>
    </row>
    <row r="801" spans="1:6" ht="15.75" customHeight="1" x14ac:dyDescent="0.3">
      <c r="A801" s="32"/>
      <c r="B801" s="32"/>
      <c r="C801" s="32"/>
      <c r="D801" s="32"/>
      <c r="E801" s="32"/>
      <c r="F801" s="32"/>
    </row>
    <row r="802" spans="1:6" ht="15.75" customHeight="1" x14ac:dyDescent="0.3">
      <c r="A802" s="32"/>
      <c r="B802" s="32"/>
      <c r="C802" s="32"/>
      <c r="D802" s="32"/>
      <c r="E802" s="32"/>
      <c r="F802" s="32"/>
    </row>
    <row r="803" spans="1:6" ht="15.75" customHeight="1" x14ac:dyDescent="0.3">
      <c r="A803" s="32"/>
      <c r="B803" s="32"/>
      <c r="C803" s="32"/>
      <c r="D803" s="32"/>
      <c r="E803" s="32"/>
      <c r="F803" s="32"/>
    </row>
    <row r="804" spans="1:6" ht="15.75" customHeight="1" x14ac:dyDescent="0.3">
      <c r="A804" s="32"/>
      <c r="B804" s="32"/>
      <c r="C804" s="32"/>
      <c r="D804" s="32"/>
      <c r="E804" s="32"/>
      <c r="F804" s="32"/>
    </row>
    <row r="805" spans="1:6" ht="15.75" customHeight="1" x14ac:dyDescent="0.3">
      <c r="A805" s="32"/>
      <c r="B805" s="32"/>
      <c r="C805" s="32"/>
      <c r="D805" s="32"/>
      <c r="E805" s="32"/>
      <c r="F805" s="32"/>
    </row>
    <row r="806" spans="1:6" ht="15.75" customHeight="1" x14ac:dyDescent="0.3">
      <c r="A806" s="32"/>
      <c r="B806" s="32"/>
      <c r="C806" s="32"/>
      <c r="D806" s="32"/>
      <c r="E806" s="32"/>
      <c r="F806" s="32"/>
    </row>
    <row r="807" spans="1:6" ht="15.75" customHeight="1" x14ac:dyDescent="0.3">
      <c r="A807" s="32"/>
      <c r="B807" s="32"/>
      <c r="C807" s="32"/>
      <c r="D807" s="32"/>
      <c r="E807" s="32"/>
      <c r="F807" s="32"/>
    </row>
    <row r="808" spans="1:6" ht="15.75" customHeight="1" x14ac:dyDescent="0.3">
      <c r="A808" s="32"/>
      <c r="B808" s="32"/>
      <c r="C808" s="32"/>
      <c r="D808" s="32"/>
      <c r="E808" s="32"/>
      <c r="F808" s="32"/>
    </row>
    <row r="809" spans="1:6" ht="15.75" customHeight="1" x14ac:dyDescent="0.3">
      <c r="A809" s="32"/>
      <c r="B809" s="32"/>
      <c r="C809" s="32"/>
      <c r="D809" s="32"/>
      <c r="E809" s="32"/>
      <c r="F809" s="32"/>
    </row>
    <row r="810" spans="1:6" ht="15.75" customHeight="1" x14ac:dyDescent="0.3">
      <c r="A810" s="32"/>
      <c r="B810" s="32"/>
      <c r="C810" s="32"/>
      <c r="D810" s="32"/>
      <c r="E810" s="32"/>
      <c r="F810" s="32"/>
    </row>
    <row r="811" spans="1:6" ht="15.75" customHeight="1" x14ac:dyDescent="0.3">
      <c r="A811" s="32"/>
      <c r="B811" s="32"/>
      <c r="C811" s="32"/>
      <c r="D811" s="32"/>
      <c r="E811" s="32"/>
      <c r="F811" s="32"/>
    </row>
    <row r="812" spans="1:6" ht="15.75" customHeight="1" x14ac:dyDescent="0.3">
      <c r="A812" s="32"/>
      <c r="B812" s="32"/>
      <c r="C812" s="32"/>
      <c r="D812" s="32"/>
      <c r="E812" s="32"/>
      <c r="F812" s="32"/>
    </row>
    <row r="813" spans="1:6" ht="15.75" customHeight="1" x14ac:dyDescent="0.3">
      <c r="A813" s="32"/>
      <c r="B813" s="32"/>
      <c r="C813" s="32"/>
      <c r="D813" s="32"/>
      <c r="E813" s="32"/>
      <c r="F813" s="32"/>
    </row>
    <row r="814" spans="1:6" ht="15.75" customHeight="1" x14ac:dyDescent="0.3">
      <c r="A814" s="32"/>
      <c r="B814" s="32"/>
      <c r="C814" s="32"/>
      <c r="D814" s="32"/>
      <c r="E814" s="32"/>
      <c r="F814" s="32"/>
    </row>
    <row r="815" spans="1:6" ht="15.75" customHeight="1" x14ac:dyDescent="0.3">
      <c r="A815" s="32"/>
      <c r="B815" s="32"/>
      <c r="C815" s="32"/>
      <c r="D815" s="32"/>
      <c r="E815" s="32"/>
      <c r="F815" s="32"/>
    </row>
    <row r="816" spans="1:6" ht="15.75" customHeight="1" x14ac:dyDescent="0.3">
      <c r="A816" s="32"/>
      <c r="B816" s="32"/>
      <c r="C816" s="32"/>
      <c r="D816" s="32"/>
      <c r="E816" s="32"/>
      <c r="F816" s="32"/>
    </row>
    <row r="817" spans="1:6" ht="15.75" customHeight="1" x14ac:dyDescent="0.3">
      <c r="A817" s="32"/>
      <c r="B817" s="32"/>
      <c r="C817" s="32"/>
      <c r="D817" s="32"/>
      <c r="E817" s="32"/>
      <c r="F817" s="32"/>
    </row>
    <row r="818" spans="1:6" ht="15.75" customHeight="1" x14ac:dyDescent="0.3">
      <c r="A818" s="32"/>
      <c r="B818" s="32"/>
      <c r="C818" s="32"/>
      <c r="D818" s="32"/>
      <c r="E818" s="32"/>
      <c r="F818" s="32"/>
    </row>
    <row r="819" spans="1:6" ht="15.75" customHeight="1" x14ac:dyDescent="0.3">
      <c r="A819" s="32"/>
      <c r="B819" s="32"/>
      <c r="C819" s="32"/>
      <c r="D819" s="32"/>
      <c r="E819" s="32"/>
      <c r="F819" s="32"/>
    </row>
    <row r="820" spans="1:6" ht="15.75" customHeight="1" x14ac:dyDescent="0.3">
      <c r="A820" s="32"/>
      <c r="B820" s="32"/>
      <c r="C820" s="32"/>
      <c r="D820" s="32"/>
      <c r="E820" s="32"/>
      <c r="F820" s="32"/>
    </row>
    <row r="821" spans="1:6" ht="15.75" customHeight="1" x14ac:dyDescent="0.3">
      <c r="A821" s="32"/>
      <c r="B821" s="32"/>
      <c r="C821" s="32"/>
      <c r="D821" s="32"/>
      <c r="E821" s="32"/>
      <c r="F821" s="32"/>
    </row>
    <row r="822" spans="1:6" ht="15.75" customHeight="1" x14ac:dyDescent="0.3">
      <c r="A822" s="32"/>
      <c r="B822" s="32"/>
      <c r="C822" s="32"/>
      <c r="D822" s="32"/>
      <c r="E822" s="32"/>
      <c r="F822" s="32"/>
    </row>
    <row r="823" spans="1:6" ht="15.75" customHeight="1" x14ac:dyDescent="0.3">
      <c r="A823" s="32"/>
      <c r="B823" s="32"/>
      <c r="C823" s="32"/>
      <c r="D823" s="32"/>
      <c r="E823" s="32"/>
      <c r="F823" s="32"/>
    </row>
    <row r="824" spans="1:6" ht="15.75" customHeight="1" x14ac:dyDescent="0.3">
      <c r="A824" s="32"/>
      <c r="B824" s="32"/>
      <c r="C824" s="32"/>
      <c r="D824" s="32"/>
      <c r="E824" s="32"/>
      <c r="F824" s="32"/>
    </row>
    <row r="825" spans="1:6" ht="15.75" customHeight="1" x14ac:dyDescent="0.3">
      <c r="A825" s="32"/>
      <c r="B825" s="32"/>
      <c r="C825" s="32"/>
      <c r="D825" s="32"/>
      <c r="E825" s="32"/>
      <c r="F825" s="32"/>
    </row>
    <row r="826" spans="1:6" ht="15.75" customHeight="1" x14ac:dyDescent="0.3">
      <c r="A826" s="32"/>
      <c r="B826" s="32"/>
      <c r="C826" s="32"/>
      <c r="D826" s="32"/>
      <c r="E826" s="32"/>
      <c r="F826" s="32"/>
    </row>
    <row r="827" spans="1:6" ht="15.75" customHeight="1" x14ac:dyDescent="0.3">
      <c r="A827" s="32"/>
      <c r="B827" s="32"/>
      <c r="C827" s="32"/>
      <c r="D827" s="32"/>
      <c r="E827" s="32"/>
      <c r="F827" s="32"/>
    </row>
    <row r="828" spans="1:6" ht="15.75" customHeight="1" x14ac:dyDescent="0.3">
      <c r="A828" s="32"/>
      <c r="B828" s="32"/>
      <c r="C828" s="32"/>
      <c r="D828" s="32"/>
      <c r="E828" s="32"/>
      <c r="F828" s="32"/>
    </row>
    <row r="829" spans="1:6" ht="15.75" customHeight="1" x14ac:dyDescent="0.3">
      <c r="A829" s="32"/>
      <c r="B829" s="32"/>
      <c r="C829" s="32"/>
      <c r="D829" s="32"/>
      <c r="E829" s="32"/>
      <c r="F829" s="32"/>
    </row>
    <row r="830" spans="1:6" ht="15.75" customHeight="1" x14ac:dyDescent="0.3">
      <c r="A830" s="32"/>
      <c r="B830" s="32"/>
      <c r="C830" s="32"/>
      <c r="D830" s="32"/>
      <c r="E830" s="32"/>
      <c r="F830" s="32"/>
    </row>
    <row r="831" spans="1:6" ht="15.75" customHeight="1" x14ac:dyDescent="0.3">
      <c r="A831" s="32"/>
      <c r="B831" s="32"/>
      <c r="C831" s="32"/>
      <c r="D831" s="32"/>
      <c r="E831" s="32"/>
      <c r="F831" s="32"/>
    </row>
    <row r="832" spans="1:6" ht="15.75" customHeight="1" x14ac:dyDescent="0.3">
      <c r="A832" s="32"/>
      <c r="B832" s="32"/>
      <c r="C832" s="32"/>
      <c r="D832" s="32"/>
      <c r="E832" s="32"/>
      <c r="F832" s="32"/>
    </row>
    <row r="833" spans="1:6" ht="15.75" customHeight="1" x14ac:dyDescent="0.3">
      <c r="A833" s="32"/>
      <c r="B833" s="32"/>
      <c r="C833" s="32"/>
      <c r="D833" s="32"/>
      <c r="E833" s="32"/>
      <c r="F833" s="32"/>
    </row>
    <row r="834" spans="1:6" ht="15.75" customHeight="1" x14ac:dyDescent="0.3">
      <c r="A834" s="32"/>
      <c r="B834" s="32"/>
      <c r="C834" s="32"/>
      <c r="D834" s="32"/>
      <c r="E834" s="32"/>
      <c r="F834" s="32"/>
    </row>
    <row r="835" spans="1:6" ht="15.75" customHeight="1" x14ac:dyDescent="0.3">
      <c r="A835" s="32"/>
      <c r="B835" s="32"/>
      <c r="C835" s="32"/>
      <c r="D835" s="32"/>
      <c r="E835" s="32"/>
      <c r="F835" s="32"/>
    </row>
    <row r="836" spans="1:6" ht="15.75" customHeight="1" x14ac:dyDescent="0.3">
      <c r="A836" s="32"/>
      <c r="B836" s="32"/>
      <c r="C836" s="32"/>
      <c r="D836" s="32"/>
      <c r="E836" s="32"/>
      <c r="F836" s="32"/>
    </row>
    <row r="837" spans="1:6" ht="15.75" customHeight="1" x14ac:dyDescent="0.3">
      <c r="A837" s="32"/>
      <c r="B837" s="32"/>
      <c r="C837" s="32"/>
      <c r="D837" s="32"/>
      <c r="E837" s="32"/>
      <c r="F837" s="32"/>
    </row>
    <row r="838" spans="1:6" ht="15.75" customHeight="1" x14ac:dyDescent="0.3">
      <c r="A838" s="32"/>
      <c r="B838" s="32"/>
      <c r="C838" s="32"/>
      <c r="D838" s="32"/>
      <c r="E838" s="32"/>
      <c r="F838" s="32"/>
    </row>
    <row r="839" spans="1:6" ht="15.75" customHeight="1" x14ac:dyDescent="0.3">
      <c r="A839" s="32"/>
      <c r="B839" s="32"/>
      <c r="C839" s="32"/>
      <c r="D839" s="32"/>
      <c r="E839" s="32"/>
      <c r="F839" s="32"/>
    </row>
    <row r="840" spans="1:6" ht="15.75" customHeight="1" x14ac:dyDescent="0.3">
      <c r="A840" s="32"/>
      <c r="B840" s="32"/>
      <c r="C840" s="32"/>
      <c r="D840" s="32"/>
      <c r="E840" s="32"/>
      <c r="F840" s="32"/>
    </row>
    <row r="841" spans="1:6" ht="15.75" customHeight="1" x14ac:dyDescent="0.3">
      <c r="A841" s="32"/>
      <c r="B841" s="32"/>
      <c r="C841" s="32"/>
      <c r="D841" s="32"/>
      <c r="E841" s="32"/>
      <c r="F841" s="32"/>
    </row>
    <row r="842" spans="1:6" ht="15.75" customHeight="1" x14ac:dyDescent="0.3">
      <c r="A842" s="32"/>
      <c r="B842" s="32"/>
      <c r="C842" s="32"/>
      <c r="D842" s="32"/>
      <c r="E842" s="32"/>
      <c r="F842" s="32"/>
    </row>
    <row r="843" spans="1:6" ht="15.75" customHeight="1" x14ac:dyDescent="0.3">
      <c r="A843" s="32"/>
      <c r="B843" s="32"/>
      <c r="C843" s="32"/>
      <c r="D843" s="32"/>
      <c r="E843" s="32"/>
      <c r="F843" s="32"/>
    </row>
    <row r="844" spans="1:6" ht="15.75" customHeight="1" x14ac:dyDescent="0.3">
      <c r="A844" s="32"/>
      <c r="B844" s="32"/>
      <c r="C844" s="32"/>
      <c r="D844" s="32"/>
      <c r="E844" s="32"/>
      <c r="F844" s="32"/>
    </row>
    <row r="845" spans="1:6" ht="15.75" customHeight="1" x14ac:dyDescent="0.3">
      <c r="A845" s="32"/>
      <c r="B845" s="32"/>
      <c r="C845" s="32"/>
      <c r="D845" s="32"/>
      <c r="E845" s="32"/>
      <c r="F845" s="32"/>
    </row>
    <row r="846" spans="1:6" ht="15.75" customHeight="1" x14ac:dyDescent="0.3">
      <c r="A846" s="32"/>
      <c r="B846" s="32"/>
      <c r="C846" s="32"/>
      <c r="D846" s="32"/>
      <c r="E846" s="32"/>
      <c r="F846" s="32"/>
    </row>
    <row r="847" spans="1:6" ht="15.75" customHeight="1" x14ac:dyDescent="0.3">
      <c r="A847" s="32"/>
      <c r="B847" s="32"/>
      <c r="C847" s="32"/>
      <c r="D847" s="32"/>
      <c r="E847" s="32"/>
      <c r="F847" s="32"/>
    </row>
    <row r="848" spans="1:6" ht="15.75" customHeight="1" x14ac:dyDescent="0.3">
      <c r="A848" s="32"/>
      <c r="B848" s="32"/>
      <c r="C848" s="32"/>
      <c r="D848" s="32"/>
      <c r="E848" s="32"/>
      <c r="F848" s="32"/>
    </row>
    <row r="849" spans="1:6" ht="15.75" customHeight="1" x14ac:dyDescent="0.3">
      <c r="A849" s="32"/>
      <c r="B849" s="32"/>
      <c r="C849" s="32"/>
      <c r="D849" s="32"/>
      <c r="E849" s="32"/>
      <c r="F849" s="32"/>
    </row>
    <row r="850" spans="1:6" ht="15.75" customHeight="1" x14ac:dyDescent="0.3">
      <c r="A850" s="32"/>
      <c r="B850" s="32"/>
      <c r="C850" s="32"/>
      <c r="D850" s="32"/>
      <c r="E850" s="32"/>
      <c r="F850" s="32"/>
    </row>
    <row r="851" spans="1:6" ht="15.75" customHeight="1" x14ac:dyDescent="0.3">
      <c r="A851" s="32"/>
      <c r="B851" s="32"/>
      <c r="C851" s="32"/>
      <c r="D851" s="32"/>
      <c r="E851" s="32"/>
      <c r="F851" s="32"/>
    </row>
    <row r="852" spans="1:6" ht="15.75" customHeight="1" x14ac:dyDescent="0.3">
      <c r="A852" s="32"/>
      <c r="B852" s="32"/>
      <c r="C852" s="32"/>
      <c r="D852" s="32"/>
      <c r="E852" s="32"/>
      <c r="F852" s="32"/>
    </row>
    <row r="853" spans="1:6" ht="15.75" customHeight="1" x14ac:dyDescent="0.3">
      <c r="A853" s="32"/>
      <c r="B853" s="32"/>
      <c r="C853" s="32"/>
      <c r="D853" s="32"/>
      <c r="E853" s="32"/>
      <c r="F853" s="32"/>
    </row>
    <row r="854" spans="1:6" ht="15.75" customHeight="1" x14ac:dyDescent="0.3">
      <c r="A854" s="32"/>
      <c r="B854" s="32"/>
      <c r="C854" s="32"/>
      <c r="D854" s="32"/>
      <c r="E854" s="32"/>
      <c r="F854" s="32"/>
    </row>
    <row r="855" spans="1:6" ht="15.75" customHeight="1" x14ac:dyDescent="0.3">
      <c r="A855" s="32"/>
      <c r="B855" s="32"/>
      <c r="C855" s="32"/>
      <c r="D855" s="32"/>
      <c r="E855" s="32"/>
      <c r="F855" s="32"/>
    </row>
    <row r="856" spans="1:6" ht="15.75" customHeight="1" x14ac:dyDescent="0.3">
      <c r="A856" s="32"/>
      <c r="B856" s="32"/>
      <c r="C856" s="32"/>
      <c r="D856" s="32"/>
      <c r="E856" s="32"/>
      <c r="F856" s="32"/>
    </row>
    <row r="857" spans="1:6" ht="15.75" customHeight="1" x14ac:dyDescent="0.3">
      <c r="A857" s="32"/>
      <c r="B857" s="32"/>
      <c r="C857" s="32"/>
      <c r="D857" s="32"/>
      <c r="E857" s="32"/>
      <c r="F857" s="32"/>
    </row>
    <row r="858" spans="1:6" ht="15.75" customHeight="1" x14ac:dyDescent="0.3">
      <c r="A858" s="32"/>
      <c r="B858" s="32"/>
      <c r="C858" s="32"/>
      <c r="D858" s="32"/>
      <c r="E858" s="32"/>
      <c r="F858" s="32"/>
    </row>
    <row r="859" spans="1:6" ht="15.75" customHeight="1" x14ac:dyDescent="0.3">
      <c r="A859" s="32"/>
      <c r="B859" s="32"/>
      <c r="C859" s="32"/>
      <c r="D859" s="32"/>
      <c r="E859" s="32"/>
      <c r="F859" s="32"/>
    </row>
    <row r="860" spans="1:6" ht="15.75" customHeight="1" x14ac:dyDescent="0.3">
      <c r="A860" s="32"/>
      <c r="B860" s="32"/>
      <c r="C860" s="32"/>
      <c r="D860" s="32"/>
      <c r="E860" s="32"/>
      <c r="F860" s="32"/>
    </row>
    <row r="861" spans="1:6" ht="15.75" customHeight="1" x14ac:dyDescent="0.3">
      <c r="A861" s="32"/>
      <c r="B861" s="32"/>
      <c r="C861" s="32"/>
      <c r="D861" s="32"/>
      <c r="E861" s="32"/>
      <c r="F861" s="32"/>
    </row>
    <row r="862" spans="1:6" ht="15.75" customHeight="1" x14ac:dyDescent="0.3">
      <c r="A862" s="32"/>
      <c r="B862" s="32"/>
      <c r="C862" s="32"/>
      <c r="D862" s="32"/>
      <c r="E862" s="32"/>
      <c r="F862" s="32"/>
    </row>
    <row r="863" spans="1:6" ht="15.75" customHeight="1" x14ac:dyDescent="0.3">
      <c r="A863" s="32"/>
      <c r="B863" s="32"/>
      <c r="C863" s="32"/>
      <c r="D863" s="32"/>
      <c r="E863" s="32"/>
      <c r="F863" s="32"/>
    </row>
    <row r="864" spans="1:6" ht="15.75" customHeight="1" x14ac:dyDescent="0.3">
      <c r="A864" s="32"/>
      <c r="B864" s="32"/>
      <c r="C864" s="32"/>
      <c r="D864" s="32"/>
      <c r="E864" s="32"/>
      <c r="F864" s="32"/>
    </row>
    <row r="865" spans="1:6" ht="15.75" customHeight="1" x14ac:dyDescent="0.3">
      <c r="A865" s="32"/>
      <c r="B865" s="32"/>
      <c r="C865" s="32"/>
      <c r="D865" s="32"/>
      <c r="E865" s="32"/>
      <c r="F865" s="32"/>
    </row>
    <row r="866" spans="1:6" ht="15.75" customHeight="1" x14ac:dyDescent="0.3">
      <c r="A866" s="32"/>
      <c r="B866" s="32"/>
      <c r="C866" s="32"/>
      <c r="D866" s="32"/>
      <c r="E866" s="32"/>
      <c r="F866" s="32"/>
    </row>
    <row r="867" spans="1:6" ht="15.75" customHeight="1" x14ac:dyDescent="0.3">
      <c r="A867" s="32"/>
      <c r="B867" s="32"/>
      <c r="C867" s="32"/>
      <c r="D867" s="32"/>
      <c r="E867" s="32"/>
      <c r="F867" s="32"/>
    </row>
    <row r="868" spans="1:6" ht="15.75" customHeight="1" x14ac:dyDescent="0.3">
      <c r="A868" s="32"/>
      <c r="B868" s="32"/>
      <c r="C868" s="32"/>
      <c r="D868" s="32"/>
      <c r="E868" s="32"/>
      <c r="F868" s="32"/>
    </row>
    <row r="869" spans="1:6" ht="15.75" customHeight="1" x14ac:dyDescent="0.3">
      <c r="A869" s="32"/>
      <c r="B869" s="32"/>
      <c r="C869" s="32"/>
      <c r="D869" s="32"/>
      <c r="E869" s="32"/>
      <c r="F869" s="32"/>
    </row>
    <row r="870" spans="1:6" ht="15.75" customHeight="1" x14ac:dyDescent="0.3">
      <c r="A870" s="32"/>
      <c r="B870" s="32"/>
      <c r="C870" s="32"/>
      <c r="D870" s="32"/>
      <c r="E870" s="32"/>
      <c r="F870" s="32"/>
    </row>
    <row r="871" spans="1:6" ht="15.75" customHeight="1" x14ac:dyDescent="0.3">
      <c r="A871" s="32"/>
      <c r="B871" s="32"/>
      <c r="C871" s="32"/>
      <c r="D871" s="32"/>
      <c r="E871" s="32"/>
      <c r="F871" s="32"/>
    </row>
    <row r="872" spans="1:6" ht="15.75" customHeight="1" x14ac:dyDescent="0.3">
      <c r="A872" s="32"/>
      <c r="B872" s="32"/>
      <c r="C872" s="32"/>
      <c r="D872" s="32"/>
      <c r="E872" s="32"/>
      <c r="F872" s="32"/>
    </row>
    <row r="873" spans="1:6" ht="15.75" customHeight="1" x14ac:dyDescent="0.3">
      <c r="A873" s="32"/>
      <c r="B873" s="32"/>
      <c r="C873" s="32"/>
      <c r="D873" s="32"/>
      <c r="E873" s="32"/>
      <c r="F873" s="32"/>
    </row>
    <row r="874" spans="1:6" ht="15.75" customHeight="1" x14ac:dyDescent="0.3">
      <c r="A874" s="32"/>
      <c r="B874" s="32"/>
      <c r="C874" s="32"/>
      <c r="D874" s="32"/>
      <c r="E874" s="32"/>
      <c r="F874" s="32"/>
    </row>
    <row r="875" spans="1:6" ht="15.75" customHeight="1" x14ac:dyDescent="0.3">
      <c r="A875" s="32"/>
      <c r="B875" s="32"/>
      <c r="C875" s="32"/>
      <c r="D875" s="32"/>
      <c r="E875" s="32"/>
      <c r="F875" s="32"/>
    </row>
    <row r="876" spans="1:6" ht="15.75" customHeight="1" x14ac:dyDescent="0.3">
      <c r="A876" s="32"/>
      <c r="B876" s="32"/>
      <c r="C876" s="32"/>
      <c r="D876" s="32"/>
      <c r="E876" s="32"/>
      <c r="F876" s="32"/>
    </row>
    <row r="877" spans="1:6" ht="15.75" customHeight="1" x14ac:dyDescent="0.3">
      <c r="A877" s="32"/>
      <c r="B877" s="32"/>
      <c r="C877" s="32"/>
      <c r="D877" s="32"/>
      <c r="E877" s="32"/>
      <c r="F877" s="32"/>
    </row>
    <row r="878" spans="1:6" ht="15.75" customHeight="1" x14ac:dyDescent="0.3">
      <c r="A878" s="32"/>
      <c r="B878" s="32"/>
      <c r="C878" s="32"/>
      <c r="D878" s="32"/>
      <c r="E878" s="32"/>
      <c r="F878" s="32"/>
    </row>
    <row r="879" spans="1:6" ht="15.75" customHeight="1" x14ac:dyDescent="0.3">
      <c r="A879" s="32"/>
      <c r="B879" s="32"/>
      <c r="C879" s="32"/>
      <c r="D879" s="32"/>
      <c r="E879" s="32"/>
      <c r="F879" s="32"/>
    </row>
    <row r="880" spans="1:6" ht="15.75" customHeight="1" x14ac:dyDescent="0.3">
      <c r="A880" s="32"/>
      <c r="B880" s="32"/>
      <c r="C880" s="32"/>
      <c r="D880" s="32"/>
      <c r="E880" s="32"/>
      <c r="F880" s="32"/>
    </row>
    <row r="881" spans="1:6" ht="15.75" customHeight="1" x14ac:dyDescent="0.3">
      <c r="A881" s="32"/>
      <c r="B881" s="32"/>
      <c r="C881" s="32"/>
      <c r="D881" s="32"/>
      <c r="E881" s="32"/>
      <c r="F881" s="32"/>
    </row>
    <row r="882" spans="1:6" ht="15.75" customHeight="1" x14ac:dyDescent="0.3">
      <c r="A882" s="32"/>
      <c r="B882" s="32"/>
      <c r="C882" s="32"/>
      <c r="D882" s="32"/>
      <c r="E882" s="32"/>
      <c r="F882" s="32"/>
    </row>
    <row r="883" spans="1:6" ht="15.75" customHeight="1" x14ac:dyDescent="0.3">
      <c r="A883" s="32"/>
      <c r="B883" s="32"/>
      <c r="C883" s="32"/>
      <c r="D883" s="32"/>
      <c r="E883" s="32"/>
      <c r="F883" s="32"/>
    </row>
    <row r="884" spans="1:6" ht="15.75" customHeight="1" x14ac:dyDescent="0.3">
      <c r="A884" s="32"/>
      <c r="B884" s="32"/>
      <c r="C884" s="32"/>
      <c r="D884" s="32"/>
      <c r="E884" s="32"/>
      <c r="F884" s="32"/>
    </row>
    <row r="885" spans="1:6" ht="15.75" customHeight="1" x14ac:dyDescent="0.3">
      <c r="A885" s="32"/>
      <c r="B885" s="32"/>
      <c r="C885" s="32"/>
      <c r="D885" s="32"/>
      <c r="E885" s="32"/>
      <c r="F885" s="32"/>
    </row>
    <row r="886" spans="1:6" ht="15.75" customHeight="1" x14ac:dyDescent="0.3">
      <c r="A886" s="32"/>
      <c r="B886" s="32"/>
      <c r="C886" s="32"/>
      <c r="D886" s="32"/>
      <c r="E886" s="32"/>
      <c r="F886" s="32"/>
    </row>
    <row r="887" spans="1:6" ht="15.75" customHeight="1" x14ac:dyDescent="0.3">
      <c r="A887" s="32"/>
      <c r="B887" s="32"/>
      <c r="C887" s="32"/>
      <c r="D887" s="32"/>
      <c r="E887" s="32"/>
      <c r="F887" s="32"/>
    </row>
    <row r="888" spans="1:6" ht="15.75" customHeight="1" x14ac:dyDescent="0.3">
      <c r="A888" s="32"/>
      <c r="B888" s="32"/>
      <c r="C888" s="32"/>
      <c r="D888" s="32"/>
      <c r="E888" s="32"/>
      <c r="F888" s="32"/>
    </row>
    <row r="889" spans="1:6" ht="15.75" customHeight="1" x14ac:dyDescent="0.3">
      <c r="A889" s="32"/>
      <c r="B889" s="32"/>
      <c r="C889" s="32"/>
      <c r="D889" s="32"/>
      <c r="E889" s="32"/>
      <c r="F889" s="32"/>
    </row>
    <row r="890" spans="1:6" ht="15.75" customHeight="1" x14ac:dyDescent="0.3">
      <c r="A890" s="32"/>
      <c r="B890" s="32"/>
      <c r="C890" s="32"/>
      <c r="D890" s="32"/>
      <c r="E890" s="32"/>
      <c r="F890" s="32"/>
    </row>
    <row r="891" spans="1:6" ht="15.75" customHeight="1" x14ac:dyDescent="0.3">
      <c r="A891" s="32"/>
      <c r="B891" s="32"/>
      <c r="C891" s="32"/>
      <c r="D891" s="32"/>
      <c r="E891" s="32"/>
      <c r="F891" s="32"/>
    </row>
    <row r="892" spans="1:6" ht="15.75" customHeight="1" x14ac:dyDescent="0.3">
      <c r="A892" s="32"/>
      <c r="B892" s="32"/>
      <c r="C892" s="32"/>
      <c r="D892" s="32"/>
      <c r="E892" s="32"/>
      <c r="F892" s="32"/>
    </row>
    <row r="893" spans="1:6" ht="15.75" customHeight="1" x14ac:dyDescent="0.3">
      <c r="A893" s="32"/>
      <c r="B893" s="32"/>
      <c r="C893" s="32"/>
      <c r="D893" s="32"/>
      <c r="E893" s="32"/>
      <c r="F893" s="32"/>
    </row>
    <row r="894" spans="1:6" ht="15.75" customHeight="1" x14ac:dyDescent="0.3">
      <c r="A894" s="32"/>
      <c r="B894" s="32"/>
      <c r="C894" s="32"/>
      <c r="D894" s="32"/>
      <c r="E894" s="32"/>
      <c r="F894" s="32"/>
    </row>
    <row r="895" spans="1:6" ht="15.75" customHeight="1" x14ac:dyDescent="0.3">
      <c r="A895" s="32"/>
      <c r="B895" s="32"/>
      <c r="C895" s="32"/>
      <c r="D895" s="32"/>
      <c r="E895" s="32"/>
      <c r="F895" s="32"/>
    </row>
    <row r="896" spans="1:6" ht="15.75" customHeight="1" x14ac:dyDescent="0.3">
      <c r="A896" s="32"/>
      <c r="B896" s="32"/>
      <c r="C896" s="32"/>
      <c r="D896" s="32"/>
      <c r="E896" s="32"/>
      <c r="F896" s="32"/>
    </row>
    <row r="897" spans="1:6" ht="15.75" customHeight="1" x14ac:dyDescent="0.3">
      <c r="A897" s="32"/>
      <c r="B897" s="32"/>
      <c r="C897" s="32"/>
      <c r="D897" s="32"/>
      <c r="E897" s="32"/>
      <c r="F897" s="32"/>
    </row>
    <row r="898" spans="1:6" ht="15.75" customHeight="1" x14ac:dyDescent="0.3">
      <c r="A898" s="32"/>
      <c r="B898" s="32"/>
      <c r="C898" s="32"/>
      <c r="D898" s="32"/>
      <c r="E898" s="32"/>
      <c r="F898" s="32"/>
    </row>
    <row r="899" spans="1:6" ht="15.75" customHeight="1" x14ac:dyDescent="0.3">
      <c r="A899" s="32"/>
      <c r="B899" s="32"/>
      <c r="C899" s="32"/>
      <c r="D899" s="32"/>
      <c r="E899" s="32"/>
      <c r="F899" s="32"/>
    </row>
    <row r="900" spans="1:6" ht="15.75" customHeight="1" x14ac:dyDescent="0.3">
      <c r="A900" s="32"/>
      <c r="B900" s="32"/>
      <c r="C900" s="32"/>
      <c r="D900" s="32"/>
      <c r="E900" s="32"/>
      <c r="F900" s="32"/>
    </row>
    <row r="901" spans="1:6" ht="15.75" customHeight="1" x14ac:dyDescent="0.3">
      <c r="A901" s="32"/>
      <c r="B901" s="32"/>
      <c r="C901" s="32"/>
      <c r="D901" s="32"/>
      <c r="E901" s="32"/>
      <c r="F901" s="32"/>
    </row>
    <row r="902" spans="1:6" ht="15.75" customHeight="1" x14ac:dyDescent="0.3">
      <c r="A902" s="32"/>
      <c r="B902" s="32"/>
      <c r="C902" s="32"/>
      <c r="D902" s="32"/>
      <c r="E902" s="32"/>
      <c r="F902" s="32"/>
    </row>
    <row r="903" spans="1:6" ht="15.75" customHeight="1" x14ac:dyDescent="0.3">
      <c r="A903" s="32"/>
      <c r="B903" s="32"/>
      <c r="C903" s="32"/>
      <c r="D903" s="32"/>
      <c r="E903" s="32"/>
      <c r="F903" s="32"/>
    </row>
    <row r="904" spans="1:6" ht="15.75" customHeight="1" x14ac:dyDescent="0.3">
      <c r="A904" s="32"/>
      <c r="B904" s="32"/>
      <c r="C904" s="32"/>
      <c r="D904" s="32"/>
      <c r="E904" s="32"/>
      <c r="F904" s="32"/>
    </row>
    <row r="905" spans="1:6" ht="15.75" customHeight="1" x14ac:dyDescent="0.3">
      <c r="A905" s="32"/>
      <c r="B905" s="32"/>
      <c r="C905" s="32"/>
      <c r="D905" s="32"/>
      <c r="E905" s="32"/>
      <c r="F905" s="32"/>
    </row>
    <row r="906" spans="1:6" ht="15.75" customHeight="1" x14ac:dyDescent="0.3">
      <c r="A906" s="32"/>
      <c r="B906" s="32"/>
      <c r="C906" s="32"/>
      <c r="D906" s="32"/>
      <c r="E906" s="32"/>
      <c r="F906" s="32"/>
    </row>
    <row r="907" spans="1:6" ht="15.75" customHeight="1" x14ac:dyDescent="0.3">
      <c r="A907" s="32"/>
      <c r="B907" s="32"/>
      <c r="C907" s="32"/>
      <c r="D907" s="32"/>
      <c r="E907" s="32"/>
      <c r="F907" s="32"/>
    </row>
    <row r="908" spans="1:6" ht="15.75" customHeight="1" x14ac:dyDescent="0.3">
      <c r="A908" s="32"/>
      <c r="B908" s="32"/>
      <c r="C908" s="32"/>
      <c r="D908" s="32"/>
      <c r="E908" s="32"/>
      <c r="F908" s="32"/>
    </row>
    <row r="909" spans="1:6" ht="15.75" customHeight="1" x14ac:dyDescent="0.3">
      <c r="A909" s="32"/>
      <c r="B909" s="32"/>
      <c r="C909" s="32"/>
      <c r="D909" s="32"/>
      <c r="E909" s="32"/>
      <c r="F909" s="32"/>
    </row>
    <row r="910" spans="1:6" ht="15.75" customHeight="1" x14ac:dyDescent="0.3">
      <c r="A910" s="32"/>
      <c r="B910" s="32"/>
      <c r="C910" s="32"/>
      <c r="D910" s="32"/>
      <c r="E910" s="32"/>
      <c r="F910" s="32"/>
    </row>
    <row r="911" spans="1:6" ht="15.75" customHeight="1" x14ac:dyDescent="0.3">
      <c r="A911" s="32"/>
      <c r="B911" s="32"/>
      <c r="C911" s="32"/>
      <c r="D911" s="32"/>
      <c r="E911" s="32"/>
      <c r="F911" s="32"/>
    </row>
    <row r="912" spans="1:6" ht="15.75" customHeight="1" x14ac:dyDescent="0.3">
      <c r="A912" s="32"/>
      <c r="B912" s="32"/>
      <c r="C912" s="32"/>
      <c r="D912" s="32"/>
      <c r="E912" s="32"/>
      <c r="F912" s="32"/>
    </row>
    <row r="913" spans="1:6" ht="15.75" customHeight="1" x14ac:dyDescent="0.3">
      <c r="A913" s="32"/>
      <c r="B913" s="32"/>
      <c r="C913" s="32"/>
      <c r="D913" s="32"/>
      <c r="E913" s="32"/>
      <c r="F913" s="32"/>
    </row>
    <row r="914" spans="1:6" ht="15.75" customHeight="1" x14ac:dyDescent="0.3">
      <c r="A914" s="32"/>
      <c r="B914" s="32"/>
      <c r="C914" s="32"/>
      <c r="D914" s="32"/>
      <c r="E914" s="32"/>
      <c r="F914" s="32"/>
    </row>
    <row r="915" spans="1:6" ht="15.75" customHeight="1" x14ac:dyDescent="0.3">
      <c r="A915" s="32"/>
      <c r="B915" s="32"/>
      <c r="C915" s="32"/>
      <c r="D915" s="32"/>
      <c r="E915" s="32"/>
      <c r="F915" s="32"/>
    </row>
    <row r="916" spans="1:6" ht="15.75" customHeight="1" x14ac:dyDescent="0.3">
      <c r="A916" s="32"/>
      <c r="B916" s="32"/>
      <c r="C916" s="32"/>
      <c r="D916" s="32"/>
      <c r="E916" s="32"/>
      <c r="F916" s="32"/>
    </row>
    <row r="917" spans="1:6" ht="15.75" customHeight="1" x14ac:dyDescent="0.3">
      <c r="A917" s="32"/>
      <c r="B917" s="32"/>
      <c r="C917" s="32"/>
      <c r="D917" s="32"/>
      <c r="E917" s="32"/>
      <c r="F917" s="32"/>
    </row>
    <row r="918" spans="1:6" ht="15.75" customHeight="1" x14ac:dyDescent="0.3">
      <c r="A918" s="32"/>
      <c r="B918" s="32"/>
      <c r="C918" s="32"/>
      <c r="D918" s="32"/>
      <c r="E918" s="32"/>
      <c r="F918" s="32"/>
    </row>
    <row r="919" spans="1:6" ht="15.75" customHeight="1" x14ac:dyDescent="0.3">
      <c r="A919" s="32"/>
      <c r="B919" s="32"/>
      <c r="C919" s="32"/>
      <c r="D919" s="32"/>
      <c r="E919" s="32"/>
      <c r="F919" s="32"/>
    </row>
    <row r="920" spans="1:6" ht="15.75" customHeight="1" x14ac:dyDescent="0.3">
      <c r="A920" s="32"/>
      <c r="B920" s="32"/>
      <c r="C920" s="32"/>
      <c r="D920" s="32"/>
      <c r="E920" s="32"/>
      <c r="F920" s="32"/>
    </row>
    <row r="921" spans="1:6" ht="15.75" customHeight="1" x14ac:dyDescent="0.3">
      <c r="A921" s="32"/>
      <c r="B921" s="32"/>
      <c r="C921" s="32"/>
      <c r="D921" s="32"/>
      <c r="E921" s="32"/>
      <c r="F921" s="32"/>
    </row>
    <row r="922" spans="1:6" ht="15.75" customHeight="1" x14ac:dyDescent="0.3">
      <c r="A922" s="32"/>
      <c r="B922" s="32"/>
      <c r="C922" s="32"/>
      <c r="D922" s="32"/>
      <c r="E922" s="32"/>
      <c r="F922" s="32"/>
    </row>
    <row r="923" spans="1:6" ht="15.75" customHeight="1" x14ac:dyDescent="0.3">
      <c r="A923" s="32"/>
      <c r="B923" s="32"/>
      <c r="C923" s="32"/>
      <c r="D923" s="32"/>
      <c r="E923" s="32"/>
      <c r="F923" s="32"/>
    </row>
    <row r="924" spans="1:6" ht="15.75" customHeight="1" x14ac:dyDescent="0.3">
      <c r="A924" s="32"/>
      <c r="B924" s="32"/>
      <c r="C924" s="32"/>
      <c r="D924" s="32"/>
      <c r="E924" s="32"/>
      <c r="F924" s="32"/>
    </row>
    <row r="925" spans="1:6" ht="15.75" customHeight="1" x14ac:dyDescent="0.3">
      <c r="A925" s="32"/>
      <c r="B925" s="32"/>
      <c r="C925" s="32"/>
      <c r="D925" s="32"/>
      <c r="E925" s="32"/>
      <c r="F925" s="32"/>
    </row>
    <row r="926" spans="1:6" ht="15.75" customHeight="1" x14ac:dyDescent="0.3">
      <c r="A926" s="32"/>
      <c r="B926" s="32"/>
      <c r="C926" s="32"/>
      <c r="D926" s="32"/>
      <c r="E926" s="32"/>
      <c r="F926" s="32"/>
    </row>
    <row r="927" spans="1:6" ht="15.75" customHeight="1" x14ac:dyDescent="0.3">
      <c r="A927" s="32"/>
      <c r="B927" s="32"/>
      <c r="C927" s="32"/>
      <c r="D927" s="32"/>
      <c r="E927" s="32"/>
      <c r="F927" s="32"/>
    </row>
    <row r="928" spans="1:6" ht="15.75" customHeight="1" x14ac:dyDescent="0.3">
      <c r="A928" s="32"/>
      <c r="B928" s="32"/>
      <c r="C928" s="32"/>
      <c r="D928" s="32"/>
      <c r="E928" s="32"/>
      <c r="F928" s="32"/>
    </row>
    <row r="929" spans="1:6" ht="15.75" customHeight="1" x14ac:dyDescent="0.3">
      <c r="A929" s="32"/>
      <c r="B929" s="32"/>
      <c r="C929" s="32"/>
      <c r="D929" s="32"/>
      <c r="E929" s="32"/>
      <c r="F929" s="32"/>
    </row>
    <row r="930" spans="1:6" ht="15.75" customHeight="1" x14ac:dyDescent="0.3">
      <c r="A930" s="32"/>
      <c r="B930" s="32"/>
      <c r="C930" s="32"/>
      <c r="D930" s="32"/>
      <c r="E930" s="32"/>
      <c r="F930" s="32"/>
    </row>
    <row r="931" spans="1:6" ht="15.75" customHeight="1" x14ac:dyDescent="0.3">
      <c r="A931" s="32"/>
      <c r="B931" s="32"/>
      <c r="C931" s="32"/>
      <c r="D931" s="32"/>
      <c r="E931" s="32"/>
      <c r="F931" s="32"/>
    </row>
    <row r="932" spans="1:6" ht="15.75" customHeight="1" x14ac:dyDescent="0.3">
      <c r="A932" s="32"/>
      <c r="B932" s="32"/>
      <c r="C932" s="32"/>
      <c r="D932" s="32"/>
      <c r="E932" s="32"/>
      <c r="F932" s="32"/>
    </row>
    <row r="933" spans="1:6" ht="15.75" customHeight="1" x14ac:dyDescent="0.3">
      <c r="A933" s="32"/>
      <c r="B933" s="32"/>
      <c r="C933" s="32"/>
      <c r="D933" s="32"/>
      <c r="E933" s="32"/>
      <c r="F933" s="32"/>
    </row>
    <row r="934" spans="1:6" ht="15.75" customHeight="1" x14ac:dyDescent="0.3">
      <c r="A934" s="32"/>
      <c r="B934" s="32"/>
      <c r="C934" s="32"/>
      <c r="D934" s="32"/>
      <c r="E934" s="32"/>
      <c r="F934" s="32"/>
    </row>
    <row r="935" spans="1:6" ht="15.75" customHeight="1" x14ac:dyDescent="0.3">
      <c r="A935" s="32"/>
      <c r="B935" s="32"/>
      <c r="C935" s="32"/>
      <c r="D935" s="32"/>
      <c r="E935" s="32"/>
      <c r="F935" s="32"/>
    </row>
    <row r="936" spans="1:6" ht="15.75" customHeight="1" x14ac:dyDescent="0.3">
      <c r="A936" s="32"/>
      <c r="B936" s="32"/>
      <c r="C936" s="32"/>
      <c r="D936" s="32"/>
      <c r="E936" s="32"/>
      <c r="F936" s="32"/>
    </row>
    <row r="937" spans="1:6" ht="15.75" customHeight="1" x14ac:dyDescent="0.3">
      <c r="A937" s="32"/>
      <c r="B937" s="32"/>
      <c r="C937" s="32"/>
      <c r="D937" s="32"/>
      <c r="E937" s="32"/>
      <c r="F937" s="32"/>
    </row>
    <row r="938" spans="1:6" ht="15.75" customHeight="1" x14ac:dyDescent="0.3">
      <c r="A938" s="32"/>
      <c r="B938" s="32"/>
      <c r="C938" s="32"/>
      <c r="D938" s="32"/>
      <c r="E938" s="32"/>
      <c r="F938" s="32"/>
    </row>
    <row r="939" spans="1:6" ht="15.75" customHeight="1" x14ac:dyDescent="0.3">
      <c r="A939" s="32"/>
      <c r="B939" s="32"/>
      <c r="C939" s="32"/>
      <c r="D939" s="32"/>
      <c r="E939" s="32"/>
      <c r="F939" s="32"/>
    </row>
    <row r="940" spans="1:6" ht="15.75" customHeight="1" x14ac:dyDescent="0.3">
      <c r="A940" s="32"/>
      <c r="B940" s="32"/>
      <c r="C940" s="32"/>
      <c r="D940" s="32"/>
      <c r="E940" s="32"/>
      <c r="F940" s="32"/>
    </row>
    <row r="941" spans="1:6" ht="15.75" customHeight="1" x14ac:dyDescent="0.3">
      <c r="A941" s="32"/>
      <c r="B941" s="32"/>
      <c r="C941" s="32"/>
      <c r="D941" s="32"/>
      <c r="E941" s="32"/>
      <c r="F941" s="32"/>
    </row>
    <row r="942" spans="1:6" ht="15.75" customHeight="1" x14ac:dyDescent="0.3">
      <c r="A942" s="32"/>
      <c r="B942" s="32"/>
      <c r="C942" s="32"/>
      <c r="D942" s="32"/>
      <c r="E942" s="32"/>
      <c r="F942" s="32"/>
    </row>
    <row r="943" spans="1:6" ht="15.75" customHeight="1" x14ac:dyDescent="0.3">
      <c r="A943" s="32"/>
      <c r="B943" s="32"/>
      <c r="C943" s="32"/>
      <c r="D943" s="32"/>
      <c r="E943" s="32"/>
      <c r="F943" s="32"/>
    </row>
    <row r="944" spans="1:6" ht="15.75" customHeight="1" x14ac:dyDescent="0.3">
      <c r="A944" s="32"/>
      <c r="B944" s="32"/>
      <c r="C944" s="32"/>
      <c r="D944" s="32"/>
      <c r="E944" s="32"/>
      <c r="F944" s="32"/>
    </row>
    <row r="945" spans="1:6" ht="15.75" customHeight="1" x14ac:dyDescent="0.3">
      <c r="A945" s="32"/>
      <c r="B945" s="32"/>
      <c r="C945" s="32"/>
      <c r="D945" s="32"/>
      <c r="E945" s="32"/>
      <c r="F945" s="32"/>
    </row>
    <row r="946" spans="1:6" ht="15.75" customHeight="1" x14ac:dyDescent="0.3">
      <c r="A946" s="32"/>
      <c r="B946" s="32"/>
      <c r="C946" s="32"/>
      <c r="D946" s="32"/>
      <c r="E946" s="32"/>
      <c r="F946" s="32"/>
    </row>
    <row r="947" spans="1:6" ht="15.75" customHeight="1" x14ac:dyDescent="0.3">
      <c r="A947" s="32"/>
      <c r="B947" s="32"/>
      <c r="C947" s="32"/>
      <c r="D947" s="32"/>
      <c r="E947" s="32"/>
      <c r="F947" s="32"/>
    </row>
    <row r="948" spans="1:6" ht="15.75" customHeight="1" x14ac:dyDescent="0.3">
      <c r="A948" s="32"/>
      <c r="B948" s="32"/>
      <c r="C948" s="32"/>
      <c r="D948" s="32"/>
      <c r="E948" s="32"/>
      <c r="F948" s="32"/>
    </row>
    <row r="949" spans="1:6" ht="15.75" customHeight="1" x14ac:dyDescent="0.3">
      <c r="A949" s="32"/>
      <c r="B949" s="32"/>
      <c r="C949" s="32"/>
      <c r="D949" s="32"/>
      <c r="E949" s="32"/>
      <c r="F949" s="32"/>
    </row>
    <row r="950" spans="1:6" ht="15.75" customHeight="1" x14ac:dyDescent="0.3">
      <c r="A950" s="32"/>
      <c r="B950" s="32"/>
      <c r="C950" s="32"/>
      <c r="D950" s="32"/>
      <c r="E950" s="32"/>
      <c r="F950" s="32"/>
    </row>
    <row r="951" spans="1:6" ht="15.75" customHeight="1" x14ac:dyDescent="0.3">
      <c r="A951" s="32"/>
      <c r="B951" s="32"/>
      <c r="C951" s="32"/>
      <c r="D951" s="32"/>
      <c r="E951" s="32"/>
      <c r="F951" s="32"/>
    </row>
    <row r="952" spans="1:6" ht="15.75" customHeight="1" x14ac:dyDescent="0.3">
      <c r="A952" s="32"/>
      <c r="B952" s="32"/>
      <c r="C952" s="32"/>
      <c r="D952" s="32"/>
      <c r="E952" s="32"/>
      <c r="F952" s="32"/>
    </row>
    <row r="953" spans="1:6" ht="15.75" customHeight="1" x14ac:dyDescent="0.3">
      <c r="A953" s="32"/>
      <c r="B953" s="32"/>
      <c r="C953" s="32"/>
      <c r="D953" s="32"/>
      <c r="E953" s="32"/>
      <c r="F953" s="32"/>
    </row>
    <row r="954" spans="1:6" ht="15.75" customHeight="1" x14ac:dyDescent="0.3">
      <c r="A954" s="32"/>
      <c r="B954" s="32"/>
      <c r="C954" s="32"/>
      <c r="D954" s="32"/>
      <c r="E954" s="32"/>
      <c r="F954" s="32"/>
    </row>
    <row r="955" spans="1:6" ht="15.75" customHeight="1" x14ac:dyDescent="0.3">
      <c r="A955" s="32"/>
      <c r="B955" s="32"/>
      <c r="C955" s="32"/>
      <c r="D955" s="32"/>
      <c r="E955" s="32"/>
      <c r="F955" s="32"/>
    </row>
    <row r="956" spans="1:6" ht="15.75" customHeight="1" x14ac:dyDescent="0.3">
      <c r="A956" s="32"/>
      <c r="B956" s="32"/>
      <c r="C956" s="32"/>
      <c r="D956" s="32"/>
      <c r="E956" s="32"/>
      <c r="F956" s="32"/>
    </row>
    <row r="957" spans="1:6" ht="15.75" customHeight="1" x14ac:dyDescent="0.3">
      <c r="A957" s="32"/>
      <c r="B957" s="32"/>
      <c r="C957" s="32"/>
      <c r="D957" s="32"/>
      <c r="E957" s="32"/>
      <c r="F957" s="32"/>
    </row>
    <row r="958" spans="1:6" ht="15.75" customHeight="1" x14ac:dyDescent="0.3">
      <c r="A958" s="32"/>
      <c r="B958" s="32"/>
      <c r="C958" s="32"/>
      <c r="D958" s="32"/>
      <c r="E958" s="32"/>
      <c r="F958" s="32"/>
    </row>
    <row r="959" spans="1:6" ht="15.75" customHeight="1" x14ac:dyDescent="0.3">
      <c r="A959" s="32"/>
      <c r="B959" s="32"/>
      <c r="C959" s="32"/>
      <c r="D959" s="32"/>
      <c r="E959" s="32"/>
      <c r="F959" s="32"/>
    </row>
    <row r="960" spans="1:6" ht="15.75" customHeight="1" x14ac:dyDescent="0.3">
      <c r="A960" s="32"/>
      <c r="B960" s="32"/>
      <c r="C960" s="32"/>
      <c r="D960" s="32"/>
      <c r="E960" s="32"/>
      <c r="F960" s="32"/>
    </row>
    <row r="961" spans="1:6" ht="15.75" customHeight="1" x14ac:dyDescent="0.3">
      <c r="A961" s="32"/>
      <c r="B961" s="32"/>
      <c r="C961" s="32"/>
      <c r="D961" s="32"/>
      <c r="E961" s="32"/>
      <c r="F961" s="32"/>
    </row>
    <row r="962" spans="1:6" ht="15.75" customHeight="1" x14ac:dyDescent="0.3">
      <c r="A962" s="32"/>
      <c r="B962" s="32"/>
      <c r="C962" s="32"/>
      <c r="D962" s="32"/>
      <c r="E962" s="32"/>
      <c r="F962" s="32"/>
    </row>
    <row r="963" spans="1:6" ht="15.75" customHeight="1" x14ac:dyDescent="0.3">
      <c r="A963" s="32"/>
      <c r="B963" s="32"/>
      <c r="C963" s="32"/>
      <c r="D963" s="32"/>
      <c r="E963" s="32"/>
      <c r="F963" s="32"/>
    </row>
    <row r="964" spans="1:6" ht="15.75" customHeight="1" x14ac:dyDescent="0.3">
      <c r="A964" s="32"/>
      <c r="B964" s="32"/>
      <c r="C964" s="32"/>
      <c r="D964" s="32"/>
      <c r="E964" s="32"/>
      <c r="F964" s="32"/>
    </row>
    <row r="965" spans="1:6" ht="15.75" customHeight="1" x14ac:dyDescent="0.3">
      <c r="A965" s="32"/>
      <c r="B965" s="32"/>
      <c r="C965" s="32"/>
      <c r="D965" s="32"/>
      <c r="E965" s="32"/>
      <c r="F965" s="32"/>
    </row>
    <row r="966" spans="1:6" ht="15.75" customHeight="1" x14ac:dyDescent="0.3">
      <c r="A966" s="32"/>
      <c r="B966" s="32"/>
      <c r="C966" s="32"/>
      <c r="D966" s="32"/>
      <c r="E966" s="32"/>
      <c r="F966" s="32"/>
    </row>
    <row r="967" spans="1:6" ht="15.75" customHeight="1" x14ac:dyDescent="0.3">
      <c r="A967" s="32"/>
      <c r="B967" s="32"/>
      <c r="C967" s="32"/>
      <c r="D967" s="32"/>
      <c r="E967" s="32"/>
      <c r="F967" s="32"/>
    </row>
    <row r="968" spans="1:6" ht="15.75" customHeight="1" x14ac:dyDescent="0.3">
      <c r="A968" s="32"/>
      <c r="B968" s="32"/>
      <c r="C968" s="32"/>
      <c r="D968" s="32"/>
      <c r="E968" s="32"/>
      <c r="F968" s="32"/>
    </row>
    <row r="969" spans="1:6" ht="15.75" customHeight="1" x14ac:dyDescent="0.3">
      <c r="A969" s="32"/>
      <c r="B969" s="32"/>
      <c r="C969" s="32"/>
      <c r="D969" s="32"/>
      <c r="E969" s="32"/>
      <c r="F969" s="32"/>
    </row>
    <row r="970" spans="1:6" ht="15.75" customHeight="1" x14ac:dyDescent="0.3">
      <c r="A970" s="32"/>
      <c r="B970" s="32"/>
      <c r="C970" s="32"/>
      <c r="D970" s="32"/>
      <c r="E970" s="32"/>
      <c r="F970" s="32"/>
    </row>
    <row r="971" spans="1:6" ht="15.75" customHeight="1" x14ac:dyDescent="0.3">
      <c r="A971" s="32"/>
      <c r="B971" s="32"/>
      <c r="C971" s="32"/>
      <c r="D971" s="32"/>
      <c r="E971" s="32"/>
      <c r="F971" s="32"/>
    </row>
    <row r="972" spans="1:6" ht="15.75" customHeight="1" x14ac:dyDescent="0.3">
      <c r="A972" s="32"/>
      <c r="B972" s="32"/>
      <c r="C972" s="32"/>
      <c r="D972" s="32"/>
      <c r="E972" s="32"/>
      <c r="F972" s="32"/>
    </row>
    <row r="973" spans="1:6" ht="15.75" customHeight="1" x14ac:dyDescent="0.3">
      <c r="A973" s="32"/>
      <c r="B973" s="32"/>
      <c r="C973" s="32"/>
      <c r="D973" s="32"/>
      <c r="E973" s="32"/>
      <c r="F973" s="32"/>
    </row>
    <row r="974" spans="1:6" ht="15.75" customHeight="1" x14ac:dyDescent="0.3">
      <c r="A974" s="32"/>
      <c r="B974" s="32"/>
      <c r="C974" s="32"/>
      <c r="D974" s="32"/>
      <c r="E974" s="32"/>
      <c r="F974" s="32"/>
    </row>
    <row r="975" spans="1:6" ht="15.75" customHeight="1" x14ac:dyDescent="0.3">
      <c r="A975" s="32"/>
      <c r="B975" s="32"/>
      <c r="C975" s="32"/>
      <c r="D975" s="32"/>
      <c r="E975" s="32"/>
      <c r="F975" s="32"/>
    </row>
    <row r="976" spans="1:6" ht="15.75" customHeight="1" x14ac:dyDescent="0.3">
      <c r="A976" s="32"/>
      <c r="B976" s="32"/>
      <c r="C976" s="32"/>
      <c r="D976" s="32"/>
      <c r="E976" s="32"/>
      <c r="F976" s="32"/>
    </row>
    <row r="977" spans="1:6" ht="15.75" customHeight="1" x14ac:dyDescent="0.3">
      <c r="A977" s="32"/>
      <c r="B977" s="32"/>
      <c r="C977" s="32"/>
      <c r="D977" s="32"/>
      <c r="E977" s="32"/>
      <c r="F977" s="32"/>
    </row>
    <row r="978" spans="1:6" ht="15.75" customHeight="1" x14ac:dyDescent="0.3">
      <c r="A978" s="32"/>
      <c r="B978" s="32"/>
      <c r="C978" s="32"/>
      <c r="D978" s="32"/>
      <c r="E978" s="32"/>
      <c r="F978" s="32"/>
    </row>
    <row r="979" spans="1:6" ht="15.75" customHeight="1" x14ac:dyDescent="0.3">
      <c r="A979" s="32"/>
      <c r="B979" s="32"/>
      <c r="C979" s="32"/>
      <c r="D979" s="32"/>
      <c r="E979" s="32"/>
      <c r="F979" s="32"/>
    </row>
    <row r="980" spans="1:6" ht="15.75" customHeight="1" x14ac:dyDescent="0.3">
      <c r="A980" s="32"/>
      <c r="B980" s="32"/>
      <c r="C980" s="32"/>
      <c r="D980" s="32"/>
      <c r="E980" s="32"/>
      <c r="F980" s="32"/>
    </row>
    <row r="981" spans="1:6" ht="15.75" customHeight="1" x14ac:dyDescent="0.3">
      <c r="A981" s="32"/>
      <c r="B981" s="32"/>
      <c r="C981" s="32"/>
      <c r="D981" s="32"/>
      <c r="E981" s="32"/>
      <c r="F981" s="32"/>
    </row>
    <row r="982" spans="1:6" ht="15.75" customHeight="1" x14ac:dyDescent="0.3">
      <c r="A982" s="32"/>
      <c r="B982" s="32"/>
      <c r="C982" s="32"/>
      <c r="D982" s="32"/>
      <c r="E982" s="32"/>
      <c r="F982" s="32"/>
    </row>
    <row r="983" spans="1:6" ht="15.75" customHeight="1" x14ac:dyDescent="0.3">
      <c r="A983" s="32"/>
      <c r="B983" s="32"/>
      <c r="C983" s="32"/>
      <c r="D983" s="32"/>
      <c r="E983" s="32"/>
      <c r="F983" s="32"/>
    </row>
    <row r="984" spans="1:6" ht="15.75" customHeight="1" x14ac:dyDescent="0.3">
      <c r="A984" s="32"/>
      <c r="B984" s="32"/>
      <c r="C984" s="32"/>
      <c r="D984" s="32"/>
      <c r="E984" s="32"/>
      <c r="F984" s="32"/>
    </row>
    <row r="985" spans="1:6" ht="15.75" customHeight="1" x14ac:dyDescent="0.3">
      <c r="A985" s="32"/>
      <c r="B985" s="32"/>
      <c r="C985" s="32"/>
      <c r="D985" s="32"/>
      <c r="E985" s="32"/>
      <c r="F985" s="32"/>
    </row>
    <row r="986" spans="1:6" ht="15.75" customHeight="1" x14ac:dyDescent="0.3">
      <c r="A986" s="32"/>
      <c r="B986" s="32"/>
      <c r="C986" s="32"/>
      <c r="D986" s="32"/>
      <c r="E986" s="32"/>
      <c r="F986" s="32"/>
    </row>
    <row r="987" spans="1:6" ht="15.75" customHeight="1" x14ac:dyDescent="0.3">
      <c r="A987" s="32"/>
      <c r="B987" s="32"/>
      <c r="C987" s="32"/>
      <c r="D987" s="32"/>
      <c r="E987" s="32"/>
      <c r="F987" s="32"/>
    </row>
    <row r="988" spans="1:6" ht="15.75" customHeight="1" x14ac:dyDescent="0.3">
      <c r="A988" s="32"/>
      <c r="B988" s="32"/>
      <c r="C988" s="32"/>
      <c r="D988" s="32"/>
      <c r="E988" s="32"/>
      <c r="F988" s="32"/>
    </row>
    <row r="989" spans="1:6" ht="15.75" customHeight="1" x14ac:dyDescent="0.3">
      <c r="A989" s="32"/>
      <c r="B989" s="32"/>
      <c r="C989" s="32"/>
      <c r="D989" s="32"/>
      <c r="E989" s="32"/>
      <c r="F989" s="32"/>
    </row>
    <row r="990" spans="1:6" ht="15.75" customHeight="1" x14ac:dyDescent="0.3">
      <c r="A990" s="32"/>
      <c r="B990" s="32"/>
      <c r="C990" s="32"/>
      <c r="D990" s="32"/>
      <c r="E990" s="32"/>
      <c r="F990" s="32"/>
    </row>
    <row r="991" spans="1:6" ht="15.75" customHeight="1" x14ac:dyDescent="0.3">
      <c r="A991" s="32"/>
      <c r="B991" s="32"/>
      <c r="C991" s="32"/>
      <c r="D991" s="32"/>
      <c r="E991" s="32"/>
      <c r="F991" s="32"/>
    </row>
    <row r="992" spans="1:6" ht="15.75" customHeight="1" x14ac:dyDescent="0.3">
      <c r="A992" s="32"/>
      <c r="B992" s="32"/>
      <c r="C992" s="32"/>
      <c r="D992" s="32"/>
      <c r="E992" s="32"/>
      <c r="F992" s="32"/>
    </row>
    <row r="993" spans="1:6" ht="15.75" customHeight="1" x14ac:dyDescent="0.3">
      <c r="A993" s="32"/>
      <c r="B993" s="32"/>
      <c r="C993" s="32"/>
      <c r="D993" s="32"/>
      <c r="E993" s="32"/>
      <c r="F993" s="32"/>
    </row>
    <row r="994" spans="1:6" ht="15.75" customHeight="1" x14ac:dyDescent="0.3">
      <c r="A994" s="32"/>
      <c r="B994" s="32"/>
      <c r="C994" s="32"/>
      <c r="D994" s="32"/>
      <c r="E994" s="32"/>
      <c r="F994" s="32"/>
    </row>
    <row r="995" spans="1:6" ht="15.75" customHeight="1" x14ac:dyDescent="0.3">
      <c r="A995" s="32"/>
      <c r="B995" s="32"/>
      <c r="C995" s="32"/>
      <c r="D995" s="32"/>
      <c r="E995" s="32"/>
      <c r="F995" s="32"/>
    </row>
    <row r="996" spans="1:6" ht="15.75" customHeight="1" x14ac:dyDescent="0.3">
      <c r="A996" s="32"/>
      <c r="B996" s="32"/>
      <c r="C996" s="32"/>
      <c r="D996" s="32"/>
      <c r="E996" s="32"/>
      <c r="F996" s="32"/>
    </row>
    <row r="997" spans="1:6" ht="15.75" customHeight="1" x14ac:dyDescent="0.3">
      <c r="A997" s="32"/>
      <c r="B997" s="32"/>
      <c r="C997" s="32"/>
      <c r="D997" s="32"/>
      <c r="E997" s="32"/>
      <c r="F997" s="32"/>
    </row>
    <row r="998" spans="1:6" ht="15.75" customHeight="1" x14ac:dyDescent="0.3">
      <c r="A998" s="32"/>
      <c r="B998" s="32"/>
      <c r="C998" s="32"/>
      <c r="D998" s="32"/>
      <c r="E998" s="32"/>
      <c r="F998" s="32"/>
    </row>
    <row r="999" spans="1:6" ht="15.75" customHeight="1" x14ac:dyDescent="0.3">
      <c r="A999" s="32"/>
      <c r="B999" s="32"/>
      <c r="C999" s="32"/>
      <c r="D999" s="32"/>
      <c r="E999" s="32"/>
      <c r="F999" s="32"/>
    </row>
    <row r="1000" spans="1:6" ht="15.75" customHeight="1" x14ac:dyDescent="0.3">
      <c r="A1000" s="32"/>
      <c r="B1000" s="32"/>
      <c r="C1000" s="32"/>
      <c r="D1000" s="32"/>
      <c r="E1000" s="32"/>
      <c r="F1000" s="32"/>
    </row>
    <row r="1001" spans="1:6" ht="15.75" customHeight="1" x14ac:dyDescent="0.3">
      <c r="A1001" s="32"/>
      <c r="B1001" s="32"/>
      <c r="C1001" s="32"/>
      <c r="D1001" s="32"/>
      <c r="E1001" s="32"/>
      <c r="F1001" s="32"/>
    </row>
    <row r="1002" spans="1:6" ht="15.75" customHeight="1" x14ac:dyDescent="0.3">
      <c r="A1002" s="32"/>
      <c r="B1002" s="32"/>
      <c r="C1002" s="32"/>
      <c r="D1002" s="32"/>
      <c r="E1002" s="32"/>
      <c r="F1002" s="32"/>
    </row>
    <row r="1003" spans="1:6" ht="15.75" customHeight="1" x14ac:dyDescent="0.3">
      <c r="A1003" s="32"/>
      <c r="B1003" s="32"/>
      <c r="C1003" s="32"/>
      <c r="D1003" s="32"/>
      <c r="E1003" s="32"/>
      <c r="F1003" s="32"/>
    </row>
    <row r="1004" spans="1:6" ht="15.75" customHeight="1" x14ac:dyDescent="0.3">
      <c r="A1004" s="32"/>
      <c r="B1004" s="32"/>
      <c r="C1004" s="32"/>
      <c r="D1004" s="32"/>
      <c r="E1004" s="32"/>
      <c r="F1004" s="32"/>
    </row>
    <row r="1005" spans="1:6" ht="15.75" customHeight="1" x14ac:dyDescent="0.3">
      <c r="A1005" s="32"/>
      <c r="B1005" s="32"/>
      <c r="C1005" s="32"/>
      <c r="D1005" s="32"/>
      <c r="E1005" s="32"/>
      <c r="F1005" s="32"/>
    </row>
    <row r="1006" spans="1:6" ht="15.75" customHeight="1" x14ac:dyDescent="0.3">
      <c r="A1006" s="32"/>
      <c r="B1006" s="32"/>
      <c r="C1006" s="32"/>
      <c r="D1006" s="32"/>
      <c r="E1006" s="32"/>
      <c r="F1006" s="32"/>
    </row>
    <row r="1007" spans="1:6" ht="15.75" customHeight="1" x14ac:dyDescent="0.3">
      <c r="A1007" s="32"/>
      <c r="B1007" s="32"/>
      <c r="C1007" s="32"/>
      <c r="D1007" s="32"/>
      <c r="E1007" s="32"/>
      <c r="F1007" s="32"/>
    </row>
    <row r="1008" spans="1:6" ht="15.75" customHeight="1" x14ac:dyDescent="0.3">
      <c r="A1008" s="32"/>
      <c r="B1008" s="32"/>
      <c r="C1008" s="32"/>
      <c r="D1008" s="32"/>
      <c r="E1008" s="32"/>
      <c r="F1008" s="32"/>
    </row>
    <row r="1009" spans="1:6" ht="15.75" customHeight="1" x14ac:dyDescent="0.3">
      <c r="A1009" s="32"/>
      <c r="B1009" s="32"/>
      <c r="C1009" s="32"/>
      <c r="D1009" s="32"/>
      <c r="E1009" s="32"/>
      <c r="F1009" s="32"/>
    </row>
    <row r="1010" spans="1:6" ht="15.75" customHeight="1" x14ac:dyDescent="0.3">
      <c r="A1010" s="32"/>
      <c r="B1010" s="32"/>
      <c r="C1010" s="32"/>
      <c r="D1010" s="32"/>
      <c r="E1010" s="32"/>
      <c r="F1010" s="32"/>
    </row>
    <row r="1011" spans="1:6" ht="15.75" customHeight="1" x14ac:dyDescent="0.3">
      <c r="A1011" s="32"/>
      <c r="B1011" s="32"/>
      <c r="C1011" s="32"/>
      <c r="D1011" s="32"/>
      <c r="E1011" s="32"/>
      <c r="F1011" s="32"/>
    </row>
    <row r="1012" spans="1:6" ht="15" customHeight="1" x14ac:dyDescent="0.3">
      <c r="A1012" s="32"/>
      <c r="B1012" s="32"/>
      <c r="C1012" s="32"/>
      <c r="D1012" s="32"/>
      <c r="E1012" s="32"/>
      <c r="F1012" s="32"/>
    </row>
    <row r="1013" spans="1:6" ht="15" customHeight="1" x14ac:dyDescent="0.3">
      <c r="A1013" s="32"/>
      <c r="B1013" s="32"/>
      <c r="C1013" s="32"/>
      <c r="D1013" s="32"/>
      <c r="E1013" s="32"/>
      <c r="F1013" s="32"/>
    </row>
    <row r="1014" spans="1:6" ht="15" customHeight="1" x14ac:dyDescent="0.3">
      <c r="A1014" s="32"/>
      <c r="B1014" s="32"/>
      <c r="C1014" s="32"/>
      <c r="D1014" s="32"/>
      <c r="E1014" s="32"/>
      <c r="F1014" s="32"/>
    </row>
    <row r="1015" spans="1:6" ht="15" customHeight="1" x14ac:dyDescent="0.3">
      <c r="A1015" s="32"/>
      <c r="B1015" s="32"/>
      <c r="C1015" s="32"/>
      <c r="D1015" s="32"/>
      <c r="E1015" s="32"/>
      <c r="F1015" s="32"/>
    </row>
    <row r="1016" spans="1:6" ht="15" customHeight="1" x14ac:dyDescent="0.3">
      <c r="A1016" s="32"/>
      <c r="B1016" s="32"/>
      <c r="C1016" s="32"/>
      <c r="D1016" s="32"/>
      <c r="E1016" s="32"/>
      <c r="F1016" s="32"/>
    </row>
    <row r="1017" spans="1:6" ht="15" customHeight="1" x14ac:dyDescent="0.3">
      <c r="A1017" s="32"/>
      <c r="B1017" s="32"/>
      <c r="C1017" s="32"/>
      <c r="D1017" s="32"/>
      <c r="E1017" s="32"/>
      <c r="F1017" s="32"/>
    </row>
    <row r="1018" spans="1:6" ht="15" customHeight="1" x14ac:dyDescent="0.3">
      <c r="A1018" s="32"/>
      <c r="B1018" s="32"/>
      <c r="C1018" s="32"/>
      <c r="D1018" s="32"/>
      <c r="E1018" s="32"/>
      <c r="F1018" s="32"/>
    </row>
    <row r="1019" spans="1:6" ht="15" customHeight="1" x14ac:dyDescent="0.3">
      <c r="A1019" s="32"/>
      <c r="B1019" s="32"/>
      <c r="C1019" s="32"/>
      <c r="D1019" s="32"/>
      <c r="E1019" s="32"/>
      <c r="F1019" s="32"/>
    </row>
    <row r="1020" spans="1:6" ht="15" customHeight="1" x14ac:dyDescent="0.3">
      <c r="C1020" s="32"/>
      <c r="E1020" s="32"/>
      <c r="F1020" s="32"/>
    </row>
    <row r="1021" spans="1:6" ht="15" customHeight="1" x14ac:dyDescent="0.3">
      <c r="E1021" s="32"/>
      <c r="F1021" s="32"/>
    </row>
    <row r="1022" spans="1:6" ht="15" customHeight="1" x14ac:dyDescent="0.3">
      <c r="E1022" s="32"/>
      <c r="F1022" s="32"/>
    </row>
    <row r="1023" spans="1:6" ht="15" customHeight="1" x14ac:dyDescent="0.3">
      <c r="E1023" s="32"/>
      <c r="F1023" s="32"/>
    </row>
    <row r="1024" spans="1:6" ht="15" customHeight="1" x14ac:dyDescent="0.3">
      <c r="E1024" s="32"/>
      <c r="F1024" s="32"/>
    </row>
    <row r="1025" spans="5:6" ht="15" customHeight="1" x14ac:dyDescent="0.3">
      <c r="E1025" s="32"/>
      <c r="F1025" s="32"/>
    </row>
    <row r="1026" spans="5:6" ht="15" customHeight="1" x14ac:dyDescent="0.3">
      <c r="E1026" s="32"/>
      <c r="F1026" s="32"/>
    </row>
    <row r="1027" spans="5:6" ht="15" customHeight="1" x14ac:dyDescent="0.3">
      <c r="E1027" s="32"/>
      <c r="F1027" s="32"/>
    </row>
    <row r="1028" spans="5:6" ht="15" customHeight="1" x14ac:dyDescent="0.3">
      <c r="E1028" s="32"/>
      <c r="F1028" s="32"/>
    </row>
    <row r="1029" spans="5:6" ht="15" customHeight="1" x14ac:dyDescent="0.3">
      <c r="E1029" s="32"/>
      <c r="F1029" s="32"/>
    </row>
  </sheetData>
  <mergeCells count="10">
    <mergeCell ref="A1:B1"/>
    <mergeCell ref="A43:B43"/>
    <mergeCell ref="A23:B23"/>
    <mergeCell ref="I4:J4"/>
    <mergeCell ref="E20:F20"/>
    <mergeCell ref="I34:J34"/>
    <mergeCell ref="I32:J32"/>
    <mergeCell ref="I28:J28"/>
    <mergeCell ref="I20:J20"/>
    <mergeCell ref="I16:J16"/>
  </mergeCells>
  <hyperlinks>
    <hyperlink ref="A47" r:id="rId1" xr:uid="{00000000-0004-0000-0100-000000000000}"/>
  </hyperlinks>
  <pageMargins left="0.7" right="0.7" top="0.75" bottom="0.75" header="0" footer="0"/>
  <pageSetup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0AA2-004A-4330-AFC6-351D6DE6BBFD}">
  <dimension ref="A1:AW46"/>
  <sheetViews>
    <sheetView topLeftCell="A3" zoomScale="70" zoomScaleNormal="70" workbookViewId="0">
      <selection activeCell="D29" sqref="D29"/>
    </sheetView>
  </sheetViews>
  <sheetFormatPr defaultRowHeight="14.4" x14ac:dyDescent="0.3"/>
  <cols>
    <col min="1" max="1" width="28.88671875" bestFit="1" customWidth="1"/>
    <col min="2" max="2" width="12.109375" bestFit="1" customWidth="1"/>
    <col min="3" max="3" width="33.21875" bestFit="1" customWidth="1"/>
    <col min="5" max="5" width="23.88671875" bestFit="1" customWidth="1"/>
    <col min="6" max="6" width="14.44140625" customWidth="1"/>
    <col min="7" max="7" width="26" bestFit="1" customWidth="1"/>
    <col min="11" max="11" width="13.77734375" customWidth="1"/>
    <col min="12" max="12" width="23.109375" bestFit="1" customWidth="1"/>
    <col min="13" max="13" width="18" bestFit="1" customWidth="1"/>
    <col min="14" max="14" width="14.44140625" bestFit="1" customWidth="1"/>
    <col min="15" max="15" width="12" bestFit="1" customWidth="1"/>
    <col min="16" max="17" width="11" bestFit="1" customWidth="1"/>
    <col min="18" max="24" width="12" bestFit="1" customWidth="1"/>
    <col min="25" max="25" width="11" bestFit="1" customWidth="1"/>
    <col min="26" max="33" width="12" bestFit="1" customWidth="1"/>
    <col min="34" max="34" width="11" bestFit="1" customWidth="1"/>
    <col min="35" max="35" width="12" bestFit="1" customWidth="1"/>
    <col min="36" max="36" width="11" bestFit="1" customWidth="1"/>
    <col min="37" max="38" width="12" bestFit="1" customWidth="1"/>
    <col min="39" max="39" width="11" bestFit="1" customWidth="1"/>
    <col min="40" max="41" width="12" bestFit="1" customWidth="1"/>
    <col min="42" max="42" width="11" bestFit="1" customWidth="1"/>
    <col min="43" max="49" width="12" bestFit="1" customWidth="1"/>
  </cols>
  <sheetData>
    <row r="1" spans="1:49" ht="15.6" x14ac:dyDescent="0.3">
      <c r="A1" s="166" t="s">
        <v>45</v>
      </c>
      <c r="B1" s="167"/>
      <c r="C1" s="57" t="s">
        <v>44</v>
      </c>
      <c r="I1" s="117"/>
      <c r="J1" s="117"/>
      <c r="K1" s="163"/>
      <c r="L1" s="1"/>
      <c r="M1" s="2">
        <v>0</v>
      </c>
      <c r="N1" s="2">
        <f t="shared" ref="N1:AW1" si="0">M1+1</f>
        <v>1</v>
      </c>
      <c r="O1" s="2">
        <f t="shared" si="0"/>
        <v>2</v>
      </c>
      <c r="P1" s="2">
        <f t="shared" si="0"/>
        <v>3</v>
      </c>
      <c r="Q1" s="2">
        <f t="shared" si="0"/>
        <v>4</v>
      </c>
      <c r="R1" s="2">
        <f t="shared" si="0"/>
        <v>5</v>
      </c>
      <c r="S1" s="2">
        <f t="shared" si="0"/>
        <v>6</v>
      </c>
      <c r="T1" s="2">
        <f t="shared" si="0"/>
        <v>7</v>
      </c>
      <c r="U1" s="2">
        <f t="shared" si="0"/>
        <v>8</v>
      </c>
      <c r="V1" s="2">
        <f t="shared" si="0"/>
        <v>9</v>
      </c>
      <c r="W1" s="2">
        <f t="shared" si="0"/>
        <v>10</v>
      </c>
      <c r="X1" s="2">
        <f t="shared" si="0"/>
        <v>11</v>
      </c>
      <c r="Y1" s="2">
        <f t="shared" si="0"/>
        <v>12</v>
      </c>
      <c r="Z1" s="2">
        <f t="shared" si="0"/>
        <v>13</v>
      </c>
      <c r="AA1" s="2">
        <f t="shared" si="0"/>
        <v>14</v>
      </c>
      <c r="AB1" s="2">
        <f t="shared" si="0"/>
        <v>15</v>
      </c>
      <c r="AC1" s="2">
        <f t="shared" si="0"/>
        <v>16</v>
      </c>
      <c r="AD1" s="2">
        <f t="shared" si="0"/>
        <v>17</v>
      </c>
      <c r="AE1" s="2">
        <f t="shared" si="0"/>
        <v>18</v>
      </c>
      <c r="AF1" s="2">
        <f t="shared" si="0"/>
        <v>19</v>
      </c>
      <c r="AG1" s="2">
        <f t="shared" si="0"/>
        <v>20</v>
      </c>
      <c r="AH1" s="2">
        <f t="shared" si="0"/>
        <v>21</v>
      </c>
      <c r="AI1" s="2">
        <f t="shared" si="0"/>
        <v>22</v>
      </c>
      <c r="AJ1" s="2">
        <f t="shared" si="0"/>
        <v>23</v>
      </c>
      <c r="AK1" s="2">
        <f t="shared" si="0"/>
        <v>24</v>
      </c>
      <c r="AL1" s="2">
        <f t="shared" si="0"/>
        <v>25</v>
      </c>
      <c r="AM1" s="2">
        <f t="shared" si="0"/>
        <v>26</v>
      </c>
      <c r="AN1" s="2">
        <f t="shared" si="0"/>
        <v>27</v>
      </c>
      <c r="AO1" s="2">
        <f t="shared" si="0"/>
        <v>28</v>
      </c>
      <c r="AP1" s="2">
        <f t="shared" si="0"/>
        <v>29</v>
      </c>
      <c r="AQ1" s="2">
        <f t="shared" si="0"/>
        <v>30</v>
      </c>
      <c r="AR1" s="2">
        <f t="shared" si="0"/>
        <v>31</v>
      </c>
      <c r="AS1" s="2">
        <f t="shared" si="0"/>
        <v>32</v>
      </c>
      <c r="AT1" s="2">
        <f t="shared" si="0"/>
        <v>33</v>
      </c>
      <c r="AU1" s="2">
        <f t="shared" si="0"/>
        <v>34</v>
      </c>
      <c r="AV1" s="2">
        <f t="shared" si="0"/>
        <v>35</v>
      </c>
      <c r="AW1" s="2">
        <f t="shared" si="0"/>
        <v>36</v>
      </c>
    </row>
    <row r="2" spans="1:49" ht="15.6" x14ac:dyDescent="0.3">
      <c r="A2" s="50" t="s">
        <v>27</v>
      </c>
      <c r="B2" s="68">
        <v>10</v>
      </c>
      <c r="C2" s="69"/>
      <c r="D2" s="27"/>
      <c r="E2" s="27"/>
      <c r="F2" s="27"/>
      <c r="I2" s="117"/>
      <c r="J2" s="117"/>
      <c r="K2" s="163"/>
      <c r="L2" s="1"/>
      <c r="M2" s="3">
        <f>B17</f>
        <v>45901</v>
      </c>
      <c r="N2" s="3">
        <f>EOMONTH(M2,0)</f>
        <v>45930</v>
      </c>
      <c r="O2" s="3">
        <f t="shared" ref="O2:AW2" si="1">EOMONTH(N2,1)</f>
        <v>45961</v>
      </c>
      <c r="P2" s="3">
        <f t="shared" si="1"/>
        <v>45991</v>
      </c>
      <c r="Q2" s="3">
        <f t="shared" si="1"/>
        <v>46022</v>
      </c>
      <c r="R2" s="3">
        <f t="shared" si="1"/>
        <v>46053</v>
      </c>
      <c r="S2" s="3">
        <f t="shared" si="1"/>
        <v>46081</v>
      </c>
      <c r="T2" s="3">
        <f t="shared" si="1"/>
        <v>46112</v>
      </c>
      <c r="U2" s="3">
        <f t="shared" si="1"/>
        <v>46142</v>
      </c>
      <c r="V2" s="3">
        <f t="shared" si="1"/>
        <v>46173</v>
      </c>
      <c r="W2" s="3">
        <f t="shared" si="1"/>
        <v>46203</v>
      </c>
      <c r="X2" s="3">
        <f t="shared" si="1"/>
        <v>46234</v>
      </c>
      <c r="Y2" s="3">
        <f t="shared" si="1"/>
        <v>46265</v>
      </c>
      <c r="Z2" s="3">
        <f t="shared" si="1"/>
        <v>46295</v>
      </c>
      <c r="AA2" s="3">
        <f t="shared" si="1"/>
        <v>46326</v>
      </c>
      <c r="AB2" s="3">
        <f t="shared" si="1"/>
        <v>46356</v>
      </c>
      <c r="AC2" s="3">
        <f t="shared" si="1"/>
        <v>46387</v>
      </c>
      <c r="AD2" s="3">
        <f t="shared" si="1"/>
        <v>46418</v>
      </c>
      <c r="AE2" s="3">
        <f t="shared" si="1"/>
        <v>46446</v>
      </c>
      <c r="AF2" s="3">
        <f t="shared" si="1"/>
        <v>46477</v>
      </c>
      <c r="AG2" s="3">
        <f t="shared" si="1"/>
        <v>46507</v>
      </c>
      <c r="AH2" s="3">
        <f t="shared" si="1"/>
        <v>46538</v>
      </c>
      <c r="AI2" s="3">
        <f t="shared" si="1"/>
        <v>46568</v>
      </c>
      <c r="AJ2" s="3">
        <f t="shared" si="1"/>
        <v>46599</v>
      </c>
      <c r="AK2" s="3">
        <f t="shared" si="1"/>
        <v>46630</v>
      </c>
      <c r="AL2" s="3">
        <f t="shared" si="1"/>
        <v>46660</v>
      </c>
      <c r="AM2" s="3">
        <f t="shared" si="1"/>
        <v>46691</v>
      </c>
      <c r="AN2" s="3">
        <f t="shared" si="1"/>
        <v>46721</v>
      </c>
      <c r="AO2" s="3">
        <f t="shared" si="1"/>
        <v>46752</v>
      </c>
      <c r="AP2" s="3">
        <f t="shared" si="1"/>
        <v>46783</v>
      </c>
      <c r="AQ2" s="3">
        <f t="shared" si="1"/>
        <v>46812</v>
      </c>
      <c r="AR2" s="3">
        <f t="shared" si="1"/>
        <v>46843</v>
      </c>
      <c r="AS2" s="3">
        <f t="shared" si="1"/>
        <v>46873</v>
      </c>
      <c r="AT2" s="3">
        <f t="shared" si="1"/>
        <v>46904</v>
      </c>
      <c r="AU2" s="3">
        <f t="shared" si="1"/>
        <v>46934</v>
      </c>
      <c r="AV2" s="3">
        <f t="shared" si="1"/>
        <v>46965</v>
      </c>
      <c r="AW2" s="3">
        <f t="shared" si="1"/>
        <v>46996</v>
      </c>
    </row>
    <row r="3" spans="1:49" ht="15.6" x14ac:dyDescent="0.3">
      <c r="A3" s="51" t="s">
        <v>28</v>
      </c>
      <c r="B3" s="69">
        <v>190</v>
      </c>
      <c r="C3" s="69"/>
      <c r="D3" s="27"/>
      <c r="E3" s="27"/>
      <c r="F3" s="27"/>
      <c r="I3" s="118"/>
      <c r="J3" s="117"/>
      <c r="K3" s="4"/>
      <c r="L3" s="35" t="s">
        <v>0</v>
      </c>
      <c r="M3" s="36"/>
      <c r="N3" s="36">
        <v>31</v>
      </c>
      <c r="O3" s="36">
        <f>O2-N2</f>
        <v>31</v>
      </c>
      <c r="P3" s="36">
        <f t="shared" ref="P3:AW3" si="2">P2-O2</f>
        <v>30</v>
      </c>
      <c r="Q3" s="36">
        <f t="shared" si="2"/>
        <v>31</v>
      </c>
      <c r="R3" s="36">
        <f t="shared" si="2"/>
        <v>31</v>
      </c>
      <c r="S3" s="36">
        <f t="shared" si="2"/>
        <v>28</v>
      </c>
      <c r="T3" s="36">
        <f t="shared" si="2"/>
        <v>31</v>
      </c>
      <c r="U3" s="36">
        <f t="shared" si="2"/>
        <v>30</v>
      </c>
      <c r="V3" s="36">
        <f t="shared" si="2"/>
        <v>31</v>
      </c>
      <c r="W3" s="36">
        <f t="shared" si="2"/>
        <v>30</v>
      </c>
      <c r="X3" s="36">
        <f t="shared" si="2"/>
        <v>31</v>
      </c>
      <c r="Y3" s="36">
        <f t="shared" si="2"/>
        <v>31</v>
      </c>
      <c r="Z3" s="36">
        <f t="shared" si="2"/>
        <v>30</v>
      </c>
      <c r="AA3" s="36">
        <f t="shared" si="2"/>
        <v>31</v>
      </c>
      <c r="AB3" s="36">
        <f t="shared" si="2"/>
        <v>30</v>
      </c>
      <c r="AC3" s="36">
        <f t="shared" si="2"/>
        <v>31</v>
      </c>
      <c r="AD3" s="36">
        <f t="shared" si="2"/>
        <v>31</v>
      </c>
      <c r="AE3" s="36">
        <f t="shared" si="2"/>
        <v>28</v>
      </c>
      <c r="AF3" s="36">
        <f t="shared" si="2"/>
        <v>31</v>
      </c>
      <c r="AG3" s="36">
        <f t="shared" si="2"/>
        <v>30</v>
      </c>
      <c r="AH3" s="36">
        <f t="shared" si="2"/>
        <v>31</v>
      </c>
      <c r="AI3" s="36">
        <f t="shared" si="2"/>
        <v>30</v>
      </c>
      <c r="AJ3" s="36">
        <f t="shared" si="2"/>
        <v>31</v>
      </c>
      <c r="AK3" s="36">
        <f t="shared" si="2"/>
        <v>31</v>
      </c>
      <c r="AL3" s="36">
        <f t="shared" si="2"/>
        <v>30</v>
      </c>
      <c r="AM3" s="36">
        <f t="shared" si="2"/>
        <v>31</v>
      </c>
      <c r="AN3" s="36">
        <f t="shared" si="2"/>
        <v>30</v>
      </c>
      <c r="AO3" s="36">
        <f t="shared" si="2"/>
        <v>31</v>
      </c>
      <c r="AP3" s="36">
        <f t="shared" si="2"/>
        <v>31</v>
      </c>
      <c r="AQ3" s="36">
        <f t="shared" si="2"/>
        <v>29</v>
      </c>
      <c r="AR3" s="36">
        <f t="shared" si="2"/>
        <v>31</v>
      </c>
      <c r="AS3" s="36">
        <f t="shared" si="2"/>
        <v>30</v>
      </c>
      <c r="AT3" s="36">
        <f t="shared" si="2"/>
        <v>31</v>
      </c>
      <c r="AU3" s="36">
        <f t="shared" si="2"/>
        <v>30</v>
      </c>
      <c r="AV3" s="36">
        <f t="shared" si="2"/>
        <v>31</v>
      </c>
      <c r="AW3" s="36">
        <f t="shared" si="2"/>
        <v>31</v>
      </c>
    </row>
    <row r="4" spans="1:49" ht="15.6" x14ac:dyDescent="0.3">
      <c r="A4" s="51" t="s">
        <v>29</v>
      </c>
      <c r="B4" s="70">
        <v>10</v>
      </c>
      <c r="C4" s="69"/>
      <c r="D4" s="28"/>
      <c r="E4" s="28"/>
      <c r="F4" s="28"/>
      <c r="I4" s="170"/>
      <c r="J4" s="170"/>
      <c r="K4" s="4"/>
      <c r="L4" s="5" t="s">
        <v>1</v>
      </c>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ht="15.6" x14ac:dyDescent="0.3">
      <c r="A5" s="51" t="s">
        <v>30</v>
      </c>
      <c r="B5" s="71">
        <v>19</v>
      </c>
      <c r="C5" s="69"/>
      <c r="D5" s="29"/>
      <c r="E5" s="29"/>
      <c r="F5" s="29"/>
      <c r="I5" s="117"/>
      <c r="J5" s="119"/>
      <c r="K5" s="4"/>
      <c r="L5" s="7" t="s">
        <v>80</v>
      </c>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row>
    <row r="6" spans="1:49" ht="15.6" x14ac:dyDescent="0.3">
      <c r="A6" s="60" t="s">
        <v>65</v>
      </c>
      <c r="B6" s="74">
        <f>B2*25</f>
        <v>250</v>
      </c>
      <c r="C6" s="69"/>
      <c r="D6" s="30"/>
      <c r="E6" s="30"/>
      <c r="F6" s="30"/>
      <c r="I6" s="117"/>
      <c r="J6" s="120"/>
      <c r="K6" s="4"/>
      <c r="L6" s="7" t="s">
        <v>2</v>
      </c>
      <c r="M6" s="108">
        <f t="shared" ref="M6:AR6" si="3">IF(M2&lt;$B$19,$B$20,$B$2)</f>
        <v>3.15</v>
      </c>
      <c r="N6" s="108">
        <f t="shared" si="3"/>
        <v>3.15</v>
      </c>
      <c r="O6" s="108">
        <f t="shared" si="3"/>
        <v>3.15</v>
      </c>
      <c r="P6" s="108">
        <f t="shared" si="3"/>
        <v>3.15</v>
      </c>
      <c r="Q6" s="108">
        <f t="shared" si="3"/>
        <v>3.15</v>
      </c>
      <c r="R6" s="108">
        <f t="shared" si="3"/>
        <v>3.15</v>
      </c>
      <c r="S6" s="108">
        <f t="shared" si="3"/>
        <v>3.15</v>
      </c>
      <c r="T6" s="108">
        <f t="shared" si="3"/>
        <v>3.15</v>
      </c>
      <c r="U6" s="108">
        <f t="shared" si="3"/>
        <v>3.15</v>
      </c>
      <c r="V6" s="108">
        <f t="shared" si="3"/>
        <v>3.15</v>
      </c>
      <c r="W6" s="108">
        <f t="shared" si="3"/>
        <v>3.15</v>
      </c>
      <c r="X6" s="108">
        <f t="shared" si="3"/>
        <v>3.15</v>
      </c>
      <c r="Y6" s="108">
        <f t="shared" si="3"/>
        <v>3.15</v>
      </c>
      <c r="Z6" s="108">
        <f t="shared" si="3"/>
        <v>3.15</v>
      </c>
      <c r="AA6" s="108">
        <f t="shared" si="3"/>
        <v>3.15</v>
      </c>
      <c r="AB6" s="108">
        <f t="shared" si="3"/>
        <v>3.15</v>
      </c>
      <c r="AC6" s="108">
        <f t="shared" si="3"/>
        <v>3.15</v>
      </c>
      <c r="AD6" s="108">
        <f t="shared" si="3"/>
        <v>3.15</v>
      </c>
      <c r="AE6" s="108">
        <f t="shared" si="3"/>
        <v>3.15</v>
      </c>
      <c r="AF6" s="108">
        <f t="shared" si="3"/>
        <v>3.15</v>
      </c>
      <c r="AG6" s="108">
        <f t="shared" si="3"/>
        <v>3.15</v>
      </c>
      <c r="AH6" s="108">
        <f t="shared" si="3"/>
        <v>3.15</v>
      </c>
      <c r="AI6" s="108">
        <f t="shared" si="3"/>
        <v>3.15</v>
      </c>
      <c r="AJ6" s="108">
        <f t="shared" si="3"/>
        <v>3.15</v>
      </c>
      <c r="AK6" s="108">
        <f t="shared" si="3"/>
        <v>3.15</v>
      </c>
      <c r="AL6" s="108">
        <f t="shared" si="3"/>
        <v>3.15</v>
      </c>
      <c r="AM6" s="108">
        <f t="shared" si="3"/>
        <v>3.15</v>
      </c>
      <c r="AN6" s="108">
        <f t="shared" si="3"/>
        <v>3.15</v>
      </c>
      <c r="AO6" s="108">
        <f t="shared" si="3"/>
        <v>3.15</v>
      </c>
      <c r="AP6" s="108">
        <f t="shared" si="3"/>
        <v>3.15</v>
      </c>
      <c r="AQ6" s="108">
        <f t="shared" si="3"/>
        <v>3.15</v>
      </c>
      <c r="AR6" s="108">
        <f t="shared" si="3"/>
        <v>3.15</v>
      </c>
      <c r="AS6" s="108">
        <f>IF(AS2&lt;$B$19,$B$20,$B$21)</f>
        <v>1.575</v>
      </c>
      <c r="AT6" s="108">
        <f>IF(AT2&lt;$B$19,$B$20,$B$21)</f>
        <v>1.575</v>
      </c>
      <c r="AU6" s="108">
        <f>IF(AU2&lt;$B$19,$B$20,$B$21)</f>
        <v>1.575</v>
      </c>
      <c r="AV6" s="108">
        <f>IF(AV2&lt;$B$19,$B$20,$B$21)</f>
        <v>1.575</v>
      </c>
      <c r="AW6" s="108">
        <f>IF(AW2&lt;$B$19,$B$20,$B$21)</f>
        <v>1.575</v>
      </c>
    </row>
    <row r="7" spans="1:49" ht="15.6" x14ac:dyDescent="0.3">
      <c r="A7" s="51" t="s">
        <v>31</v>
      </c>
      <c r="B7" s="72">
        <v>7.4999999999999997E-2</v>
      </c>
      <c r="C7" s="73"/>
      <c r="D7" s="28"/>
      <c r="E7" s="28"/>
      <c r="F7" s="28"/>
      <c r="I7" s="117"/>
      <c r="J7" s="121"/>
      <c r="K7" s="4"/>
      <c r="L7" s="106" t="s">
        <v>3</v>
      </c>
      <c r="M7" s="107">
        <f>B12</f>
        <v>111836.4</v>
      </c>
      <c r="N7" s="107">
        <f>$M$7 * EXP( ($B$24/$B$25) * (1 - EXP(-$B$25*(COLUMNS($M8:N8)-1))) )</f>
        <v>116129.20291041664</v>
      </c>
      <c r="O7" s="107">
        <f>$M$7 * EXP( ($B$24/$B$25) * (1 - EXP(-$B$25*(COLUMNS($M8:O8)-1))) )</f>
        <v>120280.10307976264</v>
      </c>
      <c r="P7" s="107">
        <f>$M$7 * EXP( ($B$24/$B$25) * (1 - EXP(-$B$25*(COLUMNS($M8:P8)-1))) )</f>
        <v>124283.93215580931</v>
      </c>
      <c r="Q7" s="107">
        <f>$M$7 * EXP( ($B$24/$B$25) * (1 - EXP(-$B$25*(COLUMNS($M8:Q8)-1))) )</f>
        <v>128137.05498728261</v>
      </c>
      <c r="R7" s="107">
        <f>$M$7 * EXP( ($B$24/$B$25) * (1 - EXP(-$B$25*(COLUMNS($M8:R8)-1))) )</f>
        <v>131837.22405990888</v>
      </c>
      <c r="S7" s="107">
        <f>$M$7 * EXP( ($B$24/$B$25) * (1 - EXP(-$B$25*(COLUMNS($M8:S8)-1))) )</f>
        <v>135383.43391937518</v>
      </c>
      <c r="T7" s="107">
        <f>$M$7 * EXP( ($B$24/$B$25) * (1 - EXP(-$B$25*(COLUMNS($M8:T8)-1))) )</f>
        <v>138775.7785404567</v>
      </c>
      <c r="U7" s="107">
        <f>$M$7 * EXP( ($B$24/$B$25) * (1 - EXP(-$B$25*(COLUMNS($M8:U8)-1))) )</f>
        <v>142015.31393660954</v>
      </c>
      <c r="V7" s="107">
        <f>$M$7 * EXP( ($B$24/$B$25) * (1 - EXP(-$B$25*(COLUMNS($M8:V8)-1))) )</f>
        <v>145103.92771791565</v>
      </c>
      <c r="W7" s="107">
        <f>$M$7 * EXP( ($B$24/$B$25) * (1 - EXP(-$B$25*(COLUMNS($M8:W8)-1))) )</f>
        <v>148044.21679908724</v>
      </c>
      <c r="X7" s="107">
        <f>$M$7 * EXP( ($B$24/$B$25) * (1 - EXP(-$B$25*(COLUMNS($M8:X8)-1))) )</f>
        <v>150839.37403121678</v>
      </c>
      <c r="Y7" s="107">
        <f>$M$7 * EXP( ($B$24/$B$25) * (1 - EXP(-$B$25*(COLUMNS($M8:Y8)-1))) )</f>
        <v>153493.08417644529</v>
      </c>
      <c r="Z7" s="107">
        <f>$M$7 * EXP( ($B$24/$B$25) * (1 - EXP(-$B$25*(COLUMNS($M8:Z8)-1))) )</f>
        <v>156009.42935743404</v>
      </c>
      <c r="AA7" s="107">
        <f>$M$7 * EXP( ($B$24/$B$25) * (1 - EXP(-$B$25*(COLUMNS($M8:AA8)-1))) )</f>
        <v>158392.80388629535</v>
      </c>
      <c r="AB7" s="107">
        <f>$M$7 * EXP( ($B$24/$B$25) * (1 - EXP(-$B$25*(COLUMNS($M8:AB8)-1))) )</f>
        <v>160647.83820296562</v>
      </c>
      <c r="AC7" s="107">
        <f>$M$7 * EXP( ($B$24/$B$25) * (1 - EXP(-$B$25*(COLUMNS($M8:AC8)-1))) )</f>
        <v>162779.33152347759</v>
      </c>
      <c r="AD7" s="107">
        <f>$M$7 * EXP( ($B$24/$B$25) * (1 - EXP(-$B$25*(COLUMNS($M8:AD8)-1))) )</f>
        <v>164792.1927071492</v>
      </c>
      <c r="AE7" s="107">
        <f>$M$7 * EXP( ($B$24/$B$25) * (1 - EXP(-$B$25*(COLUMNS($M8:AE8)-1))) )</f>
        <v>166691.38879184308</v>
      </c>
      <c r="AF7" s="107">
        <f>$M$7 * EXP( ($B$24/$B$25) * (1 - EXP(-$B$25*(COLUMNS($M8:AF8)-1))) )</f>
        <v>168481.90061229028</v>
      </c>
      <c r="AG7" s="107">
        <f>$M$7 * EXP( ($B$24/$B$25) * (1 - EXP(-$B$25*(COLUMNS($M8:AG8)-1))) )</f>
        <v>170168.68490282798</v>
      </c>
      <c r="AH7" s="107">
        <f>$M$7 * EXP( ($B$24/$B$25) * (1 - EXP(-$B$25*(COLUMNS($M8:AH8)-1))) )</f>
        <v>171756.64228827882</v>
      </c>
      <c r="AI7" s="107">
        <f>$M$7 * EXP( ($B$24/$B$25) * (1 - EXP(-$B$25*(COLUMNS($M8:AI8)-1))) )</f>
        <v>173250.59058125658</v>
      </c>
      <c r="AJ7" s="107">
        <f>$M$7 * EXP( ($B$24/$B$25) * (1 - EXP(-$B$25*(COLUMNS($M8:AJ8)-1))) )</f>
        <v>174655.24282769565</v>
      </c>
      <c r="AK7" s="107">
        <f>$M$7 * EXP( ($B$24/$B$25) * (1 - EXP(-$B$25*(COLUMNS($M8:AK8)-1))) )</f>
        <v>175975.18957220062</v>
      </c>
      <c r="AL7" s="107">
        <f>$M$7 * EXP( ($B$24/$B$25) * (1 - EXP(-$B$25*(COLUMNS($M8:AL8)-1))) )</f>
        <v>177214.88484872403</v>
      </c>
      <c r="AM7" s="107">
        <f>$M$7 * EXP( ($B$24/$B$25) * (1 - EXP(-$B$25*(COLUMNS($M8:AM8)-1))) )</f>
        <v>178378.63543835533</v>
      </c>
      <c r="AN7" s="107">
        <f>$M$7 * EXP( ($B$24/$B$25) * (1 - EXP(-$B$25*(COLUMNS($M8:AN8)-1))) )</f>
        <v>179470.59297328087</v>
      </c>
      <c r="AO7" s="107">
        <f>$M$7 * EXP( ($B$24/$B$25) * (1 - EXP(-$B$25*(COLUMNS($M8:AO8)-1))) )</f>
        <v>180494.74850318304</v>
      </c>
      <c r="AP7" s="107">
        <f>$M$7 * EXP( ($B$24/$B$25) * (1 - EXP(-$B$25*(COLUMNS($M8:AP8)-1))) )</f>
        <v>181454.92917670193</v>
      </c>
      <c r="AQ7" s="107">
        <f>$M$7 * EXP( ($B$24/$B$25) * (1 - EXP(-$B$25*(COLUMNS($M8:AQ8)-1))) )</f>
        <v>182354.79672550107</v>
      </c>
      <c r="AR7" s="107">
        <f>$M$7 * EXP( ($B$24/$B$25) * (1 - EXP(-$B$25*(COLUMNS($M8:AR8)-1))) )</f>
        <v>183197.84747156064</v>
      </c>
      <c r="AS7" s="107">
        <f>$M$7 * EXP( ($B$24/$B$25) * (1 - EXP(-$B$25*(COLUMNS($M8:AS8)-1))) )</f>
        <v>183987.41360930901</v>
      </c>
      <c r="AT7" s="107">
        <f>$M$7 * EXP( ($B$24/$B$25) * (1 - EXP(-$B$25*(COLUMNS($M8:AT8)-1))) )</f>
        <v>184726.66554294512</v>
      </c>
      <c r="AU7" s="107">
        <f>$M$7 * EXP( ($B$24/$B$25) * (1 - EXP(-$B$25*(COLUMNS($M8:AU8)-1))) )</f>
        <v>185418.61508574645</v>
      </c>
      <c r="AV7" s="107">
        <f>$M$7 * EXP( ($B$24/$B$25) * (1 - EXP(-$B$25*(COLUMNS($M8:AV8)-1))) )</f>
        <v>186066.11935229867</v>
      </c>
      <c r="AW7" s="107">
        <f>$M$7 * EXP( ($B$24/$B$25) * (1 - EXP(-$B$25*(COLUMNS($M8:AW8)-1))) )</f>
        <v>186671.88519648596</v>
      </c>
    </row>
    <row r="8" spans="1:49" ht="15.6" x14ac:dyDescent="0.3">
      <c r="A8" s="81" t="s">
        <v>55</v>
      </c>
      <c r="B8" s="79">
        <f>B3*B5/1000</f>
        <v>3.61</v>
      </c>
      <c r="C8" s="90" t="str">
        <f ca="1">_xlfn.FORMULATEXT(B8)</f>
        <v>=B3*B5/1000</v>
      </c>
      <c r="D8" s="28"/>
      <c r="E8" s="76"/>
      <c r="F8" s="28"/>
      <c r="I8" s="117"/>
      <c r="J8" s="120"/>
      <c r="K8" s="4"/>
      <c r="L8" s="7" t="s">
        <v>4</v>
      </c>
      <c r="M8" s="8">
        <f>B13*10^12</f>
        <v>129699999999999.98</v>
      </c>
      <c r="N8" s="9">
        <f>$M$8 * EXP( ($B$26/$B$27) * (1 - EXP(-$B$27*(COLUMNS($M8:N8)-1))) )</f>
        <v>134051518027796.03</v>
      </c>
      <c r="O8" s="9">
        <f>$M$8 * EXP( ($B$26/$B$27) * (1 - EXP(-$B$27*(COLUMNS($M8:O8)-1))) )</f>
        <v>138283027737713</v>
      </c>
      <c r="P8" s="9">
        <f>$M$8 * EXP( ($B$26/$B$27) * (1 - EXP(-$B$27*(COLUMNS($M8:P8)-1))) )</f>
        <v>142390170829625</v>
      </c>
      <c r="Q8" s="9">
        <f>$M$8 * EXP( ($B$26/$B$27) * (1 - EXP(-$B$27*(COLUMNS($M8:Q8)-1))) )</f>
        <v>146369605907428.41</v>
      </c>
      <c r="R8" s="9">
        <f>$M$8 * EXP( ($B$26/$B$27) * (1 - EXP(-$B$27*(COLUMNS($M8:R8)-1))) )</f>
        <v>150218930439144.03</v>
      </c>
      <c r="S8" s="9">
        <f>$M$8 * EXP( ($B$26/$B$27) * (1 - EXP(-$B$27*(COLUMNS($M8:S8)-1))) )</f>
        <v>153936601623585.5</v>
      </c>
      <c r="T8" s="9">
        <f>$M$8 * EXP( ($B$26/$B$27) * (1 - EXP(-$B$27*(COLUMNS($M8:T8)-1))) )</f>
        <v>157521857554472.97</v>
      </c>
      <c r="U8" s="9">
        <f>$M$8 * EXP( ($B$26/$B$27) * (1 - EXP(-$B$27*(COLUMNS($M8:U8)-1))) )</f>
        <v>160974639825494.78</v>
      </c>
      <c r="V8" s="9">
        <f>$M$8 * EXP( ($B$26/$B$27) * (1 - EXP(-$B$27*(COLUMNS($M8:V8)-1))) )</f>
        <v>164295518493929.59</v>
      </c>
      <c r="W8" s="9">
        <f>$M$8 * EXP( ($B$26/$B$27) * (1 - EXP(-$B$27*(COLUMNS($M8:W8)-1))) )</f>
        <v>167485620117628</v>
      </c>
      <c r="X8" s="9">
        <f>$M$8 * EXP( ($B$26/$B$27) * (1 - EXP(-$B$27*(COLUMNS($M8:X8)-1))) )</f>
        <v>170546559400922.88</v>
      </c>
      <c r="Y8" s="9">
        <f>$M$8 * EXP( ($B$26/$B$27) * (1 - EXP(-$B$27*(COLUMNS($M8:Y8)-1))) )</f>
        <v>173480374829027.03</v>
      </c>
      <c r="Z8" s="9">
        <f>$M$8 * EXP( ($B$26/$B$27) * (1 - EXP(-$B$27*(COLUMNS($M8:Z8)-1))) )</f>
        <v>176289468536714.81</v>
      </c>
      <c r="AA8" s="9">
        <f>$M$8 * EXP( ($B$26/$B$27) * (1 - EXP(-$B$27*(COLUMNS($M8:AA8)-1))) )</f>
        <v>178976550544161.19</v>
      </c>
      <c r="AB8" s="9">
        <f>$M$8 * EXP( ($B$26/$B$27) * (1 - EXP(-$B$27*(COLUMNS($M8:AB8)-1))) )</f>
        <v>181544587399041.16</v>
      </c>
      <c r="AC8" s="9">
        <f>$M$8 * EXP( ($B$26/$B$27) * (1 - EXP(-$B$27*(COLUMNS($M8:AC8)-1))) )</f>
        <v>183996755187540.78</v>
      </c>
      <c r="AD8" s="9">
        <f>$M$8 * EXP( ($B$26/$B$27) * (1 - EXP(-$B$27*(COLUMNS($M8:AD8)-1))) )</f>
        <v>186336396815905.56</v>
      </c>
      <c r="AE8" s="9">
        <f>$M$8 * EXP( ($B$26/$B$27) * (1 - EXP(-$B$27*(COLUMNS($M8:AE8)-1))) )</f>
        <v>188566983416681</v>
      </c>
      <c r="AF8" s="9">
        <f>$M$8 * EXP( ($B$26/$B$27) * (1 - EXP(-$B$27*(COLUMNS($M8:AF8)-1))) )</f>
        <v>190692079698084.03</v>
      </c>
      <c r="AG8" s="9">
        <f>$M$8 * EXP( ($B$26/$B$27) * (1 - EXP(-$B$27*(COLUMNS($M8:AG8)-1))) )</f>
        <v>192715313029288.53</v>
      </c>
      <c r="AH8" s="9">
        <f>$M$8 * EXP( ($B$26/$B$27) * (1 - EXP(-$B$27*(COLUMNS($M8:AH8)-1))) )</f>
        <v>194640346037254.5</v>
      </c>
      <c r="AI8" s="9">
        <f>$M$8 * EXP( ($B$26/$B$27) * (1 - EXP(-$B$27*(COLUMNS($M8:AI8)-1))) )</f>
        <v>196470852480662.81</v>
      </c>
      <c r="AJ8" s="9">
        <f>$M$8 * EXP( ($B$26/$B$27) * (1 - EXP(-$B$27*(COLUMNS($M8:AJ8)-1))) )</f>
        <v>198210496162264.69</v>
      </c>
      <c r="AK8" s="9">
        <f>$M$8 * EXP( ($B$26/$B$27) * (1 - EXP(-$B$27*(COLUMNS($M8:AK8)-1))) )</f>
        <v>199862912641404.88</v>
      </c>
      <c r="AL8" s="9">
        <f>$M$8 * EXP( ($B$26/$B$27) * (1 - EXP(-$B$27*(COLUMNS($M8:AL8)-1))) )</f>
        <v>201431693512646.31</v>
      </c>
      <c r="AM8" s="9">
        <f>$M$8 * EXP( ($B$26/$B$27) * (1 - EXP(-$B$27*(COLUMNS($M8:AM8)-1))) )</f>
        <v>202920373023472.94</v>
      </c>
      <c r="AN8" s="9">
        <f>$M$8 * EXP( ($B$26/$B$27) * (1 - EXP(-$B$27*(COLUMNS($M8:AN8)-1))) )</f>
        <v>204332416813257.31</v>
      </c>
      <c r="AO8" s="9">
        <f>$M$8 * EXP( ($B$26/$B$27) * (1 - EXP(-$B$27*(COLUMNS($M8:AO8)-1))) )</f>
        <v>205671212566441.03</v>
      </c>
      <c r="AP8" s="9">
        <f>$M$8 * EXP( ($B$26/$B$27) * (1 - EXP(-$B$27*(COLUMNS($M8:AP8)-1))) )</f>
        <v>206940062384685.78</v>
      </c>
      <c r="AQ8" s="9">
        <f>$M$8 * EXP( ($B$26/$B$27) * (1 - EXP(-$B$27*(COLUMNS($M8:AQ8)-1))) )</f>
        <v>208142176695192.66</v>
      </c>
      <c r="AR8" s="9">
        <f>$M$8 * EXP( ($B$26/$B$27) * (1 - EXP(-$B$27*(COLUMNS($M8:AR8)-1))) )</f>
        <v>209280669525119.34</v>
      </c>
      <c r="AS8" s="9">
        <f>$M$8 * EXP( ($B$26/$B$27) * (1 - EXP(-$B$27*(COLUMNS($M8:AS8)-1))) )</f>
        <v>210358554984776.78</v>
      </c>
      <c r="AT8" s="9">
        <f>$M$8 * EXP( ($B$26/$B$27) * (1 - EXP(-$B$27*(COLUMNS($M8:AT8)-1))) )</f>
        <v>211378744814847.53</v>
      </c>
      <c r="AU8" s="9">
        <f>$M$8 * EXP( ($B$26/$B$27) * (1 - EXP(-$B$27*(COLUMNS($M8:AU8)-1))) )</f>
        <v>212344046865073.94</v>
      </c>
      <c r="AV8" s="9">
        <f>$M$8 * EXP( ($B$26/$B$27) * (1 - EXP(-$B$27*(COLUMNS($M8:AV8)-1))) )</f>
        <v>213257164383592</v>
      </c>
      <c r="AW8" s="9">
        <f>$M$8 * EXP( ($B$26/$B$27) * (1 - EXP(-$B$27*(COLUMNS($M8:AW8)-1))) )</f>
        <v>214120696007251.81</v>
      </c>
    </row>
    <row r="9" spans="1:49" ht="15.6" x14ac:dyDescent="0.3">
      <c r="A9" s="78" t="s">
        <v>79</v>
      </c>
      <c r="B9" s="82">
        <f>B4*B3*B2</f>
        <v>19000</v>
      </c>
      <c r="C9" s="80" t="str">
        <f ca="1">_xlfn.FORMULATEXT(B9)</f>
        <v>=B4*B3*B2</v>
      </c>
      <c r="D9" s="28"/>
      <c r="E9" s="28"/>
      <c r="F9" s="46"/>
      <c r="I9" s="117"/>
      <c r="J9" s="120"/>
      <c r="K9" s="4"/>
      <c r="L9" s="7"/>
      <c r="M9" s="4"/>
      <c r="N9" s="4"/>
      <c r="O9" s="4"/>
      <c r="P9" s="4"/>
    </row>
    <row r="10" spans="1:49" ht="15.6" x14ac:dyDescent="0.3">
      <c r="A10" s="81" t="s">
        <v>32</v>
      </c>
      <c r="B10" s="82">
        <f>B8*24*31*B7*B2*2</f>
        <v>4028.76</v>
      </c>
      <c r="C10" s="80" t="str">
        <f ca="1">_xlfn.FORMULATEXT(B10)</f>
        <v>=B8*24*31*B7*B2*2</v>
      </c>
      <c r="D10" s="28"/>
      <c r="E10" s="28"/>
      <c r="F10" s="46"/>
      <c r="I10" s="117"/>
      <c r="J10" s="122"/>
      <c r="K10" s="4"/>
      <c r="L10" s="10" t="s">
        <v>6</v>
      </c>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ht="15.6" x14ac:dyDescent="0.3">
      <c r="A11" s="81" t="s">
        <v>33</v>
      </c>
      <c r="B11" s="82">
        <f>(B9*B2)+B10+(B6*B2)</f>
        <v>196528.76</v>
      </c>
      <c r="C11" s="80" t="str">
        <f ca="1">_xlfn.FORMULATEXT(B11)</f>
        <v>=(B9*B2)+B10+(B6*B2)</v>
      </c>
      <c r="D11" s="28"/>
      <c r="E11" s="28"/>
      <c r="F11" s="46"/>
      <c r="I11" s="117"/>
      <c r="J11" s="122"/>
      <c r="K11" s="4"/>
      <c r="L11" s="7" t="s">
        <v>7</v>
      </c>
      <c r="M11" s="12">
        <f>B2*B3*B4</f>
        <v>19000</v>
      </c>
      <c r="N11" s="4"/>
      <c r="O11" s="4"/>
      <c r="P11" s="4"/>
    </row>
    <row r="12" spans="1:49" ht="15.6" x14ac:dyDescent="0.3">
      <c r="A12" s="60" t="s">
        <v>46</v>
      </c>
      <c r="B12" s="74">
        <v>111836.4</v>
      </c>
      <c r="C12" s="69" t="s">
        <v>54</v>
      </c>
      <c r="D12" s="28"/>
      <c r="E12" s="28"/>
      <c r="F12" s="46"/>
      <c r="I12" s="117"/>
      <c r="J12" s="119"/>
      <c r="K12" s="4"/>
      <c r="L12" s="7" t="s">
        <v>6</v>
      </c>
      <c r="M12" s="12">
        <f>B2*B6</f>
        <v>2500</v>
      </c>
      <c r="N12" s="4"/>
      <c r="O12" s="4"/>
      <c r="P12" s="4"/>
    </row>
    <row r="13" spans="1:49" ht="15.6" x14ac:dyDescent="0.3">
      <c r="A13" s="149" t="s">
        <v>51</v>
      </c>
      <c r="B13" s="153">
        <v>129.69999999999999</v>
      </c>
      <c r="C13" s="151" t="s">
        <v>54</v>
      </c>
      <c r="D13" s="156"/>
      <c r="E13" s="28"/>
      <c r="F13" s="46"/>
      <c r="I13" s="117"/>
      <c r="J13" s="122"/>
      <c r="K13" s="4"/>
      <c r="L13" s="7" t="s">
        <v>8</v>
      </c>
      <c r="M13" s="12">
        <f>B8*24*31*B7*B2*2</f>
        <v>4028.76</v>
      </c>
      <c r="N13" s="4"/>
      <c r="O13" s="4"/>
      <c r="P13" s="4"/>
    </row>
    <row r="14" spans="1:49" ht="15.6" x14ac:dyDescent="0.3">
      <c r="A14" s="149" t="s">
        <v>53</v>
      </c>
      <c r="B14" s="154">
        <f>(B12*B20*144)/((B13*2^32/600))</f>
        <v>5.4639615894007336E-2</v>
      </c>
      <c r="C14" s="155" t="str">
        <f ca="1">_xlfn.FORMULATEXT(B14)</f>
        <v>=(B12*B20*144)/((B13*2^32/600))</v>
      </c>
      <c r="D14" s="156"/>
      <c r="E14" s="28"/>
      <c r="F14" s="46"/>
      <c r="I14" s="117"/>
      <c r="J14" s="122"/>
      <c r="K14" s="4"/>
      <c r="L14" s="7"/>
      <c r="M14" s="13"/>
      <c r="N14" s="4"/>
      <c r="O14" s="4"/>
      <c r="P14" s="4"/>
    </row>
    <row r="15" spans="1:49" ht="15.6" x14ac:dyDescent="0.3">
      <c r="A15" s="149" t="s">
        <v>12</v>
      </c>
      <c r="B15" s="150">
        <v>0.99</v>
      </c>
      <c r="C15" s="152" t="s">
        <v>74</v>
      </c>
      <c r="D15" s="28"/>
      <c r="E15" s="28"/>
      <c r="F15" s="46"/>
      <c r="I15" s="104"/>
      <c r="J15" s="104"/>
      <c r="K15" s="4"/>
      <c r="L15" s="7"/>
      <c r="M15" s="4"/>
      <c r="N15" s="4"/>
      <c r="O15" s="4"/>
      <c r="P15" s="4"/>
    </row>
    <row r="16" spans="1:49" ht="15.6" x14ac:dyDescent="0.3">
      <c r="A16" s="149" t="s">
        <v>5</v>
      </c>
      <c r="B16" s="150">
        <v>0.01</v>
      </c>
      <c r="C16" s="152" t="s">
        <v>74</v>
      </c>
      <c r="D16" s="28"/>
      <c r="E16" s="28"/>
      <c r="F16" s="46"/>
      <c r="I16" s="170"/>
      <c r="J16" s="170"/>
      <c r="K16" s="4"/>
      <c r="L16" s="14" t="s">
        <v>9</v>
      </c>
      <c r="M16" s="15">
        <f>SUM(M11:M14)</f>
        <v>25528.760000000002</v>
      </c>
      <c r="N16" s="4"/>
      <c r="O16" s="4"/>
      <c r="P16" s="4"/>
    </row>
    <row r="17" spans="1:49" ht="15.6" x14ac:dyDescent="0.3">
      <c r="A17" s="60" t="s">
        <v>66</v>
      </c>
      <c r="B17" s="75">
        <v>45901</v>
      </c>
      <c r="C17" s="75"/>
      <c r="D17" s="28"/>
      <c r="E17" s="28"/>
      <c r="F17" s="46"/>
      <c r="I17" s="117"/>
      <c r="J17" s="123"/>
      <c r="K17" s="4"/>
      <c r="L17" s="7"/>
      <c r="M17" s="4"/>
      <c r="N17" s="4"/>
      <c r="O17" s="4"/>
      <c r="P17" s="4"/>
    </row>
    <row r="18" spans="1:49" ht="15.6" x14ac:dyDescent="0.3">
      <c r="A18" s="60" t="s">
        <v>58</v>
      </c>
      <c r="B18" s="75">
        <v>45762</v>
      </c>
      <c r="C18" s="75"/>
      <c r="D18" s="28"/>
      <c r="E18" s="28"/>
      <c r="F18" s="46"/>
      <c r="I18" s="117"/>
      <c r="J18" s="122"/>
      <c r="K18" s="4"/>
      <c r="L18" s="10" t="s">
        <v>10</v>
      </c>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ht="15.6" x14ac:dyDescent="0.3">
      <c r="A19" s="60" t="s">
        <v>78</v>
      </c>
      <c r="B19" s="75">
        <v>46844</v>
      </c>
      <c r="C19" s="69" t="s">
        <v>54</v>
      </c>
      <c r="D19" s="28"/>
      <c r="E19" s="28"/>
      <c r="F19" s="46"/>
      <c r="I19" s="117"/>
      <c r="J19" s="117"/>
      <c r="K19" s="4"/>
      <c r="L19" s="7" t="s">
        <v>11</v>
      </c>
      <c r="M19" s="4"/>
      <c r="N19" s="4">
        <f>B3*B2</f>
        <v>1900</v>
      </c>
      <c r="O19" s="4">
        <f t="shared" ref="O19:AW19" si="4">SUM(N19-(N40*$B$10))</f>
        <v>1900</v>
      </c>
      <c r="P19" s="4">
        <f t="shared" si="4"/>
        <v>1900</v>
      </c>
      <c r="Q19" s="4">
        <f t="shared" si="4"/>
        <v>1900</v>
      </c>
      <c r="R19" s="4">
        <f t="shared" si="4"/>
        <v>1900</v>
      </c>
      <c r="S19" s="4">
        <f t="shared" si="4"/>
        <v>1900</v>
      </c>
      <c r="T19" s="4">
        <f t="shared" si="4"/>
        <v>1900</v>
      </c>
      <c r="U19" s="4">
        <f t="shared" si="4"/>
        <v>1900</v>
      </c>
      <c r="V19" s="4">
        <f t="shared" si="4"/>
        <v>1900</v>
      </c>
      <c r="W19" s="4">
        <f t="shared" si="4"/>
        <v>1900</v>
      </c>
      <c r="X19" s="4">
        <f t="shared" si="4"/>
        <v>1900</v>
      </c>
      <c r="Y19" s="4">
        <f t="shared" si="4"/>
        <v>1900</v>
      </c>
      <c r="Z19" s="4">
        <f t="shared" si="4"/>
        <v>1900</v>
      </c>
      <c r="AA19" s="4">
        <f t="shared" si="4"/>
        <v>1900</v>
      </c>
      <c r="AB19" s="4">
        <f t="shared" si="4"/>
        <v>1900</v>
      </c>
      <c r="AC19" s="4">
        <f t="shared" si="4"/>
        <v>1900</v>
      </c>
      <c r="AD19" s="4">
        <f t="shared" si="4"/>
        <v>1900</v>
      </c>
      <c r="AE19" s="4">
        <f t="shared" si="4"/>
        <v>1900</v>
      </c>
      <c r="AF19" s="4">
        <f t="shared" si="4"/>
        <v>1900</v>
      </c>
      <c r="AG19" s="4">
        <f t="shared" si="4"/>
        <v>1900</v>
      </c>
      <c r="AH19" s="4">
        <f t="shared" si="4"/>
        <v>1900</v>
      </c>
      <c r="AI19" s="4">
        <f t="shared" si="4"/>
        <v>1900</v>
      </c>
      <c r="AJ19" s="4">
        <f t="shared" si="4"/>
        <v>1900</v>
      </c>
      <c r="AK19" s="4">
        <f t="shared" si="4"/>
        <v>1900</v>
      </c>
      <c r="AL19" s="4">
        <f t="shared" si="4"/>
        <v>1900</v>
      </c>
      <c r="AM19" s="4">
        <f t="shared" si="4"/>
        <v>1900</v>
      </c>
      <c r="AN19" s="4">
        <f t="shared" si="4"/>
        <v>1900</v>
      </c>
      <c r="AO19" s="4">
        <f t="shared" si="4"/>
        <v>1900</v>
      </c>
      <c r="AP19" s="4">
        <f t="shared" si="4"/>
        <v>1900</v>
      </c>
      <c r="AQ19" s="4">
        <f t="shared" si="4"/>
        <v>1900</v>
      </c>
      <c r="AR19" s="4">
        <f t="shared" si="4"/>
        <v>1900</v>
      </c>
      <c r="AS19" s="4">
        <f t="shared" si="4"/>
        <v>1900</v>
      </c>
      <c r="AT19" s="4">
        <f t="shared" si="4"/>
        <v>1900</v>
      </c>
      <c r="AU19" s="4">
        <f t="shared" si="4"/>
        <v>1900</v>
      </c>
      <c r="AV19" s="4">
        <f t="shared" si="4"/>
        <v>1900</v>
      </c>
      <c r="AW19" s="4">
        <f t="shared" si="4"/>
        <v>1900</v>
      </c>
    </row>
    <row r="20" spans="1:49" ht="15.6" x14ac:dyDescent="0.3">
      <c r="A20" s="60" t="s">
        <v>52</v>
      </c>
      <c r="B20" s="77">
        <v>3.15</v>
      </c>
      <c r="C20" s="69" t="s">
        <v>54</v>
      </c>
      <c r="D20" s="28"/>
      <c r="E20" s="171" t="s">
        <v>19</v>
      </c>
      <c r="F20" s="172"/>
      <c r="G20" s="65" t="s">
        <v>44</v>
      </c>
      <c r="I20" s="175"/>
      <c r="J20" s="175"/>
      <c r="K20" s="4"/>
      <c r="L20" s="7" t="s">
        <v>12</v>
      </c>
      <c r="M20" s="4"/>
      <c r="N20" s="16">
        <f t="shared" ref="N20:AW20" si="5">$B$15</f>
        <v>0.99</v>
      </c>
      <c r="O20" s="16">
        <f t="shared" si="5"/>
        <v>0.99</v>
      </c>
      <c r="P20" s="16">
        <f t="shared" si="5"/>
        <v>0.99</v>
      </c>
      <c r="Q20" s="16">
        <f t="shared" si="5"/>
        <v>0.99</v>
      </c>
      <c r="R20" s="16">
        <f t="shared" si="5"/>
        <v>0.99</v>
      </c>
      <c r="S20" s="16">
        <f t="shared" si="5"/>
        <v>0.99</v>
      </c>
      <c r="T20" s="16">
        <f t="shared" si="5"/>
        <v>0.99</v>
      </c>
      <c r="U20" s="16">
        <f t="shared" si="5"/>
        <v>0.99</v>
      </c>
      <c r="V20" s="16">
        <f t="shared" si="5"/>
        <v>0.99</v>
      </c>
      <c r="W20" s="16">
        <f t="shared" si="5"/>
        <v>0.99</v>
      </c>
      <c r="X20" s="16">
        <f t="shared" si="5"/>
        <v>0.99</v>
      </c>
      <c r="Y20" s="16">
        <f t="shared" si="5"/>
        <v>0.99</v>
      </c>
      <c r="Z20" s="16">
        <f t="shared" si="5"/>
        <v>0.99</v>
      </c>
      <c r="AA20" s="16">
        <f t="shared" si="5"/>
        <v>0.99</v>
      </c>
      <c r="AB20" s="16">
        <f t="shared" si="5"/>
        <v>0.99</v>
      </c>
      <c r="AC20" s="16">
        <f t="shared" si="5"/>
        <v>0.99</v>
      </c>
      <c r="AD20" s="16">
        <f t="shared" si="5"/>
        <v>0.99</v>
      </c>
      <c r="AE20" s="16">
        <f t="shared" si="5"/>
        <v>0.99</v>
      </c>
      <c r="AF20" s="16">
        <f t="shared" si="5"/>
        <v>0.99</v>
      </c>
      <c r="AG20" s="16">
        <f t="shared" si="5"/>
        <v>0.99</v>
      </c>
      <c r="AH20" s="16">
        <f t="shared" si="5"/>
        <v>0.99</v>
      </c>
      <c r="AI20" s="16">
        <f t="shared" si="5"/>
        <v>0.99</v>
      </c>
      <c r="AJ20" s="16">
        <f t="shared" si="5"/>
        <v>0.99</v>
      </c>
      <c r="AK20" s="16">
        <f t="shared" si="5"/>
        <v>0.99</v>
      </c>
      <c r="AL20" s="16">
        <f t="shared" si="5"/>
        <v>0.99</v>
      </c>
      <c r="AM20" s="16">
        <f t="shared" si="5"/>
        <v>0.99</v>
      </c>
      <c r="AN20" s="16">
        <f t="shared" si="5"/>
        <v>0.99</v>
      </c>
      <c r="AO20" s="16">
        <f t="shared" si="5"/>
        <v>0.99</v>
      </c>
      <c r="AP20" s="16">
        <f t="shared" si="5"/>
        <v>0.99</v>
      </c>
      <c r="AQ20" s="16">
        <f t="shared" si="5"/>
        <v>0.99</v>
      </c>
      <c r="AR20" s="16">
        <f t="shared" si="5"/>
        <v>0.99</v>
      </c>
      <c r="AS20" s="16">
        <f t="shared" si="5"/>
        <v>0.99</v>
      </c>
      <c r="AT20" s="16">
        <f t="shared" si="5"/>
        <v>0.99</v>
      </c>
      <c r="AU20" s="16">
        <f t="shared" si="5"/>
        <v>0.99</v>
      </c>
      <c r="AV20" s="16">
        <f t="shared" si="5"/>
        <v>0.99</v>
      </c>
      <c r="AW20" s="16">
        <f t="shared" si="5"/>
        <v>0.99</v>
      </c>
    </row>
    <row r="21" spans="1:49" ht="15.6" x14ac:dyDescent="0.3">
      <c r="A21" s="62" t="s">
        <v>57</v>
      </c>
      <c r="B21" s="83">
        <f>B20/2</f>
        <v>1.575</v>
      </c>
      <c r="C21" s="69" t="s">
        <v>54</v>
      </c>
      <c r="D21" s="37"/>
      <c r="E21" s="96" t="s">
        <v>59</v>
      </c>
      <c r="F21" s="97">
        <f>$F$26/B12</f>
        <v>2.6309141444600646E-2</v>
      </c>
      <c r="G21" s="56" t="str">
        <f t="shared" ref="G21:G40" ca="1" si="6">_xlfn.FORMULATEXT(F21)</f>
        <v>=$F$26/B12</v>
      </c>
      <c r="I21" s="117"/>
      <c r="J21" s="124"/>
      <c r="K21" s="12"/>
      <c r="L21" s="7" t="s">
        <v>13</v>
      </c>
      <c r="M21" s="4"/>
      <c r="N21" s="4">
        <f>N19*N20</f>
        <v>1881</v>
      </c>
      <c r="O21" s="4">
        <f t="shared" ref="O21:AW21" si="7">O19*O20</f>
        <v>1881</v>
      </c>
      <c r="P21" s="4">
        <f t="shared" si="7"/>
        <v>1881</v>
      </c>
      <c r="Q21" s="4">
        <f t="shared" si="7"/>
        <v>1881</v>
      </c>
      <c r="R21" s="4">
        <f t="shared" si="7"/>
        <v>1881</v>
      </c>
      <c r="S21" s="4">
        <f t="shared" si="7"/>
        <v>1881</v>
      </c>
      <c r="T21" s="4">
        <f t="shared" si="7"/>
        <v>1881</v>
      </c>
      <c r="U21" s="4">
        <f t="shared" si="7"/>
        <v>1881</v>
      </c>
      <c r="V21" s="4">
        <f t="shared" si="7"/>
        <v>1881</v>
      </c>
      <c r="W21" s="4">
        <f t="shared" si="7"/>
        <v>1881</v>
      </c>
      <c r="X21" s="4">
        <f t="shared" si="7"/>
        <v>1881</v>
      </c>
      <c r="Y21" s="4">
        <f t="shared" si="7"/>
        <v>1881</v>
      </c>
      <c r="Z21" s="4">
        <f t="shared" si="7"/>
        <v>1881</v>
      </c>
      <c r="AA21" s="4">
        <f t="shared" si="7"/>
        <v>1881</v>
      </c>
      <c r="AB21" s="4">
        <f t="shared" si="7"/>
        <v>1881</v>
      </c>
      <c r="AC21" s="4">
        <f t="shared" si="7"/>
        <v>1881</v>
      </c>
      <c r="AD21" s="4">
        <f t="shared" si="7"/>
        <v>1881</v>
      </c>
      <c r="AE21" s="4">
        <f t="shared" si="7"/>
        <v>1881</v>
      </c>
      <c r="AF21" s="4">
        <f t="shared" si="7"/>
        <v>1881</v>
      </c>
      <c r="AG21" s="4">
        <f t="shared" si="7"/>
        <v>1881</v>
      </c>
      <c r="AH21" s="4">
        <f t="shared" si="7"/>
        <v>1881</v>
      </c>
      <c r="AI21" s="4">
        <f t="shared" si="7"/>
        <v>1881</v>
      </c>
      <c r="AJ21" s="4">
        <f t="shared" si="7"/>
        <v>1881</v>
      </c>
      <c r="AK21" s="4">
        <f t="shared" si="7"/>
        <v>1881</v>
      </c>
      <c r="AL21" s="4">
        <f t="shared" si="7"/>
        <v>1881</v>
      </c>
      <c r="AM21" s="4">
        <f t="shared" si="7"/>
        <v>1881</v>
      </c>
      <c r="AN21" s="4">
        <f t="shared" si="7"/>
        <v>1881</v>
      </c>
      <c r="AO21" s="4">
        <f t="shared" si="7"/>
        <v>1881</v>
      </c>
      <c r="AP21" s="4">
        <f t="shared" si="7"/>
        <v>1881</v>
      </c>
      <c r="AQ21" s="4">
        <f t="shared" si="7"/>
        <v>1881</v>
      </c>
      <c r="AR21" s="4">
        <f t="shared" si="7"/>
        <v>1881</v>
      </c>
      <c r="AS21" s="4">
        <f t="shared" si="7"/>
        <v>1881</v>
      </c>
      <c r="AT21" s="4">
        <f t="shared" si="7"/>
        <v>1881</v>
      </c>
      <c r="AU21" s="4">
        <f t="shared" si="7"/>
        <v>1881</v>
      </c>
      <c r="AV21" s="4">
        <f t="shared" si="7"/>
        <v>1881</v>
      </c>
      <c r="AW21" s="4">
        <f t="shared" si="7"/>
        <v>1881</v>
      </c>
    </row>
    <row r="22" spans="1:49" ht="15.6" x14ac:dyDescent="0.3">
      <c r="D22" s="38"/>
      <c r="E22" s="93" t="s">
        <v>43</v>
      </c>
      <c r="F22" s="97">
        <f>$F$27/B12</f>
        <v>0.94712909200562312</v>
      </c>
      <c r="G22" s="56" t="str">
        <f t="shared" ca="1" si="6"/>
        <v>=$F$27/B12</v>
      </c>
      <c r="I22" s="117"/>
      <c r="J22" s="125"/>
      <c r="K22" s="4"/>
      <c r="L22" s="7" t="s">
        <v>14</v>
      </c>
      <c r="M22" s="4"/>
      <c r="N22" s="17">
        <f t="shared" ref="N22:AW22" si="8">N21*60*60*24*N3</f>
        <v>5038070400</v>
      </c>
      <c r="O22" s="17">
        <f t="shared" si="8"/>
        <v>5038070400</v>
      </c>
      <c r="P22" s="17">
        <f t="shared" si="8"/>
        <v>4875552000</v>
      </c>
      <c r="Q22" s="17">
        <f t="shared" si="8"/>
        <v>5038070400</v>
      </c>
      <c r="R22" s="17">
        <f t="shared" si="8"/>
        <v>5038070400</v>
      </c>
      <c r="S22" s="17">
        <f t="shared" si="8"/>
        <v>4550515200</v>
      </c>
      <c r="T22" s="17">
        <f t="shared" si="8"/>
        <v>5038070400</v>
      </c>
      <c r="U22" s="17">
        <f t="shared" si="8"/>
        <v>4875552000</v>
      </c>
      <c r="V22" s="17">
        <f t="shared" si="8"/>
        <v>5038070400</v>
      </c>
      <c r="W22" s="17">
        <f t="shared" si="8"/>
        <v>4875552000</v>
      </c>
      <c r="X22" s="17">
        <f t="shared" si="8"/>
        <v>5038070400</v>
      </c>
      <c r="Y22" s="17">
        <f t="shared" si="8"/>
        <v>5038070400</v>
      </c>
      <c r="Z22" s="17">
        <f t="shared" si="8"/>
        <v>4875552000</v>
      </c>
      <c r="AA22" s="17">
        <f t="shared" si="8"/>
        <v>5038070400</v>
      </c>
      <c r="AB22" s="17">
        <f t="shared" si="8"/>
        <v>4875552000</v>
      </c>
      <c r="AC22" s="17">
        <f t="shared" si="8"/>
        <v>5038070400</v>
      </c>
      <c r="AD22" s="17">
        <f t="shared" si="8"/>
        <v>5038070400</v>
      </c>
      <c r="AE22" s="17">
        <f t="shared" si="8"/>
        <v>4550515200</v>
      </c>
      <c r="AF22" s="17">
        <f t="shared" si="8"/>
        <v>5038070400</v>
      </c>
      <c r="AG22" s="17">
        <f t="shared" si="8"/>
        <v>4875552000</v>
      </c>
      <c r="AH22" s="17">
        <f t="shared" si="8"/>
        <v>5038070400</v>
      </c>
      <c r="AI22" s="17">
        <f t="shared" si="8"/>
        <v>4875552000</v>
      </c>
      <c r="AJ22" s="17">
        <f t="shared" si="8"/>
        <v>5038070400</v>
      </c>
      <c r="AK22" s="17">
        <f t="shared" si="8"/>
        <v>5038070400</v>
      </c>
      <c r="AL22" s="17">
        <f t="shared" si="8"/>
        <v>4875552000</v>
      </c>
      <c r="AM22" s="17">
        <f t="shared" si="8"/>
        <v>5038070400</v>
      </c>
      <c r="AN22" s="17">
        <f t="shared" si="8"/>
        <v>4875552000</v>
      </c>
      <c r="AO22" s="17">
        <f t="shared" si="8"/>
        <v>5038070400</v>
      </c>
      <c r="AP22" s="17">
        <f t="shared" si="8"/>
        <v>5038070400</v>
      </c>
      <c r="AQ22" s="17">
        <f t="shared" si="8"/>
        <v>4713033600</v>
      </c>
      <c r="AR22" s="17">
        <f t="shared" si="8"/>
        <v>5038070400</v>
      </c>
      <c r="AS22" s="17">
        <f t="shared" si="8"/>
        <v>4875552000</v>
      </c>
      <c r="AT22" s="17">
        <f t="shared" si="8"/>
        <v>5038070400</v>
      </c>
      <c r="AU22" s="17">
        <f t="shared" si="8"/>
        <v>4875552000</v>
      </c>
      <c r="AV22" s="17">
        <f t="shared" si="8"/>
        <v>5038070400</v>
      </c>
      <c r="AW22" s="17">
        <f t="shared" si="8"/>
        <v>5038070400</v>
      </c>
    </row>
    <row r="23" spans="1:49" ht="15.6" x14ac:dyDescent="0.3">
      <c r="A23" s="169" t="s">
        <v>47</v>
      </c>
      <c r="B23" s="167"/>
      <c r="D23" s="38"/>
      <c r="E23" s="94" t="s">
        <v>63</v>
      </c>
      <c r="F23" s="97">
        <f>$F$28/B12</f>
        <v>1.7528140659034089E-2</v>
      </c>
      <c r="G23" s="56" t="str">
        <f t="shared" ca="1" si="6"/>
        <v>=$F$28/B12</v>
      </c>
      <c r="I23" s="117"/>
      <c r="J23" s="124"/>
      <c r="K23" s="4"/>
      <c r="L23" s="7"/>
      <c r="M23" s="4"/>
      <c r="N23" s="4"/>
      <c r="O23" s="4"/>
      <c r="P23" s="4"/>
    </row>
    <row r="24" spans="1:49" ht="15.6" x14ac:dyDescent="0.3">
      <c r="A24" s="66" t="s">
        <v>48</v>
      </c>
      <c r="B24" s="162">
        <v>3.9E-2</v>
      </c>
      <c r="C24" s="102"/>
      <c r="D24" s="28"/>
      <c r="E24" s="95" t="s">
        <v>60</v>
      </c>
      <c r="F24" s="97">
        <f>$F$29/B12</f>
        <v>8.7810007855665534E-3</v>
      </c>
      <c r="G24" s="56" t="str">
        <f t="shared" ca="1" si="6"/>
        <v>=$F$29/B12</v>
      </c>
      <c r="I24" s="126"/>
      <c r="J24" s="124"/>
      <c r="K24" s="4"/>
      <c r="L24" s="7" t="s">
        <v>15</v>
      </c>
      <c r="M24" s="4"/>
      <c r="N24" s="112">
        <f>(N22*N6*1000000000000)/(N8*2^32)</f>
        <v>2.7564060090324229E-2</v>
      </c>
      <c r="O24" s="112">
        <f t="shared" ref="O24:AW24" si="9">(O22*O6*1000000000000)/(O8*2^32)</f>
        <v>2.6720590072165724E-2</v>
      </c>
      <c r="P24" s="112">
        <f t="shared" si="9"/>
        <v>2.5112761623212798E-2</v>
      </c>
      <c r="Q24" s="112">
        <f t="shared" si="9"/>
        <v>2.524434000631429E-2</v>
      </c>
      <c r="R24" s="112">
        <f t="shared" si="9"/>
        <v>2.4597459769654356E-2</v>
      </c>
      <c r="S24" s="112">
        <f t="shared" si="9"/>
        <v>2.1680503669458128E-2</v>
      </c>
      <c r="T24" s="112">
        <f t="shared" si="9"/>
        <v>2.3457088149430781E-2</v>
      </c>
      <c r="U24" s="112">
        <f t="shared" si="9"/>
        <v>2.2213501588879421E-2</v>
      </c>
      <c r="V24" s="112">
        <f t="shared" si="9"/>
        <v>2.248998714017799E-2</v>
      </c>
      <c r="W24" s="112">
        <f t="shared" si="9"/>
        <v>2.1349954790277331E-2</v>
      </c>
      <c r="X24" s="112">
        <f t="shared" si="9"/>
        <v>2.166566192303588E-2</v>
      </c>
      <c r="Y24" s="112">
        <f t="shared" si="9"/>
        <v>2.129926282300779E-2</v>
      </c>
      <c r="Z24" s="112">
        <f t="shared" si="9"/>
        <v>2.0283743817562233E-2</v>
      </c>
      <c r="AA24" s="112">
        <f t="shared" si="9"/>
        <v>2.0645185566953005E-2</v>
      </c>
      <c r="AB24" s="112">
        <f t="shared" si="9"/>
        <v>1.9696596129705417E-2</v>
      </c>
      <c r="AC24" s="112">
        <f t="shared" si="9"/>
        <v>2.0081898152775449E-2</v>
      </c>
      <c r="AD24" s="112">
        <f t="shared" si="9"/>
        <v>1.9829749642351936E-2</v>
      </c>
      <c r="AE24" s="112">
        <f t="shared" si="9"/>
        <v>1.76988728137485E-2</v>
      </c>
      <c r="AF24" s="112">
        <f t="shared" si="9"/>
        <v>1.9376809482425907E-2</v>
      </c>
      <c r="AG24" s="112">
        <f t="shared" si="9"/>
        <v>1.8554884722572489E-2</v>
      </c>
      <c r="AH24" s="112">
        <f t="shared" si="9"/>
        <v>1.8983752204232731E-2</v>
      </c>
      <c r="AI24" s="112">
        <f t="shared" si="9"/>
        <v>1.8200208185511192E-2</v>
      </c>
      <c r="AJ24" s="112">
        <f t="shared" si="9"/>
        <v>1.8641818519501828E-2</v>
      </c>
      <c r="AK24" s="112">
        <f t="shared" si="9"/>
        <v>1.8487692635336242E-2</v>
      </c>
      <c r="AL24" s="112">
        <f t="shared" si="9"/>
        <v>1.7751975149374516E-2</v>
      </c>
      <c r="AM24" s="112">
        <f t="shared" si="9"/>
        <v>1.8209133183930869E-2</v>
      </c>
      <c r="AN24" s="112">
        <f t="shared" si="9"/>
        <v>1.7499966345530537E-2</v>
      </c>
      <c r="AO24" s="112">
        <f t="shared" si="9"/>
        <v>1.796558717192227E-2</v>
      </c>
      <c r="AP24" s="112">
        <f t="shared" si="9"/>
        <v>1.7855431449752927E-2</v>
      </c>
      <c r="AQ24" s="112">
        <f t="shared" si="9"/>
        <v>1.6606998119417311E-2</v>
      </c>
      <c r="AR24" s="112">
        <f t="shared" si="9"/>
        <v>1.7655735269299925E-2</v>
      </c>
      <c r="AS24" s="112">
        <f t="shared" si="9"/>
        <v>8.4993225442903785E-3</v>
      </c>
      <c r="AT24" s="112">
        <f t="shared" si="9"/>
        <v>8.7402451494210248E-3</v>
      </c>
      <c r="AU24" s="112">
        <f t="shared" si="9"/>
        <v>8.4198508748517809E-3</v>
      </c>
      <c r="AV24" s="112">
        <f t="shared" si="9"/>
        <v>8.6632590018664926E-3</v>
      </c>
      <c r="AW24" s="112">
        <f t="shared" si="9"/>
        <v>8.6283207719262452E-3</v>
      </c>
    </row>
    <row r="25" spans="1:49" ht="15.6" x14ac:dyDescent="0.3">
      <c r="A25" s="60" t="s">
        <v>76</v>
      </c>
      <c r="B25" s="164">
        <v>7.0000000000000007E-2</v>
      </c>
      <c r="C25" s="158"/>
      <c r="D25" s="28"/>
      <c r="E25" s="95" t="s">
        <v>61</v>
      </c>
      <c r="F25" s="97">
        <f>SUM(N34:AW34)</f>
        <v>0.22945682090243025</v>
      </c>
      <c r="G25" s="56" t="str">
        <f t="shared" ca="1" si="6"/>
        <v>=SUM(N34:AW34)</v>
      </c>
      <c r="I25" s="126"/>
      <c r="J25" s="127"/>
      <c r="K25" s="4"/>
      <c r="L25" s="7" t="s">
        <v>5</v>
      </c>
      <c r="M25" s="4"/>
      <c r="N25" s="112">
        <f>-N24*$B$16</f>
        <v>-2.7564060090324227E-4</v>
      </c>
      <c r="O25" s="112">
        <f t="shared" ref="O25:AW25" si="10">-O24*$B$16</f>
        <v>-2.6720590072165727E-4</v>
      </c>
      <c r="P25" s="112">
        <f t="shared" si="10"/>
        <v>-2.5112761623212801E-4</v>
      </c>
      <c r="Q25" s="112">
        <f t="shared" si="10"/>
        <v>-2.5244340006314291E-4</v>
      </c>
      <c r="R25" s="112">
        <f t="shared" si="10"/>
        <v>-2.4597459769654356E-4</v>
      </c>
      <c r="S25" s="112">
        <f t="shared" si="10"/>
        <v>-2.1680503669458127E-4</v>
      </c>
      <c r="T25" s="112">
        <f t="shared" si="10"/>
        <v>-2.345708814943078E-4</v>
      </c>
      <c r="U25" s="112">
        <f t="shared" si="10"/>
        <v>-2.2213501588879423E-4</v>
      </c>
      <c r="V25" s="112">
        <f t="shared" si="10"/>
        <v>-2.2489987140177992E-4</v>
      </c>
      <c r="W25" s="112">
        <f t="shared" si="10"/>
        <v>-2.1349954790277331E-4</v>
      </c>
      <c r="X25" s="112">
        <f t="shared" si="10"/>
        <v>-2.166566192303588E-4</v>
      </c>
      <c r="Y25" s="112">
        <f t="shared" si="10"/>
        <v>-2.1299262823007791E-4</v>
      </c>
      <c r="Z25" s="112">
        <f t="shared" si="10"/>
        <v>-2.0283743817562234E-4</v>
      </c>
      <c r="AA25" s="112">
        <f t="shared" si="10"/>
        <v>-2.0645185566953007E-4</v>
      </c>
      <c r="AB25" s="112">
        <f t="shared" si="10"/>
        <v>-1.9696596129705417E-4</v>
      </c>
      <c r="AC25" s="112">
        <f t="shared" si="10"/>
        <v>-2.0081898152775449E-4</v>
      </c>
      <c r="AD25" s="112">
        <f t="shared" si="10"/>
        <v>-1.9829749642351937E-4</v>
      </c>
      <c r="AE25" s="112">
        <f t="shared" si="10"/>
        <v>-1.7698872813748501E-4</v>
      </c>
      <c r="AF25" s="112">
        <f t="shared" si="10"/>
        <v>-1.9376809482425907E-4</v>
      </c>
      <c r="AG25" s="112">
        <f t="shared" si="10"/>
        <v>-1.8554884722572489E-4</v>
      </c>
      <c r="AH25" s="112">
        <f t="shared" si="10"/>
        <v>-1.8983752204232733E-4</v>
      </c>
      <c r="AI25" s="112">
        <f t="shared" si="10"/>
        <v>-1.8200208185511192E-4</v>
      </c>
      <c r="AJ25" s="112">
        <f t="shared" si="10"/>
        <v>-1.8641818519501827E-4</v>
      </c>
      <c r="AK25" s="112">
        <f t="shared" si="10"/>
        <v>-1.8487692635336242E-4</v>
      </c>
      <c r="AL25" s="112">
        <f t="shared" si="10"/>
        <v>-1.7751975149374517E-4</v>
      </c>
      <c r="AM25" s="112">
        <f t="shared" si="10"/>
        <v>-1.8209133183930869E-4</v>
      </c>
      <c r="AN25" s="112">
        <f t="shared" si="10"/>
        <v>-1.7499966345530538E-4</v>
      </c>
      <c r="AO25" s="112">
        <f t="shared" si="10"/>
        <v>-1.7965587171922271E-4</v>
      </c>
      <c r="AP25" s="112">
        <f t="shared" si="10"/>
        <v>-1.7855431449752927E-4</v>
      </c>
      <c r="AQ25" s="112">
        <f t="shared" si="10"/>
        <v>-1.6606998119417311E-4</v>
      </c>
      <c r="AR25" s="112">
        <f t="shared" si="10"/>
        <v>-1.7655735269299925E-4</v>
      </c>
      <c r="AS25" s="112">
        <f t="shared" si="10"/>
        <v>-8.4993225442903784E-5</v>
      </c>
      <c r="AT25" s="112">
        <f t="shared" si="10"/>
        <v>-8.7402451494210251E-5</v>
      </c>
      <c r="AU25" s="112">
        <f t="shared" si="10"/>
        <v>-8.419850874851781E-5</v>
      </c>
      <c r="AV25" s="112">
        <f t="shared" si="10"/>
        <v>-8.6632590018664927E-5</v>
      </c>
      <c r="AW25" s="112">
        <f t="shared" si="10"/>
        <v>-8.6283207719262459E-5</v>
      </c>
    </row>
    <row r="26" spans="1:49" ht="15.6" x14ac:dyDescent="0.3">
      <c r="A26" s="60" t="s">
        <v>49</v>
      </c>
      <c r="B26" s="161">
        <v>3.4000000000000002E-2</v>
      </c>
      <c r="D26" s="28"/>
      <c r="E26" s="58" t="s">
        <v>62</v>
      </c>
      <c r="F26" s="59">
        <f>AVERAGE((N28:AW28))</f>
        <v>2942.3196662549353</v>
      </c>
      <c r="G26" s="56" t="str">
        <f t="shared" ca="1" si="6"/>
        <v>=AVERAGE((N28:AW28))</v>
      </c>
      <c r="I26" s="117"/>
      <c r="J26" s="124"/>
      <c r="K26" s="4"/>
      <c r="L26" s="7"/>
      <c r="M26" s="4"/>
      <c r="N26" s="4"/>
      <c r="O26" s="4"/>
      <c r="P26" s="4"/>
    </row>
    <row r="27" spans="1:49" ht="15.6" x14ac:dyDescent="0.3">
      <c r="A27" s="60" t="s">
        <v>76</v>
      </c>
      <c r="B27" s="161">
        <v>0.06</v>
      </c>
      <c r="D27" s="28"/>
      <c r="E27" s="58" t="s">
        <v>43</v>
      </c>
      <c r="F27" s="59">
        <f>(SUM(N28:AW28))</f>
        <v>105923.50798517767</v>
      </c>
      <c r="G27" s="56" t="str">
        <f t="shared" ca="1" si="6"/>
        <v>=(SUM(N28:AW28))</v>
      </c>
      <c r="I27" s="104"/>
      <c r="J27" s="104"/>
      <c r="K27" s="4"/>
      <c r="L27" s="18" t="s">
        <v>16</v>
      </c>
      <c r="M27" s="19"/>
      <c r="N27" s="20">
        <f>SUM(N24:N25)</f>
        <v>2.7288419489420988E-2</v>
      </c>
      <c r="O27" s="21">
        <f t="shared" ref="O27:AW27" si="11">SUM(O24:O25)</f>
        <v>2.6453384171444067E-2</v>
      </c>
      <c r="P27" s="21">
        <f t="shared" si="11"/>
        <v>2.486163400698067E-2</v>
      </c>
      <c r="Q27" s="21">
        <f t="shared" si="11"/>
        <v>2.4991896606251146E-2</v>
      </c>
      <c r="R27" s="21">
        <f t="shared" si="11"/>
        <v>2.4351485171957812E-2</v>
      </c>
      <c r="S27" s="21">
        <f t="shared" si="11"/>
        <v>2.1463698632763546E-2</v>
      </c>
      <c r="T27" s="21">
        <f t="shared" si="11"/>
        <v>2.3222517267936473E-2</v>
      </c>
      <c r="U27" s="21">
        <f t="shared" si="11"/>
        <v>2.1991366572990625E-2</v>
      </c>
      <c r="V27" s="21">
        <f t="shared" si="11"/>
        <v>2.2265087268776209E-2</v>
      </c>
      <c r="W27" s="21">
        <f>SUM(W24:W25)</f>
        <v>2.1136455242374556E-2</v>
      </c>
      <c r="X27" s="21">
        <f t="shared" si="11"/>
        <v>2.1449005303805523E-2</v>
      </c>
      <c r="Y27" s="21">
        <f t="shared" si="11"/>
        <v>2.1086270194777712E-2</v>
      </c>
      <c r="Z27" s="21">
        <f t="shared" si="11"/>
        <v>2.0080906379386611E-2</v>
      </c>
      <c r="AA27" s="21">
        <f t="shared" si="11"/>
        <v>2.0438733711283474E-2</v>
      </c>
      <c r="AB27" s="21">
        <f t="shared" si="11"/>
        <v>1.9499630168408364E-2</v>
      </c>
      <c r="AC27" s="21">
        <f t="shared" si="11"/>
        <v>1.9881079171247696E-2</v>
      </c>
      <c r="AD27" s="21">
        <f t="shared" si="11"/>
        <v>1.9631452145928416E-2</v>
      </c>
      <c r="AE27" s="21">
        <f t="shared" si="11"/>
        <v>1.7521884085611016E-2</v>
      </c>
      <c r="AF27" s="21">
        <f t="shared" si="11"/>
        <v>1.9183041387601647E-2</v>
      </c>
      <c r="AG27" s="21">
        <f t="shared" si="11"/>
        <v>1.8369335875346764E-2</v>
      </c>
      <c r="AH27" s="21">
        <f t="shared" si="11"/>
        <v>1.8793914682190403E-2</v>
      </c>
      <c r="AI27" s="21">
        <f t="shared" si="11"/>
        <v>1.8018206103656079E-2</v>
      </c>
      <c r="AJ27" s="21">
        <f t="shared" si="11"/>
        <v>1.8455400334306808E-2</v>
      </c>
      <c r="AK27" s="21">
        <f t="shared" si="11"/>
        <v>1.8302815708982879E-2</v>
      </c>
      <c r="AL27" s="21">
        <f t="shared" si="11"/>
        <v>1.7574455397880769E-2</v>
      </c>
      <c r="AM27" s="21">
        <f t="shared" si="11"/>
        <v>1.8027041852091561E-2</v>
      </c>
      <c r="AN27" s="21">
        <f t="shared" si="11"/>
        <v>1.732496668207523E-2</v>
      </c>
      <c r="AO27" s="21">
        <f t="shared" si="11"/>
        <v>1.7785931300203048E-2</v>
      </c>
      <c r="AP27" s="21">
        <f t="shared" si="11"/>
        <v>1.7676877135255398E-2</v>
      </c>
      <c r="AQ27" s="21">
        <f t="shared" si="11"/>
        <v>1.6440928138223138E-2</v>
      </c>
      <c r="AR27" s="21">
        <f t="shared" si="11"/>
        <v>1.7479177916606924E-2</v>
      </c>
      <c r="AS27" s="21">
        <f t="shared" si="11"/>
        <v>8.4143293188474744E-3</v>
      </c>
      <c r="AT27" s="21">
        <f t="shared" si="11"/>
        <v>8.6528426979268144E-3</v>
      </c>
      <c r="AU27" s="21">
        <f t="shared" si="11"/>
        <v>8.335652366103263E-3</v>
      </c>
      <c r="AV27" s="21">
        <f t="shared" si="11"/>
        <v>8.5766264118478271E-3</v>
      </c>
      <c r="AW27" s="21">
        <f t="shared" si="11"/>
        <v>8.5420375642069821E-3</v>
      </c>
    </row>
    <row r="28" spans="1:49" ht="15.6" x14ac:dyDescent="0.3">
      <c r="A28" s="60" t="s">
        <v>50</v>
      </c>
      <c r="B28" s="67">
        <v>0.22</v>
      </c>
      <c r="D28" s="28"/>
      <c r="E28" s="92" t="s">
        <v>67</v>
      </c>
      <c r="F28" s="63">
        <f>-AVERAGE(N30:AW30)</f>
        <v>1960.28415</v>
      </c>
      <c r="G28" s="56" t="str">
        <f t="shared" ca="1" si="6"/>
        <v>=-AVERAGE(N30:AW30)</v>
      </c>
      <c r="I28" s="175"/>
      <c r="J28" s="175"/>
      <c r="K28" s="4"/>
      <c r="L28" s="109" t="s">
        <v>17</v>
      </c>
      <c r="M28" s="4"/>
      <c r="N28" s="12">
        <f>N27*N7</f>
        <v>3168.9824039915379</v>
      </c>
      <c r="O28" s="12">
        <f t="shared" ref="O28:AW28" si="12">O27*O7</f>
        <v>3181.8157749498541</v>
      </c>
      <c r="P28" s="12">
        <f t="shared" si="12"/>
        <v>3089.9016342061473</v>
      </c>
      <c r="Q28" s="12">
        <f t="shared" si="12"/>
        <v>3202.3880296716848</v>
      </c>
      <c r="R28" s="12">
        <f t="shared" si="12"/>
        <v>3210.4322068069509</v>
      </c>
      <c r="S28" s="12">
        <f t="shared" si="12"/>
        <v>2905.8292255141268</v>
      </c>
      <c r="T28" s="12">
        <f t="shared" si="12"/>
        <v>3222.7229135270836</v>
      </c>
      <c r="U28" s="12">
        <f t="shared" si="12"/>
        <v>3123.1108277583248</v>
      </c>
      <c r="V28" s="12">
        <f t="shared" si="12"/>
        <v>3230.7516136815871</v>
      </c>
      <c r="W28" s="12">
        <f>W27*W7</f>
        <v>3129.1299622663028</v>
      </c>
      <c r="X28" s="12">
        <f t="shared" si="12"/>
        <v>3235.3545336182738</v>
      </c>
      <c r="Y28" s="12">
        <f t="shared" si="12"/>
        <v>3236.5966459742849</v>
      </c>
      <c r="Z28" s="12">
        <f t="shared" si="12"/>
        <v>3132.810745228162</v>
      </c>
      <c r="AA28" s="12">
        <f t="shared" si="12"/>
        <v>3237.3483404155368</v>
      </c>
      <c r="AB28" s="12">
        <f t="shared" si="12"/>
        <v>3132.5734323121342</v>
      </c>
      <c r="AC28" s="12">
        <f t="shared" si="12"/>
        <v>3236.228777461034</v>
      </c>
      <c r="AD28" s="12">
        <f t="shared" si="12"/>
        <v>3235.1100451530133</v>
      </c>
      <c r="AE28" s="12">
        <f t="shared" si="12"/>
        <v>2920.7471924801939</v>
      </c>
      <c r="AF28" s="12">
        <f t="shared" si="12"/>
        <v>3231.9952725073517</v>
      </c>
      <c r="AG28" s="12">
        <f t="shared" si="12"/>
        <v>3125.8857284460973</v>
      </c>
      <c r="AH28" s="12">
        <f t="shared" si="12"/>
        <v>3227.9796812654085</v>
      </c>
      <c r="AI28" s="12">
        <f t="shared" si="12"/>
        <v>3121.6648486732174</v>
      </c>
      <c r="AJ28" s="12">
        <f t="shared" si="12"/>
        <v>3223.3324268706911</v>
      </c>
      <c r="AK28" s="12">
        <f t="shared" si="12"/>
        <v>3220.8414640933138</v>
      </c>
      <c r="AL28" s="12">
        <f t="shared" si="12"/>
        <v>3114.4550896144769</v>
      </c>
      <c r="AM28" s="12">
        <f t="shared" si="12"/>
        <v>3215.6391265662146</v>
      </c>
      <c r="AN28" s="12">
        <f t="shared" si="12"/>
        <v>3109.3220436743759</v>
      </c>
      <c r="AO28" s="12">
        <f t="shared" si="12"/>
        <v>3210.2671969250405</v>
      </c>
      <c r="AP28" s="12">
        <f t="shared" si="12"/>
        <v>3207.5564886430298</v>
      </c>
      <c r="AQ28" s="12">
        <f t="shared" si="12"/>
        <v>2998.0821086242513</v>
      </c>
      <c r="AR28" s="12">
        <f t="shared" si="12"/>
        <v>3202.1477698948265</v>
      </c>
      <c r="AS28" s="12">
        <f t="shared" si="12"/>
        <v>1548.1306886317257</v>
      </c>
      <c r="AT28" s="12">
        <f t="shared" si="12"/>
        <v>1598.4107790556416</v>
      </c>
      <c r="AU28" s="12">
        <f t="shared" si="12"/>
        <v>1545.5851175590926</v>
      </c>
      <c r="AV28" s="12">
        <f t="shared" si="12"/>
        <v>1595.8195935869549</v>
      </c>
      <c r="AW28" s="12">
        <f t="shared" si="12"/>
        <v>1594.5582555297165</v>
      </c>
    </row>
    <row r="29" spans="1:49" ht="15.6" x14ac:dyDescent="0.3">
      <c r="A29" s="62" t="s">
        <v>56</v>
      </c>
      <c r="B29" s="160">
        <v>0.25</v>
      </c>
      <c r="D29" s="28"/>
      <c r="E29" s="53" t="s">
        <v>60</v>
      </c>
      <c r="F29" s="49">
        <f>AVERAGE(N33:AW33)</f>
        <v>982.03551625493515</v>
      </c>
      <c r="G29" s="56" t="str">
        <f t="shared" ca="1" si="6"/>
        <v>=AVERAGE(N33:AW33)</v>
      </c>
      <c r="I29" s="117"/>
      <c r="J29" s="128"/>
      <c r="K29" s="4"/>
      <c r="L29" s="7"/>
      <c r="M29" s="4"/>
      <c r="N29" s="22"/>
      <c r="O29" s="4"/>
      <c r="P29" s="4"/>
    </row>
    <row r="30" spans="1:49" ht="15.6" x14ac:dyDescent="0.3">
      <c r="A30" s="61"/>
      <c r="B30" s="91"/>
      <c r="D30" s="28"/>
      <c r="E30" s="53" t="s">
        <v>61</v>
      </c>
      <c r="F30" s="49">
        <f>SUM(N34:AW34)*F39</f>
        <v>42833.137329049103</v>
      </c>
      <c r="G30" s="56" t="str">
        <f t="shared" ca="1" si="6"/>
        <v>=SUM(N34:AW34)*F39</v>
      </c>
      <c r="I30" s="117"/>
      <c r="J30" s="129"/>
      <c r="K30" s="4"/>
      <c r="L30" s="7" t="s">
        <v>18</v>
      </c>
      <c r="M30" s="4"/>
      <c r="N30" s="111">
        <f t="shared" ref="N30:AW30" si="13">-N3*24*$B$8*$B$7*N20*M38</f>
        <v>-1994.2361999999998</v>
      </c>
      <c r="O30" s="111">
        <f t="shared" si="13"/>
        <v>-1994.2361999999998</v>
      </c>
      <c r="P30" s="111">
        <f t="shared" si="13"/>
        <v>-1929.9059999999997</v>
      </c>
      <c r="Q30" s="111">
        <f t="shared" si="13"/>
        <v>-1994.2361999999998</v>
      </c>
      <c r="R30" s="111">
        <f t="shared" si="13"/>
        <v>-1994.2361999999998</v>
      </c>
      <c r="S30" s="111">
        <f t="shared" si="13"/>
        <v>-1801.2455999999997</v>
      </c>
      <c r="T30" s="111">
        <f t="shared" si="13"/>
        <v>-1994.2361999999998</v>
      </c>
      <c r="U30" s="111">
        <f t="shared" si="13"/>
        <v>-1929.9059999999997</v>
      </c>
      <c r="V30" s="111">
        <f t="shared" si="13"/>
        <v>-1994.2361999999998</v>
      </c>
      <c r="W30" s="111">
        <f t="shared" si="13"/>
        <v>-1929.9059999999997</v>
      </c>
      <c r="X30" s="111">
        <f t="shared" si="13"/>
        <v>-1994.2361999999998</v>
      </c>
      <c r="Y30" s="111">
        <f t="shared" si="13"/>
        <v>-1994.2361999999998</v>
      </c>
      <c r="Z30" s="111">
        <f t="shared" si="13"/>
        <v>-1929.9059999999997</v>
      </c>
      <c r="AA30" s="111">
        <f t="shared" si="13"/>
        <v>-1994.2361999999998</v>
      </c>
      <c r="AB30" s="111">
        <f t="shared" si="13"/>
        <v>-1929.9059999999997</v>
      </c>
      <c r="AC30" s="111">
        <f t="shared" si="13"/>
        <v>-1994.2361999999998</v>
      </c>
      <c r="AD30" s="111">
        <f t="shared" si="13"/>
        <v>-1994.2361999999998</v>
      </c>
      <c r="AE30" s="111">
        <f t="shared" si="13"/>
        <v>-1801.2455999999997</v>
      </c>
      <c r="AF30" s="111">
        <f t="shared" si="13"/>
        <v>-1994.2361999999998</v>
      </c>
      <c r="AG30" s="111">
        <f t="shared" si="13"/>
        <v>-1929.9059999999997</v>
      </c>
      <c r="AH30" s="111">
        <f t="shared" si="13"/>
        <v>-1994.2361999999998</v>
      </c>
      <c r="AI30" s="111">
        <f t="shared" si="13"/>
        <v>-1929.9059999999997</v>
      </c>
      <c r="AJ30" s="111">
        <f t="shared" si="13"/>
        <v>-1994.2361999999998</v>
      </c>
      <c r="AK30" s="111">
        <f t="shared" si="13"/>
        <v>-1994.2361999999998</v>
      </c>
      <c r="AL30" s="111">
        <f t="shared" si="13"/>
        <v>-1929.9059999999997</v>
      </c>
      <c r="AM30" s="111">
        <f t="shared" si="13"/>
        <v>-1994.2361999999998</v>
      </c>
      <c r="AN30" s="111">
        <f t="shared" si="13"/>
        <v>-1929.9059999999997</v>
      </c>
      <c r="AO30" s="111">
        <f t="shared" si="13"/>
        <v>-1994.2361999999998</v>
      </c>
      <c r="AP30" s="111">
        <f t="shared" si="13"/>
        <v>-1994.2361999999998</v>
      </c>
      <c r="AQ30" s="111">
        <f t="shared" si="13"/>
        <v>-1865.5757999999996</v>
      </c>
      <c r="AR30" s="111">
        <f t="shared" si="13"/>
        <v>-1994.2361999999998</v>
      </c>
      <c r="AS30" s="111">
        <f t="shared" si="13"/>
        <v>-1929.9059999999997</v>
      </c>
      <c r="AT30" s="111">
        <f t="shared" si="13"/>
        <v>-1994.2361999999998</v>
      </c>
      <c r="AU30" s="111">
        <f t="shared" si="13"/>
        <v>-1929.9059999999997</v>
      </c>
      <c r="AV30" s="111">
        <f t="shared" si="13"/>
        <v>-1994.2361999999998</v>
      </c>
      <c r="AW30" s="111">
        <f t="shared" si="13"/>
        <v>-1994.2361999999998</v>
      </c>
    </row>
    <row r="31" spans="1:49" ht="15.6" x14ac:dyDescent="0.3">
      <c r="A31" s="84"/>
      <c r="B31" s="85"/>
      <c r="D31" s="39"/>
      <c r="E31" s="52" t="s">
        <v>39</v>
      </c>
      <c r="F31" s="49">
        <f>B9*0.22</f>
        <v>4180</v>
      </c>
      <c r="G31" s="56" t="str">
        <f t="shared" ca="1" si="6"/>
        <v>=B9*0.22</v>
      </c>
      <c r="I31" s="117"/>
      <c r="J31" s="130"/>
      <c r="K31" s="4"/>
      <c r="L31" s="7"/>
      <c r="M31" s="4"/>
      <c r="N31" s="23"/>
      <c r="O31" s="23"/>
      <c r="P31" s="23"/>
    </row>
    <row r="32" spans="1:49" ht="15.6" x14ac:dyDescent="0.3">
      <c r="A32" s="84"/>
      <c r="B32" s="43"/>
      <c r="D32" s="40"/>
      <c r="E32" s="52" t="s">
        <v>40</v>
      </c>
      <c r="F32" s="49">
        <f>B9*0.25</f>
        <v>4750</v>
      </c>
      <c r="G32" s="56" t="str">
        <f t="shared" ca="1" si="6"/>
        <v>=B9*0.25</v>
      </c>
      <c r="I32" s="174"/>
      <c r="J32" s="174"/>
      <c r="K32" s="4"/>
      <c r="L32" s="7"/>
      <c r="M32" s="4"/>
      <c r="N32" s="22"/>
      <c r="O32" s="22"/>
      <c r="P32" s="22"/>
    </row>
    <row r="33" spans="1:49" ht="15.6" x14ac:dyDescent="0.3">
      <c r="A33" s="84"/>
      <c r="B33" s="43"/>
      <c r="D33" s="28"/>
      <c r="E33" s="113" t="s">
        <v>42</v>
      </c>
      <c r="F33" s="114">
        <f>SUM(F30:F32)+B10</f>
        <v>55791.897329049105</v>
      </c>
      <c r="G33" s="56" t="str">
        <f t="shared" ca="1" si="6"/>
        <v>=SUM(F30:F32)+B10</v>
      </c>
      <c r="I33" s="117"/>
      <c r="J33" s="131"/>
      <c r="K33" s="4"/>
      <c r="L33" s="18" t="s">
        <v>20</v>
      </c>
      <c r="M33" s="19"/>
      <c r="N33" s="110">
        <f>N28+N30</f>
        <v>1174.7462039915381</v>
      </c>
      <c r="O33" s="110">
        <f t="shared" ref="O33:AW33" si="14">O28+O30</f>
        <v>1187.5795749498543</v>
      </c>
      <c r="P33" s="110">
        <f t="shared" si="14"/>
        <v>1159.9956342061475</v>
      </c>
      <c r="Q33" s="110">
        <f t="shared" si="14"/>
        <v>1208.1518296716849</v>
      </c>
      <c r="R33" s="110">
        <f t="shared" si="14"/>
        <v>1216.1960068069511</v>
      </c>
      <c r="S33" s="110">
        <f t="shared" si="14"/>
        <v>1104.5836255141271</v>
      </c>
      <c r="T33" s="110">
        <f t="shared" si="14"/>
        <v>1228.4867135270838</v>
      </c>
      <c r="U33" s="110">
        <f t="shared" si="14"/>
        <v>1193.2048277583251</v>
      </c>
      <c r="V33" s="110">
        <f t="shared" si="14"/>
        <v>1236.5154136815872</v>
      </c>
      <c r="W33" s="110">
        <f t="shared" si="14"/>
        <v>1199.223962266303</v>
      </c>
      <c r="X33" s="110">
        <f t="shared" si="14"/>
        <v>1241.1183336182739</v>
      </c>
      <c r="Y33" s="110">
        <f t="shared" si="14"/>
        <v>1242.3604459742851</v>
      </c>
      <c r="Z33" s="110">
        <f t="shared" si="14"/>
        <v>1202.9047452281623</v>
      </c>
      <c r="AA33" s="110">
        <f t="shared" si="14"/>
        <v>1243.1121404155369</v>
      </c>
      <c r="AB33" s="110">
        <f t="shared" si="14"/>
        <v>1202.6674323121345</v>
      </c>
      <c r="AC33" s="110">
        <f t="shared" si="14"/>
        <v>1241.9925774610342</v>
      </c>
      <c r="AD33" s="110">
        <f t="shared" si="14"/>
        <v>1240.8738451530135</v>
      </c>
      <c r="AE33" s="110">
        <f t="shared" si="14"/>
        <v>1119.5015924801942</v>
      </c>
      <c r="AF33" s="110">
        <f t="shared" si="14"/>
        <v>1237.7590725073519</v>
      </c>
      <c r="AG33" s="110">
        <f t="shared" si="14"/>
        <v>1195.9797284460976</v>
      </c>
      <c r="AH33" s="110">
        <f t="shared" si="14"/>
        <v>1233.7434812654087</v>
      </c>
      <c r="AI33" s="110">
        <f t="shared" si="14"/>
        <v>1191.7588486732177</v>
      </c>
      <c r="AJ33" s="110">
        <f t="shared" si="14"/>
        <v>1229.0962268706912</v>
      </c>
      <c r="AK33" s="110">
        <f t="shared" si="14"/>
        <v>1226.605264093314</v>
      </c>
      <c r="AL33" s="110">
        <f t="shared" si="14"/>
        <v>1184.5490896144772</v>
      </c>
      <c r="AM33" s="110">
        <f t="shared" si="14"/>
        <v>1221.4029265662148</v>
      </c>
      <c r="AN33" s="110">
        <f t="shared" si="14"/>
        <v>1179.4160436743762</v>
      </c>
      <c r="AO33" s="110">
        <f t="shared" si="14"/>
        <v>1216.0309969250407</v>
      </c>
      <c r="AP33" s="110">
        <f t="shared" si="14"/>
        <v>1213.3202886430299</v>
      </c>
      <c r="AQ33" s="110">
        <f t="shared" si="14"/>
        <v>1132.5063086242517</v>
      </c>
      <c r="AR33" s="110">
        <f t="shared" si="14"/>
        <v>1207.9115698948267</v>
      </c>
      <c r="AS33" s="110">
        <f t="shared" si="14"/>
        <v>-381.77531136827406</v>
      </c>
      <c r="AT33" s="110">
        <f t="shared" si="14"/>
        <v>-395.82542094435826</v>
      </c>
      <c r="AU33" s="110">
        <f t="shared" si="14"/>
        <v>-384.3208824409071</v>
      </c>
      <c r="AV33" s="110">
        <f t="shared" si="14"/>
        <v>-398.41660641304497</v>
      </c>
      <c r="AW33" s="110">
        <f t="shared" si="14"/>
        <v>-399.67794447028336</v>
      </c>
    </row>
    <row r="34" spans="1:49" ht="15.6" x14ac:dyDescent="0.3">
      <c r="A34" s="84"/>
      <c r="B34" s="43"/>
      <c r="D34" s="41"/>
      <c r="E34" s="113" t="s">
        <v>23</v>
      </c>
      <c r="F34" s="115">
        <f>(F33/B11)-1</f>
        <v>-0.71611331934802269</v>
      </c>
      <c r="G34" s="56" t="str">
        <f t="shared" ca="1" si="6"/>
        <v>=(F33/B11)-1</v>
      </c>
      <c r="I34" s="173"/>
      <c r="J34" s="173"/>
      <c r="K34" s="4"/>
      <c r="L34" s="7"/>
      <c r="M34" s="4"/>
      <c r="N34" s="112">
        <f t="shared" ref="N34:AW34" si="15">N33/N7</f>
        <v>1.0115855224613488E-2</v>
      </c>
      <c r="O34" s="112">
        <f t="shared" si="15"/>
        <v>9.8734499268122652E-3</v>
      </c>
      <c r="P34" s="112">
        <f t="shared" si="15"/>
        <v>9.3334320381166565E-3</v>
      </c>
      <c r="Q34" s="112">
        <f t="shared" si="15"/>
        <v>9.42859058054356E-3</v>
      </c>
      <c r="R34" s="112">
        <f t="shared" si="15"/>
        <v>9.2249819084046607E-3</v>
      </c>
      <c r="S34" s="112">
        <f t="shared" si="15"/>
        <v>8.1589275255932649E-3</v>
      </c>
      <c r="T34" s="112">
        <f t="shared" si="15"/>
        <v>8.8523136129908184E-3</v>
      </c>
      <c r="U34" s="112">
        <f t="shared" si="15"/>
        <v>8.4019447951291237E-3</v>
      </c>
      <c r="V34" s="112">
        <f t="shared" si="15"/>
        <v>8.5215847229538327E-3</v>
      </c>
      <c r="W34" s="112">
        <f t="shared" si="15"/>
        <v>8.1004445036430284E-3</v>
      </c>
      <c r="X34" s="112">
        <f t="shared" si="15"/>
        <v>8.2280793167533294E-3</v>
      </c>
      <c r="Y34" s="112">
        <f t="shared" si="15"/>
        <v>8.0939180591755606E-3</v>
      </c>
      <c r="Z34" s="112">
        <f t="shared" si="15"/>
        <v>7.7104617982556726E-3</v>
      </c>
      <c r="AA34" s="112">
        <f t="shared" si="15"/>
        <v>7.8482867271414906E-3</v>
      </c>
      <c r="AB34" s="112">
        <f t="shared" si="15"/>
        <v>7.4863592673600808E-3</v>
      </c>
      <c r="AC34" s="112">
        <f t="shared" si="15"/>
        <v>7.6299157014408934E-3</v>
      </c>
      <c r="AD34" s="112">
        <f t="shared" si="15"/>
        <v>7.5299310286996409E-3</v>
      </c>
      <c r="AE34" s="112">
        <f t="shared" si="15"/>
        <v>6.7160133501447923E-3</v>
      </c>
      <c r="AF34" s="112">
        <f t="shared" si="15"/>
        <v>7.3465402990418359E-3</v>
      </c>
      <c r="AG34" s="112">
        <f t="shared" si="15"/>
        <v>7.0282010413904418E-3</v>
      </c>
      <c r="AH34" s="112">
        <f t="shared" si="15"/>
        <v>7.1830903587104125E-3</v>
      </c>
      <c r="AI34" s="112">
        <f t="shared" si="15"/>
        <v>6.8788155046101774E-3</v>
      </c>
      <c r="AJ34" s="112">
        <f t="shared" si="15"/>
        <v>7.0372707224325556E-3</v>
      </c>
      <c r="AK34" s="112">
        <f t="shared" si="15"/>
        <v>6.970330687383927E-3</v>
      </c>
      <c r="AL34" s="112">
        <f t="shared" si="15"/>
        <v>6.6842527964038915E-3</v>
      </c>
      <c r="AM34" s="112">
        <f t="shared" si="15"/>
        <v>6.847248963221894E-3</v>
      </c>
      <c r="AN34" s="112">
        <f t="shared" si="15"/>
        <v>6.5716395323325459E-3</v>
      </c>
      <c r="AO34" s="112">
        <f t="shared" si="15"/>
        <v>6.7372098468759375E-3</v>
      </c>
      <c r="AP34" s="112">
        <f t="shared" si="15"/>
        <v>6.6866207170458904E-3</v>
      </c>
      <c r="AQ34" s="112">
        <f t="shared" si="15"/>
        <v>6.2104552715935134E-3</v>
      </c>
      <c r="AR34" s="112">
        <f t="shared" si="15"/>
        <v>6.5934812366304748E-3</v>
      </c>
      <c r="AS34" s="112">
        <f t="shared" si="15"/>
        <v>-2.0750077621013844E-3</v>
      </c>
      <c r="AT34" s="112">
        <f t="shared" si="15"/>
        <v>-2.1427627667124052E-3</v>
      </c>
      <c r="AU34" s="112">
        <f t="shared" si="15"/>
        <v>-2.0727200570621169E-3</v>
      </c>
      <c r="AV34" s="112">
        <f t="shared" si="15"/>
        <v>-2.1412635884487958E-3</v>
      </c>
      <c r="AW34" s="112">
        <f t="shared" si="15"/>
        <v>-2.1410719886907062E-3</v>
      </c>
    </row>
    <row r="35" spans="1:49" ht="16.2" thickBot="1" x14ac:dyDescent="0.35">
      <c r="A35" s="61"/>
      <c r="B35" s="86"/>
      <c r="D35" s="41"/>
      <c r="E35" s="113" t="s">
        <v>41</v>
      </c>
      <c r="F35" s="116">
        <f>((F33+B10)/(B11))^(1/3)-1</f>
        <v>-0.32732024762445056</v>
      </c>
      <c r="G35" s="56" t="str">
        <f t="shared" ca="1" si="6"/>
        <v>=((F33+B10)/(B11))^(1/3)-1</v>
      </c>
      <c r="I35" s="117"/>
      <c r="J35" s="132"/>
      <c r="K35" s="24"/>
      <c r="L35" s="103" t="s">
        <v>70</v>
      </c>
      <c r="M35" s="4"/>
      <c r="N35" s="25">
        <f>SUM($B$10*N39)</f>
        <v>0</v>
      </c>
      <c r="O35" s="25">
        <f t="shared" ref="O35:AW35" si="16">SUM($B$10*O39)</f>
        <v>0</v>
      </c>
      <c r="P35" s="25">
        <f t="shared" si="16"/>
        <v>0</v>
      </c>
      <c r="Q35" s="25">
        <f t="shared" si="16"/>
        <v>0</v>
      </c>
      <c r="R35" s="25">
        <f t="shared" si="16"/>
        <v>0</v>
      </c>
      <c r="S35" s="25">
        <f t="shared" si="16"/>
        <v>0</v>
      </c>
      <c r="T35" s="25">
        <f t="shared" si="16"/>
        <v>0</v>
      </c>
      <c r="U35" s="25">
        <f t="shared" si="16"/>
        <v>0</v>
      </c>
      <c r="V35" s="25">
        <f t="shared" si="16"/>
        <v>0</v>
      </c>
      <c r="W35" s="25">
        <f t="shared" si="16"/>
        <v>0</v>
      </c>
      <c r="X35" s="25">
        <f t="shared" si="16"/>
        <v>0</v>
      </c>
      <c r="Y35" s="25">
        <f t="shared" si="16"/>
        <v>0</v>
      </c>
      <c r="Z35" s="25">
        <f t="shared" si="16"/>
        <v>0</v>
      </c>
      <c r="AA35" s="25">
        <f t="shared" si="16"/>
        <v>0</v>
      </c>
      <c r="AB35" s="25">
        <f t="shared" si="16"/>
        <v>0</v>
      </c>
      <c r="AC35" s="25">
        <f t="shared" si="16"/>
        <v>0</v>
      </c>
      <c r="AD35" s="25">
        <f t="shared" si="16"/>
        <v>0</v>
      </c>
      <c r="AE35" s="25">
        <f t="shared" si="16"/>
        <v>0</v>
      </c>
      <c r="AF35" s="25">
        <f t="shared" si="16"/>
        <v>0</v>
      </c>
      <c r="AG35" s="25">
        <f t="shared" si="16"/>
        <v>0</v>
      </c>
      <c r="AH35" s="25">
        <f t="shared" si="16"/>
        <v>0</v>
      </c>
      <c r="AI35" s="25">
        <f t="shared" si="16"/>
        <v>0</v>
      </c>
      <c r="AJ35" s="25">
        <f t="shared" si="16"/>
        <v>0</v>
      </c>
      <c r="AK35" s="25">
        <f t="shared" si="16"/>
        <v>0</v>
      </c>
      <c r="AL35" s="25">
        <f t="shared" si="16"/>
        <v>0</v>
      </c>
      <c r="AM35" s="25">
        <f t="shared" si="16"/>
        <v>0</v>
      </c>
      <c r="AN35" s="25">
        <f t="shared" si="16"/>
        <v>0</v>
      </c>
      <c r="AO35" s="25">
        <f t="shared" si="16"/>
        <v>0</v>
      </c>
      <c r="AP35" s="25">
        <f t="shared" si="16"/>
        <v>0</v>
      </c>
      <c r="AQ35" s="25">
        <f t="shared" si="16"/>
        <v>0</v>
      </c>
      <c r="AR35" s="25">
        <f t="shared" si="16"/>
        <v>0</v>
      </c>
      <c r="AS35" s="25">
        <f t="shared" si="16"/>
        <v>0</v>
      </c>
      <c r="AT35" s="25">
        <f t="shared" si="16"/>
        <v>0</v>
      </c>
      <c r="AU35" s="25">
        <f t="shared" si="16"/>
        <v>0</v>
      </c>
      <c r="AV35" s="25">
        <f t="shared" si="16"/>
        <v>0</v>
      </c>
      <c r="AW35" s="25">
        <f t="shared" si="16"/>
        <v>4028.76</v>
      </c>
    </row>
    <row r="36" spans="1:49" ht="16.8" thickTop="1" thickBot="1" x14ac:dyDescent="0.35">
      <c r="A36" s="61"/>
      <c r="B36" s="87"/>
      <c r="D36" s="31"/>
      <c r="E36" s="54" t="s">
        <v>35</v>
      </c>
      <c r="F36" s="47">
        <f>F29/(B11)*12</f>
        <v>5.9962858337167649E-2</v>
      </c>
      <c r="G36" s="56" t="str">
        <f t="shared" ca="1" si="6"/>
        <v>=F29/(B11)*12</v>
      </c>
      <c r="I36" s="117"/>
      <c r="J36" s="133"/>
      <c r="K36" s="4"/>
      <c r="L36" s="103" t="s">
        <v>22</v>
      </c>
      <c r="M36" s="4"/>
      <c r="N36" s="25">
        <f t="shared" ref="N36:AV36" si="17">SUM($B$28*N40)</f>
        <v>0</v>
      </c>
      <c r="O36" s="25">
        <f t="shared" si="17"/>
        <v>0</v>
      </c>
      <c r="P36" s="25">
        <f t="shared" si="17"/>
        <v>0</v>
      </c>
      <c r="Q36" s="25">
        <f t="shared" si="17"/>
        <v>0</v>
      </c>
      <c r="R36" s="25">
        <f t="shared" si="17"/>
        <v>0</v>
      </c>
      <c r="S36" s="25">
        <f t="shared" si="17"/>
        <v>0</v>
      </c>
      <c r="T36" s="25">
        <f t="shared" si="17"/>
        <v>0</v>
      </c>
      <c r="U36" s="25">
        <f t="shared" si="17"/>
        <v>0</v>
      </c>
      <c r="V36" s="25">
        <f t="shared" si="17"/>
        <v>0</v>
      </c>
      <c r="W36" s="25">
        <f t="shared" si="17"/>
        <v>0</v>
      </c>
      <c r="X36" s="25">
        <f t="shared" si="17"/>
        <v>0</v>
      </c>
      <c r="Y36" s="25">
        <f t="shared" si="17"/>
        <v>0</v>
      </c>
      <c r="Z36" s="25">
        <f t="shared" si="17"/>
        <v>0</v>
      </c>
      <c r="AA36" s="25">
        <f t="shared" si="17"/>
        <v>0</v>
      </c>
      <c r="AB36" s="25">
        <f t="shared" si="17"/>
        <v>0</v>
      </c>
      <c r="AC36" s="25">
        <f t="shared" si="17"/>
        <v>0</v>
      </c>
      <c r="AD36" s="25">
        <f t="shared" si="17"/>
        <v>0</v>
      </c>
      <c r="AE36" s="25">
        <f t="shared" si="17"/>
        <v>0</v>
      </c>
      <c r="AF36" s="25">
        <f t="shared" si="17"/>
        <v>0</v>
      </c>
      <c r="AG36" s="25">
        <f t="shared" si="17"/>
        <v>0</v>
      </c>
      <c r="AH36" s="25">
        <f t="shared" si="17"/>
        <v>0</v>
      </c>
      <c r="AI36" s="25">
        <f t="shared" si="17"/>
        <v>0</v>
      </c>
      <c r="AJ36" s="25">
        <f t="shared" si="17"/>
        <v>0</v>
      </c>
      <c r="AK36" s="25">
        <f t="shared" si="17"/>
        <v>0</v>
      </c>
      <c r="AL36" s="25">
        <f t="shared" si="17"/>
        <v>0</v>
      </c>
      <c r="AM36" s="25">
        <f t="shared" si="17"/>
        <v>0</v>
      </c>
      <c r="AN36" s="25">
        <f t="shared" si="17"/>
        <v>0</v>
      </c>
      <c r="AO36" s="25">
        <f t="shared" si="17"/>
        <v>0</v>
      </c>
      <c r="AP36" s="25">
        <f t="shared" si="17"/>
        <v>0</v>
      </c>
      <c r="AQ36" s="25">
        <f t="shared" si="17"/>
        <v>0</v>
      </c>
      <c r="AR36" s="25">
        <f t="shared" si="17"/>
        <v>0</v>
      </c>
      <c r="AS36" s="25">
        <f t="shared" si="17"/>
        <v>0</v>
      </c>
      <c r="AT36" s="25">
        <f t="shared" si="17"/>
        <v>0</v>
      </c>
      <c r="AU36" s="25">
        <f t="shared" si="17"/>
        <v>0</v>
      </c>
      <c r="AV36" s="25">
        <f t="shared" si="17"/>
        <v>0</v>
      </c>
      <c r="AW36" s="25">
        <f>SUM(F32*AW40)</f>
        <v>47500</v>
      </c>
    </row>
    <row r="37" spans="1:49" ht="16.8" thickTop="1" thickBot="1" x14ac:dyDescent="0.35">
      <c r="A37" s="61"/>
      <c r="B37" s="88"/>
      <c r="C37" s="104"/>
      <c r="D37" s="32"/>
      <c r="E37" s="54" t="s">
        <v>36</v>
      </c>
      <c r="F37" s="47">
        <f>F29/F28</f>
        <v>0.50096590142553321</v>
      </c>
      <c r="G37" s="56" t="str">
        <f t="shared" ca="1" si="6"/>
        <v>=F29/F28</v>
      </c>
      <c r="I37" s="117"/>
      <c r="J37" s="133"/>
      <c r="K37" s="4"/>
      <c r="L37" s="100" t="s">
        <v>39</v>
      </c>
      <c r="M37" s="25"/>
      <c r="N37" s="25">
        <f t="shared" ref="N37:T37" si="18">SUM($B$2*N41)</f>
        <v>0</v>
      </c>
      <c r="O37" s="25">
        <f t="shared" si="18"/>
        <v>0</v>
      </c>
      <c r="P37" s="25">
        <f t="shared" si="18"/>
        <v>0</v>
      </c>
      <c r="Q37" s="25">
        <f t="shared" si="18"/>
        <v>0</v>
      </c>
      <c r="R37" s="25">
        <f t="shared" si="18"/>
        <v>0</v>
      </c>
      <c r="S37" s="25">
        <f t="shared" si="18"/>
        <v>0</v>
      </c>
      <c r="T37" s="25">
        <f t="shared" si="18"/>
        <v>0</v>
      </c>
      <c r="U37" s="25">
        <f>SUM(F31*U41)</f>
        <v>4180</v>
      </c>
      <c r="V37" s="25">
        <f>SUM($B$2*V41)</f>
        <v>0</v>
      </c>
      <c r="W37" s="25">
        <f t="shared" ref="W37:AW37" si="19">SUM($B$2*W41)</f>
        <v>0</v>
      </c>
      <c r="X37" s="25">
        <f t="shared" si="19"/>
        <v>0</v>
      </c>
      <c r="Y37" s="25">
        <f t="shared" si="19"/>
        <v>0</v>
      </c>
      <c r="Z37" s="25">
        <f t="shared" si="19"/>
        <v>0</v>
      </c>
      <c r="AA37" s="25">
        <f t="shared" si="19"/>
        <v>0</v>
      </c>
      <c r="AB37" s="25">
        <f t="shared" si="19"/>
        <v>0</v>
      </c>
      <c r="AC37" s="25">
        <f t="shared" si="19"/>
        <v>0</v>
      </c>
      <c r="AD37" s="25">
        <f t="shared" si="19"/>
        <v>0</v>
      </c>
      <c r="AE37" s="25">
        <f t="shared" si="19"/>
        <v>0</v>
      </c>
      <c r="AF37" s="25">
        <f t="shared" si="19"/>
        <v>0</v>
      </c>
      <c r="AG37" s="25">
        <f t="shared" si="19"/>
        <v>0</v>
      </c>
      <c r="AH37" s="25">
        <f t="shared" si="19"/>
        <v>0</v>
      </c>
      <c r="AI37" s="25">
        <f t="shared" si="19"/>
        <v>0</v>
      </c>
      <c r="AJ37" s="25">
        <f t="shared" si="19"/>
        <v>0</v>
      </c>
      <c r="AK37" s="25">
        <f t="shared" si="19"/>
        <v>0</v>
      </c>
      <c r="AL37" s="25">
        <f t="shared" si="19"/>
        <v>0</v>
      </c>
      <c r="AM37" s="25">
        <f t="shared" si="19"/>
        <v>0</v>
      </c>
      <c r="AN37" s="25">
        <f t="shared" si="19"/>
        <v>0</v>
      </c>
      <c r="AO37" s="25">
        <f t="shared" si="19"/>
        <v>0</v>
      </c>
      <c r="AP37" s="25">
        <f t="shared" si="19"/>
        <v>0</v>
      </c>
      <c r="AQ37" s="25">
        <f t="shared" si="19"/>
        <v>0</v>
      </c>
      <c r="AR37" s="25">
        <f t="shared" si="19"/>
        <v>0</v>
      </c>
      <c r="AS37" s="25">
        <f t="shared" si="19"/>
        <v>0</v>
      </c>
      <c r="AT37" s="25">
        <f t="shared" si="19"/>
        <v>0</v>
      </c>
      <c r="AU37" s="25">
        <f t="shared" si="19"/>
        <v>0</v>
      </c>
      <c r="AV37" s="25">
        <f t="shared" si="19"/>
        <v>0</v>
      </c>
      <c r="AW37" s="25">
        <f t="shared" si="19"/>
        <v>0</v>
      </c>
    </row>
    <row r="38" spans="1:49" ht="16.2" thickTop="1" x14ac:dyDescent="0.3">
      <c r="A38" s="61"/>
      <c r="B38" s="89"/>
      <c r="C38" s="42"/>
      <c r="D38" s="32"/>
      <c r="E38" s="55" t="s">
        <v>37</v>
      </c>
      <c r="F38" s="48">
        <f>(B9-F31-F32)/F29</f>
        <v>10.254211617928735</v>
      </c>
      <c r="G38" s="56" t="str">
        <f t="shared" ca="1" si="6"/>
        <v>=(B9-F31-F32)/F29</v>
      </c>
      <c r="I38" s="134"/>
      <c r="J38" s="135"/>
      <c r="K38" s="4"/>
      <c r="L38" s="4" t="s">
        <v>24</v>
      </c>
      <c r="M38" s="13">
        <f>B2</f>
        <v>10</v>
      </c>
      <c r="N38" s="13">
        <f t="shared" ref="N38:AW38" si="20">SUM(M38-N40)</f>
        <v>10</v>
      </c>
      <c r="O38" s="13">
        <f t="shared" si="20"/>
        <v>10</v>
      </c>
      <c r="P38" s="13">
        <f t="shared" si="20"/>
        <v>10</v>
      </c>
      <c r="Q38" s="13">
        <f t="shared" si="20"/>
        <v>10</v>
      </c>
      <c r="R38" s="13">
        <f t="shared" si="20"/>
        <v>10</v>
      </c>
      <c r="S38" s="13">
        <f t="shared" si="20"/>
        <v>10</v>
      </c>
      <c r="T38" s="13">
        <f t="shared" si="20"/>
        <v>10</v>
      </c>
      <c r="U38" s="13">
        <f t="shared" si="20"/>
        <v>10</v>
      </c>
      <c r="V38" s="13">
        <f t="shared" si="20"/>
        <v>10</v>
      </c>
      <c r="W38" s="13">
        <f t="shared" si="20"/>
        <v>10</v>
      </c>
      <c r="X38" s="13">
        <f t="shared" si="20"/>
        <v>10</v>
      </c>
      <c r="Y38" s="13">
        <f t="shared" si="20"/>
        <v>10</v>
      </c>
      <c r="Z38" s="13">
        <f t="shared" si="20"/>
        <v>10</v>
      </c>
      <c r="AA38" s="13">
        <f t="shared" si="20"/>
        <v>10</v>
      </c>
      <c r="AB38" s="13">
        <f t="shared" si="20"/>
        <v>10</v>
      </c>
      <c r="AC38" s="13">
        <f t="shared" si="20"/>
        <v>10</v>
      </c>
      <c r="AD38" s="13">
        <f t="shared" si="20"/>
        <v>10</v>
      </c>
      <c r="AE38" s="13">
        <f t="shared" si="20"/>
        <v>10</v>
      </c>
      <c r="AF38" s="13">
        <f t="shared" si="20"/>
        <v>10</v>
      </c>
      <c r="AG38" s="13">
        <f t="shared" si="20"/>
        <v>10</v>
      </c>
      <c r="AH38" s="13">
        <f t="shared" si="20"/>
        <v>10</v>
      </c>
      <c r="AI38" s="13">
        <f t="shared" si="20"/>
        <v>10</v>
      </c>
      <c r="AJ38" s="13">
        <f t="shared" si="20"/>
        <v>10</v>
      </c>
      <c r="AK38" s="13">
        <f t="shared" si="20"/>
        <v>10</v>
      </c>
      <c r="AL38" s="13">
        <f t="shared" si="20"/>
        <v>10</v>
      </c>
      <c r="AM38" s="13">
        <f t="shared" si="20"/>
        <v>10</v>
      </c>
      <c r="AN38" s="13">
        <f t="shared" si="20"/>
        <v>10</v>
      </c>
      <c r="AO38" s="13">
        <f t="shared" si="20"/>
        <v>10</v>
      </c>
      <c r="AP38" s="13">
        <f t="shared" si="20"/>
        <v>10</v>
      </c>
      <c r="AQ38" s="13">
        <f t="shared" si="20"/>
        <v>10</v>
      </c>
      <c r="AR38" s="13">
        <f t="shared" si="20"/>
        <v>10</v>
      </c>
      <c r="AS38" s="13">
        <f t="shared" si="20"/>
        <v>10</v>
      </c>
      <c r="AT38" s="13">
        <f t="shared" si="20"/>
        <v>10</v>
      </c>
      <c r="AU38" s="13">
        <f t="shared" si="20"/>
        <v>10</v>
      </c>
      <c r="AV38" s="13">
        <f t="shared" si="20"/>
        <v>10</v>
      </c>
      <c r="AW38" s="13">
        <f t="shared" si="20"/>
        <v>0</v>
      </c>
    </row>
    <row r="39" spans="1:49" ht="15.6" x14ac:dyDescent="0.3">
      <c r="A39" s="61"/>
      <c r="B39" s="89"/>
      <c r="C39" s="42"/>
      <c r="D39" s="32"/>
      <c r="E39" s="98" t="s">
        <v>25</v>
      </c>
      <c r="F39" s="99">
        <f>AW7</f>
        <v>186671.88519648596</v>
      </c>
      <c r="G39" s="56" t="str">
        <f t="shared" ca="1" si="6"/>
        <v>=AW7</v>
      </c>
      <c r="I39" s="134"/>
      <c r="J39" s="136"/>
      <c r="L39" s="126" t="s">
        <v>71</v>
      </c>
      <c r="M39" s="13">
        <v>0</v>
      </c>
      <c r="N39" s="13">
        <v>0</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0</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v>1</v>
      </c>
    </row>
    <row r="40" spans="1:49" ht="15.6" x14ac:dyDescent="0.3">
      <c r="A40" s="61"/>
      <c r="B40" s="105"/>
      <c r="C40" s="42"/>
      <c r="D40" s="42"/>
      <c r="E40" s="98" t="s">
        <v>34</v>
      </c>
      <c r="F40" s="99">
        <f>F28/F21</f>
        <v>74509.620700766114</v>
      </c>
      <c r="G40" s="56" t="str">
        <f t="shared" ca="1" si="6"/>
        <v>=F28/F21</v>
      </c>
      <c r="I40" s="117"/>
      <c r="J40" s="132"/>
      <c r="L40" s="4" t="s">
        <v>26</v>
      </c>
      <c r="M40" s="4"/>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f>B2</f>
        <v>10</v>
      </c>
    </row>
    <row r="41" spans="1:49" ht="15.6" x14ac:dyDescent="0.3">
      <c r="A41" s="61"/>
      <c r="B41" s="105"/>
      <c r="C41" s="42"/>
      <c r="D41" s="34"/>
      <c r="E41" s="148" t="s">
        <v>77</v>
      </c>
      <c r="F41" s="147">
        <f>M16/B12</f>
        <v>0.22826879262923344</v>
      </c>
      <c r="G41" s="56"/>
      <c r="I41" s="117"/>
      <c r="J41" s="137"/>
      <c r="L41" s="101" t="s">
        <v>64</v>
      </c>
      <c r="M41" s="4"/>
      <c r="N41" s="13">
        <v>0</v>
      </c>
      <c r="O41" s="13">
        <v>0</v>
      </c>
      <c r="P41" s="13">
        <v>0</v>
      </c>
      <c r="Q41" s="13">
        <v>0</v>
      </c>
      <c r="R41" s="13">
        <v>0</v>
      </c>
      <c r="S41" s="13">
        <v>0</v>
      </c>
      <c r="T41" s="13">
        <v>0</v>
      </c>
      <c r="U41" s="13">
        <v>1</v>
      </c>
      <c r="V41" s="13">
        <f>J12</f>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f>0</f>
        <v>0</v>
      </c>
    </row>
    <row r="42" spans="1:49" ht="15.6" x14ac:dyDescent="0.3">
      <c r="A42" s="42"/>
      <c r="B42" s="42"/>
      <c r="C42" s="34"/>
      <c r="D42" s="43"/>
      <c r="E42" s="138" t="s">
        <v>68</v>
      </c>
      <c r="F42" s="139">
        <f>(M16/B12)*F39</f>
        <v>42611.365851624723</v>
      </c>
      <c r="G42" s="64" t="str">
        <f ca="1">_xlfn.FORMULATEXT(F42)</f>
        <v>=(M16/B12)*F39</v>
      </c>
      <c r="L42" s="26" t="s">
        <v>21</v>
      </c>
      <c r="M42" s="4"/>
      <c r="N42" s="12">
        <f t="shared" ref="N42:AV42" si="21">SUM(N33+N37+N36)</f>
        <v>1174.7462039915381</v>
      </c>
      <c r="O42" s="12">
        <f t="shared" si="21"/>
        <v>1187.5795749498543</v>
      </c>
      <c r="P42" s="12">
        <f t="shared" si="21"/>
        <v>1159.9956342061475</v>
      </c>
      <c r="Q42" s="12">
        <f t="shared" si="21"/>
        <v>1208.1518296716849</v>
      </c>
      <c r="R42" s="12">
        <f t="shared" si="21"/>
        <v>1216.1960068069511</v>
      </c>
      <c r="S42" s="12">
        <f t="shared" si="21"/>
        <v>1104.5836255141271</v>
      </c>
      <c r="T42" s="12">
        <f t="shared" si="21"/>
        <v>1228.4867135270838</v>
      </c>
      <c r="U42" s="12">
        <f t="shared" si="21"/>
        <v>5373.2048277583253</v>
      </c>
      <c r="V42" s="12">
        <f t="shared" si="21"/>
        <v>1236.5154136815872</v>
      </c>
      <c r="W42" s="12">
        <f t="shared" si="21"/>
        <v>1199.223962266303</v>
      </c>
      <c r="X42" s="12">
        <f t="shared" si="21"/>
        <v>1241.1183336182739</v>
      </c>
      <c r="Y42" s="12">
        <f t="shared" si="21"/>
        <v>1242.3604459742851</v>
      </c>
      <c r="Z42" s="12">
        <f t="shared" si="21"/>
        <v>1202.9047452281623</v>
      </c>
      <c r="AA42" s="12">
        <f t="shared" si="21"/>
        <v>1243.1121404155369</v>
      </c>
      <c r="AB42" s="12">
        <f t="shared" si="21"/>
        <v>1202.6674323121345</v>
      </c>
      <c r="AC42" s="12">
        <f t="shared" si="21"/>
        <v>1241.9925774610342</v>
      </c>
      <c r="AD42" s="12">
        <f t="shared" si="21"/>
        <v>1240.8738451530135</v>
      </c>
      <c r="AE42" s="12">
        <f t="shared" si="21"/>
        <v>1119.5015924801942</v>
      </c>
      <c r="AF42" s="12">
        <f t="shared" si="21"/>
        <v>1237.7590725073519</v>
      </c>
      <c r="AG42" s="12">
        <f t="shared" si="21"/>
        <v>1195.9797284460976</v>
      </c>
      <c r="AH42" s="12">
        <f t="shared" si="21"/>
        <v>1233.7434812654087</v>
      </c>
      <c r="AI42" s="12">
        <f t="shared" si="21"/>
        <v>1191.7588486732177</v>
      </c>
      <c r="AJ42" s="12">
        <f t="shared" si="21"/>
        <v>1229.0962268706912</v>
      </c>
      <c r="AK42" s="12">
        <f t="shared" si="21"/>
        <v>1226.605264093314</v>
      </c>
      <c r="AL42" s="12">
        <f t="shared" si="21"/>
        <v>1184.5490896144772</v>
      </c>
      <c r="AM42" s="12">
        <f t="shared" si="21"/>
        <v>1221.4029265662148</v>
      </c>
      <c r="AN42" s="12">
        <f t="shared" si="21"/>
        <v>1179.4160436743762</v>
      </c>
      <c r="AO42" s="12">
        <f t="shared" si="21"/>
        <v>1216.0309969250407</v>
      </c>
      <c r="AP42" s="12">
        <f t="shared" si="21"/>
        <v>1213.3202886430299</v>
      </c>
      <c r="AQ42" s="12">
        <f t="shared" si="21"/>
        <v>1132.5063086242517</v>
      </c>
      <c r="AR42" s="12">
        <f t="shared" si="21"/>
        <v>1207.9115698948267</v>
      </c>
      <c r="AS42" s="12">
        <f t="shared" si="21"/>
        <v>-381.77531136827406</v>
      </c>
      <c r="AT42" s="12">
        <f t="shared" si="21"/>
        <v>-395.82542094435826</v>
      </c>
      <c r="AU42" s="12">
        <f t="shared" si="21"/>
        <v>-384.3208824409071</v>
      </c>
      <c r="AV42" s="12">
        <f t="shared" si="21"/>
        <v>-398.41660641304497</v>
      </c>
      <c r="AW42" s="12">
        <f>SUM(AW33+AW37+AW36+AW35)</f>
        <v>51129.082055529718</v>
      </c>
    </row>
    <row r="43" spans="1:49" ht="15.6" x14ac:dyDescent="0.3">
      <c r="A43" s="168"/>
      <c r="B43" s="168"/>
      <c r="C43" s="43"/>
      <c r="D43" s="44"/>
      <c r="E43" s="140" t="s">
        <v>69</v>
      </c>
      <c r="F43" s="141">
        <f>F33-F42</f>
        <v>13180.531477424382</v>
      </c>
      <c r="G43" s="64" t="str">
        <f ca="1">_xlfn.FORMULATEXT(F43)</f>
        <v>=F33-F42</v>
      </c>
      <c r="L43" s="146" t="s">
        <v>72</v>
      </c>
      <c r="M43" s="4"/>
      <c r="N43" s="112">
        <f>N34</f>
        <v>1.0115855224613488E-2</v>
      </c>
      <c r="O43" s="112">
        <f>O34+N43</f>
        <v>1.9989305151425753E-2</v>
      </c>
      <c r="P43" s="112">
        <f>P34+O43</f>
        <v>2.9322737189542411E-2</v>
      </c>
      <c r="Q43" s="112">
        <f>Q34+P43</f>
        <v>3.8751327770085969E-2</v>
      </c>
      <c r="R43" s="112">
        <f t="shared" ref="R43:AV43" si="22">R34+Q43</f>
        <v>4.7976309678490633E-2</v>
      </c>
      <c r="S43" s="112">
        <f t="shared" si="22"/>
        <v>5.61352372040839E-2</v>
      </c>
      <c r="T43" s="112">
        <f t="shared" si="22"/>
        <v>6.4987550817074718E-2</v>
      </c>
      <c r="U43" s="112">
        <f t="shared" si="22"/>
        <v>7.3389495612203842E-2</v>
      </c>
      <c r="V43" s="112">
        <f t="shared" si="22"/>
        <v>8.1911080335157677E-2</v>
      </c>
      <c r="W43" s="112">
        <f t="shared" si="22"/>
        <v>9.0011524838800705E-2</v>
      </c>
      <c r="X43" s="112">
        <f t="shared" si="22"/>
        <v>9.8239604155554036E-2</v>
      </c>
      <c r="Y43" s="112">
        <f t="shared" si="22"/>
        <v>0.10633352221472959</v>
      </c>
      <c r="Z43" s="112">
        <f t="shared" si="22"/>
        <v>0.11404398401298527</v>
      </c>
      <c r="AA43" s="112">
        <f t="shared" si="22"/>
        <v>0.12189227074012676</v>
      </c>
      <c r="AB43" s="112">
        <f t="shared" si="22"/>
        <v>0.12937863000748684</v>
      </c>
      <c r="AC43" s="112">
        <f t="shared" si="22"/>
        <v>0.13700854570892773</v>
      </c>
      <c r="AD43" s="112">
        <f t="shared" si="22"/>
        <v>0.14453847673762737</v>
      </c>
      <c r="AE43" s="112">
        <f t="shared" si="22"/>
        <v>0.15125449008777217</v>
      </c>
      <c r="AF43" s="112">
        <f t="shared" si="22"/>
        <v>0.158601030386814</v>
      </c>
      <c r="AG43" s="112">
        <f t="shared" si="22"/>
        <v>0.16562923142820443</v>
      </c>
      <c r="AH43" s="112">
        <f t="shared" si="22"/>
        <v>0.17281232178691486</v>
      </c>
      <c r="AI43" s="112">
        <f t="shared" si="22"/>
        <v>0.17969113729152503</v>
      </c>
      <c r="AJ43" s="112">
        <f t="shared" si="22"/>
        <v>0.18672840801395757</v>
      </c>
      <c r="AK43" s="112">
        <f t="shared" si="22"/>
        <v>0.19369873870134149</v>
      </c>
      <c r="AL43" s="112">
        <f t="shared" si="22"/>
        <v>0.20038299149774538</v>
      </c>
      <c r="AM43" s="112">
        <f t="shared" si="22"/>
        <v>0.20723024046096727</v>
      </c>
      <c r="AN43" s="112">
        <f t="shared" si="22"/>
        <v>0.21380187999329983</v>
      </c>
      <c r="AO43" s="112">
        <f t="shared" si="22"/>
        <v>0.22053908984017576</v>
      </c>
      <c r="AP43" s="112">
        <f t="shared" si="22"/>
        <v>0.22722571055722166</v>
      </c>
      <c r="AQ43" s="112">
        <f t="shared" si="22"/>
        <v>0.23343616582881516</v>
      </c>
      <c r="AR43" s="112">
        <f t="shared" si="22"/>
        <v>0.24002964706544563</v>
      </c>
      <c r="AS43" s="112">
        <f t="shared" si="22"/>
        <v>0.23795463930334426</v>
      </c>
      <c r="AT43" s="112">
        <f t="shared" si="22"/>
        <v>0.23581187653663185</v>
      </c>
      <c r="AU43" s="112">
        <f t="shared" si="22"/>
        <v>0.23373915647956975</v>
      </c>
      <c r="AV43" s="112">
        <f t="shared" si="22"/>
        <v>0.23159789289112095</v>
      </c>
      <c r="AW43" s="112">
        <f>AW34+AV43</f>
        <v>0.22945682090243025</v>
      </c>
    </row>
    <row r="44" spans="1:49" ht="15.6" x14ac:dyDescent="0.3">
      <c r="A44" s="84"/>
      <c r="B44" s="43"/>
      <c r="C44" s="44"/>
      <c r="D44" s="45"/>
      <c r="E44" s="28"/>
      <c r="F44" s="41"/>
      <c r="L44" s="145" t="s">
        <v>75</v>
      </c>
      <c r="M44" s="144">
        <f>-M16</f>
        <v>-25528.760000000002</v>
      </c>
      <c r="N44" s="144">
        <f>$M$44+(N43*N7)</f>
        <v>-24354.013796008465</v>
      </c>
      <c r="O44" s="144">
        <f t="shared" ref="O44:T44" si="23">$M$44+(O43*O7)</f>
        <v>-23124.444315893681</v>
      </c>
      <c r="P44" s="144">
        <f t="shared" si="23"/>
        <v>-21884.414920512289</v>
      </c>
      <c r="Q44" s="144">
        <f t="shared" si="23"/>
        <v>-20563.278982694283</v>
      </c>
      <c r="R44" s="144">
        <f t="shared" si="23"/>
        <v>-19203.696511349255</v>
      </c>
      <c r="S44" s="144">
        <f t="shared" si="23"/>
        <v>-17928.978823432459</v>
      </c>
      <c r="T44" s="144">
        <f t="shared" si="23"/>
        <v>-16510.062039922967</v>
      </c>
      <c r="U44" s="144">
        <f>$M$44+(U43*U7)+$U$37</f>
        <v>-10926.327740983445</v>
      </c>
      <c r="V44" s="144">
        <f t="shared" ref="V44:AV44" si="24">$M$44+(V43*V7)+$U$37</f>
        <v>-9463.1405197509011</v>
      </c>
      <c r="W44" s="144">
        <f t="shared" si="24"/>
        <v>-8023.0743023481646</v>
      </c>
      <c r="X44" s="144">
        <f t="shared" si="24"/>
        <v>-6530.3596041017081</v>
      </c>
      <c r="Y44" s="144">
        <f t="shared" si="24"/>
        <v>-5027.2997239165961</v>
      </c>
      <c r="Z44" s="144">
        <f t="shared" si="24"/>
        <v>-3556.8231324858389</v>
      </c>
      <c r="AA44" s="144">
        <f t="shared" si="24"/>
        <v>-2041.9014654038874</v>
      </c>
      <c r="AB44" s="144">
        <f t="shared" si="24"/>
        <v>-564.36277963590328</v>
      </c>
      <c r="AC44" s="144">
        <f t="shared" si="24"/>
        <v>953.39948350307895</v>
      </c>
      <c r="AD44" s="144">
        <f t="shared" si="24"/>
        <v>2470.0525121448882</v>
      </c>
      <c r="AE44" s="144">
        <f t="shared" si="24"/>
        <v>3864.061013732804</v>
      </c>
      <c r="AF44" s="144">
        <f t="shared" si="24"/>
        <v>5372.6430386380234</v>
      </c>
      <c r="AG44" s="144">
        <f t="shared" si="24"/>
        <v>6836.1484936036904</v>
      </c>
      <c r="AH44" s="144">
        <f t="shared" si="24"/>
        <v>8332.9041361620657</v>
      </c>
      <c r="AI44" s="144">
        <f t="shared" si="24"/>
        <v>9782.8356579743668</v>
      </c>
      <c r="AJ44" s="144">
        <f t="shared" si="24"/>
        <v>11264.335444506789</v>
      </c>
      <c r="AK44" s="144">
        <f t="shared" si="24"/>
        <v>12737.412262864716</v>
      </c>
      <c r="AL44" s="144">
        <f t="shared" si="24"/>
        <v>14162.088763915795</v>
      </c>
      <c r="AM44" s="144">
        <f t="shared" si="24"/>
        <v>15616.687514989593</v>
      </c>
      <c r="AN44" s="144">
        <f t="shared" si="24"/>
        <v>17022.390181199757</v>
      </c>
      <c r="AO44" s="144">
        <f t="shared" si="24"/>
        <v>18457.387555823414</v>
      </c>
      <c r="AP44" s="144">
        <f t="shared" si="24"/>
        <v>19882.465216286422</v>
      </c>
      <c r="AQ44" s="144">
        <f t="shared" si="24"/>
        <v>21219.444568093946</v>
      </c>
      <c r="AR44" s="144">
        <f t="shared" si="24"/>
        <v>22624.154671748038</v>
      </c>
      <c r="AS44" s="144">
        <f t="shared" si="24"/>
        <v>22431.898641758336</v>
      </c>
      <c r="AT44" s="144">
        <f t="shared" si="24"/>
        <v>22211.981648036657</v>
      </c>
      <c r="AU44" s="144">
        <f t="shared" si="24"/>
        <v>21990.8306857524</v>
      </c>
      <c r="AV44" s="144">
        <f t="shared" si="24"/>
        <v>21743.761180420195</v>
      </c>
      <c r="AW44" s="144">
        <f>$M$44+(AW43*AW7)+$U$37+AW35+AW36</f>
        <v>73013.137329049103</v>
      </c>
    </row>
    <row r="45" spans="1:49" ht="15.6" x14ac:dyDescent="0.3">
      <c r="A45" s="84"/>
      <c r="B45" s="44"/>
      <c r="C45" s="45"/>
      <c r="D45" s="42"/>
      <c r="E45" s="28"/>
      <c r="F45" s="41"/>
      <c r="L45" s="142" t="s">
        <v>73</v>
      </c>
      <c r="M45" s="143">
        <f>0</f>
        <v>0</v>
      </c>
      <c r="N45" s="144">
        <f t="shared" ref="N45:AW45" si="25">($F$41*N7)-$M$16</f>
        <v>979.91293735606814</v>
      </c>
      <c r="O45" s="144">
        <f t="shared" si="25"/>
        <v>1927.4339073371593</v>
      </c>
      <c r="P45" s="144">
        <f t="shared" si="25"/>
        <v>2841.3831364201505</v>
      </c>
      <c r="Q45" s="144">
        <f t="shared" si="25"/>
        <v>3720.9308330126951</v>
      </c>
      <c r="R45" s="144">
        <f t="shared" si="25"/>
        <v>4565.5639597451263</v>
      </c>
      <c r="S45" s="144">
        <f t="shared" si="25"/>
        <v>5375.0530027753812</v>
      </c>
      <c r="T45" s="144">
        <f t="shared" si="25"/>
        <v>6149.4194136119331</v>
      </c>
      <c r="U45" s="144">
        <f t="shared" si="25"/>
        <v>6888.9042471714056</v>
      </c>
      <c r="V45" s="144">
        <f t="shared" si="25"/>
        <v>7593.9383859281661</v>
      </c>
      <c r="W45" s="144">
        <f t="shared" si="25"/>
        <v>8265.1146244681222</v>
      </c>
      <c r="X45" s="144">
        <f t="shared" si="25"/>
        <v>8903.1617910552013</v>
      </c>
      <c r="Y45" s="144">
        <f t="shared" si="25"/>
        <v>9508.9210018944577</v>
      </c>
      <c r="Z45" s="144">
        <f t="shared" si="25"/>
        <v>10083.324078197154</v>
      </c>
      <c r="AA45" s="144">
        <f t="shared" si="25"/>
        <v>10627.37410428359</v>
      </c>
      <c r="AB45" s="144">
        <f t="shared" si="25"/>
        <v>11142.128065087403</v>
      </c>
      <c r="AC45" s="144">
        <f t="shared" si="25"/>
        <v>11628.681471857948</v>
      </c>
      <c r="AD45" s="144">
        <f t="shared" si="25"/>
        <v>12088.154863984913</v>
      </c>
      <c r="AE45" s="144">
        <f t="shared" si="25"/>
        <v>12521.682061204156</v>
      </c>
      <c r="AF45" s="144">
        <f t="shared" si="25"/>
        <v>12930.400032646008</v>
      </c>
      <c r="AG45" s="144">
        <f t="shared" si="25"/>
        <v>13315.440246073005</v>
      </c>
      <c r="AH45" s="144">
        <f t="shared" si="25"/>
        <v>13677.921361196546</v>
      </c>
      <c r="AI45" s="144">
        <f t="shared" si="25"/>
        <v>14018.94313428508</v>
      </c>
      <c r="AJ45" s="144">
        <f t="shared" si="25"/>
        <v>14339.581406643665</v>
      </c>
      <c r="AK45" s="144">
        <f t="shared" si="25"/>
        <v>14640.884056346702</v>
      </c>
      <c r="AL45" s="144">
        <f t="shared" si="25"/>
        <v>14923.867800346867</v>
      </c>
      <c r="AM45" s="144">
        <f t="shared" si="25"/>
        <v>15189.515742363561</v>
      </c>
      <c r="AN45" s="144">
        <f t="shared" si="25"/>
        <v>15438.775570463411</v>
      </c>
      <c r="AO45" s="144">
        <f t="shared" si="25"/>
        <v>15672.55831673873</v>
      </c>
      <c r="AP45" s="144">
        <f t="shared" si="25"/>
        <v>15891.737599788808</v>
      </c>
      <c r="AQ45" s="144">
        <f t="shared" si="25"/>
        <v>16097.149278679419</v>
      </c>
      <c r="AR45" s="144">
        <f t="shared" si="25"/>
        <v>16289.591454607609</v>
      </c>
      <c r="AS45" s="144">
        <f t="shared" si="25"/>
        <v>16469.82476357236</v>
      </c>
      <c r="AT45" s="144">
        <f t="shared" si="25"/>
        <v>16638.572909912298</v>
      </c>
      <c r="AU45" s="144">
        <f t="shared" si="25"/>
        <v>16796.52339660791</v>
      </c>
      <c r="AV45" s="144">
        <f t="shared" si="25"/>
        <v>16944.328413756062</v>
      </c>
      <c r="AW45" s="144">
        <f t="shared" si="25"/>
        <v>17082.605851624721</v>
      </c>
    </row>
    <row r="46" spans="1:49" ht="15.6" x14ac:dyDescent="0.3">
      <c r="A46" s="42"/>
      <c r="B46" s="42"/>
      <c r="C46" s="42"/>
      <c r="D46" s="32"/>
      <c r="E46" s="28"/>
      <c r="F46" s="31"/>
      <c r="L46" s="157"/>
      <c r="M46" s="3">
        <v>45901</v>
      </c>
      <c r="N46" s="3">
        <v>45930</v>
      </c>
      <c r="O46" s="3">
        <v>45961</v>
      </c>
      <c r="P46" s="3">
        <v>45991</v>
      </c>
      <c r="Q46" s="3">
        <v>46022</v>
      </c>
      <c r="R46" s="3">
        <v>46053</v>
      </c>
      <c r="S46" s="3">
        <v>46081</v>
      </c>
      <c r="T46" s="3">
        <v>46112</v>
      </c>
      <c r="U46" s="3">
        <v>46142</v>
      </c>
      <c r="V46" s="3">
        <v>46173</v>
      </c>
      <c r="W46" s="3">
        <v>46203</v>
      </c>
      <c r="X46" s="3">
        <v>46234</v>
      </c>
      <c r="Y46" s="3">
        <v>46265</v>
      </c>
      <c r="Z46" s="3">
        <v>46295</v>
      </c>
      <c r="AA46" s="3">
        <v>46326</v>
      </c>
      <c r="AB46" s="3">
        <v>46356</v>
      </c>
      <c r="AC46" s="3">
        <v>46387</v>
      </c>
      <c r="AD46" s="3">
        <v>46418</v>
      </c>
      <c r="AE46" s="3">
        <v>46446</v>
      </c>
      <c r="AF46" s="3">
        <v>46477</v>
      </c>
      <c r="AG46" s="3">
        <v>46507</v>
      </c>
      <c r="AH46" s="3">
        <v>46538</v>
      </c>
      <c r="AI46" s="3">
        <v>46568</v>
      </c>
      <c r="AJ46" s="3">
        <v>46599</v>
      </c>
      <c r="AK46" s="3">
        <v>46630</v>
      </c>
      <c r="AL46" s="3">
        <v>46660</v>
      </c>
      <c r="AM46" s="3">
        <v>46691</v>
      </c>
      <c r="AN46" s="3">
        <v>46721</v>
      </c>
      <c r="AO46" s="3">
        <v>46752</v>
      </c>
      <c r="AP46" s="3">
        <v>46783</v>
      </c>
      <c r="AQ46" s="3">
        <v>46812</v>
      </c>
      <c r="AR46" s="3">
        <v>46843</v>
      </c>
      <c r="AS46" s="3">
        <v>46873</v>
      </c>
      <c r="AT46" s="3">
        <v>46904</v>
      </c>
      <c r="AU46" s="3">
        <v>46934</v>
      </c>
      <c r="AV46" s="3">
        <v>46965</v>
      </c>
      <c r="AW46" s="3">
        <v>46996</v>
      </c>
    </row>
  </sheetData>
  <mergeCells count="10">
    <mergeCell ref="I28:J28"/>
    <mergeCell ref="I32:J32"/>
    <mergeCell ref="I34:J34"/>
    <mergeCell ref="A43:B43"/>
    <mergeCell ref="A1:B1"/>
    <mergeCell ref="I4:J4"/>
    <mergeCell ref="I16:J16"/>
    <mergeCell ref="E20:F20"/>
    <mergeCell ref="I20:J20"/>
    <mergeCell ref="A23:B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Deal Structure</vt:lpstr>
      <vt:lpstr>Deal Structure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Mann</dc:creator>
  <cp:lastModifiedBy>jason tribandis</cp:lastModifiedBy>
  <dcterms:created xsi:type="dcterms:W3CDTF">2015-06-05T18:17:20Z</dcterms:created>
  <dcterms:modified xsi:type="dcterms:W3CDTF">2025-09-16T13:00:04Z</dcterms:modified>
</cp:coreProperties>
</file>